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martin_skandik_ki_se/Documents/Skrivbordet/2023 Natue Aging/supplementary data/"/>
    </mc:Choice>
  </mc:AlternateContent>
  <xr:revisionPtr revIDLastSave="262" documentId="11_F25DC773A252ABDACC104854615848EC5BDE58ED" xr6:coauthVersionLast="47" xr6:coauthVersionMax="47" xr10:uidLastSave="{CD273F7E-7222-43B4-A633-263B5EA137D4}"/>
  <bookViews>
    <workbookView xWindow="-120" yWindow="-120" windowWidth="29040" windowHeight="17640" tabRatio="689" firstSheet="1" activeTab="5" xr2:uid="{00000000-000D-0000-FFFF-FFFF00000000}"/>
  </bookViews>
  <sheets>
    <sheet name="DEGs Aged vs Control" sheetId="2" r:id="rId1"/>
    <sheet name="GO BP terms downregulated AvsC" sheetId="10" r:id="rId2"/>
    <sheet name="GO BP terms upregulated AvsC" sheetId="12" r:id="rId3"/>
    <sheet name="KEGG pathway upregulated AvC" sheetId="5" r:id="rId4"/>
    <sheet name="KEGG pathway downregulated AvsC" sheetId="4" r:id="rId5"/>
    <sheet name="TRRUST analysis negat AvsC" sheetId="6" r:id="rId6"/>
  </sheets>
  <definedNames>
    <definedName name="_xlnm._FilterDatabase" localSheetId="0" hidden="1">'DEGs Aged vs Control'!$A$7:$J$7</definedName>
    <definedName name="ExternalData_1" localSheetId="4" hidden="1">'KEGG pathway downregulated AvsC'!$A$1:$M$162</definedName>
    <definedName name="ExternalData_1" localSheetId="3" hidden="1">'KEGG pathway upregulated AvC'!$A$1:$M$26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2" l="1"/>
  <c r="H11" i="2"/>
  <c r="I10" i="2"/>
  <c r="H10" i="2"/>
  <c r="I436" i="2"/>
  <c r="H436" i="2"/>
  <c r="I559" i="2"/>
  <c r="H559" i="2"/>
  <c r="I438" i="2"/>
  <c r="H438" i="2"/>
  <c r="I556" i="2"/>
  <c r="H556" i="2"/>
  <c r="I343" i="2"/>
  <c r="H343" i="2"/>
  <c r="I19" i="2"/>
  <c r="H19" i="2"/>
  <c r="I45" i="2"/>
  <c r="H45" i="2"/>
  <c r="I222" i="2"/>
  <c r="H222" i="2"/>
  <c r="I16" i="2"/>
  <c r="H16" i="2"/>
  <c r="I720" i="2"/>
  <c r="H720" i="2"/>
  <c r="I757" i="2"/>
  <c r="H757" i="2"/>
  <c r="I97" i="2"/>
  <c r="H97" i="2"/>
  <c r="I1076" i="2"/>
  <c r="H1076" i="2"/>
  <c r="I563" i="2"/>
  <c r="H563" i="2"/>
  <c r="I13" i="2"/>
  <c r="H13" i="2"/>
  <c r="I262" i="2"/>
  <c r="H262" i="2"/>
  <c r="I9" i="2"/>
  <c r="H9" i="2"/>
  <c r="I1512" i="2"/>
  <c r="H1512" i="2"/>
  <c r="I974" i="2"/>
  <c r="H974" i="2"/>
  <c r="I987" i="2"/>
  <c r="H987" i="2"/>
  <c r="I28" i="2"/>
  <c r="H28" i="2"/>
  <c r="I1134" i="2"/>
  <c r="H1134" i="2"/>
  <c r="I870" i="2"/>
  <c r="H870" i="2"/>
  <c r="I875" i="2"/>
  <c r="H875" i="2"/>
  <c r="I681" i="2"/>
  <c r="H681" i="2"/>
  <c r="I382" i="2"/>
  <c r="H382" i="2"/>
  <c r="I409" i="2"/>
  <c r="H409" i="2"/>
  <c r="I96" i="2"/>
  <c r="H96" i="2"/>
  <c r="I273" i="2"/>
  <c r="H273" i="2"/>
  <c r="I467" i="2"/>
  <c r="H467" i="2"/>
  <c r="I204" i="2"/>
  <c r="H204" i="2"/>
  <c r="I1259" i="2"/>
  <c r="H1259" i="2"/>
  <c r="I1561" i="2"/>
  <c r="H1561" i="2"/>
  <c r="I1212" i="2"/>
  <c r="H1212" i="2"/>
  <c r="I14" i="2"/>
  <c r="H14" i="2"/>
  <c r="I336" i="2"/>
  <c r="H336" i="2"/>
  <c r="I584" i="2"/>
  <c r="H584" i="2"/>
  <c r="I625" i="2"/>
  <c r="H625" i="2"/>
  <c r="I1663" i="2"/>
  <c r="H1663" i="2"/>
  <c r="I1394" i="2"/>
  <c r="H1394" i="2"/>
  <c r="I883" i="2"/>
  <c r="H883" i="2"/>
  <c r="I825" i="2"/>
  <c r="H825" i="2"/>
  <c r="I1260" i="2"/>
  <c r="H1260" i="2"/>
  <c r="I77" i="2"/>
  <c r="H77" i="2"/>
  <c r="I20" i="2"/>
  <c r="H20" i="2"/>
  <c r="I847" i="2"/>
  <c r="H847" i="2"/>
  <c r="I1438" i="2"/>
  <c r="H1438" i="2"/>
  <c r="I15" i="2"/>
  <c r="H15" i="2"/>
  <c r="I970" i="2"/>
  <c r="H970" i="2"/>
  <c r="I66" i="2"/>
  <c r="H66" i="2"/>
  <c r="I1044" i="2"/>
  <c r="H1044" i="2"/>
  <c r="I951" i="2"/>
  <c r="H951" i="2"/>
  <c r="I1648" i="2"/>
  <c r="H1648" i="2"/>
  <c r="I1500" i="2"/>
  <c r="H1500" i="2"/>
  <c r="I1382" i="2"/>
  <c r="H1382" i="2"/>
  <c r="I368" i="2"/>
  <c r="H368" i="2"/>
  <c r="I26" i="2"/>
  <c r="H26" i="2"/>
  <c r="I1148" i="2"/>
  <c r="H1148" i="2"/>
  <c r="I18" i="2"/>
  <c r="H18" i="2"/>
  <c r="I658" i="2"/>
  <c r="H658" i="2"/>
  <c r="I536" i="2"/>
  <c r="H536" i="2"/>
  <c r="I545" i="2"/>
  <c r="H545" i="2"/>
  <c r="I1358" i="2"/>
  <c r="H1358" i="2"/>
  <c r="I36" i="2"/>
  <c r="H36" i="2"/>
  <c r="I884" i="2"/>
  <c r="H884" i="2"/>
  <c r="I783" i="2"/>
  <c r="H783" i="2"/>
  <c r="I1158" i="2"/>
  <c r="H1158" i="2"/>
  <c r="I168" i="2"/>
  <c r="H168" i="2"/>
  <c r="I571" i="2"/>
  <c r="H571" i="2"/>
  <c r="I145" i="2"/>
  <c r="H145" i="2"/>
  <c r="I1270" i="2"/>
  <c r="H1270" i="2"/>
  <c r="I353" i="2"/>
  <c r="H353" i="2"/>
  <c r="I549" i="2"/>
  <c r="H549" i="2"/>
  <c r="I655" i="2"/>
  <c r="H655" i="2"/>
  <c r="I898" i="2"/>
  <c r="H898" i="2"/>
  <c r="I1413" i="2"/>
  <c r="H1413" i="2"/>
  <c r="I264" i="2"/>
  <c r="H264" i="2"/>
  <c r="I504" i="2"/>
  <c r="H504" i="2"/>
  <c r="I1532" i="2"/>
  <c r="H1532" i="2"/>
  <c r="I994" i="2"/>
  <c r="H994" i="2"/>
  <c r="I233" i="2"/>
  <c r="H233" i="2"/>
  <c r="I154" i="2"/>
  <c r="H154" i="2"/>
  <c r="I1318" i="2"/>
  <c r="H1318" i="2"/>
  <c r="I250" i="2"/>
  <c r="H250" i="2"/>
  <c r="I1480" i="2"/>
  <c r="H1480" i="2"/>
  <c r="I190" i="2"/>
  <c r="H190" i="2"/>
  <c r="I746" i="2"/>
  <c r="H746" i="2"/>
  <c r="I1194" i="2"/>
  <c r="H1194" i="2"/>
  <c r="I489" i="2"/>
  <c r="H489" i="2"/>
  <c r="I260" i="2"/>
  <c r="H260" i="2"/>
  <c r="I169" i="2"/>
  <c r="H169" i="2"/>
  <c r="I1658" i="2"/>
  <c r="H1658" i="2"/>
  <c r="I1498" i="2"/>
  <c r="H1498" i="2"/>
  <c r="I140" i="2"/>
  <c r="H140" i="2"/>
  <c r="I824" i="2"/>
  <c r="H824" i="2"/>
  <c r="I211" i="2"/>
  <c r="H211" i="2"/>
  <c r="I108" i="2"/>
  <c r="H108" i="2"/>
  <c r="I880" i="2"/>
  <c r="H880" i="2"/>
  <c r="I1534" i="2"/>
  <c r="H1534" i="2"/>
  <c r="I493" i="2"/>
  <c r="H493" i="2"/>
  <c r="I654" i="2"/>
  <c r="H654" i="2"/>
  <c r="I777" i="2"/>
  <c r="H777" i="2"/>
  <c r="I858" i="2"/>
  <c r="H858" i="2"/>
  <c r="I1008" i="2"/>
  <c r="H1008" i="2"/>
  <c r="I202" i="2"/>
  <c r="H202" i="2"/>
  <c r="I547" i="2"/>
  <c r="H547" i="2"/>
  <c r="I731" i="2"/>
  <c r="H731" i="2"/>
  <c r="I1311" i="2"/>
  <c r="H1311" i="2"/>
  <c r="I606" i="2"/>
  <c r="H606" i="2"/>
  <c r="I123" i="2"/>
  <c r="H123" i="2"/>
  <c r="I1195" i="2"/>
  <c r="H1195" i="2"/>
  <c r="I526" i="2"/>
  <c r="H526" i="2"/>
  <c r="I1156" i="2"/>
  <c r="H1156" i="2"/>
  <c r="I1355" i="2"/>
  <c r="H1355" i="2"/>
  <c r="I1687" i="2"/>
  <c r="H1687" i="2"/>
  <c r="I928" i="2"/>
  <c r="H928" i="2"/>
  <c r="I1551" i="2"/>
  <c r="H1551" i="2"/>
  <c r="I1186" i="2"/>
  <c r="H1186" i="2"/>
  <c r="I1082" i="2"/>
  <c r="H1082" i="2"/>
  <c r="I261" i="2"/>
  <c r="H261" i="2"/>
  <c r="I742" i="2"/>
  <c r="H742" i="2"/>
  <c r="I1066" i="2"/>
  <c r="H1066" i="2"/>
  <c r="I1023" i="2"/>
  <c r="H1023" i="2"/>
  <c r="I474" i="2"/>
  <c r="H474" i="2"/>
  <c r="I1612" i="2"/>
  <c r="H1612" i="2"/>
  <c r="I1575" i="2"/>
  <c r="H1575" i="2"/>
  <c r="I896" i="2"/>
  <c r="H896" i="2"/>
  <c r="I835" i="2"/>
  <c r="H835" i="2"/>
  <c r="I585" i="2"/>
  <c r="H585" i="2"/>
  <c r="I1386" i="2"/>
  <c r="H1386" i="2"/>
  <c r="I1147" i="2"/>
  <c r="H1147" i="2"/>
  <c r="I121" i="2"/>
  <c r="H121" i="2"/>
  <c r="I503" i="2"/>
  <c r="H503" i="2"/>
  <c r="I161" i="2"/>
  <c r="H161" i="2"/>
  <c r="I176" i="2"/>
  <c r="H176" i="2"/>
  <c r="I902" i="2"/>
  <c r="H902" i="2"/>
  <c r="I1224" i="2"/>
  <c r="H1224" i="2"/>
  <c r="I1396" i="2"/>
  <c r="H1396" i="2"/>
  <c r="I959" i="2"/>
  <c r="H959" i="2"/>
  <c r="I1632" i="2"/>
  <c r="H1632" i="2"/>
  <c r="I1262" i="2"/>
  <c r="H1262" i="2"/>
  <c r="I1308" i="2"/>
  <c r="H1308" i="2"/>
  <c r="I797" i="2"/>
  <c r="H797" i="2"/>
  <c r="I1105" i="2"/>
  <c r="H1105" i="2"/>
  <c r="I691" i="2"/>
  <c r="H691" i="2"/>
  <c r="I366" i="2"/>
  <c r="H366" i="2"/>
  <c r="I663" i="2"/>
  <c r="H663" i="2"/>
  <c r="I667" i="2"/>
  <c r="H667" i="2"/>
  <c r="I1541" i="2"/>
  <c r="H1541" i="2"/>
  <c r="I590" i="2"/>
  <c r="H590" i="2"/>
  <c r="I945" i="2"/>
  <c r="H945" i="2"/>
  <c r="I1289" i="2"/>
  <c r="H1289" i="2"/>
  <c r="I443" i="2"/>
  <c r="H443" i="2"/>
  <c r="I244" i="2"/>
  <c r="H244" i="2"/>
  <c r="I772" i="2"/>
  <c r="H772" i="2"/>
  <c r="I65" i="2"/>
  <c r="H65" i="2"/>
  <c r="I1607" i="2"/>
  <c r="H1607" i="2"/>
  <c r="I1065" i="2"/>
  <c r="H1065" i="2"/>
  <c r="I1264" i="2"/>
  <c r="H1264" i="2"/>
  <c r="I707" i="2"/>
  <c r="H707" i="2"/>
  <c r="I424" i="2"/>
  <c r="H424" i="2"/>
  <c r="I508" i="2"/>
  <c r="H508" i="2"/>
  <c r="I1651" i="2"/>
  <c r="H1651" i="2"/>
  <c r="I480" i="2"/>
  <c r="H480" i="2"/>
  <c r="I118" i="2"/>
  <c r="H118" i="2"/>
  <c r="I629" i="2"/>
  <c r="H629" i="2"/>
  <c r="I1216" i="2"/>
  <c r="H1216" i="2"/>
  <c r="I1285" i="2"/>
  <c r="H1285" i="2"/>
  <c r="I1296" i="2"/>
  <c r="H1296" i="2"/>
  <c r="I156" i="2"/>
  <c r="H156" i="2"/>
  <c r="I300" i="2"/>
  <c r="H300" i="2"/>
  <c r="I669" i="2"/>
  <c r="H669" i="2"/>
  <c r="I167" i="2"/>
  <c r="H167" i="2"/>
  <c r="I1183" i="2"/>
  <c r="H1183" i="2"/>
  <c r="I351" i="2"/>
  <c r="H351" i="2"/>
  <c r="I921" i="2"/>
  <c r="H921" i="2"/>
  <c r="I690" i="2"/>
  <c r="H690" i="2"/>
  <c r="I306" i="2"/>
  <c r="H306" i="2"/>
  <c r="I955" i="2"/>
  <c r="H955" i="2"/>
  <c r="I623" i="2"/>
  <c r="H623" i="2"/>
  <c r="I770" i="2"/>
  <c r="H770" i="2"/>
  <c r="I1376" i="2"/>
  <c r="H1376" i="2"/>
  <c r="I1584" i="2"/>
  <c r="H1584" i="2"/>
  <c r="I929" i="2"/>
  <c r="H929" i="2"/>
  <c r="I142" i="2"/>
  <c r="H142" i="2"/>
  <c r="I1151" i="2"/>
  <c r="H1151" i="2"/>
  <c r="I807" i="2"/>
  <c r="H807" i="2"/>
  <c r="I510" i="2"/>
  <c r="H510" i="2"/>
  <c r="I387" i="2"/>
  <c r="H387" i="2"/>
  <c r="I599" i="2"/>
  <c r="H599" i="2"/>
  <c r="I866" i="2"/>
  <c r="H866" i="2"/>
  <c r="I1440" i="2"/>
  <c r="H1440" i="2"/>
  <c r="I1595" i="2"/>
  <c r="H1595" i="2"/>
  <c r="I569" i="2"/>
  <c r="H569" i="2"/>
  <c r="I1544" i="2"/>
  <c r="H1544" i="2"/>
  <c r="I567" i="2"/>
  <c r="H567" i="2"/>
  <c r="I1405" i="2"/>
  <c r="H1405" i="2"/>
  <c r="I286" i="2"/>
  <c r="H286" i="2"/>
  <c r="I822" i="2"/>
  <c r="H822" i="2"/>
  <c r="I1030" i="2"/>
  <c r="H1030" i="2"/>
  <c r="I1402" i="2"/>
  <c r="H1402" i="2"/>
  <c r="I1059" i="2"/>
  <c r="H1059" i="2"/>
  <c r="I516" i="2"/>
  <c r="H516" i="2"/>
  <c r="I933" i="2"/>
  <c r="H933" i="2"/>
  <c r="I394" i="2"/>
  <c r="H394" i="2"/>
  <c r="I1098" i="2"/>
  <c r="H1098" i="2"/>
  <c r="I614" i="2"/>
  <c r="H614" i="2"/>
  <c r="I182" i="2"/>
  <c r="H182" i="2"/>
  <c r="I1302" i="2"/>
  <c r="H1302" i="2"/>
  <c r="I1168" i="2"/>
  <c r="H1168" i="2"/>
  <c r="I1242" i="2"/>
  <c r="H1242" i="2"/>
  <c r="I1669" i="2"/>
  <c r="H1669" i="2"/>
  <c r="I573" i="2"/>
  <c r="H573" i="2"/>
  <c r="I1032" i="2"/>
  <c r="H1032" i="2"/>
  <c r="I1304" i="2"/>
  <c r="H1304" i="2"/>
  <c r="I640" i="2"/>
  <c r="H640" i="2"/>
  <c r="I1229" i="2"/>
  <c r="H1229" i="2"/>
  <c r="I579" i="2"/>
  <c r="H579" i="2"/>
  <c r="I1283" i="2"/>
  <c r="H1283" i="2"/>
  <c r="I1077" i="2"/>
  <c r="H1077" i="2"/>
  <c r="I724" i="2"/>
  <c r="H724" i="2"/>
  <c r="I1570" i="2"/>
  <c r="H1570" i="2"/>
  <c r="I305" i="2"/>
  <c r="H305" i="2"/>
  <c r="I380" i="2"/>
  <c r="H380" i="2"/>
  <c r="I1352" i="2"/>
  <c r="H1352" i="2"/>
  <c r="I1058" i="2"/>
  <c r="H1058" i="2"/>
  <c r="I457" i="2"/>
  <c r="H457" i="2"/>
  <c r="I1133" i="2"/>
  <c r="H1133" i="2"/>
  <c r="I1088" i="2"/>
  <c r="H1088" i="2"/>
  <c r="I857" i="2"/>
  <c r="H857" i="2"/>
  <c r="I651" i="2"/>
  <c r="H651" i="2"/>
  <c r="I1456" i="2"/>
  <c r="H1456" i="2"/>
  <c r="I78" i="2"/>
  <c r="H78" i="2"/>
  <c r="I946" i="2"/>
  <c r="H946" i="2"/>
  <c r="I608" i="2"/>
  <c r="H608" i="2"/>
  <c r="I356" i="2"/>
  <c r="H356" i="2"/>
  <c r="I620" i="2"/>
  <c r="H620" i="2"/>
  <c r="I1181" i="2"/>
  <c r="H1181" i="2"/>
  <c r="I185" i="2"/>
  <c r="H185" i="2"/>
  <c r="I234" i="2"/>
  <c r="H234" i="2"/>
  <c r="I888" i="2"/>
  <c r="H888" i="2"/>
  <c r="I1594" i="2"/>
  <c r="H1594" i="2"/>
  <c r="I484" i="2"/>
  <c r="H484" i="2"/>
  <c r="I735" i="2"/>
  <c r="H735" i="2"/>
  <c r="I1593" i="2"/>
  <c r="H1593" i="2"/>
  <c r="I304" i="2"/>
  <c r="H304" i="2"/>
  <c r="I378" i="2"/>
  <c r="H378" i="2"/>
  <c r="I226" i="2"/>
  <c r="H226" i="2"/>
  <c r="I1050" i="2"/>
  <c r="H1050" i="2"/>
  <c r="I1276" i="2"/>
  <c r="H1276" i="2"/>
  <c r="I682" i="2"/>
  <c r="H682" i="2"/>
  <c r="I1185" i="2"/>
  <c r="H1185" i="2"/>
  <c r="I1442" i="2"/>
  <c r="H1442" i="2"/>
  <c r="I1553" i="2"/>
  <c r="H1553" i="2"/>
  <c r="I723" i="2"/>
  <c r="H723" i="2"/>
  <c r="I1605" i="2"/>
  <c r="H1605" i="2"/>
  <c r="I909" i="2"/>
  <c r="H909" i="2"/>
  <c r="I1650" i="2"/>
  <c r="H1650" i="2"/>
  <c r="I726" i="2"/>
  <c r="H726" i="2"/>
  <c r="I1419" i="2"/>
  <c r="H1419" i="2"/>
  <c r="I1120" i="2"/>
  <c r="H1120" i="2"/>
  <c r="I1491" i="2"/>
  <c r="H1491" i="2"/>
  <c r="I362" i="2"/>
  <c r="H362" i="2"/>
  <c r="I656" i="2"/>
  <c r="H656" i="2"/>
  <c r="I826" i="2"/>
  <c r="H826" i="2"/>
  <c r="I355" i="2"/>
  <c r="H355" i="2"/>
  <c r="I1240" i="2"/>
  <c r="H1240" i="2"/>
  <c r="I821" i="2"/>
  <c r="H821" i="2"/>
  <c r="I1290" i="2"/>
  <c r="H1290" i="2"/>
  <c r="I289" i="2"/>
  <c r="H289" i="2"/>
  <c r="I793" i="2"/>
  <c r="H793" i="2"/>
  <c r="I935" i="2"/>
  <c r="H935" i="2"/>
  <c r="I1571" i="2"/>
  <c r="H1571" i="2"/>
  <c r="I1567" i="2"/>
  <c r="H1567" i="2"/>
  <c r="I546" i="2"/>
  <c r="H546" i="2"/>
  <c r="I1417" i="2"/>
  <c r="H1417" i="2"/>
  <c r="I814" i="2"/>
  <c r="H814" i="2"/>
  <c r="I500" i="2"/>
  <c r="H500" i="2"/>
  <c r="I1609" i="2"/>
  <c r="H1609" i="2"/>
  <c r="I1132" i="2"/>
  <c r="H1132" i="2"/>
  <c r="I164" i="2"/>
  <c r="H164" i="2"/>
  <c r="I472" i="2"/>
  <c r="H472" i="2"/>
  <c r="I799" i="2"/>
  <c r="H799" i="2"/>
  <c r="I791" i="2"/>
  <c r="H791" i="2"/>
  <c r="I627" i="2"/>
  <c r="H627" i="2"/>
  <c r="I1235" i="2"/>
  <c r="H1235" i="2"/>
  <c r="I699" i="2"/>
  <c r="H699" i="2"/>
  <c r="I992" i="2"/>
  <c r="H992" i="2"/>
  <c r="I388" i="2"/>
  <c r="H388" i="2"/>
  <c r="I1218" i="2"/>
  <c r="H1218" i="2"/>
  <c r="I1222" i="2"/>
  <c r="H1222" i="2"/>
  <c r="I1269" i="2"/>
  <c r="H1269" i="2"/>
  <c r="I668" i="2"/>
  <c r="H668" i="2"/>
  <c r="I203" i="2"/>
  <c r="H203" i="2"/>
  <c r="I834" i="2"/>
  <c r="H834" i="2"/>
  <c r="I999" i="2"/>
  <c r="H999" i="2"/>
  <c r="I957" i="2"/>
  <c r="H957" i="2"/>
  <c r="I695" i="2"/>
  <c r="H695" i="2"/>
  <c r="I1346" i="2"/>
  <c r="H1346" i="2"/>
  <c r="I639" i="2"/>
  <c r="H639" i="2"/>
  <c r="I1297" i="2"/>
  <c r="H1297" i="2"/>
  <c r="I1623" i="2"/>
  <c r="H1623" i="2"/>
  <c r="I453" i="2"/>
  <c r="H453" i="2"/>
  <c r="I766" i="2"/>
  <c r="H766" i="2"/>
  <c r="I882" i="2"/>
  <c r="H882" i="2"/>
  <c r="I1254" i="2"/>
  <c r="H1254" i="2"/>
  <c r="I1591" i="2"/>
  <c r="H1591" i="2"/>
  <c r="I698" i="2"/>
  <c r="H698" i="2"/>
  <c r="I689" i="2"/>
  <c r="H689" i="2"/>
  <c r="I1122" i="2"/>
  <c r="H1122" i="2"/>
  <c r="I600" i="2"/>
  <c r="H600" i="2"/>
  <c r="I1037" i="2"/>
  <c r="H1037" i="2"/>
  <c r="I1457" i="2"/>
  <c r="H1457" i="2"/>
  <c r="I372" i="2"/>
  <c r="H372" i="2"/>
  <c r="I497" i="2"/>
  <c r="H497" i="2"/>
  <c r="I674" i="2"/>
  <c r="H674" i="2"/>
  <c r="I942" i="2"/>
  <c r="H942" i="2"/>
  <c r="I385" i="2"/>
  <c r="H385" i="2"/>
  <c r="I837" i="2"/>
  <c r="H837" i="2"/>
  <c r="I1624" i="2"/>
  <c r="H1624" i="2"/>
  <c r="I405" i="2"/>
  <c r="H405" i="2"/>
  <c r="I1314" i="2"/>
  <c r="H1314" i="2"/>
  <c r="I1232" i="2"/>
  <c r="H1232" i="2"/>
  <c r="I495" i="2"/>
  <c r="H495" i="2"/>
  <c r="I1466" i="2"/>
  <c r="H1466" i="2"/>
  <c r="I447" i="2"/>
  <c r="H447" i="2"/>
  <c r="I1580" i="2"/>
  <c r="H1580" i="2"/>
  <c r="I1443" i="2"/>
  <c r="H1443" i="2"/>
  <c r="I1557" i="2"/>
  <c r="H1557" i="2"/>
  <c r="I823" i="2"/>
  <c r="H823" i="2"/>
  <c r="I940" i="2"/>
  <c r="H940" i="2"/>
  <c r="I1563" i="2"/>
  <c r="H1563" i="2"/>
  <c r="I1665" i="2"/>
  <c r="H1665" i="2"/>
  <c r="I455" i="2"/>
  <c r="H455" i="2"/>
  <c r="I1011" i="2"/>
  <c r="H1011" i="2"/>
  <c r="I1145" i="2"/>
  <c r="H1145" i="2"/>
  <c r="I210" i="2"/>
  <c r="H210" i="2"/>
  <c r="I373" i="2"/>
  <c r="H373" i="2"/>
  <c r="I488" i="2"/>
  <c r="H488" i="2"/>
  <c r="I1547" i="2"/>
  <c r="H1547" i="2"/>
  <c r="I521" i="2"/>
  <c r="H521" i="2"/>
  <c r="I1249" i="2"/>
  <c r="H1249" i="2"/>
  <c r="I605" i="2"/>
  <c r="H605" i="2"/>
  <c r="I1176" i="2"/>
  <c r="H1176" i="2"/>
  <c r="I1161" i="2"/>
  <c r="H1161" i="2"/>
  <c r="I968" i="2"/>
  <c r="H968" i="2"/>
  <c r="I781" i="2"/>
  <c r="H781" i="2"/>
  <c r="I473" i="2"/>
  <c r="H473" i="2"/>
  <c r="I694" i="2"/>
  <c r="H694" i="2"/>
  <c r="I482" i="2"/>
  <c r="H482" i="2"/>
  <c r="I997" i="2"/>
  <c r="H997" i="2"/>
  <c r="I1335" i="2"/>
  <c r="H1335" i="2"/>
  <c r="I861" i="2"/>
  <c r="H861" i="2"/>
  <c r="I967" i="2"/>
  <c r="H967" i="2"/>
  <c r="I725" i="2"/>
  <c r="H725" i="2"/>
  <c r="I675" i="2"/>
  <c r="H675" i="2"/>
  <c r="I1366" i="2"/>
  <c r="H1366" i="2"/>
  <c r="I1592" i="2"/>
  <c r="H1592" i="2"/>
  <c r="I865" i="2"/>
  <c r="H865" i="2"/>
  <c r="I641" i="2"/>
  <c r="H641" i="2"/>
  <c r="I595" i="2"/>
  <c r="H595" i="2"/>
  <c r="I905" i="2"/>
  <c r="H905" i="2"/>
  <c r="I1336" i="2"/>
  <c r="H1336" i="2"/>
  <c r="I853" i="2"/>
  <c r="H853" i="2"/>
  <c r="I471" i="2"/>
  <c r="H471" i="2"/>
  <c r="I1672" i="2"/>
  <c r="H1672" i="2"/>
  <c r="I1564" i="2"/>
  <c r="H1564" i="2"/>
  <c r="I496" i="2"/>
  <c r="H496" i="2"/>
  <c r="I917" i="2"/>
  <c r="H917" i="2"/>
  <c r="I1301" i="2"/>
  <c r="H1301" i="2"/>
  <c r="I632" i="2"/>
  <c r="H632" i="2"/>
  <c r="I1666" i="2"/>
  <c r="H1666" i="2"/>
  <c r="I324" i="2"/>
  <c r="H324" i="2"/>
  <c r="I700" i="2"/>
  <c r="H700" i="2"/>
  <c r="I1175" i="2"/>
  <c r="H1175" i="2"/>
  <c r="I688" i="2"/>
  <c r="H688" i="2"/>
  <c r="I895" i="2"/>
  <c r="H895" i="2"/>
  <c r="I687" i="2"/>
  <c r="H687" i="2"/>
  <c r="I1001" i="2"/>
  <c r="H1001" i="2"/>
  <c r="I628" i="2"/>
  <c r="H628" i="2"/>
  <c r="I812" i="2"/>
  <c r="H812" i="2"/>
  <c r="I425" i="2"/>
  <c r="H425" i="2"/>
  <c r="I1469" i="2"/>
  <c r="H1469" i="2"/>
  <c r="I1231" i="2"/>
  <c r="H1231" i="2"/>
  <c r="I560" i="2"/>
  <c r="H560" i="2"/>
  <c r="I1345" i="2"/>
  <c r="H1345" i="2"/>
  <c r="I609" i="2"/>
  <c r="H609" i="2"/>
  <c r="I1483" i="2"/>
  <c r="H1483" i="2"/>
  <c r="I657" i="2"/>
  <c r="H657" i="2"/>
  <c r="I1622" i="2"/>
  <c r="H1622" i="2"/>
  <c r="I660" i="2"/>
  <c r="H660" i="2"/>
  <c r="I1128" i="2"/>
  <c r="H1128" i="2"/>
  <c r="I1266" i="2"/>
  <c r="H1266" i="2"/>
  <c r="I601" i="2"/>
  <c r="H601" i="2"/>
  <c r="I774" i="2"/>
  <c r="H774" i="2"/>
  <c r="I965" i="2"/>
  <c r="H965" i="2"/>
  <c r="I1049" i="2"/>
  <c r="H1049" i="2"/>
  <c r="I1548" i="2"/>
  <c r="H1548" i="2"/>
  <c r="I1230" i="2"/>
  <c r="H1230" i="2"/>
  <c r="I258" i="2"/>
  <c r="H258" i="2"/>
  <c r="I702" i="2"/>
  <c r="H702" i="2"/>
  <c r="I1206" i="2"/>
  <c r="H1206" i="2"/>
  <c r="I1043" i="2"/>
  <c r="H1043" i="2"/>
  <c r="I696" i="2"/>
  <c r="H696" i="2"/>
  <c r="I1549" i="2"/>
  <c r="H1549" i="2"/>
  <c r="I1634" i="2"/>
  <c r="H1634" i="2"/>
  <c r="I798" i="2"/>
  <c r="H798" i="2"/>
  <c r="I1488" i="2"/>
  <c r="H1488" i="2"/>
  <c r="I1164" i="2"/>
  <c r="H1164" i="2"/>
  <c r="I709" i="2"/>
  <c r="H709" i="2"/>
  <c r="I759" i="2"/>
  <c r="H759" i="2"/>
  <c r="I1190" i="2"/>
  <c r="H1190" i="2"/>
  <c r="I363" i="2"/>
  <c r="H363" i="2"/>
  <c r="I1465" i="2"/>
  <c r="H1465" i="2"/>
  <c r="I1239" i="2"/>
  <c r="H1239" i="2"/>
  <c r="I904" i="2"/>
  <c r="H904" i="2"/>
  <c r="I1214" i="2"/>
  <c r="H1214" i="2"/>
  <c r="I621" i="2"/>
  <c r="H621" i="2"/>
  <c r="I751" i="2"/>
  <c r="H751" i="2"/>
  <c r="I693" i="2"/>
  <c r="H693" i="2"/>
  <c r="I1237" i="2"/>
  <c r="H1237" i="2"/>
  <c r="I1117" i="2"/>
  <c r="H1117" i="2"/>
  <c r="I839" i="2"/>
  <c r="H839" i="2"/>
  <c r="I1558" i="2"/>
  <c r="H1558" i="2"/>
  <c r="I604" i="2"/>
  <c r="H604" i="2"/>
  <c r="I1026" i="2"/>
  <c r="H1026" i="2"/>
  <c r="I680" i="2"/>
  <c r="H680" i="2"/>
  <c r="I468" i="2"/>
  <c r="H468" i="2"/>
  <c r="I174" i="2"/>
  <c r="H174" i="2"/>
  <c r="I1116" i="2"/>
  <c r="H1116" i="2"/>
  <c r="I934" i="2"/>
  <c r="H934" i="2"/>
  <c r="I1588" i="2"/>
  <c r="H1588" i="2"/>
  <c r="I358" i="2"/>
  <c r="H358" i="2"/>
  <c r="I1390" i="2"/>
  <c r="H1390" i="2"/>
  <c r="I860" i="2"/>
  <c r="H860" i="2"/>
  <c r="I1191" i="2"/>
  <c r="H1191" i="2"/>
  <c r="I864" i="2"/>
  <c r="H864" i="2"/>
  <c r="I348" i="2"/>
  <c r="H348" i="2"/>
  <c r="I1090" i="2"/>
  <c r="H1090" i="2"/>
  <c r="I386" i="2"/>
  <c r="H386" i="2"/>
  <c r="I1554" i="2"/>
  <c r="H1554" i="2"/>
  <c r="I1126" i="2"/>
  <c r="H1126" i="2"/>
  <c r="I958" i="2"/>
  <c r="H958" i="2"/>
  <c r="I533" i="2"/>
  <c r="H533" i="2"/>
  <c r="I1221" i="2"/>
  <c r="H1221" i="2"/>
  <c r="I1052" i="2"/>
  <c r="H1052" i="2"/>
  <c r="I1350" i="2"/>
  <c r="H1350" i="2"/>
  <c r="I1016" i="2"/>
  <c r="H1016" i="2"/>
  <c r="I998" i="2"/>
  <c r="H998" i="2"/>
  <c r="I897" i="2"/>
  <c r="H897" i="2"/>
  <c r="I1380" i="2"/>
  <c r="H1380" i="2"/>
  <c r="I743" i="2"/>
  <c r="H743" i="2"/>
  <c r="I728" i="2"/>
  <c r="H728" i="2"/>
  <c r="I198" i="2"/>
  <c r="H198" i="2"/>
  <c r="I1423" i="2"/>
  <c r="H1423" i="2"/>
  <c r="I1473" i="2"/>
  <c r="H1473" i="2"/>
  <c r="I428" i="2"/>
  <c r="H428" i="2"/>
  <c r="I502" i="2"/>
  <c r="H502" i="2"/>
  <c r="I400" i="2"/>
  <c r="H400" i="2"/>
  <c r="I1203" i="2"/>
  <c r="H1203" i="2"/>
  <c r="I1427" i="2"/>
  <c r="H1427" i="2"/>
  <c r="I1647" i="2"/>
  <c r="H1647" i="2"/>
  <c r="I739" i="2"/>
  <c r="H739" i="2"/>
  <c r="I1002" i="2"/>
  <c r="H1002" i="2"/>
  <c r="I1354" i="2"/>
  <c r="H1354" i="2"/>
  <c r="I1343" i="2"/>
  <c r="H1343" i="2"/>
  <c r="I1074" i="2"/>
  <c r="H1074" i="2"/>
  <c r="I570" i="2"/>
  <c r="H570" i="2"/>
  <c r="I1560" i="2"/>
  <c r="H1560" i="2"/>
  <c r="I1600" i="2"/>
  <c r="H1600" i="2"/>
  <c r="I1131" i="2"/>
  <c r="H1131" i="2"/>
  <c r="I1633" i="2"/>
  <c r="H1633" i="2"/>
  <c r="I1288" i="2"/>
  <c r="H1288" i="2"/>
  <c r="I369" i="2"/>
  <c r="H369" i="2"/>
  <c r="I956" i="2"/>
  <c r="H956" i="2"/>
  <c r="I456" i="2"/>
  <c r="H456" i="2"/>
  <c r="I1075" i="2"/>
  <c r="H1075" i="2"/>
  <c r="I1604" i="2"/>
  <c r="H1604" i="2"/>
  <c r="I849" i="2"/>
  <c r="H849" i="2"/>
  <c r="I1430" i="2"/>
  <c r="H1430" i="2"/>
  <c r="I1083" i="2"/>
  <c r="H1083" i="2"/>
  <c r="I1024" i="2"/>
  <c r="H1024" i="2"/>
  <c r="I862" i="2"/>
  <c r="H862" i="2"/>
  <c r="I1446" i="2"/>
  <c r="H1446" i="2"/>
  <c r="I1621" i="2"/>
  <c r="H1621" i="2"/>
  <c r="I924" i="2"/>
  <c r="H924" i="2"/>
  <c r="I345" i="2"/>
  <c r="H345" i="2"/>
  <c r="I1450" i="2"/>
  <c r="H1450" i="2"/>
  <c r="I734" i="2"/>
  <c r="H734" i="2"/>
  <c r="I1566" i="2"/>
  <c r="H1566" i="2"/>
  <c r="I1640" i="2"/>
  <c r="H1640" i="2"/>
  <c r="I1516" i="2"/>
  <c r="H1516" i="2"/>
  <c r="I926" i="2"/>
  <c r="H926" i="2"/>
  <c r="I1255" i="2"/>
  <c r="H1255" i="2"/>
  <c r="I1578" i="2"/>
  <c r="H1578" i="2"/>
  <c r="I1051" i="2"/>
  <c r="H1051" i="2"/>
  <c r="I1160" i="2"/>
  <c r="H1160" i="2"/>
  <c r="I1645" i="2"/>
  <c r="H1645" i="2"/>
  <c r="I756" i="2"/>
  <c r="H756" i="2"/>
  <c r="I1167" i="2"/>
  <c r="H1167" i="2"/>
  <c r="I1048" i="2"/>
  <c r="H1048" i="2"/>
  <c r="I437" i="2"/>
  <c r="H437" i="2"/>
  <c r="I1034" i="2"/>
  <c r="H1034" i="2"/>
  <c r="I706" i="2"/>
  <c r="H706" i="2"/>
  <c r="I1399" i="2"/>
  <c r="H1399" i="2"/>
  <c r="I1064" i="2"/>
  <c r="H1064" i="2"/>
  <c r="I1217" i="2"/>
  <c r="H1217" i="2"/>
  <c r="I1155" i="2"/>
  <c r="H1155" i="2"/>
  <c r="I1042" i="2"/>
  <c r="H1042" i="2"/>
  <c r="I1597" i="2"/>
  <c r="H1597" i="2"/>
  <c r="I1420" i="2"/>
  <c r="H1420" i="2"/>
  <c r="I816" i="2"/>
  <c r="H816" i="2"/>
  <c r="I1159" i="2"/>
  <c r="H1159" i="2"/>
  <c r="I1188" i="2"/>
  <c r="H1188" i="2"/>
  <c r="I1169" i="2"/>
  <c r="H1169" i="2"/>
  <c r="I1435" i="2"/>
  <c r="H1435" i="2"/>
  <c r="I1585" i="2"/>
  <c r="H1585" i="2"/>
  <c r="I1464" i="2"/>
  <c r="H1464" i="2"/>
  <c r="I1310" i="2"/>
  <c r="H1310" i="2"/>
  <c r="I749" i="2"/>
  <c r="H749" i="2"/>
  <c r="I1437" i="2"/>
  <c r="H1437" i="2"/>
  <c r="I1007" i="2"/>
  <c r="H1007" i="2"/>
  <c r="I1418" i="2"/>
  <c r="H1418" i="2"/>
  <c r="I776" i="2"/>
  <c r="H776" i="2"/>
  <c r="I1220" i="2"/>
  <c r="H1220" i="2"/>
  <c r="I1215" i="2"/>
  <c r="H1215" i="2"/>
  <c r="I922" i="2"/>
  <c r="H922" i="2"/>
  <c r="I538" i="2"/>
  <c r="H538" i="2"/>
  <c r="I1341" i="2"/>
  <c r="H1341" i="2"/>
  <c r="I1678" i="2"/>
  <c r="H1678" i="2"/>
  <c r="I1274" i="2"/>
  <c r="H1274" i="2"/>
  <c r="I1661" i="2"/>
  <c r="H1661" i="2"/>
  <c r="I1025" i="2"/>
  <c r="H1025" i="2"/>
  <c r="I664" i="2"/>
  <c r="H664" i="2"/>
  <c r="I844" i="2"/>
  <c r="H844" i="2"/>
  <c r="I686" i="2"/>
  <c r="H686" i="2"/>
  <c r="I877" i="2"/>
  <c r="H877" i="2"/>
  <c r="I1484" i="2"/>
  <c r="H1484" i="2"/>
  <c r="I1472" i="2"/>
  <c r="H1472" i="2"/>
  <c r="I1157" i="2"/>
  <c r="H1157" i="2"/>
  <c r="I1300" i="2"/>
  <c r="H1300" i="2"/>
  <c r="I733" i="2"/>
  <c r="H733" i="2"/>
  <c r="I1381" i="2"/>
  <c r="H1381" i="2"/>
  <c r="I1055" i="2"/>
  <c r="H1055" i="2"/>
  <c r="I638" i="2"/>
  <c r="H638" i="2"/>
  <c r="I1014" i="2"/>
  <c r="H1014" i="2"/>
  <c r="I1518" i="2"/>
  <c r="H1518" i="2"/>
  <c r="I618" i="2"/>
  <c r="H618" i="2"/>
  <c r="I1606" i="2"/>
  <c r="H1606" i="2"/>
  <c r="I1375" i="2"/>
  <c r="H1375" i="2"/>
  <c r="I1556" i="2"/>
  <c r="H1556" i="2"/>
  <c r="I1365" i="2"/>
  <c r="H1365" i="2"/>
  <c r="I1513" i="2"/>
  <c r="H1513" i="2"/>
  <c r="I829" i="2"/>
  <c r="H829" i="2"/>
  <c r="I1351" i="2"/>
  <c r="H1351" i="2"/>
  <c r="I1227" i="2"/>
  <c r="H1227" i="2"/>
  <c r="I1463" i="2"/>
  <c r="H1463" i="2"/>
  <c r="I1295" i="2"/>
  <c r="H1295" i="2"/>
  <c r="I1165" i="2"/>
  <c r="H1165" i="2"/>
  <c r="I1598" i="2"/>
  <c r="H1598" i="2"/>
  <c r="I1349" i="2"/>
  <c r="H1349" i="2"/>
  <c r="I1009" i="2"/>
  <c r="H1009" i="2"/>
  <c r="I1596" i="2"/>
  <c r="H1596" i="2"/>
  <c r="I1393" i="2"/>
  <c r="H1393" i="2"/>
  <c r="I1495" i="2"/>
  <c r="H1495" i="2"/>
  <c r="I1497" i="2"/>
  <c r="H1497" i="2"/>
  <c r="I1330" i="2"/>
  <c r="H1330" i="2"/>
  <c r="I478" i="2"/>
  <c r="H478" i="2"/>
  <c r="I1328" i="2"/>
  <c r="H1328" i="2"/>
  <c r="I1517" i="2"/>
  <c r="H1517" i="2"/>
  <c r="I1509" i="2"/>
  <c r="H1509" i="2"/>
  <c r="I1667" i="2"/>
  <c r="H1667" i="2"/>
  <c r="I1236" i="2"/>
  <c r="H1236" i="2"/>
  <c r="I1538" i="2"/>
  <c r="H1538" i="2"/>
  <c r="I1674" i="2"/>
  <c r="H1674" i="2"/>
  <c r="I1013" i="2"/>
  <c r="H1013" i="2"/>
  <c r="I941" i="2"/>
  <c r="H941" i="2"/>
  <c r="I1521" i="2"/>
  <c r="H1521" i="2"/>
  <c r="I1389" i="2"/>
  <c r="H1389" i="2"/>
  <c r="I1100" i="2"/>
  <c r="H1100" i="2"/>
  <c r="I916" i="2"/>
  <c r="H916" i="2"/>
  <c r="I1331" i="2"/>
  <c r="H1331" i="2"/>
  <c r="I1000" i="2"/>
  <c r="H1000" i="2"/>
  <c r="I1425" i="2"/>
  <c r="H1425" i="2"/>
  <c r="I1174" i="2"/>
  <c r="H1174" i="2"/>
  <c r="I1265" i="2"/>
  <c r="H1265" i="2"/>
  <c r="I1291" i="2"/>
  <c r="H1291" i="2"/>
  <c r="I1496" i="2"/>
  <c r="H1496" i="2"/>
  <c r="I1562" i="2"/>
  <c r="H1562" i="2"/>
  <c r="I1617" i="2"/>
  <c r="H1617" i="2"/>
  <c r="I1688" i="2"/>
  <c r="H1688" i="2"/>
  <c r="I1653" i="2"/>
  <c r="H1653" i="2"/>
  <c r="I1602" i="2"/>
  <c r="H1602" i="2"/>
  <c r="I1292" i="2"/>
  <c r="H1292" i="2"/>
  <c r="I804" i="2"/>
  <c r="H804" i="2"/>
  <c r="I1415" i="2"/>
  <c r="H1415" i="2"/>
  <c r="I1036" i="2"/>
  <c r="H1036" i="2"/>
  <c r="I1305" i="2"/>
  <c r="H1305" i="2"/>
  <c r="I1682" i="2"/>
  <c r="H1682" i="2"/>
  <c r="I1470" i="2"/>
  <c r="H1470" i="2"/>
  <c r="I1468" i="2"/>
  <c r="H1468" i="2"/>
  <c r="I1253" i="2"/>
  <c r="H1253" i="2"/>
  <c r="I1545" i="2"/>
  <c r="H1545" i="2"/>
  <c r="I1139" i="2"/>
  <c r="H1139" i="2"/>
  <c r="I1338" i="2"/>
  <c r="H1338" i="2"/>
  <c r="I1431" i="2"/>
  <c r="H1431" i="2"/>
  <c r="I1649" i="2"/>
  <c r="H1649" i="2"/>
  <c r="I1527" i="2"/>
  <c r="H1527" i="2"/>
  <c r="I1615" i="2"/>
  <c r="H1615" i="2"/>
  <c r="I758" i="2"/>
  <c r="H758" i="2"/>
  <c r="I1135" i="2"/>
  <c r="H1135" i="2"/>
  <c r="I1041" i="2"/>
  <c r="H1041" i="2"/>
  <c r="I1613" i="2"/>
  <c r="H1613" i="2"/>
  <c r="I1395" i="2"/>
  <c r="H1395" i="2"/>
  <c r="I1520" i="2"/>
  <c r="H1520" i="2"/>
  <c r="I1093" i="2"/>
  <c r="H1093" i="2"/>
  <c r="I1141" i="2"/>
  <c r="H1141" i="2"/>
  <c r="I1452" i="2"/>
  <c r="H1452" i="2"/>
  <c r="I1626" i="2"/>
  <c r="H1626" i="2"/>
  <c r="I1329" i="2"/>
  <c r="H1329" i="2"/>
  <c r="I899" i="2"/>
  <c r="H899" i="2"/>
  <c r="I912" i="2"/>
  <c r="H912" i="2"/>
  <c r="I1309" i="2"/>
  <c r="H1309" i="2"/>
  <c r="I1248" i="2"/>
  <c r="H1248" i="2"/>
  <c r="I1344" i="2"/>
  <c r="H1344" i="2"/>
  <c r="I1536" i="2"/>
  <c r="H1536" i="2"/>
  <c r="I1479" i="2"/>
  <c r="H1479" i="2"/>
  <c r="I1027" i="2"/>
  <c r="H1027" i="2"/>
  <c r="I1685" i="2"/>
  <c r="H1685" i="2"/>
  <c r="I1546" i="2"/>
  <c r="H1546" i="2"/>
  <c r="I831" i="2"/>
  <c r="H831" i="2"/>
  <c r="I1449" i="2"/>
  <c r="H1449" i="2"/>
  <c r="I1459" i="2"/>
  <c r="H1459" i="2"/>
  <c r="I1163" i="2"/>
  <c r="H1163" i="2"/>
  <c r="I1559" i="2"/>
  <c r="H1559" i="2"/>
  <c r="I1334" i="2"/>
  <c r="H1334" i="2"/>
  <c r="I1474" i="2"/>
  <c r="H1474" i="2"/>
  <c r="I722" i="2"/>
  <c r="H722" i="2"/>
  <c r="I1404" i="2"/>
  <c r="H1404" i="2"/>
  <c r="I988" i="2"/>
  <c r="H988" i="2"/>
  <c r="I1136" i="2"/>
  <c r="H1136" i="2"/>
  <c r="I1642" i="2"/>
  <c r="H1642" i="2"/>
  <c r="I915" i="2"/>
  <c r="H915" i="2"/>
  <c r="I1085" i="2"/>
  <c r="H1085" i="2"/>
  <c r="I996" i="2"/>
  <c r="H996" i="2"/>
  <c r="I1636" i="2"/>
  <c r="H1636" i="2"/>
  <c r="I1462" i="2"/>
  <c r="H1462" i="2"/>
  <c r="I1281" i="2"/>
  <c r="H1281" i="2"/>
  <c r="I1489" i="2"/>
  <c r="H1489" i="2"/>
  <c r="I869" i="2"/>
  <c r="H869" i="2"/>
  <c r="I1153" i="2"/>
  <c r="H1153" i="2"/>
  <c r="I1324" i="2"/>
  <c r="H1324" i="2"/>
  <c r="I1508" i="2"/>
  <c r="H1508" i="2"/>
  <c r="I1029" i="2"/>
  <c r="H1029" i="2"/>
  <c r="I1543" i="2"/>
  <c r="H1543" i="2"/>
  <c r="I1187" i="2"/>
  <c r="H1187" i="2"/>
  <c r="I1226" i="2"/>
  <c r="H1226" i="2"/>
  <c r="I1391" i="2"/>
  <c r="H1391" i="2"/>
  <c r="I1387" i="2"/>
  <c r="H1387" i="2"/>
  <c r="I1599" i="2"/>
  <c r="H1599" i="2"/>
  <c r="I1238" i="2"/>
  <c r="H1238" i="2"/>
  <c r="I708" i="2"/>
  <c r="H708" i="2"/>
  <c r="I1535" i="2"/>
  <c r="H1535" i="2"/>
  <c r="I1277" i="2"/>
  <c r="H1277" i="2"/>
  <c r="I963" i="2"/>
  <c r="H963" i="2"/>
  <c r="I1070" i="2"/>
  <c r="H1070" i="2"/>
  <c r="I1353" i="2"/>
  <c r="H1353" i="2"/>
  <c r="I1247" i="2"/>
  <c r="H1247" i="2"/>
  <c r="I1205" i="2"/>
  <c r="H1205" i="2"/>
  <c r="I907" i="2"/>
  <c r="H907" i="2"/>
  <c r="I1287" i="2"/>
  <c r="H1287" i="2"/>
  <c r="I1522" i="2"/>
  <c r="H1522" i="2"/>
  <c r="I1657" i="2"/>
  <c r="H1657" i="2"/>
  <c r="I868" i="2"/>
  <c r="H868" i="2"/>
  <c r="I1416" i="2"/>
  <c r="H1416" i="2"/>
  <c r="I1519" i="2"/>
  <c r="H1519" i="2"/>
  <c r="I1189" i="2"/>
  <c r="H1189" i="2"/>
  <c r="I407" i="2"/>
  <c r="H407" i="2"/>
  <c r="I542" i="2"/>
  <c r="H542" i="2"/>
  <c r="I1455" i="2"/>
  <c r="H1455" i="2"/>
  <c r="I429" i="2"/>
  <c r="H429" i="2"/>
  <c r="I191" i="2"/>
  <c r="H191" i="2"/>
  <c r="I1033" i="2"/>
  <c r="H1033" i="2"/>
  <c r="I1179" i="2"/>
  <c r="H1179" i="2"/>
  <c r="I1342" i="2"/>
  <c r="H1342" i="2"/>
  <c r="I918" i="2"/>
  <c r="H918" i="2"/>
  <c r="I1299" i="2"/>
  <c r="H1299" i="2"/>
  <c r="I1173" i="2"/>
  <c r="H1173" i="2"/>
  <c r="I1555" i="2"/>
  <c r="H1555" i="2"/>
  <c r="I1447" i="2"/>
  <c r="H1447" i="2"/>
  <c r="I978" i="2"/>
  <c r="H978" i="2"/>
  <c r="I741" i="2"/>
  <c r="H741" i="2"/>
  <c r="I944" i="2"/>
  <c r="H944" i="2"/>
  <c r="I714" i="2"/>
  <c r="H714" i="2"/>
  <c r="I1511" i="2"/>
  <c r="H1511" i="2"/>
  <c r="I1660" i="2"/>
  <c r="H1660" i="2"/>
  <c r="I1631" i="2"/>
  <c r="H1631" i="2"/>
  <c r="I892" i="2"/>
  <c r="H892" i="2"/>
  <c r="I1641" i="2"/>
  <c r="H1641" i="2"/>
  <c r="I188" i="2"/>
  <c r="H188" i="2"/>
  <c r="I1252" i="2"/>
  <c r="H1252" i="2"/>
  <c r="I873" i="2"/>
  <c r="H873" i="2"/>
  <c r="I1467" i="2"/>
  <c r="H1467" i="2"/>
  <c r="I649" i="2"/>
  <c r="H649" i="2"/>
  <c r="I1629" i="2"/>
  <c r="H1629" i="2"/>
  <c r="I1273" i="2"/>
  <c r="H1273" i="2"/>
  <c r="I705" i="2"/>
  <c r="H705" i="2"/>
  <c r="I1347" i="2"/>
  <c r="H1347" i="2"/>
  <c r="I650" i="2"/>
  <c r="H650" i="2"/>
  <c r="I677" i="2"/>
  <c r="H677" i="2"/>
  <c r="I327" i="2"/>
  <c r="H327" i="2"/>
  <c r="I1370" i="2"/>
  <c r="H1370" i="2"/>
  <c r="I1146" i="2"/>
  <c r="H1146" i="2"/>
  <c r="I768" i="2"/>
  <c r="H768" i="2"/>
  <c r="I1659" i="2"/>
  <c r="H1659" i="2"/>
  <c r="I1590" i="2"/>
  <c r="H1590" i="2"/>
  <c r="I1579" i="2"/>
  <c r="H1579" i="2"/>
  <c r="I1526" i="2"/>
  <c r="H1526" i="2"/>
  <c r="I1646" i="2"/>
  <c r="H1646" i="2"/>
  <c r="I1424" i="2"/>
  <c r="H1424" i="2"/>
  <c r="I964" i="2"/>
  <c r="H964" i="2"/>
  <c r="I1089" i="2"/>
  <c r="H1089" i="2"/>
  <c r="I1525" i="2"/>
  <c r="H1525" i="2"/>
  <c r="I1611" i="2"/>
  <c r="H1611" i="2"/>
  <c r="I717" i="2"/>
  <c r="H717" i="2"/>
  <c r="I981" i="2"/>
  <c r="H981" i="2"/>
  <c r="I1406" i="2"/>
  <c r="H1406" i="2"/>
  <c r="I1454" i="2"/>
  <c r="H1454" i="2"/>
  <c r="I1219" i="2"/>
  <c r="H1219" i="2"/>
  <c r="I976" i="2"/>
  <c r="H976" i="2"/>
  <c r="I1490" i="2"/>
  <c r="H1490" i="2"/>
  <c r="I991" i="2"/>
  <c r="H991" i="2"/>
  <c r="I197" i="2"/>
  <c r="H197" i="2"/>
  <c r="I1608" i="2"/>
  <c r="H1608" i="2"/>
  <c r="I1178" i="2"/>
  <c r="H1178" i="2"/>
  <c r="I947" i="2"/>
  <c r="H947" i="2"/>
  <c r="I1460" i="2"/>
  <c r="H1460" i="2"/>
  <c r="I927" i="2"/>
  <c r="H927" i="2"/>
  <c r="I1199" i="2"/>
  <c r="H1199" i="2"/>
  <c r="I764" i="2"/>
  <c r="H764" i="2"/>
  <c r="I1316" i="2"/>
  <c r="H1316" i="2"/>
  <c r="I1228" i="2"/>
  <c r="H1228" i="2"/>
  <c r="I1410" i="2"/>
  <c r="H1410" i="2"/>
  <c r="I1677" i="2"/>
  <c r="H1677" i="2"/>
  <c r="I666" i="2"/>
  <c r="H666" i="2"/>
  <c r="I479" i="2"/>
  <c r="H479" i="2"/>
  <c r="I815" i="2"/>
  <c r="H815" i="2"/>
  <c r="I859" i="2"/>
  <c r="H859" i="2"/>
  <c r="I491" i="2"/>
  <c r="H491" i="2"/>
  <c r="I1326" i="2"/>
  <c r="H1326" i="2"/>
  <c r="I1184" i="2"/>
  <c r="H1184" i="2"/>
  <c r="I1539" i="2"/>
  <c r="H1539" i="2"/>
  <c r="I1022" i="2"/>
  <c r="H1022" i="2"/>
  <c r="I1378" i="2"/>
  <c r="H1378" i="2"/>
  <c r="I1662" i="2"/>
  <c r="H1662" i="2"/>
  <c r="I1040" i="2"/>
  <c r="H1040" i="2"/>
  <c r="I1487" i="2"/>
  <c r="H1487" i="2"/>
  <c r="I1374" i="2"/>
  <c r="H1374" i="2"/>
  <c r="I248" i="2"/>
  <c r="H248" i="2"/>
  <c r="I1019" i="2"/>
  <c r="H1019" i="2"/>
  <c r="I1414" i="2"/>
  <c r="H1414" i="2"/>
  <c r="I740" i="2"/>
  <c r="H740" i="2"/>
  <c r="I652" i="2"/>
  <c r="H652" i="2"/>
  <c r="I1323" i="2"/>
  <c r="H1323" i="2"/>
  <c r="I713" i="2"/>
  <c r="H713" i="2"/>
  <c r="I1384" i="2"/>
  <c r="H1384" i="2"/>
  <c r="I1268" i="2"/>
  <c r="H1268" i="2"/>
  <c r="I890" i="2"/>
  <c r="H890" i="2"/>
  <c r="I1115" i="2"/>
  <c r="H1115" i="2"/>
  <c r="I948" i="2"/>
  <c r="H948" i="2"/>
  <c r="I1244" i="2"/>
  <c r="H1244" i="2"/>
  <c r="I1114" i="2"/>
  <c r="H1114" i="2"/>
  <c r="I1315" i="2"/>
  <c r="H1315" i="2"/>
  <c r="I1448" i="2"/>
  <c r="H1448" i="2"/>
  <c r="I806" i="2"/>
  <c r="H806" i="2"/>
  <c r="I1478" i="2"/>
  <c r="H1478" i="2"/>
  <c r="I685" i="2"/>
  <c r="H685" i="2"/>
  <c r="I953" i="2"/>
  <c r="H953" i="2"/>
  <c r="I1125" i="2"/>
  <c r="H1125" i="2"/>
  <c r="I794" i="2"/>
  <c r="H794" i="2"/>
  <c r="I466" i="2"/>
  <c r="H466" i="2"/>
  <c r="I364" i="2"/>
  <c r="H364" i="2"/>
  <c r="I703" i="2"/>
  <c r="H703" i="2"/>
  <c r="I173" i="2"/>
  <c r="H173" i="2"/>
  <c r="I1433" i="2"/>
  <c r="H1433" i="2"/>
  <c r="I525" i="2"/>
  <c r="H525" i="2"/>
  <c r="I1363" i="2"/>
  <c r="H1363" i="2"/>
  <c r="I602" i="2"/>
  <c r="H602" i="2"/>
  <c r="I775" i="2"/>
  <c r="H775" i="2"/>
  <c r="I587" i="2"/>
  <c r="H587" i="2"/>
  <c r="I1261" i="2"/>
  <c r="H1261" i="2"/>
  <c r="I1507" i="2"/>
  <c r="H1507" i="2"/>
  <c r="I575" i="2"/>
  <c r="H575" i="2"/>
  <c r="I1210" i="2"/>
  <c r="H1210" i="2"/>
  <c r="I1138" i="2"/>
  <c r="H1138" i="2"/>
  <c r="I251" i="2"/>
  <c r="H251" i="2"/>
  <c r="I531" i="2"/>
  <c r="H531" i="2"/>
  <c r="I1683" i="2"/>
  <c r="H1683" i="2"/>
  <c r="I1569" i="2"/>
  <c r="H1569" i="2"/>
  <c r="I1485" i="2"/>
  <c r="H1485" i="2"/>
  <c r="I936" i="2"/>
  <c r="H936" i="2"/>
  <c r="I1056" i="2"/>
  <c r="H1056" i="2"/>
  <c r="I840" i="2"/>
  <c r="H840" i="2"/>
  <c r="I962" i="2"/>
  <c r="H962" i="2"/>
  <c r="I754" i="2"/>
  <c r="H754" i="2"/>
  <c r="I1119" i="2"/>
  <c r="H1119" i="2"/>
  <c r="I1502" i="2"/>
  <c r="H1502" i="2"/>
  <c r="I1383" i="2"/>
  <c r="H1383" i="2"/>
  <c r="I1095" i="2"/>
  <c r="H1095" i="2"/>
  <c r="I1451" i="2"/>
  <c r="H1451" i="2"/>
  <c r="I886" i="2"/>
  <c r="H886" i="2"/>
  <c r="I539" i="2"/>
  <c r="H539" i="2"/>
  <c r="I1279" i="2"/>
  <c r="H1279" i="2"/>
  <c r="I1241" i="2"/>
  <c r="H1241" i="2"/>
  <c r="I1348" i="2"/>
  <c r="H1348" i="2"/>
  <c r="I719" i="2"/>
  <c r="H719" i="2"/>
  <c r="I589" i="2"/>
  <c r="H589" i="2"/>
  <c r="I1282" i="2"/>
  <c r="H1282" i="2"/>
  <c r="I487" i="2"/>
  <c r="H487" i="2"/>
  <c r="I459" i="2"/>
  <c r="H459" i="2"/>
  <c r="I312" i="2"/>
  <c r="H312" i="2"/>
  <c r="I160" i="2"/>
  <c r="H160" i="2"/>
  <c r="I125" i="2"/>
  <c r="H125" i="2"/>
  <c r="I1362" i="2"/>
  <c r="H1362" i="2"/>
  <c r="I863" i="2"/>
  <c r="H863" i="2"/>
  <c r="I1047" i="2"/>
  <c r="H1047" i="2"/>
  <c r="I891" i="2"/>
  <c r="H891" i="2"/>
  <c r="I1503" i="2"/>
  <c r="H1503" i="2"/>
  <c r="I1403" i="2"/>
  <c r="H1403" i="2"/>
  <c r="I537" i="2"/>
  <c r="H537" i="2"/>
  <c r="I283" i="2"/>
  <c r="H283" i="2"/>
  <c r="I1207" i="2"/>
  <c r="H1207" i="2"/>
  <c r="I642" i="2"/>
  <c r="H642" i="2"/>
  <c r="I626" i="2"/>
  <c r="H626" i="2"/>
  <c r="I1458" i="2"/>
  <c r="H1458" i="2"/>
  <c r="I1003" i="2"/>
  <c r="H1003" i="2"/>
  <c r="I673" i="2"/>
  <c r="H673" i="2"/>
  <c r="I1361" i="2"/>
  <c r="H1361" i="2"/>
  <c r="I281" i="2"/>
  <c r="H281" i="2"/>
  <c r="I568" i="2"/>
  <c r="H568" i="2"/>
  <c r="I721" i="2"/>
  <c r="H721" i="2"/>
  <c r="I1313" i="2"/>
  <c r="H1313" i="2"/>
  <c r="I280" i="2"/>
  <c r="H280" i="2"/>
  <c r="I1601" i="2"/>
  <c r="H1601" i="2"/>
  <c r="I1144" i="2"/>
  <c r="H1144" i="2"/>
  <c r="I414" i="2"/>
  <c r="H414" i="2"/>
  <c r="I1018" i="2"/>
  <c r="H1018" i="2"/>
  <c r="I1461" i="2"/>
  <c r="H1461" i="2"/>
  <c r="I1284" i="2"/>
  <c r="H1284" i="2"/>
  <c r="I303" i="2"/>
  <c r="H303" i="2"/>
  <c r="I1020" i="2"/>
  <c r="H1020" i="2"/>
  <c r="I954" i="2"/>
  <c r="H954" i="2"/>
  <c r="I1166" i="2"/>
  <c r="H1166" i="2"/>
  <c r="I259" i="2"/>
  <c r="H259" i="2"/>
  <c r="I745" i="2"/>
  <c r="H745" i="2"/>
  <c r="I811" i="2"/>
  <c r="H811" i="2"/>
  <c r="I1067" i="2"/>
  <c r="H1067" i="2"/>
  <c r="I780" i="2"/>
  <c r="H780" i="2"/>
  <c r="I302" i="2"/>
  <c r="H302" i="2"/>
  <c r="I523" i="2"/>
  <c r="H523" i="2"/>
  <c r="I676" i="2"/>
  <c r="H676" i="2"/>
  <c r="I982" i="2"/>
  <c r="H982" i="2"/>
  <c r="I1102" i="2"/>
  <c r="H1102" i="2"/>
  <c r="I1654" i="2"/>
  <c r="H1654" i="2"/>
  <c r="I615" i="2"/>
  <c r="H615" i="2"/>
  <c r="I243" i="2"/>
  <c r="H243" i="2"/>
  <c r="I462" i="2"/>
  <c r="H462" i="2"/>
  <c r="I1528" i="2"/>
  <c r="H1528" i="2"/>
  <c r="I1515" i="2"/>
  <c r="H1515" i="2"/>
  <c r="I114" i="2"/>
  <c r="H114" i="2"/>
  <c r="I126" i="2"/>
  <c r="H126" i="2"/>
  <c r="I803" i="2"/>
  <c r="H803" i="2"/>
  <c r="I1537" i="2"/>
  <c r="H1537" i="2"/>
  <c r="I1307" i="2"/>
  <c r="H1307" i="2"/>
  <c r="I432" i="2"/>
  <c r="H432" i="2"/>
  <c r="I557" i="2"/>
  <c r="H557" i="2"/>
  <c r="I1046" i="2"/>
  <c r="H1046" i="2"/>
  <c r="I1012" i="2"/>
  <c r="H1012" i="2"/>
  <c r="I1664" i="2"/>
  <c r="H1664" i="2"/>
  <c r="I1202" i="2"/>
  <c r="H1202" i="2"/>
  <c r="I395" i="2"/>
  <c r="H395" i="2"/>
  <c r="I1333" i="2"/>
  <c r="H1333" i="2"/>
  <c r="I637" i="2"/>
  <c r="H637" i="2"/>
  <c r="I1616" i="2"/>
  <c r="H1616" i="2"/>
  <c r="I1673" i="2"/>
  <c r="H1673" i="2"/>
  <c r="I593" i="2"/>
  <c r="H593" i="2"/>
  <c r="I1137" i="2"/>
  <c r="H1137" i="2"/>
  <c r="I672" i="2"/>
  <c r="H672" i="2"/>
  <c r="I1193" i="2"/>
  <c r="H1193" i="2"/>
  <c r="I1069" i="2"/>
  <c r="H1069" i="2"/>
  <c r="I716" i="2"/>
  <c r="H716" i="2"/>
  <c r="I1035" i="2"/>
  <c r="H1035" i="2"/>
  <c r="I1638" i="2"/>
  <c r="H1638" i="2"/>
  <c r="I1162" i="2"/>
  <c r="H1162" i="2"/>
  <c r="I1524" i="2"/>
  <c r="H1524" i="2"/>
  <c r="I701" i="2"/>
  <c r="H701" i="2"/>
  <c r="I444" i="2"/>
  <c r="H444" i="2"/>
  <c r="I1628" i="2"/>
  <c r="H1628" i="2"/>
  <c r="I813" i="2"/>
  <c r="H813" i="2"/>
  <c r="I1572" i="2"/>
  <c r="H1572" i="2"/>
  <c r="I1201" i="2"/>
  <c r="H1201" i="2"/>
  <c r="I1180" i="2"/>
  <c r="H1180" i="2"/>
  <c r="I1280" i="2"/>
  <c r="H1280" i="2"/>
  <c r="I1379" i="2"/>
  <c r="H1379" i="2"/>
  <c r="I644" i="2"/>
  <c r="H644" i="2"/>
  <c r="I392" i="2"/>
  <c r="H392" i="2"/>
  <c r="I1506" i="2"/>
  <c r="H1506" i="2"/>
  <c r="I900" i="2"/>
  <c r="H900" i="2"/>
  <c r="I678" i="2"/>
  <c r="H678" i="2"/>
  <c r="I1357" i="2"/>
  <c r="H1357" i="2"/>
  <c r="I1327" i="2"/>
  <c r="H1327" i="2"/>
  <c r="I598" i="2"/>
  <c r="H598" i="2"/>
  <c r="I512" i="2"/>
  <c r="H512" i="2"/>
  <c r="I240" i="2"/>
  <c r="H240" i="2"/>
  <c r="I1038" i="2"/>
  <c r="H1038" i="2"/>
  <c r="I464" i="2"/>
  <c r="H464" i="2"/>
  <c r="I1453" i="2"/>
  <c r="H1453" i="2"/>
  <c r="I617" i="2"/>
  <c r="H617" i="2"/>
  <c r="I272" i="2"/>
  <c r="H272" i="2"/>
  <c r="I1540" i="2"/>
  <c r="H1540" i="2"/>
  <c r="I808" i="2"/>
  <c r="H808" i="2"/>
  <c r="I937" i="2"/>
  <c r="H937" i="2"/>
  <c r="I518" i="2"/>
  <c r="H518" i="2"/>
  <c r="I254" i="2"/>
  <c r="H254" i="2"/>
  <c r="I299" i="2"/>
  <c r="H299" i="2"/>
  <c r="I773" i="2"/>
  <c r="H773" i="2"/>
  <c r="I109" i="2"/>
  <c r="H109" i="2"/>
  <c r="I1121" i="2"/>
  <c r="H1121" i="2"/>
  <c r="I1531" i="2"/>
  <c r="H1531" i="2"/>
  <c r="I1573" i="2"/>
  <c r="H1573" i="2"/>
  <c r="I914" i="2"/>
  <c r="H914" i="2"/>
  <c r="I1625" i="2"/>
  <c r="H1625" i="2"/>
  <c r="I765" i="2"/>
  <c r="H765" i="2"/>
  <c r="I1271" i="2"/>
  <c r="H1271" i="2"/>
  <c r="I1110" i="2"/>
  <c r="H1110" i="2"/>
  <c r="I1550" i="2"/>
  <c r="H1550" i="2"/>
  <c r="I908" i="2"/>
  <c r="H908" i="2"/>
  <c r="I326" i="2"/>
  <c r="H326" i="2"/>
  <c r="I748" i="2"/>
  <c r="H748" i="2"/>
  <c r="I1337" i="2"/>
  <c r="H1337" i="2"/>
  <c r="I199" i="2"/>
  <c r="H199" i="2"/>
  <c r="I317" i="2"/>
  <c r="H317" i="2"/>
  <c r="I1150" i="2"/>
  <c r="H1150" i="2"/>
  <c r="I990" i="2"/>
  <c r="H990" i="2"/>
  <c r="I1113" i="2"/>
  <c r="H1113" i="2"/>
  <c r="I1493" i="2"/>
  <c r="H1493" i="2"/>
  <c r="I375" i="2"/>
  <c r="H375" i="2"/>
  <c r="I401" i="2"/>
  <c r="H401" i="2"/>
  <c r="I465" i="2"/>
  <c r="H465" i="2"/>
  <c r="I1373" i="2"/>
  <c r="H1373" i="2"/>
  <c r="I458" i="2"/>
  <c r="H458" i="2"/>
  <c r="I789" i="2"/>
  <c r="H789" i="2"/>
  <c r="I755" i="2"/>
  <c r="H755" i="2"/>
  <c r="I1676" i="2"/>
  <c r="H1676" i="2"/>
  <c r="I339" i="2"/>
  <c r="H339" i="2"/>
  <c r="I1124" i="2"/>
  <c r="H1124" i="2"/>
  <c r="I172" i="2"/>
  <c r="H172" i="2"/>
  <c r="I200" i="2"/>
  <c r="H200" i="2"/>
  <c r="I307" i="2"/>
  <c r="H307" i="2"/>
  <c r="I878" i="2"/>
  <c r="H878" i="2"/>
  <c r="I514" i="2"/>
  <c r="H514" i="2"/>
  <c r="I1246" i="2"/>
  <c r="H1246" i="2"/>
  <c r="I1200" i="2"/>
  <c r="H1200" i="2"/>
  <c r="I1514" i="2"/>
  <c r="H1514" i="2"/>
  <c r="I1223" i="2"/>
  <c r="H1223" i="2"/>
  <c r="I416" i="2"/>
  <c r="H416" i="2"/>
  <c r="I1057" i="2"/>
  <c r="H1057" i="2"/>
  <c r="I1574" i="2"/>
  <c r="H1574" i="2"/>
  <c r="I1106" i="2"/>
  <c r="H1106" i="2"/>
  <c r="I576" i="2"/>
  <c r="H576" i="2"/>
  <c r="I1245" i="2"/>
  <c r="H1245" i="2"/>
  <c r="I354" i="2"/>
  <c r="H354" i="2"/>
  <c r="I1635" i="2"/>
  <c r="H1635" i="2"/>
  <c r="I594" i="2"/>
  <c r="H594" i="2"/>
  <c r="I802" i="2"/>
  <c r="H802" i="2"/>
  <c r="I852" i="2"/>
  <c r="H852" i="2"/>
  <c r="I1445" i="2"/>
  <c r="H1445" i="2"/>
  <c r="I406" i="2"/>
  <c r="H406" i="2"/>
  <c r="I1177" i="2"/>
  <c r="H1177" i="2"/>
  <c r="I337" i="2"/>
  <c r="H337" i="2"/>
  <c r="I498" i="2"/>
  <c r="H498" i="2"/>
  <c r="I1005" i="2"/>
  <c r="H1005" i="2"/>
  <c r="I727" i="2"/>
  <c r="H727" i="2"/>
  <c r="I950" i="2"/>
  <c r="H950" i="2"/>
  <c r="I1006" i="2"/>
  <c r="H1006" i="2"/>
  <c r="I321" i="2"/>
  <c r="H321" i="2"/>
  <c r="I1627" i="2"/>
  <c r="H1627" i="2"/>
  <c r="I1583" i="2"/>
  <c r="H1583" i="2"/>
  <c r="I583" i="2"/>
  <c r="H583" i="2"/>
  <c r="I1587" i="2"/>
  <c r="H1587" i="2"/>
  <c r="I923" i="2"/>
  <c r="H923" i="2"/>
  <c r="I1422" i="2"/>
  <c r="H1422" i="2"/>
  <c r="I1225" i="2"/>
  <c r="H1225" i="2"/>
  <c r="I1421" i="2"/>
  <c r="H1421" i="2"/>
  <c r="I975" i="2"/>
  <c r="H975" i="2"/>
  <c r="I1209" i="2"/>
  <c r="H1209" i="2"/>
  <c r="I782" i="2"/>
  <c r="H782" i="2"/>
  <c r="I889" i="2"/>
  <c r="H889" i="2"/>
  <c r="I906" i="2"/>
  <c r="H906" i="2"/>
  <c r="I932" i="2"/>
  <c r="H932" i="2"/>
  <c r="I520" i="2"/>
  <c r="H520" i="2"/>
  <c r="I744" i="2"/>
  <c r="H744" i="2"/>
  <c r="I379" i="2"/>
  <c r="H379" i="2"/>
  <c r="I801" i="2"/>
  <c r="H801" i="2"/>
  <c r="I910" i="2"/>
  <c r="H910" i="2"/>
  <c r="I1104" i="2"/>
  <c r="H1104" i="2"/>
  <c r="I1644" i="2"/>
  <c r="H1644" i="2"/>
  <c r="I1211" i="2"/>
  <c r="H1211" i="2"/>
  <c r="I983" i="2"/>
  <c r="H983" i="2"/>
  <c r="I461" i="2"/>
  <c r="H461" i="2"/>
  <c r="I1294" i="2"/>
  <c r="H1294" i="2"/>
  <c r="I582" i="2"/>
  <c r="H582" i="2"/>
  <c r="I854" i="2"/>
  <c r="H854" i="2"/>
  <c r="I344" i="2"/>
  <c r="H344" i="2"/>
  <c r="I1530" i="2"/>
  <c r="H1530" i="2"/>
  <c r="I1143" i="2"/>
  <c r="H1143" i="2"/>
  <c r="I1004" i="2"/>
  <c r="H1004" i="2"/>
  <c r="I476" i="2"/>
  <c r="H476" i="2"/>
  <c r="I881" i="2"/>
  <c r="H881" i="2"/>
  <c r="I729" i="2"/>
  <c r="H729" i="2"/>
  <c r="I509" i="2"/>
  <c r="H509" i="2"/>
  <c r="I1258" i="2"/>
  <c r="H1258" i="2"/>
  <c r="I1243" i="2"/>
  <c r="H1243" i="2"/>
  <c r="I238" i="2"/>
  <c r="H238" i="2"/>
  <c r="I534" i="2"/>
  <c r="H534" i="2"/>
  <c r="I507" i="2"/>
  <c r="H507" i="2"/>
  <c r="I347" i="2"/>
  <c r="H347" i="2"/>
  <c r="I692" i="2"/>
  <c r="H692" i="2"/>
  <c r="I762" i="2"/>
  <c r="H762" i="2"/>
  <c r="I1263" i="2"/>
  <c r="H1263" i="2"/>
  <c r="I989" i="2"/>
  <c r="H989" i="2"/>
  <c r="I1272" i="2"/>
  <c r="H1272" i="2"/>
  <c r="I818" i="2"/>
  <c r="H818" i="2"/>
  <c r="I679" i="2"/>
  <c r="H679" i="2"/>
  <c r="I177" i="2"/>
  <c r="H177" i="2"/>
  <c r="I338" i="2"/>
  <c r="H338" i="2"/>
  <c r="I361" i="2"/>
  <c r="H361" i="2"/>
  <c r="I1652" i="2"/>
  <c r="H1652" i="2"/>
  <c r="I973" i="2"/>
  <c r="H973" i="2"/>
  <c r="I423" i="2"/>
  <c r="H423" i="2"/>
  <c r="I163" i="2"/>
  <c r="H163" i="2"/>
  <c r="I630" i="2"/>
  <c r="H630" i="2"/>
  <c r="I288" i="2"/>
  <c r="H288" i="2"/>
  <c r="I1256" i="2"/>
  <c r="H1256" i="2"/>
  <c r="I1142" i="2"/>
  <c r="H1142" i="2"/>
  <c r="I207" i="2"/>
  <c r="H207" i="2"/>
  <c r="I133" i="2"/>
  <c r="H133" i="2"/>
  <c r="I1409" i="2"/>
  <c r="H1409" i="2"/>
  <c r="I1015" i="2"/>
  <c r="H1015" i="2"/>
  <c r="I309" i="2"/>
  <c r="H309" i="2"/>
  <c r="I1286" i="2"/>
  <c r="H1286" i="2"/>
  <c r="I1471" i="2"/>
  <c r="H1471" i="2"/>
  <c r="I1118" i="2"/>
  <c r="H1118" i="2"/>
  <c r="I769" i="2"/>
  <c r="H769" i="2"/>
  <c r="I574" i="2"/>
  <c r="H574" i="2"/>
  <c r="I1325" i="2"/>
  <c r="H1325" i="2"/>
  <c r="I1523" i="2"/>
  <c r="H1523" i="2"/>
  <c r="I851" i="2"/>
  <c r="H851" i="2"/>
  <c r="I771" i="2"/>
  <c r="H771" i="2"/>
  <c r="I856" i="2"/>
  <c r="H856" i="2"/>
  <c r="I1204" i="2"/>
  <c r="H1204" i="2"/>
  <c r="I591" i="2"/>
  <c r="H591" i="2"/>
  <c r="I501" i="2"/>
  <c r="H501" i="2"/>
  <c r="I381" i="2"/>
  <c r="H381" i="2"/>
  <c r="I184" i="2"/>
  <c r="H184" i="2"/>
  <c r="I1192" i="2"/>
  <c r="H1192" i="2"/>
  <c r="I1388" i="2"/>
  <c r="H1388" i="2"/>
  <c r="I390" i="2"/>
  <c r="H390" i="2"/>
  <c r="I360" i="2"/>
  <c r="H360" i="2"/>
  <c r="I624" i="2"/>
  <c r="H624" i="2"/>
  <c r="I527" i="2"/>
  <c r="H527" i="2"/>
  <c r="I227" i="2"/>
  <c r="H227" i="2"/>
  <c r="I389" i="2"/>
  <c r="H389" i="2"/>
  <c r="I788" i="2"/>
  <c r="H788" i="2"/>
  <c r="I920" i="2"/>
  <c r="H920" i="2"/>
  <c r="I738" i="2"/>
  <c r="H738" i="2"/>
  <c r="I511" i="2"/>
  <c r="H511" i="2"/>
  <c r="I985" i="2"/>
  <c r="H985" i="2"/>
  <c r="I643" i="2"/>
  <c r="H643" i="2"/>
  <c r="I1439" i="2"/>
  <c r="H1439" i="2"/>
  <c r="I1477" i="2"/>
  <c r="H1477" i="2"/>
  <c r="I295" i="2"/>
  <c r="H295" i="2"/>
  <c r="I737" i="2"/>
  <c r="H737" i="2"/>
  <c r="I588" i="2"/>
  <c r="H588" i="2"/>
  <c r="I1444" i="2"/>
  <c r="H1444" i="2"/>
  <c r="I433" i="2"/>
  <c r="H433" i="2"/>
  <c r="I972" i="2"/>
  <c r="H972" i="2"/>
  <c r="I290" i="2"/>
  <c r="H290" i="2"/>
  <c r="I1505" i="2"/>
  <c r="H1505" i="2"/>
  <c r="I1101" i="2"/>
  <c r="H1101" i="2"/>
  <c r="I1482" i="2"/>
  <c r="H1482" i="2"/>
  <c r="I960" i="2"/>
  <c r="H960" i="2"/>
  <c r="I1322" i="2"/>
  <c r="H1322" i="2"/>
  <c r="I74" i="2"/>
  <c r="H74" i="2"/>
  <c r="I931" i="2"/>
  <c r="H931" i="2"/>
  <c r="I415" i="2"/>
  <c r="H415" i="2"/>
  <c r="I322" i="2"/>
  <c r="H322" i="2"/>
  <c r="I718" i="2"/>
  <c r="H718" i="2"/>
  <c r="I1298" i="2"/>
  <c r="H1298" i="2"/>
  <c r="I1655" i="2"/>
  <c r="H1655" i="2"/>
  <c r="I1140" i="2"/>
  <c r="H1140" i="2"/>
  <c r="I1429" i="2"/>
  <c r="H1429" i="2"/>
  <c r="I413" i="2"/>
  <c r="H413" i="2"/>
  <c r="I1320" i="2"/>
  <c r="H1320" i="2"/>
  <c r="I293" i="2"/>
  <c r="H293" i="2"/>
  <c r="I1428" i="2"/>
  <c r="H1428" i="2"/>
  <c r="I1401" i="2"/>
  <c r="H1401" i="2"/>
  <c r="I519" i="2"/>
  <c r="H519" i="2"/>
  <c r="I285" i="2"/>
  <c r="H285" i="2"/>
  <c r="I223" i="2"/>
  <c r="H223" i="2"/>
  <c r="I452" i="2"/>
  <c r="H452" i="2"/>
  <c r="I323" i="2"/>
  <c r="H323" i="2"/>
  <c r="I704" i="2"/>
  <c r="H704" i="2"/>
  <c r="I1441" i="2"/>
  <c r="H1441" i="2"/>
  <c r="I102" i="2"/>
  <c r="H102" i="2"/>
  <c r="I1340" i="2"/>
  <c r="H1340" i="2"/>
  <c r="I1233" i="2"/>
  <c r="H1233" i="2"/>
  <c r="I40" i="2"/>
  <c r="H40" i="2"/>
  <c r="I943" i="2"/>
  <c r="H943" i="2"/>
  <c r="I550" i="2"/>
  <c r="H550" i="2"/>
  <c r="H662" i="2"/>
  <c r="I616" i="2"/>
  <c r="H616" i="2"/>
  <c r="I554" i="2"/>
  <c r="H554" i="2"/>
  <c r="I842" i="2"/>
  <c r="H842" i="2"/>
  <c r="I665" i="2"/>
  <c r="H665" i="2"/>
  <c r="I446" i="2"/>
  <c r="H446" i="2"/>
  <c r="I1434" i="2"/>
  <c r="H1434" i="2"/>
  <c r="I1278" i="2"/>
  <c r="H1278" i="2"/>
  <c r="I753" i="2"/>
  <c r="H753" i="2"/>
  <c r="I214" i="2"/>
  <c r="H214" i="2"/>
  <c r="I393" i="2"/>
  <c r="H393" i="2"/>
  <c r="I158" i="2"/>
  <c r="H158" i="2"/>
  <c r="I633" i="2"/>
  <c r="H633" i="2"/>
  <c r="I796" i="2"/>
  <c r="H796" i="2"/>
  <c r="I750" i="2"/>
  <c r="H750" i="2"/>
  <c r="I171" i="2"/>
  <c r="H171" i="2"/>
  <c r="I648" i="2"/>
  <c r="H648" i="2"/>
  <c r="I308" i="2"/>
  <c r="H308" i="2"/>
  <c r="I195" i="2"/>
  <c r="H195" i="2"/>
  <c r="I1510" i="2"/>
  <c r="H1510" i="2"/>
  <c r="I597" i="2"/>
  <c r="H597" i="2"/>
  <c r="I1486" i="2"/>
  <c r="H1486" i="2"/>
  <c r="I206" i="2"/>
  <c r="H206" i="2"/>
  <c r="I1411" i="2"/>
  <c r="H1411" i="2"/>
  <c r="I275" i="2"/>
  <c r="H275" i="2"/>
  <c r="I1436" i="2"/>
  <c r="H1436" i="2"/>
  <c r="I83" i="2"/>
  <c r="H83" i="2"/>
  <c r="I885" i="2"/>
  <c r="H885" i="2"/>
  <c r="I148" i="2"/>
  <c r="H148" i="2"/>
  <c r="I903" i="2"/>
  <c r="H903" i="2"/>
  <c r="I838" i="2"/>
  <c r="H838" i="2"/>
  <c r="I828" i="2"/>
  <c r="H828" i="2"/>
  <c r="I1130" i="2"/>
  <c r="H1130" i="2"/>
  <c r="I1577" i="2"/>
  <c r="H1577" i="2"/>
  <c r="I1017" i="2"/>
  <c r="H1017" i="2"/>
  <c r="I715" i="2"/>
  <c r="H715" i="2"/>
  <c r="I911" i="2"/>
  <c r="H911" i="2"/>
  <c r="I848" i="2"/>
  <c r="H848" i="2"/>
  <c r="I486" i="2"/>
  <c r="H486" i="2"/>
  <c r="I1099" i="2"/>
  <c r="H1099" i="2"/>
  <c r="I454" i="2"/>
  <c r="H454" i="2"/>
  <c r="I470" i="2"/>
  <c r="H470" i="2"/>
  <c r="I1610" i="2"/>
  <c r="H1610" i="2"/>
  <c r="I246" i="2"/>
  <c r="H246" i="2"/>
  <c r="I404" i="2"/>
  <c r="H404" i="2"/>
  <c r="I463" i="2"/>
  <c r="H463" i="2"/>
  <c r="I213" i="2"/>
  <c r="H213" i="2"/>
  <c r="I1127" i="2"/>
  <c r="H1127" i="2"/>
  <c r="I736" i="2"/>
  <c r="H736" i="2"/>
  <c r="I1111" i="2"/>
  <c r="H1111" i="2"/>
  <c r="I761" i="2"/>
  <c r="H761" i="2"/>
  <c r="I377" i="2"/>
  <c r="H377" i="2"/>
  <c r="I333" i="2"/>
  <c r="H333" i="2"/>
  <c r="I1092" i="2"/>
  <c r="H1092" i="2"/>
  <c r="I612" i="2"/>
  <c r="H612" i="2"/>
  <c r="I1091" i="2"/>
  <c r="H1091" i="2"/>
  <c r="I1078" i="2"/>
  <c r="H1078" i="2"/>
  <c r="I544" i="2"/>
  <c r="H544" i="2"/>
  <c r="I1053" i="2"/>
  <c r="H1053" i="2"/>
  <c r="I376" i="2"/>
  <c r="H376" i="2"/>
  <c r="I1063" i="2"/>
  <c r="H1063" i="2"/>
  <c r="I1094" i="2"/>
  <c r="H1094" i="2"/>
  <c r="I1087" i="2"/>
  <c r="H1087" i="2"/>
  <c r="I1084" i="2"/>
  <c r="H1084" i="2"/>
  <c r="I1081" i="2"/>
  <c r="H1081" i="2"/>
  <c r="I1080" i="2"/>
  <c r="H1080" i="2"/>
  <c r="I1079" i="2"/>
  <c r="H1079" i="2"/>
  <c r="I1073" i="2"/>
  <c r="H1073" i="2"/>
  <c r="I1068" i="2"/>
  <c r="H1068" i="2"/>
  <c r="I670" i="2"/>
  <c r="H670" i="2"/>
  <c r="I1062" i="2"/>
  <c r="H1062" i="2"/>
  <c r="I166" i="2"/>
  <c r="H166" i="2"/>
  <c r="I1071" i="2"/>
  <c r="H1071" i="2"/>
  <c r="I1097" i="2"/>
  <c r="H1097" i="2"/>
  <c r="I265" i="2"/>
  <c r="H265" i="2"/>
  <c r="I277" i="2"/>
  <c r="H277" i="2"/>
  <c r="I1312" i="2"/>
  <c r="H1312" i="2"/>
  <c r="I1123" i="2"/>
  <c r="H1123" i="2"/>
  <c r="I1072" i="2"/>
  <c r="H1072" i="2"/>
  <c r="I939" i="2"/>
  <c r="H939" i="2"/>
  <c r="I70" i="2"/>
  <c r="H70" i="2"/>
  <c r="I684" i="2"/>
  <c r="H684" i="2"/>
  <c r="I1367" i="2"/>
  <c r="H1367" i="2"/>
  <c r="I1021" i="2"/>
  <c r="H1021" i="2"/>
  <c r="I1054" i="2"/>
  <c r="H1054" i="2"/>
  <c r="I874" i="2"/>
  <c r="H874" i="2"/>
  <c r="I79" i="2"/>
  <c r="H79" i="2"/>
  <c r="I297" i="2"/>
  <c r="H297" i="2"/>
  <c r="I1267" i="2"/>
  <c r="H1267" i="2"/>
  <c r="I522" i="2"/>
  <c r="H522" i="2"/>
  <c r="I86" i="2"/>
  <c r="H86" i="2"/>
  <c r="I580" i="2"/>
  <c r="H580" i="2"/>
  <c r="I349" i="2"/>
  <c r="H349" i="2"/>
  <c r="I532" i="2"/>
  <c r="H532" i="2"/>
  <c r="I412" i="2"/>
  <c r="H412" i="2"/>
  <c r="I1251" i="2"/>
  <c r="H1251" i="2"/>
  <c r="I1213" i="2"/>
  <c r="H1213" i="2"/>
  <c r="I1171" i="2"/>
  <c r="H1171" i="2"/>
  <c r="I553" i="2"/>
  <c r="H553" i="2"/>
  <c r="I135" i="2"/>
  <c r="H135" i="2"/>
  <c r="I876" i="2"/>
  <c r="H876" i="2"/>
  <c r="I925" i="2"/>
  <c r="H925" i="2"/>
  <c r="I558" i="2"/>
  <c r="H558" i="2"/>
  <c r="I147" i="2"/>
  <c r="H147" i="2"/>
  <c r="I592" i="2"/>
  <c r="H592" i="2"/>
  <c r="I1533" i="2"/>
  <c r="H1533" i="2"/>
  <c r="I611" i="2"/>
  <c r="H611" i="2"/>
  <c r="I1681" i="2"/>
  <c r="H1681" i="2"/>
  <c r="I256" i="2"/>
  <c r="H256" i="2"/>
  <c r="I784" i="2"/>
  <c r="H784" i="2"/>
  <c r="I710" i="2"/>
  <c r="H710" i="2"/>
  <c r="I969" i="2"/>
  <c r="H969" i="2"/>
  <c r="I1198" i="2"/>
  <c r="H1198" i="2"/>
  <c r="I435" i="2"/>
  <c r="H435" i="2"/>
  <c r="I51" i="2"/>
  <c r="H51" i="2"/>
  <c r="I162" i="2"/>
  <c r="H162" i="2"/>
  <c r="I313" i="2"/>
  <c r="H313" i="2"/>
  <c r="I505" i="2"/>
  <c r="H505" i="2"/>
  <c r="I239" i="2"/>
  <c r="H239" i="2"/>
  <c r="I763" i="2"/>
  <c r="H763" i="2"/>
  <c r="I82" i="2"/>
  <c r="H82" i="2"/>
  <c r="I827" i="2"/>
  <c r="H827" i="2"/>
  <c r="I298" i="2"/>
  <c r="H298" i="2"/>
  <c r="I311" i="2"/>
  <c r="H311" i="2"/>
  <c r="I894" i="2"/>
  <c r="H894" i="2"/>
  <c r="I124" i="2"/>
  <c r="H124" i="2"/>
  <c r="I255" i="2"/>
  <c r="H255" i="2"/>
  <c r="I1149" i="2"/>
  <c r="H1149" i="2"/>
  <c r="I1317" i="2"/>
  <c r="H1317" i="2"/>
  <c r="I1385" i="2"/>
  <c r="H1385" i="2"/>
  <c r="I346" i="2"/>
  <c r="H346" i="2"/>
  <c r="I1028" i="2"/>
  <c r="H1028" i="2"/>
  <c r="I396" i="2"/>
  <c r="H396" i="2"/>
  <c r="I266" i="2"/>
  <c r="H266" i="2"/>
  <c r="I1643" i="2"/>
  <c r="H1643" i="2"/>
  <c r="I1369" i="2"/>
  <c r="H1369" i="2"/>
  <c r="I730" i="2"/>
  <c r="H730" i="2"/>
  <c r="I284" i="2"/>
  <c r="H284" i="2"/>
  <c r="I367" i="2"/>
  <c r="H367" i="2"/>
  <c r="I938" i="2"/>
  <c r="H938" i="2"/>
  <c r="I540" i="2"/>
  <c r="H540" i="2"/>
  <c r="I1565" i="2"/>
  <c r="H1565" i="2"/>
  <c r="I1686" i="2"/>
  <c r="H1686" i="2"/>
  <c r="I257" i="2"/>
  <c r="H257" i="2"/>
  <c r="I253" i="2"/>
  <c r="H253" i="2"/>
  <c r="I155" i="2"/>
  <c r="H155" i="2"/>
  <c r="I411" i="2"/>
  <c r="H411" i="2"/>
  <c r="I653" i="2"/>
  <c r="H653" i="2"/>
  <c r="I747" i="2"/>
  <c r="H747" i="2"/>
  <c r="I1359" i="2"/>
  <c r="H1359" i="2"/>
  <c r="I403" i="2"/>
  <c r="H403" i="2"/>
  <c r="I391" i="2"/>
  <c r="H391" i="2"/>
  <c r="I53" i="2"/>
  <c r="H53" i="2"/>
  <c r="I647" i="2"/>
  <c r="H647" i="2"/>
  <c r="I267" i="2"/>
  <c r="H267" i="2"/>
  <c r="I810" i="2"/>
  <c r="H810" i="2"/>
  <c r="I150" i="2"/>
  <c r="H150" i="2"/>
  <c r="I671" i="2"/>
  <c r="H671" i="2"/>
  <c r="I1529" i="2"/>
  <c r="H1529" i="2"/>
  <c r="I659" i="2"/>
  <c r="H659" i="2"/>
  <c r="I477" i="2"/>
  <c r="H477" i="2"/>
  <c r="I1408" i="2"/>
  <c r="H1408" i="2"/>
  <c r="I613" i="2"/>
  <c r="H613" i="2"/>
  <c r="I134" i="2"/>
  <c r="H134" i="2"/>
  <c r="I646" i="2"/>
  <c r="H646" i="2"/>
  <c r="I483" i="2"/>
  <c r="H483" i="2"/>
  <c r="I586" i="2"/>
  <c r="H586" i="2"/>
  <c r="I1398" i="2"/>
  <c r="H1398" i="2"/>
  <c r="I1356" i="2"/>
  <c r="H1356" i="2"/>
  <c r="I809" i="2"/>
  <c r="H809" i="2"/>
  <c r="I93" i="2"/>
  <c r="H93" i="2"/>
  <c r="I165" i="2"/>
  <c r="H165" i="2"/>
  <c r="I1481" i="2"/>
  <c r="H1481" i="2"/>
  <c r="I1397" i="2"/>
  <c r="H1397" i="2"/>
  <c r="I279" i="2"/>
  <c r="H279" i="2"/>
  <c r="I1589" i="2"/>
  <c r="H1589" i="2"/>
  <c r="I448" i="2"/>
  <c r="H448" i="2"/>
  <c r="I1392" i="2"/>
  <c r="H1392" i="2"/>
  <c r="I193" i="2"/>
  <c r="H193" i="2"/>
  <c r="I1568" i="2"/>
  <c r="H1568" i="2"/>
  <c r="I342" i="2"/>
  <c r="H342" i="2"/>
  <c r="I984" i="2"/>
  <c r="H984" i="2"/>
  <c r="I1492" i="2"/>
  <c r="H1492" i="2"/>
  <c r="I334" i="2"/>
  <c r="H334" i="2"/>
  <c r="I340" i="2"/>
  <c r="H340" i="2"/>
  <c r="I893" i="2"/>
  <c r="H893" i="2"/>
  <c r="I398" i="2"/>
  <c r="H398" i="2"/>
  <c r="I350" i="2"/>
  <c r="H350" i="2"/>
  <c r="I1321" i="2"/>
  <c r="H1321" i="2"/>
  <c r="I995" i="2"/>
  <c r="H995" i="2"/>
  <c r="I422" i="2"/>
  <c r="H422" i="2"/>
  <c r="I232" i="2"/>
  <c r="H232" i="2"/>
  <c r="I103" i="2"/>
  <c r="H103" i="2"/>
  <c r="I92" i="2"/>
  <c r="H92" i="2"/>
  <c r="I552" i="2"/>
  <c r="H552" i="2"/>
  <c r="I220" i="2"/>
  <c r="H220" i="2"/>
  <c r="I475" i="2"/>
  <c r="H475" i="2"/>
  <c r="I855" i="2"/>
  <c r="H855" i="2"/>
  <c r="I867" i="2"/>
  <c r="H867" i="2"/>
  <c r="I683" i="2"/>
  <c r="H683" i="2"/>
  <c r="I1407" i="2"/>
  <c r="H1407" i="2"/>
  <c r="I551" i="2"/>
  <c r="H551" i="2"/>
  <c r="I1303" i="2"/>
  <c r="H1303" i="2"/>
  <c r="I610" i="2"/>
  <c r="H610" i="2"/>
  <c r="I229" i="2"/>
  <c r="H229" i="2"/>
  <c r="I370" i="2"/>
  <c r="H370" i="2"/>
  <c r="I1432" i="2"/>
  <c r="H1432" i="2"/>
  <c r="I919" i="2"/>
  <c r="H919" i="2"/>
  <c r="I1339" i="2"/>
  <c r="H1339" i="2"/>
  <c r="I71" i="2"/>
  <c r="H71" i="2"/>
  <c r="I596" i="2"/>
  <c r="H596" i="2"/>
  <c r="I564" i="2"/>
  <c r="H564" i="2"/>
  <c r="I218" i="2"/>
  <c r="H218" i="2"/>
  <c r="I325" i="2"/>
  <c r="H325" i="2"/>
  <c r="I132" i="2"/>
  <c r="H132" i="2"/>
  <c r="I430" i="2"/>
  <c r="H430" i="2"/>
  <c r="I49" i="2"/>
  <c r="H49" i="2"/>
  <c r="I224" i="2"/>
  <c r="H224" i="2"/>
  <c r="I292" i="2"/>
  <c r="H292" i="2"/>
  <c r="I1412" i="2"/>
  <c r="H1412" i="2"/>
  <c r="I130" i="2"/>
  <c r="H130" i="2"/>
  <c r="I187" i="2"/>
  <c r="H187" i="2"/>
  <c r="I89" i="2"/>
  <c r="H89" i="2"/>
  <c r="I543" i="2"/>
  <c r="H543" i="2"/>
  <c r="I843" i="2"/>
  <c r="H843" i="2"/>
  <c r="I901" i="2"/>
  <c r="H901" i="2"/>
  <c r="I1400" i="2"/>
  <c r="H1400" i="2"/>
  <c r="I371" i="2"/>
  <c r="H371" i="2"/>
  <c r="I817" i="2"/>
  <c r="H817" i="2"/>
  <c r="I138" i="2"/>
  <c r="H138" i="2"/>
  <c r="I1670" i="2"/>
  <c r="H1670" i="2"/>
  <c r="I296" i="2"/>
  <c r="H296" i="2"/>
  <c r="I1675" i="2"/>
  <c r="H1675" i="2"/>
  <c r="I316" i="2"/>
  <c r="H316" i="2"/>
  <c r="I1684" i="2"/>
  <c r="H1684" i="2"/>
  <c r="I562" i="2"/>
  <c r="H562" i="2"/>
  <c r="I107" i="2"/>
  <c r="H107" i="2"/>
  <c r="I46" i="2"/>
  <c r="H46" i="2"/>
  <c r="I577" i="2"/>
  <c r="H577" i="2"/>
  <c r="I48" i="2"/>
  <c r="H48" i="2"/>
  <c r="I196" i="2"/>
  <c r="H196" i="2"/>
  <c r="I263" i="2"/>
  <c r="H263" i="2"/>
  <c r="I144" i="2"/>
  <c r="H144" i="2"/>
  <c r="I1129" i="2"/>
  <c r="H1129" i="2"/>
  <c r="I506" i="2"/>
  <c r="H506" i="2"/>
  <c r="I98" i="2"/>
  <c r="H98" i="2"/>
  <c r="I434" i="2"/>
  <c r="H434" i="2"/>
  <c r="I221" i="2"/>
  <c r="H221" i="2"/>
  <c r="I216" i="2"/>
  <c r="H216" i="2"/>
  <c r="I219" i="2"/>
  <c r="H219" i="2"/>
  <c r="I212" i="2"/>
  <c r="H212" i="2"/>
  <c r="I427" i="2"/>
  <c r="H427" i="2"/>
  <c r="I215" i="2"/>
  <c r="H215" i="2"/>
  <c r="I217" i="2"/>
  <c r="H217" i="2"/>
  <c r="I209" i="2"/>
  <c r="H209" i="2"/>
  <c r="I208" i="2"/>
  <c r="H208" i="2"/>
  <c r="I635" i="2"/>
  <c r="H635" i="2"/>
  <c r="I445" i="2"/>
  <c r="H445" i="2"/>
  <c r="I836" i="2"/>
  <c r="H836" i="2"/>
  <c r="I513" i="2"/>
  <c r="H513" i="2"/>
  <c r="I986" i="2"/>
  <c r="H986" i="2"/>
  <c r="I249" i="2"/>
  <c r="H249" i="2"/>
  <c r="I30" i="2"/>
  <c r="H30" i="2"/>
  <c r="I1275" i="2"/>
  <c r="H1275" i="2"/>
  <c r="I1377" i="2"/>
  <c r="H1377" i="2"/>
  <c r="I235" i="2"/>
  <c r="H235" i="2"/>
  <c r="I767" i="2"/>
  <c r="H767" i="2"/>
  <c r="I631" i="2"/>
  <c r="H631" i="2"/>
  <c r="I805" i="2"/>
  <c r="H805" i="2"/>
  <c r="I697" i="2"/>
  <c r="H697" i="2"/>
  <c r="I408" i="2"/>
  <c r="H408" i="2"/>
  <c r="I152" i="2"/>
  <c r="H152" i="2"/>
  <c r="I192" i="2"/>
  <c r="H192" i="2"/>
  <c r="I1319" i="2"/>
  <c r="H1319" i="2"/>
  <c r="I178" i="2"/>
  <c r="H178" i="2"/>
  <c r="I1504" i="2"/>
  <c r="H1504" i="2"/>
  <c r="I949" i="2"/>
  <c r="H949" i="2"/>
  <c r="I1060" i="2"/>
  <c r="H1060" i="2"/>
  <c r="I245" i="2"/>
  <c r="H245" i="2"/>
  <c r="I189" i="2"/>
  <c r="H189" i="2"/>
  <c r="I136" i="2"/>
  <c r="H136" i="2"/>
  <c r="I151" i="2"/>
  <c r="H151" i="2"/>
  <c r="I241" i="2"/>
  <c r="H241" i="2"/>
  <c r="I100" i="2"/>
  <c r="H100" i="2"/>
  <c r="I117" i="2"/>
  <c r="H117" i="2"/>
  <c r="I971" i="2"/>
  <c r="H971" i="2"/>
  <c r="I566" i="2"/>
  <c r="H566" i="2"/>
  <c r="I236" i="2"/>
  <c r="H236" i="2"/>
  <c r="I440" i="2"/>
  <c r="H440" i="2"/>
  <c r="I619" i="2"/>
  <c r="H619" i="2"/>
  <c r="I846" i="2"/>
  <c r="H846" i="2"/>
  <c r="I374" i="2"/>
  <c r="H374" i="2"/>
  <c r="I833" i="2"/>
  <c r="H833" i="2"/>
  <c r="I1197" i="2"/>
  <c r="H1197" i="2"/>
  <c r="I1109" i="2"/>
  <c r="H1109" i="2"/>
  <c r="I90" i="2"/>
  <c r="H90" i="2"/>
  <c r="I170" i="2"/>
  <c r="H170" i="2"/>
  <c r="I81" i="2"/>
  <c r="H81" i="2"/>
  <c r="I787" i="2"/>
  <c r="H787" i="2"/>
  <c r="I55" i="2"/>
  <c r="H55" i="2"/>
  <c r="I581" i="2"/>
  <c r="H581" i="2"/>
  <c r="I141" i="2"/>
  <c r="H141" i="2"/>
  <c r="I930" i="2"/>
  <c r="H930" i="2"/>
  <c r="I1172" i="2"/>
  <c r="H1172" i="2"/>
  <c r="I330" i="2"/>
  <c r="H330" i="2"/>
  <c r="I850" i="2"/>
  <c r="H850" i="2"/>
  <c r="I529" i="2"/>
  <c r="H529" i="2"/>
  <c r="I1103" i="2"/>
  <c r="H1103" i="2"/>
  <c r="I314" i="2"/>
  <c r="H314" i="2"/>
  <c r="I122" i="2"/>
  <c r="H122" i="2"/>
  <c r="I1552" i="2"/>
  <c r="H1552" i="2"/>
  <c r="I1619" i="2"/>
  <c r="H1619" i="2"/>
  <c r="I469" i="2"/>
  <c r="H469" i="2"/>
  <c r="I786" i="2"/>
  <c r="H786" i="2"/>
  <c r="I418" i="2"/>
  <c r="H418" i="2"/>
  <c r="I561" i="2"/>
  <c r="H561" i="2"/>
  <c r="I530" i="2"/>
  <c r="H530" i="2"/>
  <c r="I205" i="2"/>
  <c r="H205" i="2"/>
  <c r="I43" i="2"/>
  <c r="H43" i="2"/>
  <c r="I819" i="2"/>
  <c r="H819" i="2"/>
  <c r="I980" i="2"/>
  <c r="H980" i="2"/>
  <c r="I752" i="2"/>
  <c r="H752" i="2"/>
  <c r="I115" i="2"/>
  <c r="H115" i="2"/>
  <c r="I555" i="2"/>
  <c r="H555" i="2"/>
  <c r="I127" i="2"/>
  <c r="H127" i="2"/>
  <c r="I887" i="2"/>
  <c r="H887" i="2"/>
  <c r="I1639" i="2"/>
  <c r="H1639" i="2"/>
  <c r="I712" i="2"/>
  <c r="H712" i="2"/>
  <c r="I228" i="2"/>
  <c r="H228" i="2"/>
  <c r="I383" i="2"/>
  <c r="H383" i="2"/>
  <c r="I320" i="2"/>
  <c r="H320" i="2"/>
  <c r="I1671" i="2"/>
  <c r="H1671" i="2"/>
  <c r="I952" i="2"/>
  <c r="H952" i="2"/>
  <c r="I357" i="2"/>
  <c r="H357" i="2"/>
  <c r="I913" i="2"/>
  <c r="H913" i="2"/>
  <c r="I120" i="2"/>
  <c r="H120" i="2"/>
  <c r="I1293" i="2"/>
  <c r="H1293" i="2"/>
  <c r="I1668" i="2"/>
  <c r="H1668" i="2"/>
  <c r="I1475" i="2"/>
  <c r="H1475" i="2"/>
  <c r="I792" i="2"/>
  <c r="H792" i="2"/>
  <c r="I1208" i="2"/>
  <c r="H1208" i="2"/>
  <c r="I23" i="2"/>
  <c r="H23" i="2"/>
  <c r="I1576" i="2"/>
  <c r="H1576" i="2"/>
  <c r="I106" i="2"/>
  <c r="H106" i="2"/>
  <c r="I131" i="2"/>
  <c r="H131" i="2"/>
  <c r="I67" i="2"/>
  <c r="H67" i="2"/>
  <c r="I31" i="2"/>
  <c r="H31" i="2"/>
  <c r="I636" i="2"/>
  <c r="H636" i="2"/>
  <c r="I146" i="2"/>
  <c r="H146" i="2"/>
  <c r="I779" i="2"/>
  <c r="H779" i="2"/>
  <c r="I1542" i="2"/>
  <c r="H1542" i="2"/>
  <c r="I39" i="2"/>
  <c r="H39" i="2"/>
  <c r="I365" i="2"/>
  <c r="H365" i="2"/>
  <c r="I1368" i="2"/>
  <c r="H1368" i="2"/>
  <c r="I800" i="2"/>
  <c r="H800" i="2"/>
  <c r="I1364" i="2"/>
  <c r="H1364" i="2"/>
  <c r="I1501" i="2"/>
  <c r="H1501" i="2"/>
  <c r="I328" i="2"/>
  <c r="H328" i="2"/>
  <c r="I62" i="2"/>
  <c r="H62" i="2"/>
  <c r="I490" i="2"/>
  <c r="H490" i="2"/>
  <c r="I732" i="2"/>
  <c r="H732" i="2"/>
  <c r="I1182" i="2"/>
  <c r="H1182" i="2"/>
  <c r="I315" i="2"/>
  <c r="H315" i="2"/>
  <c r="I492" i="2"/>
  <c r="H492" i="2"/>
  <c r="I179" i="2"/>
  <c r="H179" i="2"/>
  <c r="I157" i="2"/>
  <c r="H157" i="2"/>
  <c r="I183" i="2"/>
  <c r="H183" i="2"/>
  <c r="I578" i="2"/>
  <c r="H578" i="2"/>
  <c r="I451" i="2"/>
  <c r="H451" i="2"/>
  <c r="I54" i="2"/>
  <c r="H54" i="2"/>
  <c r="I384" i="2"/>
  <c r="H384" i="2"/>
  <c r="I85" i="2"/>
  <c r="H85" i="2"/>
  <c r="I548" i="2"/>
  <c r="H548" i="2"/>
  <c r="I1581" i="2"/>
  <c r="H1581" i="2"/>
  <c r="I1096" i="2"/>
  <c r="H1096" i="2"/>
  <c r="I1630" i="2"/>
  <c r="H1630" i="2"/>
  <c r="I872" i="2"/>
  <c r="H872" i="2"/>
  <c r="I1637" i="2"/>
  <c r="H1637" i="2"/>
  <c r="I1614" i="2"/>
  <c r="H1614" i="2"/>
  <c r="I421" i="2"/>
  <c r="H421" i="2"/>
  <c r="I426" i="2"/>
  <c r="H426" i="2"/>
  <c r="I524" i="2"/>
  <c r="H524" i="2"/>
  <c r="I73" i="2"/>
  <c r="H73" i="2"/>
  <c r="I485" i="2"/>
  <c r="H485" i="2"/>
  <c r="I1112" i="2"/>
  <c r="H1112" i="2"/>
  <c r="I68" i="2"/>
  <c r="H68" i="2"/>
  <c r="I841" i="2"/>
  <c r="H841" i="2"/>
  <c r="I871" i="2"/>
  <c r="H871" i="2"/>
  <c r="I442" i="2"/>
  <c r="H442" i="2"/>
  <c r="I44" i="2"/>
  <c r="H44" i="2"/>
  <c r="I1618" i="2"/>
  <c r="H1618" i="2"/>
  <c r="I61" i="2"/>
  <c r="H61" i="2"/>
  <c r="I231" i="2"/>
  <c r="H231" i="2"/>
  <c r="I1360" i="2"/>
  <c r="H1360" i="2"/>
  <c r="I397" i="2"/>
  <c r="H397" i="2"/>
  <c r="I499" i="2"/>
  <c r="H499" i="2"/>
  <c r="I1680" i="2"/>
  <c r="H1680" i="2"/>
  <c r="I237" i="2"/>
  <c r="H237" i="2"/>
  <c r="I159" i="2"/>
  <c r="H159" i="2"/>
  <c r="I1086" i="2"/>
  <c r="H1086" i="2"/>
  <c r="I1603" i="2"/>
  <c r="H1603" i="2"/>
  <c r="I1039" i="2"/>
  <c r="H1039" i="2"/>
  <c r="I1250" i="2"/>
  <c r="H1250" i="2"/>
  <c r="I1010" i="2"/>
  <c r="H1010" i="2"/>
  <c r="I75" i="2"/>
  <c r="H75" i="2"/>
  <c r="I41" i="2"/>
  <c r="H41" i="2"/>
  <c r="I431" i="2"/>
  <c r="H431" i="2"/>
  <c r="I535" i="2"/>
  <c r="H535" i="2"/>
  <c r="I450" i="2"/>
  <c r="H450" i="2"/>
  <c r="I1306" i="2"/>
  <c r="H1306" i="2"/>
  <c r="I420" i="2"/>
  <c r="H420" i="2"/>
  <c r="I1679" i="2"/>
  <c r="H1679" i="2"/>
  <c r="I1152" i="2"/>
  <c r="H1152" i="2"/>
  <c r="I276" i="2"/>
  <c r="H276" i="2"/>
  <c r="I1586" i="2"/>
  <c r="H1586" i="2"/>
  <c r="I417" i="2"/>
  <c r="H417" i="2"/>
  <c r="H1154" i="2"/>
  <c r="I1582" i="2"/>
  <c r="H1582" i="2"/>
  <c r="I1426" i="2"/>
  <c r="H1426" i="2"/>
  <c r="I1494" i="2"/>
  <c r="H1494" i="2"/>
  <c r="I29" i="2"/>
  <c r="H29" i="2"/>
  <c r="I301" i="2"/>
  <c r="H301" i="2"/>
  <c r="I879" i="2"/>
  <c r="H879" i="2"/>
  <c r="I112" i="2"/>
  <c r="H112" i="2"/>
  <c r="I832" i="2"/>
  <c r="H832" i="2"/>
  <c r="I1045" i="2"/>
  <c r="H1045" i="2"/>
  <c r="I99" i="2"/>
  <c r="H99" i="2"/>
  <c r="I50" i="2"/>
  <c r="H50" i="2"/>
  <c r="I778" i="2"/>
  <c r="H778" i="2"/>
  <c r="I607" i="2"/>
  <c r="H607" i="2"/>
  <c r="I38" i="2"/>
  <c r="H38" i="2"/>
  <c r="I282" i="2"/>
  <c r="H282" i="2"/>
  <c r="I1620" i="2"/>
  <c r="H1620" i="2"/>
  <c r="I101" i="2"/>
  <c r="H101" i="2"/>
  <c r="I113" i="2"/>
  <c r="H113" i="2"/>
  <c r="I572" i="2"/>
  <c r="H572" i="2"/>
  <c r="I22" i="2"/>
  <c r="H22" i="2"/>
  <c r="I194" i="2"/>
  <c r="H194" i="2"/>
  <c r="I1031" i="2"/>
  <c r="H1031" i="2"/>
  <c r="I977" i="2"/>
  <c r="H977" i="2"/>
  <c r="I60" i="2"/>
  <c r="H60" i="2"/>
  <c r="I645" i="2"/>
  <c r="H645" i="2"/>
  <c r="I332" i="2"/>
  <c r="H332" i="2"/>
  <c r="I270" i="2"/>
  <c r="H270" i="2"/>
  <c r="I87" i="2"/>
  <c r="H87" i="2"/>
  <c r="I1656" i="2"/>
  <c r="H1656" i="2"/>
  <c r="I634" i="2"/>
  <c r="H634" i="2"/>
  <c r="I494" i="2"/>
  <c r="H494" i="2"/>
  <c r="I119" i="2"/>
  <c r="H119" i="2"/>
  <c r="I291" i="2"/>
  <c r="H291" i="2"/>
  <c r="I1170" i="2"/>
  <c r="H1170" i="2"/>
  <c r="I481" i="2"/>
  <c r="H481" i="2"/>
  <c r="I785" i="2"/>
  <c r="H785" i="2"/>
  <c r="I1476" i="2"/>
  <c r="H1476" i="2"/>
  <c r="I1107" i="2"/>
  <c r="H1107" i="2"/>
  <c r="I64" i="2"/>
  <c r="H64" i="2"/>
  <c r="I795" i="2"/>
  <c r="H795" i="2"/>
  <c r="I59" i="2"/>
  <c r="H59" i="2"/>
  <c r="I91" i="2"/>
  <c r="H91" i="2"/>
  <c r="I57" i="2"/>
  <c r="H57" i="2"/>
  <c r="I1234" i="2"/>
  <c r="H1234" i="2"/>
  <c r="I979" i="2"/>
  <c r="H979" i="2"/>
  <c r="I1061" i="2"/>
  <c r="H1061" i="2"/>
  <c r="I1499" i="2"/>
  <c r="H1499" i="2"/>
  <c r="I622" i="2"/>
  <c r="H622" i="2"/>
  <c r="I104" i="2"/>
  <c r="H104" i="2"/>
  <c r="I1371" i="2"/>
  <c r="H1371" i="2"/>
  <c r="I449" i="2"/>
  <c r="H449" i="2"/>
  <c r="I105" i="2"/>
  <c r="H105" i="2"/>
  <c r="I1108" i="2"/>
  <c r="H1108" i="2"/>
  <c r="I790" i="2"/>
  <c r="H790" i="2"/>
  <c r="I603" i="2"/>
  <c r="H603" i="2"/>
  <c r="I1332" i="2"/>
  <c r="H1332" i="2"/>
  <c r="I419" i="2"/>
  <c r="H419" i="2"/>
  <c r="I460" i="2"/>
  <c r="H460" i="2"/>
  <c r="I319" i="2"/>
  <c r="H319" i="2"/>
  <c r="I993" i="2"/>
  <c r="H993" i="2"/>
  <c r="I441" i="2"/>
  <c r="H441" i="2"/>
  <c r="I310" i="2"/>
  <c r="H310" i="2"/>
  <c r="I21" i="2"/>
  <c r="H21" i="2"/>
  <c r="I149" i="2"/>
  <c r="H149" i="2"/>
  <c r="I830" i="2"/>
  <c r="H830" i="2"/>
  <c r="I37" i="2"/>
  <c r="H37" i="2"/>
  <c r="I76" i="2"/>
  <c r="H76" i="2"/>
  <c r="I1372" i="2"/>
  <c r="H1372" i="2"/>
  <c r="I180" i="2"/>
  <c r="H180" i="2"/>
  <c r="I230" i="2"/>
  <c r="H230" i="2"/>
  <c r="I335" i="2"/>
  <c r="H335" i="2"/>
  <c r="I42" i="2"/>
  <c r="H42" i="2"/>
  <c r="I820" i="2"/>
  <c r="H820" i="2"/>
  <c r="I966" i="2"/>
  <c r="H966" i="2"/>
  <c r="I661" i="2"/>
  <c r="H661" i="2"/>
  <c r="I247" i="2"/>
  <c r="H247" i="2"/>
  <c r="I95" i="2"/>
  <c r="H95" i="2"/>
  <c r="I278" i="2"/>
  <c r="H278" i="2"/>
  <c r="I1257" i="2"/>
  <c r="H1257" i="2"/>
  <c r="I402" i="2"/>
  <c r="H402" i="2"/>
  <c r="I711" i="2"/>
  <c r="H711" i="2"/>
  <c r="I1196" i="2"/>
  <c r="H1196" i="2"/>
  <c r="I274" i="2"/>
  <c r="H274" i="2"/>
  <c r="I961" i="2"/>
  <c r="H961" i="2"/>
  <c r="I58" i="2"/>
  <c r="H58" i="2"/>
  <c r="I410" i="2"/>
  <c r="H410" i="2"/>
  <c r="I439" i="2"/>
  <c r="H439" i="2"/>
  <c r="I845" i="2"/>
  <c r="H845" i="2"/>
  <c r="I252" i="2"/>
  <c r="H252" i="2"/>
  <c r="I139" i="2"/>
  <c r="H139" i="2"/>
  <c r="I318" i="2"/>
  <c r="H318" i="2"/>
  <c r="I175" i="2"/>
  <c r="H175" i="2"/>
  <c r="I541" i="2"/>
  <c r="H541" i="2"/>
  <c r="I34" i="2"/>
  <c r="H34" i="2"/>
  <c r="I80" i="2"/>
  <c r="H80" i="2"/>
  <c r="I331" i="2"/>
  <c r="H331" i="2"/>
  <c r="I69" i="2"/>
  <c r="H69" i="2"/>
  <c r="I17" i="2"/>
  <c r="H17" i="2"/>
  <c r="I94" i="2"/>
  <c r="H94" i="2"/>
  <c r="I760" i="2"/>
  <c r="H760" i="2"/>
  <c r="I72" i="2"/>
  <c r="H72" i="2"/>
  <c r="I565" i="2"/>
  <c r="H565" i="2"/>
  <c r="I287" i="2"/>
  <c r="H287" i="2"/>
  <c r="I25" i="2"/>
  <c r="H25" i="2"/>
  <c r="I528" i="2"/>
  <c r="H528" i="2"/>
  <c r="I143" i="2"/>
  <c r="H143" i="2"/>
  <c r="I294" i="2"/>
  <c r="H294" i="2"/>
  <c r="I186" i="2"/>
  <c r="H186" i="2"/>
  <c r="I110" i="2"/>
  <c r="H110" i="2"/>
  <c r="I399" i="2"/>
  <c r="H399" i="2"/>
  <c r="I515" i="2"/>
  <c r="H515" i="2"/>
  <c r="I35" i="2"/>
  <c r="H35" i="2"/>
  <c r="I517" i="2"/>
  <c r="H517" i="2"/>
  <c r="I352" i="2"/>
  <c r="H352" i="2"/>
  <c r="I24" i="2"/>
  <c r="H24" i="2"/>
  <c r="I129" i="2"/>
  <c r="H129" i="2"/>
  <c r="I271" i="2"/>
  <c r="H271" i="2"/>
  <c r="I242" i="2"/>
  <c r="H242" i="2"/>
  <c r="I225" i="2"/>
  <c r="H225" i="2"/>
  <c r="I329" i="2"/>
  <c r="H329" i="2"/>
  <c r="I116" i="2"/>
  <c r="H116" i="2"/>
  <c r="I181" i="2"/>
  <c r="H181" i="2"/>
  <c r="I268" i="2"/>
  <c r="H268" i="2"/>
  <c r="I359" i="2"/>
  <c r="H359" i="2"/>
  <c r="I269" i="2"/>
  <c r="H269" i="2"/>
  <c r="I341" i="2"/>
  <c r="H341" i="2"/>
  <c r="I52" i="2"/>
  <c r="H52" i="2"/>
  <c r="I111" i="2"/>
  <c r="H111" i="2"/>
  <c r="I128" i="2"/>
  <c r="H128" i="2"/>
  <c r="I88" i="2"/>
  <c r="H88" i="2"/>
  <c r="I137" i="2"/>
  <c r="H137" i="2"/>
  <c r="I33" i="2"/>
  <c r="H33" i="2"/>
  <c r="I201" i="2"/>
  <c r="H201" i="2"/>
  <c r="I47" i="2"/>
  <c r="H47" i="2"/>
  <c r="I153" i="2"/>
  <c r="H153" i="2"/>
  <c r="I32" i="2"/>
  <c r="H32" i="2"/>
  <c r="I12" i="2"/>
  <c r="H12" i="2"/>
  <c r="I56" i="2"/>
  <c r="H56" i="2"/>
  <c r="I8" i="2"/>
  <c r="H8" i="2"/>
  <c r="I84" i="2"/>
  <c r="H84" i="2"/>
  <c r="I63" i="2"/>
  <c r="H63" i="2"/>
  <c r="I27" i="2"/>
  <c r="H2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2483A1-CB44-472C-AC4C-A4C2DD6F5D12}" keepAlive="1" name="Query - AvsY 4 datasets" description="Connection to the 'AvsY 4 datasets' query in the workbook." type="5" refreshedVersion="7" background="1" saveData="1">
    <dbPr connection="Provider=Microsoft.Mashup.OleDb.1;Data Source=$Workbook$;Location=&quot;AvsY 4 datasets&quot;;Extended Properties=&quot;&quot;" command="SELECT * FROM [AvsY 4 datasets]"/>
  </connection>
  <connection id="2" xr16:uid="{707F2437-E88A-4A86-98AD-E153ADF87A69}" keepAlive="1" name="Query - DOWNREGULATED" description="Connection to the 'DOWNREGULATED' query in the workbook." type="5" refreshedVersion="8" background="1" saveData="1">
    <dbPr connection="Provider=Microsoft.Mashup.OleDb.1;Data Source=$Workbook$;Location=DOWNREGULATED;Extended Properties=&quot;&quot;" command="SELECT * FROM [DOWNREGULATED]"/>
  </connection>
  <connection id="3" xr16:uid="{A1BC0DD0-CBB2-4FDC-BBDA-5ACFBE1675F6}" keepAlive="1" name="Query - UPREGULATED" description="Connection to the 'UPREGULATED' query in the workbook." type="5" refreshedVersion="8" background="1" saveData="1">
    <dbPr connection="Provider=Microsoft.Mashup.OleDb.1;Data Source=$Workbook$;Location=UPREGULATED;Extended Properties=&quot;&quot;" command="SELECT * FROM [UPREGULATED]"/>
  </connection>
  <connection id="4" xr16:uid="{58592208-EEC5-4ADC-8738-C1A04D75AF34}" keepAlive="1" name="Query - UPREGULATED (2)" description="Connection to the 'UPREGULATED (2)' query in the workbook." type="5" refreshedVersion="8" background="1" saveData="1">
    <dbPr connection="Provider=Microsoft.Mashup.OleDb.1;Data Source=$Workbook$;Location=&quot;UPREGULATED (2)&quot;;Extended Properties=&quot;&quot;" command="SELECT * FROM [UPREGULATED (2)]"/>
  </connection>
</connections>
</file>

<file path=xl/sharedStrings.xml><?xml version="1.0" encoding="utf-8"?>
<sst xmlns="http://schemas.openxmlformats.org/spreadsheetml/2006/main" count="7913" uniqueCount="5507">
  <si>
    <t>baseMean</t>
  </si>
  <si>
    <t>log2FoldChange</t>
  </si>
  <si>
    <t>pvalue</t>
  </si>
  <si>
    <t>padj</t>
  </si>
  <si>
    <t>Gene name</t>
  </si>
  <si>
    <t>Gene description</t>
  </si>
  <si>
    <t>NCBI gene ID</t>
  </si>
  <si>
    <t>Ensembl ID</t>
  </si>
  <si>
    <t>MGI ID</t>
  </si>
  <si>
    <t>Type</t>
  </si>
  <si>
    <t>Rcn1</t>
  </si>
  <si>
    <t>reticulocalbin 1 [Source:MGI Symbol;Acc:MGI:104559]</t>
  </si>
  <si>
    <t>protein_coding</t>
  </si>
  <si>
    <t>Nsmaf</t>
  </si>
  <si>
    <t>neutral sphingomyelinase (N-SMase) activation associated factor [Source:MGI Symbol;Acc:MGI:1341864]</t>
  </si>
  <si>
    <t>Pde1c</t>
  </si>
  <si>
    <t>phosphodiesterase 1C [Source:MGI Symbol;Acc:MGI:108413]</t>
  </si>
  <si>
    <t>Rhox5</t>
  </si>
  <si>
    <t>reproductive homeobox 5 [Source:MGI Symbol;Acc:MGI:97538]</t>
  </si>
  <si>
    <t>Ids</t>
  </si>
  <si>
    <t>iduronate 2-sulfatase [Source:MGI Symbol;Acc:MGI:96417]</t>
  </si>
  <si>
    <t>Ppic</t>
  </si>
  <si>
    <t>peptidylprolyl isomerase C [Source:MGI Symbol;Acc:MGI:97751]</t>
  </si>
  <si>
    <t>Pdlim4</t>
  </si>
  <si>
    <t>PDZ and LIM domain 4 [Source:MGI Symbol;Acc:MGI:1353470]</t>
  </si>
  <si>
    <t>Ms4a4a</t>
  </si>
  <si>
    <t>membrane-spanning 4-domains, subfamily A, member 4A [Source:MGI Symbol;Acc:MGI:3643932]</t>
  </si>
  <si>
    <t>Tlr8</t>
  </si>
  <si>
    <t>toll-like receptor 8 [Source:MGI Symbol;Acc:MGI:2176887]</t>
  </si>
  <si>
    <t>Slc22a23</t>
  </si>
  <si>
    <t>solute carrier family 22, member 23 [Source:MGI Symbol;Acc:MGI:1920352]</t>
  </si>
  <si>
    <t>Met</t>
  </si>
  <si>
    <t>met proto-oncogene [Source:MGI Symbol;Acc:MGI:96969]</t>
  </si>
  <si>
    <t>Olfm4</t>
  </si>
  <si>
    <t>olfactomedin 4 [Source:MGI Symbol;Acc:MGI:2685142]</t>
  </si>
  <si>
    <t>Csf3</t>
  </si>
  <si>
    <t>colony stimulating factor 3 (granulocyte) [Source:MGI Symbol;Acc:MGI:1339751]</t>
  </si>
  <si>
    <t>Traf1</t>
  </si>
  <si>
    <t>TNF receptor-associated factor 1 [Source:MGI Symbol;Acc:MGI:101836]</t>
  </si>
  <si>
    <t>Kdm5b</t>
  </si>
  <si>
    <t>lysine (K)-specific demethylase 5B [Source:MGI Symbol;Acc:MGI:1922855]</t>
  </si>
  <si>
    <t>Wtip</t>
  </si>
  <si>
    <t>WT1-interacting protein [Source:MGI Symbol;Acc:MGI:2141920]</t>
  </si>
  <si>
    <t>Gm43449</t>
  </si>
  <si>
    <t>predicted gene 43449 [Source:MGI Symbol;Acc:MGI:5663586]</t>
  </si>
  <si>
    <t>---</t>
  </si>
  <si>
    <t>antisense</t>
  </si>
  <si>
    <t>Adam19</t>
  </si>
  <si>
    <t>a disintegrin and metallopeptidase domain 19 (meltrin beta) [Source:MGI Symbol;Acc:MGI:105377]</t>
  </si>
  <si>
    <t>Adad2</t>
  </si>
  <si>
    <t>adenosine deaminase domain containing 2 [Source:MGI Symbol;Acc:MGI:1923023]</t>
  </si>
  <si>
    <t>Fat3</t>
  </si>
  <si>
    <t>FAT atypical cadherin 3 [Source:MGI Symbol;Acc:MGI:2444314]</t>
  </si>
  <si>
    <t>Rtp4</t>
  </si>
  <si>
    <t>receptor transporter protein 4 [Source:MGI Symbol;Acc:MGI:1915025]</t>
  </si>
  <si>
    <t>Hgf</t>
  </si>
  <si>
    <t>hepatocyte growth factor [Source:MGI Symbol;Acc:MGI:96079]</t>
  </si>
  <si>
    <t>Anks6</t>
  </si>
  <si>
    <t>ankyrin repeat and sterile alpha motif domain containing 6 [Source:MGI Symbol;Acc:MGI:1922941]</t>
  </si>
  <si>
    <t>Gbp2</t>
  </si>
  <si>
    <t>guanylate binding protein 2 [Source:MGI Symbol;Acc:MGI:102772]</t>
  </si>
  <si>
    <t>Mybpc1</t>
  </si>
  <si>
    <t>myosin binding protein C, slow-type [Source:MGI Symbol;Acc:MGI:1336213]</t>
  </si>
  <si>
    <t>Cmpk2</t>
  </si>
  <si>
    <t>cytidine monophosphate (UMP-CMP) kinase 2, mitochondrial [Source:MGI Symbol;Acc:MGI:99830]</t>
  </si>
  <si>
    <t>Isg15</t>
  </si>
  <si>
    <t>ISG15 ubiquitin-like modifier [Source:MGI Symbol;Acc:MGI:1855694]</t>
  </si>
  <si>
    <t>Tex101</t>
  </si>
  <si>
    <t>testis expressed gene 101 [Source:MGI Symbol;Acc:MGI:1930791]</t>
  </si>
  <si>
    <t>Zdhhc2</t>
  </si>
  <si>
    <t>zinc finger, DHHC domain containing 2 [Source:MGI Symbol;Acc:MGI:1923452]</t>
  </si>
  <si>
    <t>Axin2</t>
  </si>
  <si>
    <t>axin 2 [Source:MGI Symbol;Acc:MGI:1270862]</t>
  </si>
  <si>
    <t>Rnf150</t>
  </si>
  <si>
    <t>ring finger protein 150 [Source:MGI Symbol;Acc:MGI:2443860]</t>
  </si>
  <si>
    <t>Elavl4</t>
  </si>
  <si>
    <t>ELAV like RNA binding protein 4 [Source:MGI Symbol;Acc:MGI:107427]</t>
  </si>
  <si>
    <t>Mmp15</t>
  </si>
  <si>
    <t>matrix metallopeptidase 15 [Source:MGI Symbol;Acc:MGI:109320]</t>
  </si>
  <si>
    <t>Mmp8</t>
  </si>
  <si>
    <t>matrix metallopeptidase 8 [Source:MGI Symbol;Acc:MGI:1202395]</t>
  </si>
  <si>
    <t>Saa3</t>
  </si>
  <si>
    <t>serum amyloid A 3 [Source:MGI Symbol;Acc:MGI:98223]</t>
  </si>
  <si>
    <t>Oasl2</t>
  </si>
  <si>
    <t>2'-5' oligoadenylate synthetase-like 2 [Source:MGI Symbol;Acc:MGI:1344390]</t>
  </si>
  <si>
    <t>Evl</t>
  </si>
  <si>
    <t>Ena-vasodilator stimulated phosphoprotein [Source:MGI Symbol;Acc:MGI:1194884]</t>
  </si>
  <si>
    <t>Nos2</t>
  </si>
  <si>
    <t>nitric oxide synthase 2, inducible [Source:MGI Symbol;Acc:MGI:97361]</t>
  </si>
  <si>
    <t>Lgals3bp</t>
  </si>
  <si>
    <t>lectin, galactoside-binding, soluble, 3 binding protein [Source:MGI Symbol;Acc:MGI:99554]</t>
  </si>
  <si>
    <t>Gm5431</t>
  </si>
  <si>
    <t>predicted gene 5431 [Source:MGI Symbol;Acc:MGI:3645205]</t>
  </si>
  <si>
    <t>Eif2c5</t>
  </si>
  <si>
    <t>eukaryotic translation initiation factor 2C, 5 [Source:MGI Symbol;Acc:MGI:2446636]</t>
  </si>
  <si>
    <t>lincRNA</t>
  </si>
  <si>
    <t>Ctso</t>
  </si>
  <si>
    <t>cathepsin O [Source:MGI Symbol;Acc:MGI:2139628]</t>
  </si>
  <si>
    <t>Ms4a6b</t>
  </si>
  <si>
    <t>membrane-spanning 4-domains, subfamily A, member 6B [Source:MGI Symbol;Acc:MGI:1917024]</t>
  </si>
  <si>
    <t>Dock6</t>
  </si>
  <si>
    <t>dedicator of cytokinesis 6 [Source:MGI Symbol;Acc:MGI:1914789]</t>
  </si>
  <si>
    <t>Hck</t>
  </si>
  <si>
    <t>hemopoietic cell kinase [Source:MGI Symbol;Acc:MGI:96052]</t>
  </si>
  <si>
    <t>Mturn</t>
  </si>
  <si>
    <t>maturin, neural progenitor differentiation regulator homolog (Xenopus) [Source:MGI Symbol;Acc:MGI:1915485]</t>
  </si>
  <si>
    <t>Ccl5</t>
  </si>
  <si>
    <t>chemokine (C-C motif) ligand 5 [Source:MGI Symbol;Acc:MGI:98262]</t>
  </si>
  <si>
    <t>Dapk1</t>
  </si>
  <si>
    <t>death associated protein kinase 1 [Source:MGI Symbol;Acc:MGI:1916885]</t>
  </si>
  <si>
    <t>Ebi3</t>
  </si>
  <si>
    <t>Epstein-Barr virus induced gene 3 [Source:MGI Symbol;Acc:MGI:1354171]</t>
  </si>
  <si>
    <t>Ifit1</t>
  </si>
  <si>
    <t>interferon-induced protein with tetratricopeptide repeats 1 [Source:MGI Symbol;Acc:MGI:99450]</t>
  </si>
  <si>
    <t>Tspan13</t>
  </si>
  <si>
    <t>tetraspanin 13 [Source:MGI Symbol;Acc:MGI:1913359]</t>
  </si>
  <si>
    <t>Gbp3</t>
  </si>
  <si>
    <t>guanylate binding protein 3 [Source:MGI Symbol;Acc:MGI:1926263]</t>
  </si>
  <si>
    <t>Serpina12</t>
  </si>
  <si>
    <t>serine (or cysteine) peptidase inhibitor, clade A (alpha-1 antiproteinase, antitrypsin), member 12 [Source:MGI Symbol;Acc:MGI:1915304]</t>
  </si>
  <si>
    <t>Ptpn14</t>
  </si>
  <si>
    <t>protein tyrosine phosphatase, non-receptor type 14 [Source:MGI Symbol;Acc:MGI:102467]</t>
  </si>
  <si>
    <t>Rgs12</t>
  </si>
  <si>
    <t>regulator of G-protein signaling 12 [Source:MGI Symbol;Acc:MGI:1918979]</t>
  </si>
  <si>
    <t>Ccdc194</t>
  </si>
  <si>
    <t>coiled-coil domain containing 194 [Source:MGI Symbol;Acc:MGI:3588239]</t>
  </si>
  <si>
    <t>Ccdc125</t>
  </si>
  <si>
    <t>coiled-coil domain containing 125 [Source:MGI Symbol;Acc:MGI:1923291]</t>
  </si>
  <si>
    <t>Raet1e</t>
  </si>
  <si>
    <t>retinoic acid early transcript 1E [Source:MGI Symbol;Acc:MGI:2675273]</t>
  </si>
  <si>
    <t>Mesp2</t>
  </si>
  <si>
    <t>mesoderm posterior 2 [Source:MGI Symbol;Acc:MGI:1096325]</t>
  </si>
  <si>
    <t>Myh10</t>
  </si>
  <si>
    <t>myosin, heavy polypeptide 10, non-muscle [Source:MGI Symbol;Acc:MGI:1930780]</t>
  </si>
  <si>
    <t>Arhgef37</t>
  </si>
  <si>
    <t>Rho guanine nucleotide exchange factor (GEF) 37 [Source:MGI Symbol;Acc:MGI:3045339]</t>
  </si>
  <si>
    <t>Gbp7</t>
  </si>
  <si>
    <t>guanylate binding protein 7 [Source:MGI Symbol;Acc:MGI:2444421]</t>
  </si>
  <si>
    <t>Irf7</t>
  </si>
  <si>
    <t>interferon regulatory factor 7 [Source:MGI Symbol;Acc:MGI:1859212]</t>
  </si>
  <si>
    <t>Creb3l3</t>
  </si>
  <si>
    <t>cAMP responsive element binding protein 3-like 3 [Source:MGI Symbol;Acc:MGI:2384786]</t>
  </si>
  <si>
    <t>Fam151b</t>
  </si>
  <si>
    <t>family with sequence similarity 151, member B [Source:MGI Symbol;Acc:MGI:1921192]</t>
  </si>
  <si>
    <t>Mfap3l</t>
  </si>
  <si>
    <t>microfibrillar-associated protein 3-like [Source:MGI Symbol;Acc:MGI:1918556]</t>
  </si>
  <si>
    <t>Rasa4</t>
  </si>
  <si>
    <t>RAS p21 protein activator 4 [Source:MGI Symbol;Acc:MGI:1858600]</t>
  </si>
  <si>
    <t>Slfn5</t>
  </si>
  <si>
    <t>schlafen 5 [Source:MGI Symbol;Acc:MGI:1329004]</t>
  </si>
  <si>
    <t>Cxcl10</t>
  </si>
  <si>
    <t>chemokine (C-X-C motif) ligand 10 [Source:MGI Symbol;Acc:MGI:1352450]</t>
  </si>
  <si>
    <t>Zcchc24</t>
  </si>
  <si>
    <t>zinc finger, CCHC domain containing 24 [Source:MGI Symbol;Acc:MGI:1919168]</t>
  </si>
  <si>
    <t>2700081O15Rik</t>
  </si>
  <si>
    <t>RIKEN cDNA 2700081O15 gene [Source:MGI Symbol;Acc:MGI:1919667]</t>
  </si>
  <si>
    <t>Ms4a7</t>
  </si>
  <si>
    <t>membrane-spanning 4-domains, subfamily A, member 7 [Source:MGI Symbol;Acc:MGI:1918846]</t>
  </si>
  <si>
    <t>Ifi203</t>
  </si>
  <si>
    <t>interferon activated gene 203 [Source:MGI Symbol;Acc:MGI:96428]</t>
  </si>
  <si>
    <t>Bcl2a1b</t>
  </si>
  <si>
    <t>B cell leukemia/lymphoma 2 related protein A1b [Source:MGI Symbol;Acc:MGI:1278326]</t>
  </si>
  <si>
    <t>B3gnt7</t>
  </si>
  <si>
    <t>UDP-GlcNAc:betaGal beta-1,3-N-acetylglucosaminyltransferase 7 [Source:MGI Symbol;Acc:MGI:2384394]</t>
  </si>
  <si>
    <t>Fam189a2</t>
  </si>
  <si>
    <t>family with sequence similarity 189, member A2 [Source:MGI Symbol;Acc:MGI:2685813]</t>
  </si>
  <si>
    <t>Ralgps2</t>
  </si>
  <si>
    <t>Ral GEF with PH domain and SH3 binding motif 2 [Source:MGI Symbol;Acc:MGI:1925505]</t>
  </si>
  <si>
    <t>Gm26510</t>
  </si>
  <si>
    <t>predicted gene, 26510 [Source:MGI Symbol;Acc:MGI:5477004]</t>
  </si>
  <si>
    <t>Parp14</t>
  </si>
  <si>
    <t>poly (ADP-ribose) polymerase family, member 14 [Source:MGI Symbol;Acc:MGI:1919489]</t>
  </si>
  <si>
    <t>Tfec</t>
  </si>
  <si>
    <t>transcription factor EC [Source:MGI Symbol;Acc:MGI:1333760]</t>
  </si>
  <si>
    <t>Inpp4b</t>
  </si>
  <si>
    <t>inositol polyphosphate-4-phosphatase, type II [Source:MGI Symbol;Acc:MGI:2158925]</t>
  </si>
  <si>
    <t>Agt</t>
  </si>
  <si>
    <t>angiotensinogen (serpin peptidase inhibitor, clade A, member 8) [Source:MGI Symbol;Acc:MGI:87963]</t>
  </si>
  <si>
    <t>Rundc3b</t>
  </si>
  <si>
    <t>RUN domain containing 3B [Source:MGI Symbol;Acc:MGI:2685286]</t>
  </si>
  <si>
    <t>Ahr</t>
  </si>
  <si>
    <t>aryl-hydrocarbon receptor [Source:MGI Symbol;Acc:MGI:105043]</t>
  </si>
  <si>
    <t>Tnfrsf14</t>
  </si>
  <si>
    <t>tumor necrosis factor receptor superfamily, member 14 (herpesvirus entry mediator) [Source:MGI Symbol;Acc:MGI:2675303]</t>
  </si>
  <si>
    <t>Gsta3</t>
  </si>
  <si>
    <t>glutathione S-transferase, alpha 3 [Source:MGI Symbol;Acc:MGI:95856]</t>
  </si>
  <si>
    <t>Cxcl2</t>
  </si>
  <si>
    <t>chemokine (C-X-C motif) ligand 2 [Source:MGI Symbol;Acc:MGI:1340094]</t>
  </si>
  <si>
    <t>Gm11632</t>
  </si>
  <si>
    <t>predicted gene 11632 [Source:MGI Symbol;Acc:MGI:3705198]</t>
  </si>
  <si>
    <t>processed_transcript</t>
  </si>
  <si>
    <t>Adcy3</t>
  </si>
  <si>
    <t>adenylate cyclase 3 [Source:MGI Symbol;Acc:MGI:99675]</t>
  </si>
  <si>
    <t>Ifit3</t>
  </si>
  <si>
    <t>interferon-induced protein with tetratricopeptide repeats 3 [Source:MGI Symbol;Acc:MGI:1101055]</t>
  </si>
  <si>
    <t>Slc13a3</t>
  </si>
  <si>
    <t>solute carrier family 13 (sodium-dependent dicarboxylate transporter), member 3 [Source:MGI Symbol;Acc:MGI:2149635]</t>
  </si>
  <si>
    <t>Tspan10</t>
  </si>
  <si>
    <t>tetraspanin 10 [Source:MGI Symbol;Acc:MGI:2384781]</t>
  </si>
  <si>
    <t>Dnah17</t>
  </si>
  <si>
    <t>dynein, axonemal, heavy chain 17 [Source:MGI Symbol;Acc:MGI:1917176]</t>
  </si>
  <si>
    <t>Ltc4s</t>
  </si>
  <si>
    <t>leukotriene C4 synthase [Source:MGI Symbol;Acc:MGI:107498]</t>
  </si>
  <si>
    <t>Fcrls</t>
  </si>
  <si>
    <t>Fc receptor-like S, scavenger receptor [Source:MGI Symbol;Acc:MGI:1933397]</t>
  </si>
  <si>
    <t>Rsad2</t>
  </si>
  <si>
    <t>radical S-adenosyl methionine domain containing 2 [Source:MGI Symbol;Acc:MGI:1929628]</t>
  </si>
  <si>
    <t>Lipg</t>
  </si>
  <si>
    <t>lipase, endothelial [Source:MGI Symbol;Acc:MGI:1341803]</t>
  </si>
  <si>
    <t>Ifi211</t>
  </si>
  <si>
    <t>interferon activated gene 211 [Source:MGI Symbol;Acc:MGI:3041120]</t>
  </si>
  <si>
    <t>Il1a</t>
  </si>
  <si>
    <t>interleukin 1 alpha [Source:MGI Symbol;Acc:MGI:96542]</t>
  </si>
  <si>
    <t>Gm8995</t>
  </si>
  <si>
    <t>predicted gene 8995 [Source:MGI Symbol;Acc:MGI:3644223]</t>
  </si>
  <si>
    <t>transcribed_unprocessed_pseudogene</t>
  </si>
  <si>
    <t>Selenop</t>
  </si>
  <si>
    <t>selenoprotein P [Source:MGI Symbol;Acc:MGI:894288]</t>
  </si>
  <si>
    <t>S100a11</t>
  </si>
  <si>
    <t>S100 calcium binding protein A11 [Source:MGI Symbol;Acc:MGI:1338798]</t>
  </si>
  <si>
    <t>Xaf1</t>
  </si>
  <si>
    <t>XIAP associated factor 1 [Source:MGI Symbol;Acc:MGI:3772572]</t>
  </si>
  <si>
    <t>R74862</t>
  </si>
  <si>
    <t>expressed sequence R74862 [Source:MGI Symbol;Acc:MGI:2142382]</t>
  </si>
  <si>
    <t>bidirectional_promoter_lncRNA</t>
  </si>
  <si>
    <t>Ccrl2</t>
  </si>
  <si>
    <t>chemokine (C-C motif) receptor-like 2 [Source:MGI Symbol;Acc:MGI:1920904]</t>
  </si>
  <si>
    <t>Tlr12</t>
  </si>
  <si>
    <t>toll-like receptor 12 [Source:MGI Symbol;Acc:MGI:3045221]</t>
  </si>
  <si>
    <t>Spsb1</t>
  </si>
  <si>
    <t>splA/ryanodine receptor domain and SOCS box containing 1 [Source:MGI Symbol;Acc:MGI:1921896]</t>
  </si>
  <si>
    <t>Ddx58</t>
  </si>
  <si>
    <t>DEAD (Asp-Glu-Ala-Asp) box polypeptide 58 [Source:MGI Symbol;Acc:MGI:2442858]</t>
  </si>
  <si>
    <t>Slc10a6</t>
  </si>
  <si>
    <t>solute carrier family 10 (sodium/bile acid cotransporter family), member 6 [Source:MGI Symbol;Acc:MGI:1923000]</t>
  </si>
  <si>
    <t>Entpd1</t>
  </si>
  <si>
    <t>ectonucleoside triphosphate diphosphohydrolase 1 [Source:MGI Symbol;Acc:MGI:102805]</t>
  </si>
  <si>
    <t>Pianp</t>
  </si>
  <si>
    <t>PILR alpha associated neural protein [Source:MGI Symbol;Acc:MGI:2441908]</t>
  </si>
  <si>
    <t>Cbr2</t>
  </si>
  <si>
    <t>carbonyl reductase 2 [Source:MGI Symbol;Acc:MGI:107200]</t>
  </si>
  <si>
    <t>Apoc4</t>
  </si>
  <si>
    <t>apolipoprotein C-IV [Source:MGI Symbol;Acc:MGI:87878]</t>
  </si>
  <si>
    <t>Il15ra</t>
  </si>
  <si>
    <t>interleukin 15 receptor, alpha chain [Source:MGI Symbol;Acc:MGI:104644]</t>
  </si>
  <si>
    <t>Mxd4</t>
  </si>
  <si>
    <t>Max dimerization protein 4 [Source:MGI Symbol;Acc:MGI:104991]</t>
  </si>
  <si>
    <t>Sel1l3</t>
  </si>
  <si>
    <t>sel-1 suppressor of lin-12-like 3 (C. elegans) [Source:MGI Symbol;Acc:MGI:1916941]</t>
  </si>
  <si>
    <t>Mndal</t>
  </si>
  <si>
    <t>myeloid nuclear differentiation antigen like [Source:MGI Symbol;Acc:MGI:3780953]</t>
  </si>
  <si>
    <t>Siglece</t>
  </si>
  <si>
    <t>sialic acid binding Ig-like lectin E [Source:MGI Symbol;Acc:MGI:1932475]</t>
  </si>
  <si>
    <t>Neurl3</t>
  </si>
  <si>
    <t>neuralized E3 ubiquitin protein ligase 3 [Source:MGI Symbol;Acc:MGI:2429944]</t>
  </si>
  <si>
    <t>Ppfia4</t>
  </si>
  <si>
    <t>protein tyrosine phosphatase, receptor type, f polypeptide (PTPRF), interacting protein (liprin), alpha 4 [Source:MGI Symbol;Acc:MGI:1915757]</t>
  </si>
  <si>
    <t>Calhm6</t>
  </si>
  <si>
    <t>calcium homeostasis modulator family member 6 [Source:MGI Symbol;Acc:MGI:2443082]</t>
  </si>
  <si>
    <t>Tbxas1</t>
  </si>
  <si>
    <t>thromboxane A synthase 1, platelet [Source:MGI Symbol;Acc:MGI:98497]</t>
  </si>
  <si>
    <t>H2-K1</t>
  </si>
  <si>
    <t>histocompatibility 2, K1, K region [Source:MGI Symbol;Acc:MGI:95904]</t>
  </si>
  <si>
    <t>Tm4sf5</t>
  </si>
  <si>
    <t>transmembrane 4 superfamily member 5 [Source:MGI Symbol;Acc:MGI:1922854]</t>
  </si>
  <si>
    <t>C1qb</t>
  </si>
  <si>
    <t>complement component 1, q subcomponent, beta polypeptide [Source:MGI Symbol;Acc:MGI:88224]</t>
  </si>
  <si>
    <t>Aif1</t>
  </si>
  <si>
    <t>allograft inflammatory factor 1 [Source:MGI Symbol;Acc:MGI:1343098]</t>
  </si>
  <si>
    <t>Rab11fip4</t>
  </si>
  <si>
    <t>RAB11 family interacting protein 4 (class II) [Source:MGI Symbol;Acc:MGI:2442920]</t>
  </si>
  <si>
    <t>Mpeg1</t>
  </si>
  <si>
    <t>macrophage expressed gene 1 [Source:MGI Symbol;Acc:MGI:1333743]</t>
  </si>
  <si>
    <t>Gpr84</t>
  </si>
  <si>
    <t>G protein-coupled receptor 84 [Source:MGI Symbol;Acc:MGI:1934129]</t>
  </si>
  <si>
    <t>Plxnb3</t>
  </si>
  <si>
    <t>plexin B3 [Source:MGI Symbol;Acc:MGI:2154240]</t>
  </si>
  <si>
    <t>Ms4a6c</t>
  </si>
  <si>
    <t>membrane-spanning 4-domains, subfamily A, member 6C [Source:MGI Symbol;Acc:MGI:2385644]</t>
  </si>
  <si>
    <t>Hacd4</t>
  </si>
  <si>
    <t>3-hydroxyacyl-CoA dehydratase 4 [Source:MGI Symbol;Acc:MGI:1914025]</t>
  </si>
  <si>
    <t>Ctsf</t>
  </si>
  <si>
    <t>cathepsin F [Source:MGI Symbol;Acc:MGI:1861434]</t>
  </si>
  <si>
    <t>Sp110</t>
  </si>
  <si>
    <t>Sp110 nuclear body protein [Source:MGI Symbol;Acc:MGI:1923364]</t>
  </si>
  <si>
    <t>Tns4</t>
  </si>
  <si>
    <t>tensin 4 [Source:MGI Symbol;Acc:MGI:2144377]</t>
  </si>
  <si>
    <t>Casp7</t>
  </si>
  <si>
    <t>caspase 7 [Source:MGI Symbol;Acc:MGI:109383]</t>
  </si>
  <si>
    <t>Mroh2a</t>
  </si>
  <si>
    <t>maestro heat-like repeat family member 2A [Source:MGI Symbol;Acc:MGI:3705228]</t>
  </si>
  <si>
    <t>Src</t>
  </si>
  <si>
    <t>Rous sarcoma oncogene [Source:MGI Symbol;Acc:MGI:98397]</t>
  </si>
  <si>
    <t>Sqor</t>
  </si>
  <si>
    <t>sulfide quinone oxidoreductase [Source:MGI Symbol;Acc:MGI:1929899]</t>
  </si>
  <si>
    <t>Samd9l</t>
  </si>
  <si>
    <t>sterile alpha motif domain containing 9-like [Source:MGI Symbol;Acc:MGI:1343184]</t>
  </si>
  <si>
    <t>Gm11613</t>
  </si>
  <si>
    <t>predicted gene 11613 [Source:MGI Symbol;Acc:MGI:3651819]</t>
  </si>
  <si>
    <t>Wfdc17</t>
  </si>
  <si>
    <t>WAP four-disulfide core domain 17 [Source:MGI Symbol;Acc:MGI:3649773]</t>
  </si>
  <si>
    <t>AL935121.1</t>
  </si>
  <si>
    <t>novel protein</t>
  </si>
  <si>
    <t>Cd40</t>
  </si>
  <si>
    <t>CD40 antigen [Source:MGI Symbol;Acc:MGI:88336]</t>
  </si>
  <si>
    <t>Gm32591</t>
  </si>
  <si>
    <t>predicted gene, 32591 [Source:MGI Symbol;Acc:MGI:5591750]</t>
  </si>
  <si>
    <t>Ifi204</t>
  </si>
  <si>
    <t>interferon activated gene 204 [Source:MGI Symbol;Acc:MGI:96429]</t>
  </si>
  <si>
    <t>Pde7b</t>
  </si>
  <si>
    <t>phosphodiesterase 7B [Source:MGI Symbol;Acc:MGI:1352752]</t>
  </si>
  <si>
    <t>Usp18</t>
  </si>
  <si>
    <t>ubiquitin specific peptidase 18 [Source:MGI Symbol;Acc:MGI:1344364]</t>
  </si>
  <si>
    <t>Selenbp2</t>
  </si>
  <si>
    <t>selenium binding protein 2 [Source:MGI Symbol;Acc:MGI:104859]</t>
  </si>
  <si>
    <t>Kif26b</t>
  </si>
  <si>
    <t>kinesin family member 26B [Source:MGI Symbol;Acc:MGI:2447076]</t>
  </si>
  <si>
    <t>Oas2</t>
  </si>
  <si>
    <t>2'-5' oligoadenylate synthetase 2 [Source:MGI Symbol;Acc:MGI:2180852]</t>
  </si>
  <si>
    <t>Gm11545</t>
  </si>
  <si>
    <t>predicted gene 11545 [Source:MGI Symbol;Acc:MGI:2144683]</t>
  </si>
  <si>
    <t>unprocessed_pseudogene</t>
  </si>
  <si>
    <t>Myadml2</t>
  </si>
  <si>
    <t>myeloid-associated differentiation marker-like 2 [Source:MGI Symbol;Acc:MGI:1915765]</t>
  </si>
  <si>
    <t>Csf3r</t>
  </si>
  <si>
    <t>colony stimulating factor 3 receptor (granulocyte) [Source:MGI Symbol;Acc:MGI:1339755]</t>
  </si>
  <si>
    <t>Mrc1</t>
  </si>
  <si>
    <t>mannose receptor, C type 1 [Source:MGI Symbol;Acc:MGI:97142]</t>
  </si>
  <si>
    <t>Gm6088</t>
  </si>
  <si>
    <t>predicted gene 6088 [Source:MGI Symbol;Acc:MGI:3647646]</t>
  </si>
  <si>
    <t>processed_pseudogene</t>
  </si>
  <si>
    <t>Bcl2a1d</t>
  </si>
  <si>
    <t>B cell leukemia/lymphoma 2 related protein A1d [Source:MGI Symbol;Acc:MGI:1278325]</t>
  </si>
  <si>
    <t>Hes6</t>
  </si>
  <si>
    <t>hairy and enhancer of split 6 [Source:MGI Symbol;Acc:MGI:1859852]</t>
  </si>
  <si>
    <t>Gm4070</t>
  </si>
  <si>
    <t>predicted gene 4070 [Source:MGI Symbol;Acc:MGI:3782245]</t>
  </si>
  <si>
    <t>Gm10419</t>
  </si>
  <si>
    <t>predicted gene 10419 [Source:MGI Symbol;Acc:MGI:3642823]</t>
  </si>
  <si>
    <t>Fam214a</t>
  </si>
  <si>
    <t>family with sequence similarity 214, member A [Source:MGI Symbol;Acc:MGI:2387648]</t>
  </si>
  <si>
    <t>S1pr1</t>
  </si>
  <si>
    <t>sphingosine-1-phosphate receptor 1 [Source:MGI Symbol;Acc:MGI:1096355]</t>
  </si>
  <si>
    <t>Clec2d</t>
  </si>
  <si>
    <t>C-type lectin domain family 2, member d [Source:MGI Symbol;Acc:MGI:2135589]</t>
  </si>
  <si>
    <t>Ms4a6d</t>
  </si>
  <si>
    <t>membrane-spanning 4-domains, subfamily A, member 6D [Source:MGI Symbol;Acc:MGI:1916024]</t>
  </si>
  <si>
    <t>Zmat1</t>
  </si>
  <si>
    <t>zinc finger, matrin type 1 [Source:MGI Symbol;Acc:MGI:2442284]</t>
  </si>
  <si>
    <t>Ecm1</t>
  </si>
  <si>
    <t>extracellular matrix protein 1 [Source:MGI Symbol;Acc:MGI:103060]</t>
  </si>
  <si>
    <t>Slc36a2</t>
  </si>
  <si>
    <t>solute carrier family 36 (proton/amino acid symporter), member 2 [Source:MGI Symbol;Acc:MGI:1891430]</t>
  </si>
  <si>
    <t>Slfn2</t>
  </si>
  <si>
    <t>schlafen 2 [Source:MGI Symbol;Acc:MGI:1313258]</t>
  </si>
  <si>
    <t>Clec12a</t>
  </si>
  <si>
    <t>C-type lectin domain family 12, member a [Source:MGI Symbol;Acc:MGI:3040968]</t>
  </si>
  <si>
    <t>Fxyd2</t>
  </si>
  <si>
    <t>FXYD domain-containing ion transport regulator 2 [Source:MGI Symbol;Acc:MGI:1195260]</t>
  </si>
  <si>
    <t>Gm44805</t>
  </si>
  <si>
    <t>predicted gene 44805 [Source:MGI Symbol;Acc:MGI:5753381]</t>
  </si>
  <si>
    <t>Nlrp1c-ps</t>
  </si>
  <si>
    <t>NLR family, pyrin domain containing 1C, pseudogene [Source:MGI Symbol;Acc:MGI:3582962]</t>
  </si>
  <si>
    <t>Dhx58</t>
  </si>
  <si>
    <t>DEXH (Asp-Glu-X-His) box polypeptide 58 [Source:MGI Symbol;Acc:MGI:1931560]</t>
  </si>
  <si>
    <t>BC021767</t>
  </si>
  <si>
    <t>cDNA sequence BC021767 [Source:MGI Symbol;Acc:MGI:3615512]</t>
  </si>
  <si>
    <t>Sirpb1c</t>
  </si>
  <si>
    <t>signal-regulatory protein beta 1C [Source:MGI Symbol;Acc:MGI:3807521]</t>
  </si>
  <si>
    <t>Kmo</t>
  </si>
  <si>
    <t>kynurenine 3-monooxygenase (kynurenine 3-hydroxylase) [Source:MGI Symbol;Acc:MGI:2138151]</t>
  </si>
  <si>
    <t>Prdm1</t>
  </si>
  <si>
    <t>PR domain containing 1, with ZNF domain [Source:MGI Symbol;Acc:MGI:99655]</t>
  </si>
  <si>
    <t>Apoc2</t>
  </si>
  <si>
    <t>apolipoprotein C-II [Source:MGI Symbol;Acc:MGI:88054]</t>
  </si>
  <si>
    <t>Ypel3</t>
  </si>
  <si>
    <t>yippee like 3 [Source:MGI Symbol;Acc:MGI:1913340]</t>
  </si>
  <si>
    <t>Siglec1</t>
  </si>
  <si>
    <t>sialic acid binding Ig-like lectin 1, sialoadhesin [Source:MGI Symbol;Acc:MGI:99668]</t>
  </si>
  <si>
    <t>Mmp14</t>
  </si>
  <si>
    <t>matrix metallopeptidase 14 (membrane-inserted) [Source:MGI Symbol;Acc:MGI:101900]</t>
  </si>
  <si>
    <t>Gpr85</t>
  </si>
  <si>
    <t>G protein-coupled receptor 85 [Source:MGI Symbol;Acc:MGI:1927851]</t>
  </si>
  <si>
    <t>Cd22</t>
  </si>
  <si>
    <t>CD22 antigen [Source:MGI Symbol;Acc:MGI:88322]</t>
  </si>
  <si>
    <t>Ap3s1-ps1</t>
  </si>
  <si>
    <t>adaptor-related protein complex 3, sigma 1 subunit, pseudogene 1 [Source:MGI Symbol;Acc:MGI:1929216]</t>
  </si>
  <si>
    <t>Pilra</t>
  </si>
  <si>
    <t>paired immunoglobin-like type 2 receptor alpha [Source:MGI Symbol;Acc:MGI:2450529]</t>
  </si>
  <si>
    <t>BC106179</t>
  </si>
  <si>
    <t>cDNA sequence BC106179 [Source:MGI Symbol;Acc:MGI:3702726]</t>
  </si>
  <si>
    <t>Sp140</t>
  </si>
  <si>
    <t>Sp140 nuclear body protein [Source:MGI Symbol;Acc:MGI:3702467]</t>
  </si>
  <si>
    <t>Notch1</t>
  </si>
  <si>
    <t>notch 1 [Source:MGI Symbol;Acc:MGI:97363]</t>
  </si>
  <si>
    <t>Dpep2</t>
  </si>
  <si>
    <t>dipeptidase 2 [Source:MGI Symbol;Acc:MGI:2442042]</t>
  </si>
  <si>
    <t>Itgal</t>
  </si>
  <si>
    <t>integrin alpha L [Source:MGI Symbol;Acc:MGI:96606]</t>
  </si>
  <si>
    <t>Lsp1</t>
  </si>
  <si>
    <t>lymphocyte specific 1 [Source:MGI Symbol;Acc:MGI:96832]</t>
  </si>
  <si>
    <t>P2ry6</t>
  </si>
  <si>
    <t>pyrimidinergic receptor P2Y, G-protein coupled, 6 [Source:MGI Symbol;Acc:MGI:2673874]</t>
  </si>
  <si>
    <t>Pgrmc1</t>
  </si>
  <si>
    <t>progesterone receptor membrane component 1 [Source:MGI Symbol;Acc:MGI:1858305]</t>
  </si>
  <si>
    <t>Nrcam</t>
  </si>
  <si>
    <t>neuronal cell adhesion molecule [Source:MGI Symbol;Acc:MGI:104750]</t>
  </si>
  <si>
    <t>Iqcg</t>
  </si>
  <si>
    <t>IQ motif containing G [Source:MGI Symbol;Acc:MGI:1916957]</t>
  </si>
  <si>
    <t>Klhl38</t>
  </si>
  <si>
    <t>kelch-like 38 [Source:MGI Symbol;Acc:MGI:3045310]</t>
  </si>
  <si>
    <t>P2ry13</t>
  </si>
  <si>
    <t>purinergic receptor P2Y, G-protein coupled 13 [Source:MGI Symbol;Acc:MGI:1921441]</t>
  </si>
  <si>
    <t>Zfyve28</t>
  </si>
  <si>
    <t>zinc finger, FYVE domain containing 28 [Source:MGI Symbol;Acc:MGI:2684992]</t>
  </si>
  <si>
    <t>Slc46a3</t>
  </si>
  <si>
    <t>solute carrier family 46, member 3 [Source:MGI Symbol;Acc:MGI:1918956]</t>
  </si>
  <si>
    <t>Il10ra</t>
  </si>
  <si>
    <t>interleukin 10 receptor, alpha [Source:MGI Symbol;Acc:MGI:96538]</t>
  </si>
  <si>
    <t>Lst1</t>
  </si>
  <si>
    <t>leukocyte specific transcript 1 [Source:MGI Symbol;Acc:MGI:1096324]</t>
  </si>
  <si>
    <t>Stkld1</t>
  </si>
  <si>
    <t>serine/threonine kinase-like domain containing 1 [Source:MGI Symbol;Acc:MGI:2685557]</t>
  </si>
  <si>
    <t>Cdc42ep2</t>
  </si>
  <si>
    <t>CDC42 effector protein (Rho GTPase binding) 2 [Source:MGI Symbol;Acc:MGI:1929744]</t>
  </si>
  <si>
    <t>F13a1</t>
  </si>
  <si>
    <t>coagulation factor XIII, A1 subunit [Source:MGI Symbol;Acc:MGI:1921395]</t>
  </si>
  <si>
    <t>polymorphic_pseudogene</t>
  </si>
  <si>
    <t>Atp2b4</t>
  </si>
  <si>
    <t>ATPase, Ca++ transporting, plasma membrane 4 [Source:MGI Symbol;Acc:MGI:88111]</t>
  </si>
  <si>
    <t>Nod1</t>
  </si>
  <si>
    <t>nucleotide-binding oligomerization domain containing 1 [Source:MGI Symbol;Acc:MGI:1341839]</t>
  </si>
  <si>
    <t>Ifi27</t>
  </si>
  <si>
    <t>interferon, alpha-inducible protein 27 [Source:MGI Symbol;Acc:MGI:1277180]</t>
  </si>
  <si>
    <t>2010001K21Rik</t>
  </si>
  <si>
    <t>RIKEN cDNA 2010001K21 gene [Source:MGI Symbol;Acc:MGI:1917079]</t>
  </si>
  <si>
    <t>Fcgrt</t>
  </si>
  <si>
    <t>Fc receptor, IgG, alpha chain transporter [Source:MGI Symbol;Acc:MGI:103017]</t>
  </si>
  <si>
    <t>Abcd2</t>
  </si>
  <si>
    <t>ATP-binding cassette, sub-family D (ALD), member 2 [Source:MGI Symbol;Acc:MGI:1349467]</t>
  </si>
  <si>
    <t>Slc22a4</t>
  </si>
  <si>
    <t>solute carrier family 22 (organic cation transporter), member 4 [Source:MGI Symbol;Acc:MGI:1353479]</t>
  </si>
  <si>
    <t>Cybb</t>
  </si>
  <si>
    <t>cytochrome b-245, beta polypeptide [Source:MGI Symbol;Acc:MGI:88574]</t>
  </si>
  <si>
    <t>Adcy9</t>
  </si>
  <si>
    <t>adenylate cyclase 9 [Source:MGI Symbol;Acc:MGI:108450]</t>
  </si>
  <si>
    <t>C1qc</t>
  </si>
  <si>
    <t>complement component 1, q subcomponent, C chain [Source:MGI Symbol;Acc:MGI:88225]</t>
  </si>
  <si>
    <t>Slc8a2</t>
  </si>
  <si>
    <t>solute carrier family 8 (sodium/calcium exchanger), member 2 [Source:MGI Symbol;Acc:MGI:107996]</t>
  </si>
  <si>
    <t>Nlrp1b</t>
  </si>
  <si>
    <t>NLR family, pyrin domain containing 1B [Source:MGI Symbol;Acc:MGI:3582959]</t>
  </si>
  <si>
    <t>Gatm</t>
  </si>
  <si>
    <t>glycine amidinotransferase (L-arginine:glycine amidinotransferase) [Source:MGI Symbol;Acc:MGI:1914342]</t>
  </si>
  <si>
    <t>Cd300c2</t>
  </si>
  <si>
    <t>CD300C molecule 2 [Source:MGI Symbol;Acc:MGI:2153249]</t>
  </si>
  <si>
    <t>Ccl4</t>
  </si>
  <si>
    <t>chemokine (C-C motif) ligand 4 [Source:MGI Symbol;Acc:MGI:98261]</t>
  </si>
  <si>
    <t>Cntd1</t>
  </si>
  <si>
    <t>cyclin N-terminal domain containing 1 [Source:MGI Symbol;Acc:MGI:1923965]</t>
  </si>
  <si>
    <t>Abca8b</t>
  </si>
  <si>
    <t>ATP-binding cassette, sub-family A (ABC1), member 8b [Source:MGI Symbol;Acc:MGI:1351668]</t>
  </si>
  <si>
    <t>H2-T24</t>
  </si>
  <si>
    <t>histocompatibility 2, T region locus 24 [Source:MGI Symbol;Acc:MGI:95958]</t>
  </si>
  <si>
    <t>Akr1c13</t>
  </si>
  <si>
    <t>aldo-keto reductase family 1, member C13 [Source:MGI Symbol;Acc:MGI:1351662]</t>
  </si>
  <si>
    <t>Clu</t>
  </si>
  <si>
    <t>clusterin [Source:MGI Symbol;Acc:MGI:88423]</t>
  </si>
  <si>
    <t>Ksr2</t>
  </si>
  <si>
    <t>kinase suppressor of ras 2 [Source:MGI Symbol;Acc:MGI:3610315]</t>
  </si>
  <si>
    <t>Plekha4</t>
  </si>
  <si>
    <t>pleckstrin homology domain containing, family A (phosphoinositide binding specific) member 4 [Source:MGI Symbol;Acc:MGI:1916467]</t>
  </si>
  <si>
    <t>Folr1</t>
  </si>
  <si>
    <t>folate receptor 1 (adult) [Source:MGI Symbol;Acc:MGI:95568]</t>
  </si>
  <si>
    <t>B430306N03Rik</t>
  </si>
  <si>
    <t>RIKEN cDNA B430306N03 gene [Source:MGI Symbol;Acc:MGI:2443478]</t>
  </si>
  <si>
    <t>Tgm2</t>
  </si>
  <si>
    <t>transglutaminase 2, C polypeptide [Source:MGI Symbol;Acc:MGI:98731]</t>
  </si>
  <si>
    <t>Ttc9</t>
  </si>
  <si>
    <t>tetratricopeptide repeat domain 9 [Source:MGI Symbol;Acc:MGI:1916730]</t>
  </si>
  <si>
    <t>Rnf213</t>
  </si>
  <si>
    <t>ring finger protein 213 [Source:MGI Symbol;Acc:MGI:1289196]</t>
  </si>
  <si>
    <t>Mgl2</t>
  </si>
  <si>
    <t>macrophage galactose N-acetyl-galactosamine specific lectin 2 [Source:MGI Symbol;Acc:MGI:2385729]</t>
  </si>
  <si>
    <t>Trim14</t>
  </si>
  <si>
    <t>tripartite motif-containing 14 [Source:MGI Symbol;Acc:MGI:1921985]</t>
  </si>
  <si>
    <t>Reps2</t>
  </si>
  <si>
    <t>RALBP1 associated Eps domain containing protein 2 [Source:MGI Symbol;Acc:MGI:2663511]</t>
  </si>
  <si>
    <t>Nod2</t>
  </si>
  <si>
    <t>nucleotide-binding oligomerization domain containing 2 [Source:MGI Symbol;Acc:MGI:2429397]</t>
  </si>
  <si>
    <t>Clec7a</t>
  </si>
  <si>
    <t>C-type lectin domain family 7, member a [Source:MGI Symbol;Acc:MGI:1861431]</t>
  </si>
  <si>
    <t>Igtp</t>
  </si>
  <si>
    <t>interferon gamma induced GTPase [Source:MGI Symbol;Acc:MGI:107729]</t>
  </si>
  <si>
    <t>Evi5l</t>
  </si>
  <si>
    <t>ecotropic viral integration site 5 like [Source:MGI Symbol;Acc:MGI:2442167]</t>
  </si>
  <si>
    <t>Mettl27</t>
  </si>
  <si>
    <t>methyltransferase like 27 [Source:MGI Symbol;Acc:MGI:1933146]</t>
  </si>
  <si>
    <t>Tlr1</t>
  </si>
  <si>
    <t>toll-like receptor 1 [Source:MGI Symbol;Acc:MGI:1341295]</t>
  </si>
  <si>
    <t>C3</t>
  </si>
  <si>
    <t>complement component 3 [Source:MGI Symbol;Acc:MGI:88227]</t>
  </si>
  <si>
    <t>Igsf3</t>
  </si>
  <si>
    <t>immunoglobulin superfamily, member 3 [Source:MGI Symbol;Acc:MGI:1926158]</t>
  </si>
  <si>
    <t>Zfp827</t>
  </si>
  <si>
    <t>zinc finger protein 827 [Source:MGI Symbol;Acc:MGI:2444807]</t>
  </si>
  <si>
    <t>Acox3</t>
  </si>
  <si>
    <t>acyl-Coenzyme A oxidase 3, pristanoyl [Source:MGI Symbol;Acc:MGI:1933156]</t>
  </si>
  <si>
    <t>Timp2</t>
  </si>
  <si>
    <t>tissue inhibitor of metalloproteinase 2 [Source:MGI Symbol;Acc:MGI:98753]</t>
  </si>
  <si>
    <t>Apoe</t>
  </si>
  <si>
    <t>apolipoprotein E [Source:MGI Symbol;Acc:MGI:88057]</t>
  </si>
  <si>
    <t>Psmb9</t>
  </si>
  <si>
    <t>proteasome (prosome, macropain) subunit, beta type 9 (large multifunctional peptidase 2) [Source:MGI Symbol;Acc:MGI:1346526]</t>
  </si>
  <si>
    <t>Pram1</t>
  </si>
  <si>
    <t>PML-RAR alpha-regulated adaptor molecule 1 [Source:MGI Symbol;Acc:MGI:3576625]</t>
  </si>
  <si>
    <t>Atf7ip2</t>
  </si>
  <si>
    <t>activating transcription factor 7 interacting protein 2 [Source:MGI Symbol;Acc:MGI:1922579]</t>
  </si>
  <si>
    <t>Casp4</t>
  </si>
  <si>
    <t>caspase 4, apoptosis-related cysteine peptidase [Source:MGI Symbol;Acc:MGI:107700]</t>
  </si>
  <si>
    <t>Kynu</t>
  </si>
  <si>
    <t>kynureninase [Source:MGI Symbol;Acc:MGI:1918039]</t>
  </si>
  <si>
    <t>Ocstamp</t>
  </si>
  <si>
    <t>osteoclast stimulatory transmembrane protein [Source:MGI Symbol;Acc:MGI:1921864]</t>
  </si>
  <si>
    <t>Phyh</t>
  </si>
  <si>
    <t>phytanoyl-CoA hydroxylase [Source:MGI Symbol;Acc:MGI:891978]</t>
  </si>
  <si>
    <t>Abcc2</t>
  </si>
  <si>
    <t>ATP-binding cassette, sub-family C (CFTR/MRP), member 2 [Source:MGI Symbol;Acc:MGI:1352447]</t>
  </si>
  <si>
    <t>Dgki</t>
  </si>
  <si>
    <t>diacylglycerol kinase, iota [Source:MGI Symbol;Acc:MGI:2443430]</t>
  </si>
  <si>
    <t>Gm29094</t>
  </si>
  <si>
    <t>predicted gene 29094 [Source:MGI Symbol;Acc:MGI:5579800]</t>
  </si>
  <si>
    <t>H2-Q4</t>
  </si>
  <si>
    <t>histocompatibility 2, Q region locus 4 [Source:MGI Symbol;Acc:MGI:95933]</t>
  </si>
  <si>
    <t>Csad</t>
  </si>
  <si>
    <t>cysteine sulfinic acid decarboxylase [Source:MGI Symbol;Acc:MGI:2180098]</t>
  </si>
  <si>
    <t>Ctsh</t>
  </si>
  <si>
    <t>cathepsin H [Source:MGI Symbol;Acc:MGI:107285]</t>
  </si>
  <si>
    <t>Treml4</t>
  </si>
  <si>
    <t>triggering receptor expressed on myeloid cells-like 4 [Source:MGI Symbol;Acc:MGI:1923239]</t>
  </si>
  <si>
    <t>Lrrc25</t>
  </si>
  <si>
    <t>leucine rich repeat containing 25 [Source:MGI Symbol;Acc:MGI:2445284]</t>
  </si>
  <si>
    <t>Cacna1d</t>
  </si>
  <si>
    <t>calcium channel, voltage-dependent, L type, alpha 1D subunit [Source:MGI Symbol;Acc:MGI:88293]</t>
  </si>
  <si>
    <t>Mgst1</t>
  </si>
  <si>
    <t>microsomal glutathione S-transferase 1 [Source:MGI Symbol;Acc:MGI:1913850]</t>
  </si>
  <si>
    <t>Paqr4</t>
  </si>
  <si>
    <t>progestin and adipoQ receptor family member IV [Source:MGI Symbol;Acc:MGI:1923748]</t>
  </si>
  <si>
    <t>Capn2</t>
  </si>
  <si>
    <t>calpain 2 [Source:MGI Symbol;Acc:MGI:88264]</t>
  </si>
  <si>
    <t>Fut7</t>
  </si>
  <si>
    <t>fucosyltransferase 7 [Source:MGI Symbol;Acc:MGI:107692]</t>
  </si>
  <si>
    <t>Fcgr3</t>
  </si>
  <si>
    <t>Fc receptor, IgG, low affinity III [Source:MGI Symbol;Acc:MGI:95500]</t>
  </si>
  <si>
    <t>Adgb</t>
  </si>
  <si>
    <t>androglobin [Source:MGI Symbol;Acc:MGI:3605549]</t>
  </si>
  <si>
    <t>Nxpe1-ps</t>
  </si>
  <si>
    <t>neurexophilin and PC-esterase domain family, member 1, pseudogene [Source:MGI Symbol;Acc:MGI:3646632]</t>
  </si>
  <si>
    <t>Cd38</t>
  </si>
  <si>
    <t>CD38 antigen [Source:MGI Symbol;Acc:MGI:107474]</t>
  </si>
  <si>
    <t>Man2b1</t>
  </si>
  <si>
    <t>mannosidase 2, alpha B1 [Source:MGI Symbol;Acc:MGI:107286]</t>
  </si>
  <si>
    <t>Ptafr</t>
  </si>
  <si>
    <t>platelet-activating factor receptor [Source:MGI Symbol;Acc:MGI:106066]</t>
  </si>
  <si>
    <t>Irgm2</t>
  </si>
  <si>
    <t>immunity-related GTPase family M member 2 [Source:MGI Symbol;Acc:MGI:1926262]</t>
  </si>
  <si>
    <t>Lpcat2</t>
  </si>
  <si>
    <t>lysophosphatidylcholine acyltransferase 2 [Source:MGI Symbol;Acc:MGI:3606214]</t>
  </si>
  <si>
    <t>Fbxl20</t>
  </si>
  <si>
    <t>F-box and leucine-rich repeat protein 20 [Source:MGI Symbol;Acc:MGI:1919444]</t>
  </si>
  <si>
    <t>Phyhd1</t>
  </si>
  <si>
    <t>phytanoyl-CoA dioxygenase domain containing 1 [Source:MGI Symbol;Acc:MGI:3612860]</t>
  </si>
  <si>
    <t>Marcks</t>
  </si>
  <si>
    <t>myristoylated alanine rich protein kinase C substrate [Source:MGI Symbol;Acc:MGI:96907]</t>
  </si>
  <si>
    <t>Rtkn</t>
  </si>
  <si>
    <t>rhotekin [Source:MGI Symbol;Acc:MGI:107371]</t>
  </si>
  <si>
    <t>Blvrb</t>
  </si>
  <si>
    <t>biliverdin reductase B (flavin reductase (NADPH)) [Source:MGI Symbol;Acc:MGI:2385271]</t>
  </si>
  <si>
    <t>Bmf</t>
  </si>
  <si>
    <t>BCL2 modifying factor [Source:MGI Symbol;Acc:MGI:2176433]</t>
  </si>
  <si>
    <t>Tcn2</t>
  </si>
  <si>
    <t>transcobalamin 2 [Source:MGI Symbol;Acc:MGI:98534]</t>
  </si>
  <si>
    <t>Itm2b</t>
  </si>
  <si>
    <t>integral membrane protein 2B [Source:MGI Symbol;Acc:MGI:1309517]</t>
  </si>
  <si>
    <t>Krt10</t>
  </si>
  <si>
    <t>keratin 10 [Source:MGI Symbol;Acc:MGI:96685]</t>
  </si>
  <si>
    <t>Pcdhgc3</t>
  </si>
  <si>
    <t>protocadherin gamma subfamily C, 3 [Source:MGI Symbol;Acc:MGI:1935201]</t>
  </si>
  <si>
    <t>Gm12319</t>
  </si>
  <si>
    <t>predicted gene 12319 [Source:MGI Symbol;Acc:MGI:3649749]</t>
  </si>
  <si>
    <t>Msrb1</t>
  </si>
  <si>
    <t>methionine sulfoxide reductase B1 [Source:MGI Symbol;Acc:MGI:1351642]</t>
  </si>
  <si>
    <t>Ugt1a7c</t>
  </si>
  <si>
    <t>UDP glucuronosyltransferase 1 family, polypeptide A7C [Source:MGI Symbol;Acc:MGI:3032636]</t>
  </si>
  <si>
    <t>Syne1</t>
  </si>
  <si>
    <t>spectrin repeat containing, nuclear envelope 1 [Source:MGI Symbol;Acc:MGI:1927152]</t>
  </si>
  <si>
    <t>Slc7a7</t>
  </si>
  <si>
    <t>solute carrier family 7 (cationic amino acid transporter, y+ system), member 7 [Source:MGI Symbol;Acc:MGI:1337120]</t>
  </si>
  <si>
    <t>Slc40a1</t>
  </si>
  <si>
    <t>solute carrier family 40 (iron-regulated transporter), member 1 [Source:MGI Symbol;Acc:MGI:1315204]</t>
  </si>
  <si>
    <t>Dusp1</t>
  </si>
  <si>
    <t>dual specificity phosphatase 1 [Source:MGI Symbol;Acc:MGI:105120]</t>
  </si>
  <si>
    <t>Chst7</t>
  </si>
  <si>
    <t>carbohydrate (N-acetylglucosamino) sulfotransferase 7 [Source:MGI Symbol;Acc:MGI:1891767]</t>
  </si>
  <si>
    <t>Olfml3</t>
  </si>
  <si>
    <t>olfactomedin-like 3 [Source:MGI Symbol;Acc:MGI:1914877]</t>
  </si>
  <si>
    <t>Smtn</t>
  </si>
  <si>
    <t>smoothelin [Source:MGI Symbol;Acc:MGI:1354727]</t>
  </si>
  <si>
    <t>Lrrn4cl</t>
  </si>
  <si>
    <t>LRRN4 C-terminal like [Source:MGI Symbol;Acc:MGI:1916102]</t>
  </si>
  <si>
    <t>Fyb</t>
  </si>
  <si>
    <t>FYN binding protein [Source:MGI Symbol;Acc:MGI:1346327]</t>
  </si>
  <si>
    <t>Crlf2</t>
  </si>
  <si>
    <t>cytokine receptor-like factor 2 [Source:MGI Symbol;Acc:MGI:1889506]</t>
  </si>
  <si>
    <t>Gm49391</t>
  </si>
  <si>
    <t>predicted gene, 49391 [Source:MGI Symbol;Acc:MGI:6121619]</t>
  </si>
  <si>
    <t>Cd74</t>
  </si>
  <si>
    <t>CD74 antigen (invariant polypeptide of major histocompatibility complex, class II antigen-associated) [Source:MGI Symbol;Acc:MGI:96534]</t>
  </si>
  <si>
    <t>Ctla2b</t>
  </si>
  <si>
    <t>cytotoxic T lymphocyte-associated protein 2 beta [Source:MGI Symbol;Acc:MGI:88555]</t>
  </si>
  <si>
    <t>Vsir</t>
  </si>
  <si>
    <t>V-set immunoregulatory receptor [Source:MGI Symbol;Acc:MGI:1921298]</t>
  </si>
  <si>
    <t>Msrb2</t>
  </si>
  <si>
    <t>methionine sulfoxide reductase B2 [Source:MGI Symbol;Acc:MGI:1923717]</t>
  </si>
  <si>
    <t>Gpr160</t>
  </si>
  <si>
    <t>G protein-coupled receptor 160 [Source:MGI Symbol;Acc:MGI:1919112]</t>
  </si>
  <si>
    <t>Ugt1a1</t>
  </si>
  <si>
    <t>UDP glucuronosyltransferase 1 family, polypeptide A1 [Source:MGI Symbol;Acc:MGI:98898]</t>
  </si>
  <si>
    <t>Ugt1a6b</t>
  </si>
  <si>
    <t>UDP glucuronosyltransferase 1 family, polypeptide A6B [Source:MGI Symbol;Acc:MGI:3580629]</t>
  </si>
  <si>
    <t>Ugt1a2</t>
  </si>
  <si>
    <t>UDP glucuronosyltransferase 1 family, polypeptide A2 [Source:MGI Symbol;Acc:MGI:3576049]</t>
  </si>
  <si>
    <t>Tnfrsf8</t>
  </si>
  <si>
    <t>tumor necrosis factor receptor superfamily, member 8 [Source:MGI Symbol;Acc:MGI:99908]</t>
  </si>
  <si>
    <t>Ugt1a8</t>
  </si>
  <si>
    <t>UDP glucuronosyltransferase 1 family, polypeptide A8 [Source:MGI Symbol;Acc:MGI:3576090]</t>
  </si>
  <si>
    <t>Ugt1a5</t>
  </si>
  <si>
    <t>UDP glucuronosyltransferase 1 family, polypeptide A5 [Source:MGI Symbol;Acc:MGI:3032634]</t>
  </si>
  <si>
    <t>Ugt1a9</t>
  </si>
  <si>
    <t>UDP glucuronosyltransferase 1 family, polypeptide A9 [Source:MGI Symbol;Acc:MGI:3576092]</t>
  </si>
  <si>
    <t>Ugt1a10</t>
  </si>
  <si>
    <t>UDP glycosyltransferase 1 family, polypeptide A10 [Source:MGI Symbol;Acc:MGI:3580642]</t>
  </si>
  <si>
    <t>Sox4</t>
  </si>
  <si>
    <t>SRY (sex determining region Y)-box 4 [Source:MGI Symbol;Acc:MGI:98366]</t>
  </si>
  <si>
    <t>Ulk2</t>
  </si>
  <si>
    <t>unc-51 like kinase 2 [Source:MGI Symbol;Acc:MGI:1352758]</t>
  </si>
  <si>
    <t>Trim29</t>
  </si>
  <si>
    <t>tripartite motif-containing 29 [Source:MGI Symbol;Acc:MGI:1919419]</t>
  </si>
  <si>
    <t>Slc2a8</t>
  </si>
  <si>
    <t>solute carrier family 2, (facilitated glucose transporter), member 8 [Source:MGI Symbol;Acc:MGI:1860103]</t>
  </si>
  <si>
    <t>Helz2</t>
  </si>
  <si>
    <t>helicase with zinc finger 2, transcriptional coactivator [Source:MGI Symbol;Acc:MGI:2385169]</t>
  </si>
  <si>
    <t>Ugt1a6a</t>
  </si>
  <si>
    <t>UDP glucuronosyltransferase 1 family, polypeptide A6A [Source:MGI Symbol;Acc:MGI:2137698]</t>
  </si>
  <si>
    <t>Abi3</t>
  </si>
  <si>
    <t>ABI gene family, member 3 [Source:MGI Symbol;Acc:MGI:1913860]</t>
  </si>
  <si>
    <t>Itga6</t>
  </si>
  <si>
    <t>integrin alpha 6 [Source:MGI Symbol;Acc:MGI:96605]</t>
  </si>
  <si>
    <t>Igsf6</t>
  </si>
  <si>
    <t>immunoglobulin superfamily, member 6 [Source:MGI Symbol;Acc:MGI:1891393]</t>
  </si>
  <si>
    <t>Bckdha</t>
  </si>
  <si>
    <t>branched chain ketoacid dehydrogenase E1, alpha polypeptide [Source:MGI Symbol;Acc:MGI:107701]</t>
  </si>
  <si>
    <t>Gngt2</t>
  </si>
  <si>
    <t>guanine nucleotide binding protein (G protein), gamma transducing activity polypeptide 2 [Source:MGI Symbol;Acc:MGI:893584]</t>
  </si>
  <si>
    <t>Atp9a</t>
  </si>
  <si>
    <t>ATPase, class II, type 9A [Source:MGI Symbol;Acc:MGI:1330826]</t>
  </si>
  <si>
    <t>Fos</t>
  </si>
  <si>
    <t>FBJ osteosarcoma oncogene [Source:MGI Symbol;Acc:MGI:95574]</t>
  </si>
  <si>
    <t>Fabp4</t>
  </si>
  <si>
    <t>fatty acid binding protein 4, adipocyte [Source:MGI Symbol;Acc:MGI:88038]</t>
  </si>
  <si>
    <t>Rgsl1</t>
  </si>
  <si>
    <t>regulator of G-protein signaling like 1 [Source:MGI Symbol;Acc:MGI:2685048]</t>
  </si>
  <si>
    <t>Tnfaip3</t>
  </si>
  <si>
    <t>tumor necrosis factor, alpha-induced protein 3 [Source:MGI Symbol;Acc:MGI:1196377]</t>
  </si>
  <si>
    <t>snoRNA</t>
  </si>
  <si>
    <t>Herc6</t>
  </si>
  <si>
    <t>hect domain and RLD 6 [Source:MGI Symbol;Acc:MGI:1914388]</t>
  </si>
  <si>
    <t>Kctd12</t>
  </si>
  <si>
    <t>potassium channel tetramerisation domain containing 12 [Source:MGI Symbol;Acc:MGI:2145823]</t>
  </si>
  <si>
    <t>Nxpe4</t>
  </si>
  <si>
    <t>neurexophilin and PC-esterase domain family, member 4 [Source:MGI Symbol;Acc:MGI:1924792]</t>
  </si>
  <si>
    <t>Cd93</t>
  </si>
  <si>
    <t>CD93 antigen [Source:MGI Symbol;Acc:MGI:106664]</t>
  </si>
  <si>
    <t>B3gnt3</t>
  </si>
  <si>
    <t>UDP-GlcNAc:betaGal beta-1,3-N-acetylglucosaminyltransferase 3 [Source:MGI Symbol;Acc:MGI:2152535]</t>
  </si>
  <si>
    <t>Tns1</t>
  </si>
  <si>
    <t>tensin 1 [Source:MGI Symbol;Acc:MGI:104552]</t>
  </si>
  <si>
    <t>C5ar2</t>
  </si>
  <si>
    <t>complement component 5a receptor 2 [Source:MGI Symbol;Acc:MGI:2442013]</t>
  </si>
  <si>
    <t>Nmi</t>
  </si>
  <si>
    <t>N-myc (and STAT) interactor [Source:MGI Symbol;Acc:MGI:1928368]</t>
  </si>
  <si>
    <t>Tent5c</t>
  </si>
  <si>
    <t>terminal nucleotidyltransferase 5C [Source:MGI Symbol;Acc:MGI:1921895]</t>
  </si>
  <si>
    <t>Csf2ra</t>
  </si>
  <si>
    <t>colony stimulating factor 2 receptor, alpha, low-affinity (granulocyte-macrophage) [Source:MGI Symbol;Acc:MGI:1339754]</t>
  </si>
  <si>
    <t>Cd81</t>
  </si>
  <si>
    <t>CD81 antigen [Source:MGI Symbol;Acc:MGI:1096398]</t>
  </si>
  <si>
    <t>Eif4e3</t>
  </si>
  <si>
    <t>eukaryotic translation initiation factor 4E member 3 [Source:MGI Symbol;Acc:MGI:1914142]</t>
  </si>
  <si>
    <t>Fry</t>
  </si>
  <si>
    <t>FRY microtubule binding protein [Source:MGI Symbol;Acc:MGI:2443895]</t>
  </si>
  <si>
    <t>Crim1</t>
  </si>
  <si>
    <t>cysteine rich transmembrane BMP regulator 1 (chordin like) [Source:MGI Symbol;Acc:MGI:1354756]</t>
  </si>
  <si>
    <t>Ly9</t>
  </si>
  <si>
    <t>lymphocyte antigen 9 [Source:MGI Symbol;Acc:MGI:96885]</t>
  </si>
  <si>
    <t>Adgre1</t>
  </si>
  <si>
    <t>adhesion G protein-coupled receptor E1 [Source:MGI Symbol;Acc:MGI:106912]</t>
  </si>
  <si>
    <t>Rcbtb2</t>
  </si>
  <si>
    <t>regulator of chromosome condensation (RCC1) and BTB (POZ) domain containing protein 2 [Source:MGI Symbol;Acc:MGI:1917200]</t>
  </si>
  <si>
    <t>Slc9a7</t>
  </si>
  <si>
    <t>solute carrier family 9 (sodium/hydrogen exchanger), member 7 [Source:MGI Symbol;Acc:MGI:2444530]</t>
  </si>
  <si>
    <t>Fam49a</t>
  </si>
  <si>
    <t>family with sequence similarity 49, member A [Source:MGI Symbol;Acc:MGI:1261783]</t>
  </si>
  <si>
    <t>Trafd1</t>
  </si>
  <si>
    <t>TRAF type zinc finger domain containing 1 [Source:MGI Symbol;Acc:MGI:1923551]</t>
  </si>
  <si>
    <t>Tarm1</t>
  </si>
  <si>
    <t>T cell-interacting, activating receptor on myeloid cells 1 [Source:MGI Symbol;Acc:MGI:2442280]</t>
  </si>
  <si>
    <t>Sash1</t>
  </si>
  <si>
    <t>SAM and SH3 domain containing 1 [Source:MGI Symbol;Acc:MGI:1917347]</t>
  </si>
  <si>
    <t>Tapbpl</t>
  </si>
  <si>
    <t>TAP binding protein-like [Source:MGI Symbol;Acc:MGI:2384853]</t>
  </si>
  <si>
    <t>Cd83</t>
  </si>
  <si>
    <t>CD83 antigen [Source:MGI Symbol;Acc:MGI:1328316]</t>
  </si>
  <si>
    <t>Mr1</t>
  </si>
  <si>
    <t>major histocompatibility complex, class I-related [Source:MGI Symbol;Acc:MGI:1195463]</t>
  </si>
  <si>
    <t>Zeb2os</t>
  </si>
  <si>
    <t>zinc finger E-box binding homeobox 2, opposite strand [Source:MGI Symbol;Acc:MGI:3652108]</t>
  </si>
  <si>
    <t>Nlrp1a</t>
  </si>
  <si>
    <t>NLR family, pyrin domain containing 1A [Source:MGI Symbol;Acc:MGI:2684861]</t>
  </si>
  <si>
    <t>Map1lc3a</t>
  </si>
  <si>
    <t>microtubule-associated protein 1 light chain 3 alpha [Source:MGI Symbol;Acc:MGI:1915661]</t>
  </si>
  <si>
    <t>Mthfs</t>
  </si>
  <si>
    <t>5, 10-methenyltetrahydrofolate synthetase [Source:MGI Symbol;Acc:MGI:1340032]</t>
  </si>
  <si>
    <t>Tubb2a</t>
  </si>
  <si>
    <t>tubulin, beta 2A class IIA [Source:MGI Symbol;Acc:MGI:107861]</t>
  </si>
  <si>
    <t>2900093K20Rik</t>
  </si>
  <si>
    <t>RIKEN cDNA 2900093K20 gene [Source:MGI Symbol;Acc:MGI:1915287]</t>
  </si>
  <si>
    <t>Hfe</t>
  </si>
  <si>
    <t>homeostatic iron regulator [Source:MGI Symbol;Acc:MGI:109191]</t>
  </si>
  <si>
    <t>Mpc1-ps</t>
  </si>
  <si>
    <t>mitochondrial pyruvate carrier 1, pseudogene [Source:MGI Symbol;Acc:MGI:3781628]</t>
  </si>
  <si>
    <t>Lpar6</t>
  </si>
  <si>
    <t>lysophosphatidic acid receptor 6 [Source:MGI Symbol;Acc:MGI:1914418]</t>
  </si>
  <si>
    <t>Bcl3</t>
  </si>
  <si>
    <t>B cell leukemia/lymphoma 3 [Source:MGI Symbol;Acc:MGI:88140]</t>
  </si>
  <si>
    <t>Cebpa</t>
  </si>
  <si>
    <t>CCAAT/enhancer binding protein (C/EBP), alpha [Source:MGI Symbol;Acc:MGI:99480]</t>
  </si>
  <si>
    <t>Itgb5</t>
  </si>
  <si>
    <t>integrin beta 5 [Source:MGI Symbol;Acc:MGI:96614]</t>
  </si>
  <si>
    <t>Tpra1</t>
  </si>
  <si>
    <t>transmembrane protein, adipocyte asscociated 1 [Source:MGI Symbol;Acc:MGI:1345190]</t>
  </si>
  <si>
    <t>Mpc1</t>
  </si>
  <si>
    <t>mitochondrial pyruvate carrier 1 [Source:MGI Symbol;Acc:MGI:1915240]</t>
  </si>
  <si>
    <t>Atf5</t>
  </si>
  <si>
    <t>activating transcription factor 5 [Source:MGI Symbol;Acc:MGI:2141857]</t>
  </si>
  <si>
    <t>Il1rl1</t>
  </si>
  <si>
    <t>interleukin 1 receptor-like 1 [Source:MGI Symbol;Acc:MGI:98427]</t>
  </si>
  <si>
    <t>Klf11</t>
  </si>
  <si>
    <t>Kruppel-like factor 11 [Source:MGI Symbol;Acc:MGI:2653368]</t>
  </si>
  <si>
    <t>BC037704</t>
  </si>
  <si>
    <t>cDNA sequence BC037704 [Source:MGI Symbol;Acc:MGI:2652856]</t>
  </si>
  <si>
    <t>Sema4a</t>
  </si>
  <si>
    <t>sema domain, immunoglobulin domain (Ig), transmembrane domain (TM) and short cytoplasmic domain, (semaphorin) 4A [Source:MGI Symbol;Acc:MGI:107560]</t>
  </si>
  <si>
    <t>Pink1</t>
  </si>
  <si>
    <t>PTEN induced putative kinase 1 [Source:MGI Symbol;Acc:MGI:1916193]</t>
  </si>
  <si>
    <t>Capn5</t>
  </si>
  <si>
    <t>calpain 5 [Source:MGI Symbol;Acc:MGI:1100859]</t>
  </si>
  <si>
    <t>Zc3h12a</t>
  </si>
  <si>
    <t>zinc finger CCCH type containing 12A [Source:MGI Symbol;Acc:MGI:2385891]</t>
  </si>
  <si>
    <t>Dhrs3</t>
  </si>
  <si>
    <t>dehydrogenase/reductase (SDR family) member 3 [Source:MGI Symbol;Acc:MGI:1315215]</t>
  </si>
  <si>
    <t>Naglu</t>
  </si>
  <si>
    <t>alpha-N-acetylglucosaminidase (Sanfilippo disease IIIB) [Source:MGI Symbol;Acc:MGI:1351641]</t>
  </si>
  <si>
    <t>Nudt12</t>
  </si>
  <si>
    <t>nudix (nucleoside diphosphate linked moiety X)-type motif 12 [Source:MGI Symbol;Acc:MGI:1915243]</t>
  </si>
  <si>
    <t>Sdc3</t>
  </si>
  <si>
    <t>syndecan 3 [Source:MGI Symbol;Acc:MGI:1349163]</t>
  </si>
  <si>
    <t>Ccng2</t>
  </si>
  <si>
    <t>cyclin G2 [Source:MGI Symbol;Acc:MGI:1095734]</t>
  </si>
  <si>
    <t>Ago4</t>
  </si>
  <si>
    <t>argonaute RISC catalytic subunit 4 [Source:MGI Symbol;Acc:MGI:1924100]</t>
  </si>
  <si>
    <t>Uba7</t>
  </si>
  <si>
    <t>ubiquitin-like modifier activating enzyme 7 [Source:MGI Symbol;Acc:MGI:1349462]</t>
  </si>
  <si>
    <t>Rnasel</t>
  </si>
  <si>
    <t>ribonuclease L (2', 5'-oligoisoadenylate synthetase-dependent) [Source:MGI Symbol;Acc:MGI:1098272]</t>
  </si>
  <si>
    <t>Zyx</t>
  </si>
  <si>
    <t>zyxin [Source:MGI Symbol;Acc:MGI:103072]</t>
  </si>
  <si>
    <t>Asb11</t>
  </si>
  <si>
    <t>ankyrin repeat and SOCS box-containing 11 [Source:MGI Symbol;Acc:MGI:1916104]</t>
  </si>
  <si>
    <t>Tnf</t>
  </si>
  <si>
    <t>tumor necrosis factor [Source:MGI Symbol;Acc:MGI:104798]</t>
  </si>
  <si>
    <t>Unc13a</t>
  </si>
  <si>
    <t>unc-13 homolog A [Source:MGI Symbol;Acc:MGI:3051532]</t>
  </si>
  <si>
    <t>Esyt1</t>
  </si>
  <si>
    <t>extended synaptotagmin-like protein 1 [Source:MGI Symbol;Acc:MGI:1344426]</t>
  </si>
  <si>
    <t>Iqgap2</t>
  </si>
  <si>
    <t>IQ motif containing GTPase activating protein 2 [Source:MGI Symbol;Acc:MGI:2449975]</t>
  </si>
  <si>
    <t>4933430I17Rik</t>
  </si>
  <si>
    <t>RIKEN cDNA 4933430I17 gene [Source:MGI Symbol;Acc:MGI:3045314]</t>
  </si>
  <si>
    <t>Nlrc4</t>
  </si>
  <si>
    <t>NLR family, CARD domain containing 4 [Source:MGI Symbol;Acc:MGI:3036243]</t>
  </si>
  <si>
    <t>Gm15417</t>
  </si>
  <si>
    <t>predicted gene 15417 [Source:MGI Symbol;Acc:MGI:3642531]</t>
  </si>
  <si>
    <t>Glipr1</t>
  </si>
  <si>
    <t>GLI pathogenesis-related 1 (glioma) [Source:MGI Symbol;Acc:MGI:1920940]</t>
  </si>
  <si>
    <t>Naip5</t>
  </si>
  <si>
    <t>NLR family, apoptosis inhibitory protein 5 [Source:MGI Symbol;Acc:MGI:1298220]</t>
  </si>
  <si>
    <t>Lrguk</t>
  </si>
  <si>
    <t>leucine-rich repeats and guanylate kinase domain containing [Source:MGI Symbol;Acc:MGI:1921604]</t>
  </si>
  <si>
    <t>H2az2</t>
  </si>
  <si>
    <t>H2A.Z histone variant 2 [Source:MGI Symbol;Acc:MGI:1924855]</t>
  </si>
  <si>
    <t>Filip1l</t>
  </si>
  <si>
    <t>filamin A interacting protein 1-like [Source:MGI Symbol;Acc:MGI:1925999]</t>
  </si>
  <si>
    <t>9430038I01Rik</t>
  </si>
  <si>
    <t>RIKEN cDNA 9430038I01 gene [Source:MGI Symbol;Acc:MGI:1924502]</t>
  </si>
  <si>
    <t>Xylt1</t>
  </si>
  <si>
    <t>xylosyltransferase 1 [Source:MGI Symbol;Acc:MGI:2451073]</t>
  </si>
  <si>
    <t>Trim56</t>
  </si>
  <si>
    <t>tripartite motif-containing 56 [Source:MGI Symbol;Acc:MGI:2685298]</t>
  </si>
  <si>
    <t>Cd72</t>
  </si>
  <si>
    <t>CD72 antigen [Source:MGI Symbol;Acc:MGI:88345]</t>
  </si>
  <si>
    <t>Itm2c</t>
  </si>
  <si>
    <t>integral membrane protein 2C [Source:MGI Symbol;Acc:MGI:1927594]</t>
  </si>
  <si>
    <t>Cyth1</t>
  </si>
  <si>
    <t>cytohesin 1 [Source:MGI Symbol;Acc:MGI:1334257]</t>
  </si>
  <si>
    <t>Wbp1</t>
  </si>
  <si>
    <t>WW domain binding protein 1 [Source:MGI Symbol;Acc:MGI:104710]</t>
  </si>
  <si>
    <t>Cd302</t>
  </si>
  <si>
    <t>CD302 antigen [Source:MGI Symbol;Acc:MGI:1913455]</t>
  </si>
  <si>
    <t>Tlr13</t>
  </si>
  <si>
    <t>toll-like receptor 13 [Source:MGI Symbol;Acc:MGI:3045213]</t>
  </si>
  <si>
    <t>Serinc3</t>
  </si>
  <si>
    <t>serine incorporator 3 [Source:MGI Symbol;Acc:MGI:1349457]</t>
  </si>
  <si>
    <t>Wdr45</t>
  </si>
  <si>
    <t>WD repeat domain 45 [Source:MGI Symbol;Acc:MGI:1859606]</t>
  </si>
  <si>
    <t>Nhlrc1</t>
  </si>
  <si>
    <t>NHL repeat containing 1 [Source:MGI Symbol;Acc:MGI:2145264]</t>
  </si>
  <si>
    <t>Kif1a</t>
  </si>
  <si>
    <t>kinesin family member 1A [Source:MGI Symbol;Acc:MGI:108391]</t>
  </si>
  <si>
    <t>Pnrc1</t>
  </si>
  <si>
    <t>proline-rich nuclear receptor coactivator 1 [Source:MGI Symbol;Acc:MGI:1917838]</t>
  </si>
  <si>
    <t>Sgsh</t>
  </si>
  <si>
    <t>N-sulfoglucosamine sulfohydrolase (sulfamidase) [Source:MGI Symbol;Acc:MGI:1350341]</t>
  </si>
  <si>
    <t>Nfam1</t>
  </si>
  <si>
    <t>Nfat activating molecule with ITAM motif 1 [Source:MGI Symbol;Acc:MGI:1921289]</t>
  </si>
  <si>
    <t>Akt3</t>
  </si>
  <si>
    <t>thymoma viral proto-oncogene 3 [Source:MGI Symbol;Acc:MGI:1345147]</t>
  </si>
  <si>
    <t>Nfkbiz</t>
  </si>
  <si>
    <t>nuclear factor of kappa light polypeptide gene enhancer in B cells inhibitor, zeta [Source:MGI Symbol;Acc:MGI:1931595]</t>
  </si>
  <si>
    <t>Cfh</t>
  </si>
  <si>
    <t>complement component factor h [Source:MGI Symbol;Acc:MGI:88385]</t>
  </si>
  <si>
    <t>Trim21</t>
  </si>
  <si>
    <t>tripartite motif-containing 21 [Source:MGI Symbol;Acc:MGI:106657]</t>
  </si>
  <si>
    <t>Sla</t>
  </si>
  <si>
    <t>src-like adaptor [Source:MGI Symbol;Acc:MGI:104295]</t>
  </si>
  <si>
    <t>Tax1bp3</t>
  </si>
  <si>
    <t>Tax1 (human T cell leukemia virus type I) binding protein 3 [Source:MGI Symbol;Acc:MGI:1923531]</t>
  </si>
  <si>
    <t>Plekhg2</t>
  </si>
  <si>
    <t>pleckstrin homology domain containing, family G (with RhoGef domain) member 2 [Source:MGI Symbol;Acc:MGI:2141874]</t>
  </si>
  <si>
    <t>Stard8</t>
  </si>
  <si>
    <t>START domain containing 8 [Source:MGI Symbol;Acc:MGI:2448556]</t>
  </si>
  <si>
    <t>Mafb</t>
  </si>
  <si>
    <t>v-maf musculoaponeurotic fibrosarcoma oncogene family, protein B (avian) [Source:MGI Symbol;Acc:MGI:104555]</t>
  </si>
  <si>
    <t>Bahcc1</t>
  </si>
  <si>
    <t>BAH domain and coiled-coil containing 1 [Source:MGI Symbol;Acc:MGI:2679272]</t>
  </si>
  <si>
    <t>Rgs7bp</t>
  </si>
  <si>
    <t>regulator of G-protein signalling 7 binding protein [Source:MGI Symbol;Acc:MGI:106334]</t>
  </si>
  <si>
    <t>Fam167b</t>
  </si>
  <si>
    <t>family with sequence similarity 167, member B [Source:MGI Symbol;Acc:MGI:2668032]</t>
  </si>
  <si>
    <t>Aoah</t>
  </si>
  <si>
    <t>acyloxyacyl hydrolase [Source:MGI Symbol;Acc:MGI:1350928]</t>
  </si>
  <si>
    <t>Tbc1d8</t>
  </si>
  <si>
    <t>TBC1 domain family, member 8 [Source:MGI Symbol;Acc:MGI:1927225]</t>
  </si>
  <si>
    <t>Tmem159</t>
  </si>
  <si>
    <t>transmembrane protein 159 [Source:MGI Symbol;Acc:MGI:1925752]</t>
  </si>
  <si>
    <t>Acp2</t>
  </si>
  <si>
    <t>acid phosphatase 2, lysosomal [Source:MGI Symbol;Acc:MGI:87882]</t>
  </si>
  <si>
    <t>Map3k8</t>
  </si>
  <si>
    <t>mitogen-activated protein kinase kinase kinase 8 [Source:MGI Symbol;Acc:MGI:1346878]</t>
  </si>
  <si>
    <t>Tmem176a</t>
  </si>
  <si>
    <t>transmembrane protein 176A [Source:MGI Symbol;Acc:MGI:1913308]</t>
  </si>
  <si>
    <t>Eno3</t>
  </si>
  <si>
    <t>enolase 3, beta muscle [Source:MGI Symbol;Acc:MGI:95395]</t>
  </si>
  <si>
    <t>Ly86</t>
  </si>
  <si>
    <t>lymphocyte antigen 86 [Source:MGI Symbol;Acc:MGI:1321404]</t>
  </si>
  <si>
    <t>Mapk3</t>
  </si>
  <si>
    <t>mitogen-activated protein kinase 3 [Source:MGI Symbol;Acc:MGI:1346859]</t>
  </si>
  <si>
    <t>Tnfrsf1b</t>
  </si>
  <si>
    <t>tumor necrosis factor receptor superfamily, member 1b [Source:MGI Symbol;Acc:MGI:1314883]</t>
  </si>
  <si>
    <t>Tmsb4x</t>
  </si>
  <si>
    <t>thymosin, beta 4, X chromosome [Source:MGI Symbol;Acc:MGI:99510]</t>
  </si>
  <si>
    <t>Hbp1</t>
  </si>
  <si>
    <t>high mobility group box transcription factor 1 [Source:MGI Symbol;Acc:MGI:894659]</t>
  </si>
  <si>
    <t>Trip6</t>
  </si>
  <si>
    <t>thyroid hormone receptor interactor 6 [Source:MGI Symbol;Acc:MGI:1343458]</t>
  </si>
  <si>
    <t>Kdm7a</t>
  </si>
  <si>
    <t>lysine (K)-specific demethylase 7A [Source:MGI Symbol;Acc:MGI:2443388]</t>
  </si>
  <si>
    <t>Slc15a3</t>
  </si>
  <si>
    <t>solute carrier family 15, member 3 [Source:MGI Symbol;Acc:MGI:1929691]</t>
  </si>
  <si>
    <t>Unc93b1</t>
  </si>
  <si>
    <t>unc-93 homolog B1, TLR signaling regulator [Source:MGI Symbol;Acc:MGI:1859307]</t>
  </si>
  <si>
    <t>Thbd</t>
  </si>
  <si>
    <t>thrombomodulin [Source:MGI Symbol;Acc:MGI:98736]</t>
  </si>
  <si>
    <t>Rogdi</t>
  </si>
  <si>
    <t>rogdi homolog [Source:MGI Symbol;Acc:MGI:1913299]</t>
  </si>
  <si>
    <t>Myo1f</t>
  </si>
  <si>
    <t>myosin IF [Source:MGI Symbol;Acc:MGI:107711]</t>
  </si>
  <si>
    <t>Cdk19</t>
  </si>
  <si>
    <t>cyclin-dependent kinase 19 [Source:MGI Symbol;Acc:MGI:1925584]</t>
  </si>
  <si>
    <t>Klhl24</t>
  </si>
  <si>
    <t>kelch-like 24 [Source:MGI Symbol;Acc:MGI:1923035]</t>
  </si>
  <si>
    <t>Tmem86a</t>
  </si>
  <si>
    <t>transmembrane protein 86A [Source:MGI Symbol;Acc:MGI:1915143]</t>
  </si>
  <si>
    <t>Plxdc1</t>
  </si>
  <si>
    <t>plexin domain containing 1 [Source:MGI Symbol;Acc:MGI:1919574]</t>
  </si>
  <si>
    <t>Crebrf</t>
  </si>
  <si>
    <t>CREB3 regulatory factor [Source:MGI Symbol;Acc:MGI:1924378]</t>
  </si>
  <si>
    <t>Tmem106a</t>
  </si>
  <si>
    <t>transmembrane protein 106A [Source:MGI Symbol;Acc:MGI:1922056]</t>
  </si>
  <si>
    <t>Leprot</t>
  </si>
  <si>
    <t>leptin receptor overlapping transcript [Source:MGI Symbol;Acc:MGI:2687005]</t>
  </si>
  <si>
    <t>Gm5345</t>
  </si>
  <si>
    <t>predicted gene 5345 [Source:MGI Symbol;Acc:MGI:3644320]</t>
  </si>
  <si>
    <t>Lair1</t>
  </si>
  <si>
    <t>leukocyte-associated Ig-like receptor 1 [Source:MGI Symbol;Acc:MGI:105492]</t>
  </si>
  <si>
    <t>Oas3</t>
  </si>
  <si>
    <t>2'-5' oligoadenylate synthetase 3 [Source:MGI Symbol;Acc:MGI:2180850]</t>
  </si>
  <si>
    <t>Tmem38a</t>
  </si>
  <si>
    <t>transmembrane protein 38A [Source:MGI Symbol;Acc:MGI:1921416]</t>
  </si>
  <si>
    <t>Rassf4</t>
  </si>
  <si>
    <t>Ras association (RalGDS/AF-6) domain family member 4 [Source:MGI Symbol;Acc:MGI:2386853]</t>
  </si>
  <si>
    <t>Aldh2</t>
  </si>
  <si>
    <t>aldehyde dehydrogenase 2, mitochondrial [Source:MGI Symbol;Acc:MGI:99600]</t>
  </si>
  <si>
    <t>Ptpro</t>
  </si>
  <si>
    <t>protein tyrosine phosphatase, receptor type, O [Source:MGI Symbol;Acc:MGI:1097152]</t>
  </si>
  <si>
    <t>Snx29</t>
  </si>
  <si>
    <t>sorting nexin 29 [Source:MGI Symbol;Acc:MGI:1921728]</t>
  </si>
  <si>
    <t>Ddah1</t>
  </si>
  <si>
    <t>dimethylarginine dimethylaminohydrolase 1 [Source:MGI Symbol;Acc:MGI:1916469]</t>
  </si>
  <si>
    <t>Sox12</t>
  </si>
  <si>
    <t>SRY (sex determining region Y)-box 12 [Source:MGI Symbol;Acc:MGI:98360]</t>
  </si>
  <si>
    <t>Calcrl</t>
  </si>
  <si>
    <t>calcitonin receptor-like [Source:MGI Symbol;Acc:MGI:1926944]</t>
  </si>
  <si>
    <t>Cd33</t>
  </si>
  <si>
    <t>CD33 antigen [Source:MGI Symbol;Acc:MGI:99440]</t>
  </si>
  <si>
    <t>Zbtb20</t>
  </si>
  <si>
    <t>zinc finger and BTB domain containing 20 [Source:MGI Symbol;Acc:MGI:1929213]</t>
  </si>
  <si>
    <t>Irak2</t>
  </si>
  <si>
    <t>interleukin-1 receptor-associated kinase 2 [Source:MGI Symbol;Acc:MGI:2429603]</t>
  </si>
  <si>
    <t>Tnfaip2</t>
  </si>
  <si>
    <t>tumor necrosis factor, alpha-induced protein 2 [Source:MGI Symbol;Acc:MGI:104960]</t>
  </si>
  <si>
    <t>Susd3</t>
  </si>
  <si>
    <t>sushi domain containing 3 [Source:MGI Symbol;Acc:MGI:1913579]</t>
  </si>
  <si>
    <t>Ikbke</t>
  </si>
  <si>
    <t>inhibitor of kappaB kinase epsilon [Source:MGI Symbol;Acc:MGI:1929612]</t>
  </si>
  <si>
    <t>Kdr</t>
  </si>
  <si>
    <t>kinase insert domain protein receptor [Source:MGI Symbol;Acc:MGI:96683]</t>
  </si>
  <si>
    <t>Mgst3</t>
  </si>
  <si>
    <t>microsomal glutathione S-transferase 3 [Source:MGI Symbol;Acc:MGI:1913697]</t>
  </si>
  <si>
    <t>Trp53inp2</t>
  </si>
  <si>
    <t>transformation related protein 53 inducible nuclear protein 2 [Source:MGI Symbol;Acc:MGI:1915978]</t>
  </si>
  <si>
    <t>Acaa1a</t>
  </si>
  <si>
    <t>acetyl-Coenzyme A acyltransferase 1A [Source:MGI Symbol;Acc:MGI:2148491]</t>
  </si>
  <si>
    <t>Ptprj</t>
  </si>
  <si>
    <t>protein tyrosine phosphatase, receptor type, J [Source:MGI Symbol;Acc:MGI:104574]</t>
  </si>
  <si>
    <t>Stab1</t>
  </si>
  <si>
    <t>stabilin 1 [Source:MGI Symbol;Acc:MGI:2178742]</t>
  </si>
  <si>
    <t>Gm44503</t>
  </si>
  <si>
    <t>predicted readthrough transcript (NMD candidate), 44503 [Source:MGI Symbol;Acc:MGI:5141975]</t>
  </si>
  <si>
    <t>Pcdhga1</t>
  </si>
  <si>
    <t>protocadherin gamma subfamily A, 1 [Source:MGI Symbol;Acc:MGI:1935212]</t>
  </si>
  <si>
    <t>Hsd3b7</t>
  </si>
  <si>
    <t>hydroxy-delta-5-steroid dehydrogenase, 3 beta- and steroid delta-isomerase 7 [Source:MGI Symbol;Acc:MGI:2141879]</t>
  </si>
  <si>
    <t>Arl4c</t>
  </si>
  <si>
    <t>ADP-ribosylation factor-like 4C [Source:MGI Symbol;Acc:MGI:2445172]</t>
  </si>
  <si>
    <t>Ncf4</t>
  </si>
  <si>
    <t>neutrophil cytosolic factor 4 [Source:MGI Symbol;Acc:MGI:109186]</t>
  </si>
  <si>
    <t>Relb</t>
  </si>
  <si>
    <t>avian reticuloendotheliosis viral (v-rel) oncogene related B [Source:MGI Symbol;Acc:MGI:103289]</t>
  </si>
  <si>
    <t>Pcdhga8</t>
  </si>
  <si>
    <t>protocadherin gamma subfamily A, 8 [Source:MGI Symbol;Acc:MGI:1935221]</t>
  </si>
  <si>
    <t>Pdcd4</t>
  </si>
  <si>
    <t>programmed cell death 4 [Source:MGI Symbol;Acc:MGI:107490]</t>
  </si>
  <si>
    <t>Gm11808</t>
  </si>
  <si>
    <t>predicted gene 11808 [Source:MGI Symbol;Acc:MGI:3649356]</t>
  </si>
  <si>
    <t>Mertk</t>
  </si>
  <si>
    <t>MER proto-oncogene tyrosine kinase [Source:MGI Symbol;Acc:MGI:96965]</t>
  </si>
  <si>
    <t>Inpp5k</t>
  </si>
  <si>
    <t>inositol polyphosphate 5-phosphatase K [Source:MGI Symbol;Acc:MGI:1194899]</t>
  </si>
  <si>
    <t>Pcdhgb8</t>
  </si>
  <si>
    <t>protocadherin gamma subfamily B, 8 [Source:MGI Symbol;Acc:MGI:1935200]</t>
  </si>
  <si>
    <t>Pcdhga4</t>
  </si>
  <si>
    <t>protocadherin gamma subfamily A, 4 [Source:MGI Symbol;Acc:MGI:1935216]</t>
  </si>
  <si>
    <t>Pgbd5</t>
  </si>
  <si>
    <t>piggyBac transposable element derived 5 [Source:MGI Symbol;Acc:MGI:2429955]</t>
  </si>
  <si>
    <t>Pcdhgb6</t>
  </si>
  <si>
    <t>protocadherin gamma subfamily B, 6 [Source:MGI Symbol;Acc:MGI:1935197]</t>
  </si>
  <si>
    <t>Cdk5r1</t>
  </si>
  <si>
    <t>cyclin-dependent kinase 5, regulatory subunit 1 (p35) [Source:MGI Symbol;Acc:MGI:101764]</t>
  </si>
  <si>
    <t>Naxe</t>
  </si>
  <si>
    <t>NAD(P)HX epimerase [Source:MGI Symbol;Acc:MGI:2180167]</t>
  </si>
  <si>
    <t>Pcdhgc4</t>
  </si>
  <si>
    <t>protocadherin gamma subfamily C, 4 [Source:MGI Symbol;Acc:MGI:1935203]</t>
  </si>
  <si>
    <t>Pcdhgb1</t>
  </si>
  <si>
    <t>protocadherin gamma subfamily B, 1 [Source:MGI Symbol;Acc:MGI:1935169]</t>
  </si>
  <si>
    <t>Pcdhga6</t>
  </si>
  <si>
    <t>protocadherin gamma subfamily A, 6 [Source:MGI Symbol;Acc:MGI:1935218]</t>
  </si>
  <si>
    <t>Pcdhga10</t>
  </si>
  <si>
    <t>protocadherin gamma subfamily A, 10 [Source:MGI Symbol;Acc:MGI:1935227]</t>
  </si>
  <si>
    <t>Pcdhgb4</t>
  </si>
  <si>
    <t>protocadherin gamma subfamily B, 4 [Source:MGI Symbol;Acc:MGI:1935173]</t>
  </si>
  <si>
    <t>Pcdhga2</t>
  </si>
  <si>
    <t>protocadherin gamma subfamily A, 2 [Source:MGI Symbol;Acc:MGI:1935214]</t>
  </si>
  <si>
    <t>Pcdhga5</t>
  </si>
  <si>
    <t>protocadherin gamma subfamily A, 5 [Source:MGI Symbol;Acc:MGI:1935217]</t>
  </si>
  <si>
    <t>Pcdhga12</t>
  </si>
  <si>
    <t>protocadherin gamma subfamily A, 12 [Source:MGI Symbol;Acc:MGI:1935229]</t>
  </si>
  <si>
    <t>Acvrl1</t>
  </si>
  <si>
    <t>activin A receptor, type II-like 1 [Source:MGI Symbol;Acc:MGI:1338946]</t>
  </si>
  <si>
    <t>Pcdhgb5</t>
  </si>
  <si>
    <t>protocadherin gamma subfamily B, 5 [Source:MGI Symbol;Acc:MGI:1935196]</t>
  </si>
  <si>
    <t>Abca7</t>
  </si>
  <si>
    <t>ATP-binding cassette, sub-family A (ABC1), member 7 [Source:MGI Symbol;Acc:MGI:1351646]</t>
  </si>
  <si>
    <t>Pcdhga7</t>
  </si>
  <si>
    <t>protocadherin gamma subfamily A, 7 [Source:MGI Symbol;Acc:MGI:1935219]</t>
  </si>
  <si>
    <t>Pcdhga9</t>
  </si>
  <si>
    <t>protocadherin gamma subfamily A, 9 [Source:MGI Symbol;Acc:MGI:1935226]</t>
  </si>
  <si>
    <t>Zfp704</t>
  </si>
  <si>
    <t>zinc finger protein 704 [Source:MGI Symbol;Acc:MGI:2180715]</t>
  </si>
  <si>
    <t>Pcdhgb2</t>
  </si>
  <si>
    <t>protocadherin gamma subfamily B, 2 [Source:MGI Symbol;Acc:MGI:1935170]</t>
  </si>
  <si>
    <t>Apbb2</t>
  </si>
  <si>
    <t>amyloid beta (A4) precursor protein-binding, family B, member 2 [Source:MGI Symbol;Acc:MGI:108405]</t>
  </si>
  <si>
    <t>Meis3</t>
  </si>
  <si>
    <t>Meis homeobox 3 [Source:MGI Symbol;Acc:MGI:108519]</t>
  </si>
  <si>
    <t>Gas7</t>
  </si>
  <si>
    <t>growth arrest specific 7 [Source:MGI Symbol;Acc:MGI:1202388]</t>
  </si>
  <si>
    <t>Pcdhga3</t>
  </si>
  <si>
    <t>protocadherin gamma subfamily A, 3 [Source:MGI Symbol;Acc:MGI:1935215]</t>
  </si>
  <si>
    <t>Csf1r</t>
  </si>
  <si>
    <t>colony stimulating factor 1 receptor [Source:MGI Symbol;Acc:MGI:1339758]</t>
  </si>
  <si>
    <t>Pcdhga11</t>
  </si>
  <si>
    <t>protocadherin gamma subfamily A, 11 [Source:MGI Symbol;Acc:MGI:1935228]</t>
  </si>
  <si>
    <t>Sowahc</t>
  </si>
  <si>
    <t>sosondowah ankyrin repeat domain family member C [Source:MGI Symbol;Acc:MGI:3606051]</t>
  </si>
  <si>
    <t>Iqsec3</t>
  </si>
  <si>
    <t>IQ motif and Sec7 domain 3 [Source:MGI Symbol;Acc:MGI:2677208]</t>
  </si>
  <si>
    <t>Wdr66</t>
  </si>
  <si>
    <t>WD repeat domain 66 [Source:MGI Symbol;Acc:MGI:1918495]</t>
  </si>
  <si>
    <t>Ifi207</t>
  </si>
  <si>
    <t>interferon activated gene 207 [Source:MGI Symbol;Acc:MGI:2138302]</t>
  </si>
  <si>
    <t>Tsc22d3</t>
  </si>
  <si>
    <t>TSC22 domain family, member 3 [Source:MGI Symbol;Acc:MGI:1196284]</t>
  </si>
  <si>
    <t>Ier3</t>
  </si>
  <si>
    <t>immediate early response 3 [Source:MGI Symbol;Acc:MGI:104814]</t>
  </si>
  <si>
    <t>Plxnc1</t>
  </si>
  <si>
    <t>plexin C1 [Source:MGI Symbol;Acc:MGI:1890127]</t>
  </si>
  <si>
    <t>Ccpg1</t>
  </si>
  <si>
    <t>cell cycle progression 1 [Source:MGI Symbol;Acc:MGI:1196419]</t>
  </si>
  <si>
    <t>Dop1b</t>
  </si>
  <si>
    <t>DOP1 leucine zipper like protein B [Source:MGI Symbol;Acc:MGI:1917278]</t>
  </si>
  <si>
    <t>Xylt2</t>
  </si>
  <si>
    <t>xylosyltransferase II [Source:MGI Symbol;Acc:MGI:2444797]</t>
  </si>
  <si>
    <t>Otud1</t>
  </si>
  <si>
    <t>OTU domain containing 1 [Source:MGI Symbol;Acc:MGI:1918448]</t>
  </si>
  <si>
    <t>Ulbp1</t>
  </si>
  <si>
    <t>UL16 binding protein 1 [Source:MGI Symbol;Acc:MGI:1925027]</t>
  </si>
  <si>
    <t>Dtx3l</t>
  </si>
  <si>
    <t>deltex 3-like, E3 ubiquitin ligase [Source:MGI Symbol;Acc:MGI:2656973]</t>
  </si>
  <si>
    <t>Gm43552</t>
  </si>
  <si>
    <t>predicted gene 43552 [Source:MGI Symbol;Acc:MGI:5663689]</t>
  </si>
  <si>
    <t>Gm30329</t>
  </si>
  <si>
    <t>predicted gene, 30329 [Source:MGI Symbol;Acc:MGI:5589488]</t>
  </si>
  <si>
    <t>Smox</t>
  </si>
  <si>
    <t>spermine oxidase [Source:MGI Symbol;Acc:MGI:2445356]</t>
  </si>
  <si>
    <t>Myof</t>
  </si>
  <si>
    <t>myoferlin [Source:MGI Symbol;Acc:MGI:1919192]</t>
  </si>
  <si>
    <t>Gsap</t>
  </si>
  <si>
    <t>gamma-secretase activating protein [Source:MGI Symbol;Acc:MGI:2442259]</t>
  </si>
  <si>
    <t>Rnf144b</t>
  </si>
  <si>
    <t>ring finger protein 144B [Source:MGI Symbol;Acc:MGI:2384986]</t>
  </si>
  <si>
    <t>Ptgs1</t>
  </si>
  <si>
    <t>prostaglandin-endoperoxide synthase 1 [Source:MGI Symbol;Acc:MGI:97797]</t>
  </si>
  <si>
    <t>Coro7</t>
  </si>
  <si>
    <t>coronin 7 [Source:MGI Symbol;Acc:MGI:1926135]</t>
  </si>
  <si>
    <t>Irgm1</t>
  </si>
  <si>
    <t>immunity-related GTPase family M member 1 [Source:MGI Symbol;Acc:MGI:107567]</t>
  </si>
  <si>
    <t>Abca1</t>
  </si>
  <si>
    <t>ATP-binding cassette, sub-family A (ABC1), member 1 [Source:MGI Symbol;Acc:MGI:99607]</t>
  </si>
  <si>
    <t>Cst3</t>
  </si>
  <si>
    <t>cystatin C [Source:MGI Symbol;Acc:MGI:102519]</t>
  </si>
  <si>
    <t>Slc8a1</t>
  </si>
  <si>
    <t>solute carrier family 8 (sodium/calcium exchanger), member 1 [Source:MGI Symbol;Acc:MGI:107956]</t>
  </si>
  <si>
    <t>Rnase4</t>
  </si>
  <si>
    <t>ribonuclease, RNase A family 4 [Source:MGI Symbol;Acc:MGI:1926217]</t>
  </si>
  <si>
    <t>Mmp19</t>
  </si>
  <si>
    <t>matrix metallopeptidase 19 [Source:MGI Symbol;Acc:MGI:1927899]</t>
  </si>
  <si>
    <t>Pxmp4</t>
  </si>
  <si>
    <t>peroxisomal membrane protein 4 [Source:MGI Symbol;Acc:MGI:1891701]</t>
  </si>
  <si>
    <t>Ifitm2</t>
  </si>
  <si>
    <t>interferon induced transmembrane protein 2 [Source:MGI Symbol;Acc:MGI:1933382]</t>
  </si>
  <si>
    <t>Tmem8</t>
  </si>
  <si>
    <t>transmembrane protein 8 [Source:MGI Symbol;Acc:MGI:1926283]</t>
  </si>
  <si>
    <t>Slc8b1</t>
  </si>
  <si>
    <t>solute carrier family 8 (sodium/lithium/calcium exchanger), member B1 [Source:MGI Symbol;Acc:MGI:2180781]</t>
  </si>
  <si>
    <t>Akap13</t>
  </si>
  <si>
    <t>A kinase (PRKA) anchor protein 13 [Source:MGI Symbol;Acc:MGI:2676556]</t>
  </si>
  <si>
    <t>Rnf103</t>
  </si>
  <si>
    <t>ring finger protein 103 [Source:MGI Symbol;Acc:MGI:109483]</t>
  </si>
  <si>
    <t>Tapbp</t>
  </si>
  <si>
    <t>TAP binding protein [Source:MGI Symbol;Acc:MGI:1201689]</t>
  </si>
  <si>
    <t>Rell1</t>
  </si>
  <si>
    <t>RELT-like 1 [Source:MGI Symbol;Acc:MGI:2140767]</t>
  </si>
  <si>
    <t>Dnajb14</t>
  </si>
  <si>
    <t>DnaJ heat shock protein family (Hsp40) member B14 [Source:MGI Symbol;Acc:MGI:1917854]</t>
  </si>
  <si>
    <t>Adcy7</t>
  </si>
  <si>
    <t>adenylate cyclase 7 [Source:MGI Symbol;Acc:MGI:102891]</t>
  </si>
  <si>
    <t>Cebpg</t>
  </si>
  <si>
    <t>CCAAT/enhancer binding protein (C/EBP), gamma [Source:MGI Symbol;Acc:MGI:104982]</t>
  </si>
  <si>
    <t>Ift172</t>
  </si>
  <si>
    <t>intraflagellar transport 172 [Source:MGI Symbol;Acc:MGI:2682064]</t>
  </si>
  <si>
    <t>Pcdhgb7</t>
  </si>
  <si>
    <t>protocadherin gamma subfamily B, 7 [Source:MGI Symbol;Acc:MGI:1935199]</t>
  </si>
  <si>
    <t>Slc26a11</t>
  </si>
  <si>
    <t>solute carrier family 26, member 11 [Source:MGI Symbol;Acc:MGI:2444589]</t>
  </si>
  <si>
    <t>Dmxl2</t>
  </si>
  <si>
    <t>Dmx-like 2 [Source:MGI Symbol;Acc:MGI:2444630]</t>
  </si>
  <si>
    <t>Pld4</t>
  </si>
  <si>
    <t>phospholipase D family, member 4 [Source:MGI Symbol;Acc:MGI:2144765]</t>
  </si>
  <si>
    <t>Ap1s2</t>
  </si>
  <si>
    <t>adaptor-related protein complex 1, sigma 2 subunit [Source:MGI Symbol;Acc:MGI:1889383]</t>
  </si>
  <si>
    <t>Mcub</t>
  </si>
  <si>
    <t>mitochondrial calcium uniporter dominant negative beta subunit [Source:MGI Symbol;Acc:MGI:1914065]</t>
  </si>
  <si>
    <t>Tmem104</t>
  </si>
  <si>
    <t>transmembrane protein 104 [Source:MGI Symbol;Acc:MGI:2444222]</t>
  </si>
  <si>
    <t>CAAA01147332.1</t>
  </si>
  <si>
    <t>Sesn1</t>
  </si>
  <si>
    <t>sestrin 1 [Source:MGI Symbol;Acc:MGI:2155278]</t>
  </si>
  <si>
    <t>Sgk1</t>
  </si>
  <si>
    <t>serum/glucocorticoid regulated kinase 1 [Source:MGI Symbol;Acc:MGI:1340062]</t>
  </si>
  <si>
    <t>Scarb1</t>
  </si>
  <si>
    <t>scavenger receptor class B, member 1 [Source:MGI Symbol;Acc:MGI:893578]</t>
  </si>
  <si>
    <t>Aph1c</t>
  </si>
  <si>
    <t>aph1 homolog C, gamma secretase subunit [Source:MGI Symbol;Acc:MGI:1915568]</t>
  </si>
  <si>
    <t>Slc39a2</t>
  </si>
  <si>
    <t>solute carrier family 39 (zinc transporter), member 2 [Source:MGI Symbol;Acc:MGI:2684326]</t>
  </si>
  <si>
    <t>Itsn1</t>
  </si>
  <si>
    <t>intersectin 1 (SH3 domain protein 1A) [Source:MGI Symbol;Acc:MGI:1338069]</t>
  </si>
  <si>
    <t>Abcc3</t>
  </si>
  <si>
    <t>ATP-binding cassette, sub-family C (CFTR/MRP), member 3 [Source:MGI Symbol;Acc:MGI:1923658]</t>
  </si>
  <si>
    <t>Hvcn1</t>
  </si>
  <si>
    <t>hydrogen voltage-gated channel 1 [Source:MGI Symbol;Acc:MGI:1921346]</t>
  </si>
  <si>
    <t>Tmem50b</t>
  </si>
  <si>
    <t>transmembrane protein 50B [Source:MGI Symbol;Acc:MGI:1925225]</t>
  </si>
  <si>
    <t>Ccni</t>
  </si>
  <si>
    <t>cyclin I [Source:MGI Symbol;Acc:MGI:1341077]</t>
  </si>
  <si>
    <t>Man2b2</t>
  </si>
  <si>
    <t>mannosidase 2, alpha B2 [Source:MGI Symbol;Acc:MGI:1195262]</t>
  </si>
  <si>
    <t>Tmem154</t>
  </si>
  <si>
    <t>transmembrane protein 154 [Source:MGI Symbol;Acc:MGI:2444725]</t>
  </si>
  <si>
    <t>Cttnbp2nl</t>
  </si>
  <si>
    <t>CTTNBP2 N-terminal like [Source:MGI Symbol;Acc:MGI:1933137]</t>
  </si>
  <si>
    <t>Inafm1</t>
  </si>
  <si>
    <t>InaF motif containing 1 [Source:MGI Symbol;Acc:MGI:1913550]</t>
  </si>
  <si>
    <t>Calcoco1</t>
  </si>
  <si>
    <t>calcium binding and coiled coil domain 1 [Source:MGI Symbol;Acc:MGI:1914738]</t>
  </si>
  <si>
    <t>Csrp1</t>
  </si>
  <si>
    <t>cysteine and glycine-rich protein 1 [Source:MGI Symbol;Acc:MGI:88549]</t>
  </si>
  <si>
    <t>4833438C02Rik</t>
  </si>
  <si>
    <t>RIKEN cDNA 4833438C02 gene [Source:MGI Symbol;Acc:MGI:2147599]</t>
  </si>
  <si>
    <t>Smo</t>
  </si>
  <si>
    <t>smoothened, frizzled class receptor [Source:MGI Symbol;Acc:MGI:108075]</t>
  </si>
  <si>
    <t>Cacna2d1</t>
  </si>
  <si>
    <t>calcium channel, voltage-dependent, alpha2/delta subunit 1 [Source:MGI Symbol;Acc:MGI:88295]</t>
  </si>
  <si>
    <t>Fam83h</t>
  </si>
  <si>
    <t>family with sequence similarity 83, member H [Source:MGI Symbol;Acc:MGI:2145900]</t>
  </si>
  <si>
    <t>Tyrobp</t>
  </si>
  <si>
    <t>TYRO protein tyrosine kinase binding protein [Source:MGI Symbol;Acc:MGI:1277211]</t>
  </si>
  <si>
    <t>Syt11</t>
  </si>
  <si>
    <t>synaptotagmin XI [Source:MGI Symbol;Acc:MGI:1859547]</t>
  </si>
  <si>
    <t>Stard5</t>
  </si>
  <si>
    <t>StAR-related lipid transfer (START) domain containing 5 [Source:MGI Symbol;Acc:MGI:2156765]</t>
  </si>
  <si>
    <t>Anxa3</t>
  </si>
  <si>
    <t>annexin A3 [Source:MGI Symbol;Acc:MGI:1201378]</t>
  </si>
  <si>
    <t>Tfdp2</t>
  </si>
  <si>
    <t>transcription factor Dp 2 [Source:MGI Symbol;Acc:MGI:107167]</t>
  </si>
  <si>
    <t>Tspo</t>
  </si>
  <si>
    <t>translocator protein [Source:MGI Symbol;Acc:MGI:88222]</t>
  </si>
  <si>
    <t>Rubcn</t>
  </si>
  <si>
    <t>RUN domain and cysteine-rich domain containing, Beclin 1-interacting protein [Source:MGI Symbol;Acc:MGI:1915160]</t>
  </si>
  <si>
    <t>Smim14</t>
  </si>
  <si>
    <t>small integral membrane protein 14 [Source:MGI Symbol;Acc:MGI:1915802]</t>
  </si>
  <si>
    <t>Rin2</t>
  </si>
  <si>
    <t>Ras and Rab interactor 2 [Source:MGI Symbol;Acc:MGI:1921280]</t>
  </si>
  <si>
    <t>Elovl7</t>
  </si>
  <si>
    <t>ELOVL family member 7, elongation of long chain fatty acids (yeast) [Source:MGI Symbol;Acc:MGI:1921809]</t>
  </si>
  <si>
    <t>Hey1</t>
  </si>
  <si>
    <t>hairy/enhancer-of-split related with YRPW motif 1 [Source:MGI Symbol;Acc:MGI:1341800]</t>
  </si>
  <si>
    <t>Fam234a</t>
  </si>
  <si>
    <t>family with sequence similarity 234, member A [Source:MGI Symbol;Acc:MGI:2146854]</t>
  </si>
  <si>
    <t>Pdcl3</t>
  </si>
  <si>
    <t>phosducin-like 3 [Source:MGI Symbol;Acc:MGI:1916083]</t>
  </si>
  <si>
    <t>Mocs1</t>
  </si>
  <si>
    <t>molybdenum cofactor synthesis 1 [Source:MGI Symbol;Acc:MGI:1928904]</t>
  </si>
  <si>
    <t>Slc43a2</t>
  </si>
  <si>
    <t>solute carrier family 43, member 2 [Source:MGI Symbol;Acc:MGI:2442746]</t>
  </si>
  <si>
    <t>Gusb</t>
  </si>
  <si>
    <t>glucuronidase, beta [Source:MGI Symbol;Acc:MGI:95872]</t>
  </si>
  <si>
    <t>Prex1</t>
  </si>
  <si>
    <t>phosphatidylinositol-3,4,5-trisphosphate-dependent Rac exchange factor 1 [Source:MGI Symbol;Acc:MGI:3040696]</t>
  </si>
  <si>
    <t>Nlrp3</t>
  </si>
  <si>
    <t>NLR family, pyrin domain containing 3 [Source:MGI Symbol;Acc:MGI:2653833]</t>
  </si>
  <si>
    <t>Ifngr1</t>
  </si>
  <si>
    <t>interferon gamma receptor 1 [Source:MGI Symbol;Acc:MGI:107655]</t>
  </si>
  <si>
    <t>Parp10</t>
  </si>
  <si>
    <t>poly (ADP-ribose) polymerase family, member 10 [Source:MGI Symbol;Acc:MGI:3712326]</t>
  </si>
  <si>
    <t>Parp9</t>
  </si>
  <si>
    <t>poly (ADP-ribose) polymerase family, member 9 [Source:MGI Symbol;Acc:MGI:1933117]</t>
  </si>
  <si>
    <t>Wdfy3</t>
  </si>
  <si>
    <t>WD repeat and FYVE domain containing 3 [Source:MGI Symbol;Acc:MGI:1096875]</t>
  </si>
  <si>
    <t>Rcsd1</t>
  </si>
  <si>
    <t>RCSD domain containing 1 [Source:MGI Symbol;Acc:MGI:2676394]</t>
  </si>
  <si>
    <t>Lipa</t>
  </si>
  <si>
    <t>lysosomal acid lipase A [Source:MGI Symbol;Acc:MGI:96789]</t>
  </si>
  <si>
    <t>Anxa6</t>
  </si>
  <si>
    <t>annexin A6 [Source:MGI Symbol;Acc:MGI:88255]</t>
  </si>
  <si>
    <t>Tbc1d2b</t>
  </si>
  <si>
    <t>TBC1 domain family, member 2B [Source:MGI Symbol;Acc:MGI:1914266]</t>
  </si>
  <si>
    <t>Dram1</t>
  </si>
  <si>
    <t>DNA-damage regulated autophagy modulator 1 [Source:MGI Symbol;Acc:MGI:1918962]</t>
  </si>
  <si>
    <t>Dram2</t>
  </si>
  <si>
    <t>DNA-damage regulated autophagy modulator 2 [Source:MGI Symbol;Acc:MGI:1914421]</t>
  </si>
  <si>
    <t>Gm45717</t>
  </si>
  <si>
    <t>predicted gene 45717 [Source:MGI Symbol;Acc:MGI:5804832]</t>
  </si>
  <si>
    <t>B3galnt1</t>
  </si>
  <si>
    <t>UDP-GalNAc:betaGlcNAc beta 1,3-galactosaminyltransferase, polypeptide 1 [Source:MGI Symbol;Acc:MGI:1349405]</t>
  </si>
  <si>
    <t>Pitpnc1</t>
  </si>
  <si>
    <t>phosphatidylinositol transfer protein, cytoplasmic 1 [Source:MGI Symbol;Acc:MGI:1919045]</t>
  </si>
  <si>
    <t>Slc35a5</t>
  </si>
  <si>
    <t>solute carrier family 35, member A5 [Source:MGI Symbol;Acc:MGI:1921352]</t>
  </si>
  <si>
    <t>Megf8</t>
  </si>
  <si>
    <t>multiple EGF-like-domains 8 [Source:MGI Symbol;Acc:MGI:2446294]</t>
  </si>
  <si>
    <t>Sun2</t>
  </si>
  <si>
    <t>Sad1 and UNC84 domain containing 2 [Source:MGI Symbol;Acc:MGI:2443011]</t>
  </si>
  <si>
    <t>Cpd</t>
  </si>
  <si>
    <t>carboxypeptidase D [Source:MGI Symbol;Acc:MGI:107265]</t>
  </si>
  <si>
    <t>Slc25a45</t>
  </si>
  <si>
    <t>solute carrier family 25, member 45 [Source:MGI Symbol;Acc:MGI:2147731]</t>
  </si>
  <si>
    <t>Tmem176b</t>
  </si>
  <si>
    <t>transmembrane protein 176B [Source:MGI Symbol;Acc:MGI:1916348]</t>
  </si>
  <si>
    <t>Gsdmd</t>
  </si>
  <si>
    <t>gasdermin D [Source:MGI Symbol;Acc:MGI:1916396]</t>
  </si>
  <si>
    <t>Il10rb</t>
  </si>
  <si>
    <t>interleukin 10 receptor, beta [Source:MGI Symbol;Acc:MGI:109380]</t>
  </si>
  <si>
    <t>Slc2a6</t>
  </si>
  <si>
    <t>solute carrier family 2 (facilitated glucose transporter), member 6 [Source:MGI Symbol;Acc:MGI:2443286]</t>
  </si>
  <si>
    <t>Tor4a</t>
  </si>
  <si>
    <t>torsin family 4, member A [Source:MGI Symbol;Acc:MGI:2442720]</t>
  </si>
  <si>
    <t>Hgsnat</t>
  </si>
  <si>
    <t>heparan-alpha-glucosaminide N-acetyltransferase [Source:MGI Symbol;Acc:MGI:1196297]</t>
  </si>
  <si>
    <t>Gpr137b-ps</t>
  </si>
  <si>
    <t>G protein-coupled receptor 137B, pseudogene [Source:MGI Symbol;Acc:MGI:3710533]</t>
  </si>
  <si>
    <t>H2-D1</t>
  </si>
  <si>
    <t>histocompatibility 2, D region locus 1 [Source:MGI Symbol;Acc:MGI:95896]</t>
  </si>
  <si>
    <t>Cd200r4</t>
  </si>
  <si>
    <t>CD200 receptor 4 [Source:MGI Symbol;Acc:MGI:3036289]</t>
  </si>
  <si>
    <t>Arhgap31</t>
  </si>
  <si>
    <t>Rho GTPase activating protein 31 [Source:MGI Symbol;Acc:MGI:1333857]</t>
  </si>
  <si>
    <t>Lamtor2</t>
  </si>
  <si>
    <t>late endosomal/lysosomal adaptor, MAPK and MTOR activator 2 [Source:MGI Symbol;Acc:MGI:1932697]</t>
  </si>
  <si>
    <t>Rapgef2</t>
  </si>
  <si>
    <t>Rap guanine nucleotide exchange factor (GEF) 2 [Source:MGI Symbol;Acc:MGI:2659071]</t>
  </si>
  <si>
    <t>Chst10</t>
  </si>
  <si>
    <t>carbohydrate sulfotransferase 10 [Source:MGI Symbol;Acc:MGI:2138283]</t>
  </si>
  <si>
    <t>Tdrd7</t>
  </si>
  <si>
    <t>tudor domain containing 7 [Source:MGI Symbol;Acc:MGI:2140279]</t>
  </si>
  <si>
    <t>Gm44597</t>
  </si>
  <si>
    <t>predicted gene 44597 [Source:MGI Symbol;Acc:MGI:5753173]</t>
  </si>
  <si>
    <t>Serhl</t>
  </si>
  <si>
    <t>serine hydrolase-like [Source:MGI Symbol;Acc:MGI:1890404]</t>
  </si>
  <si>
    <t>Plin2</t>
  </si>
  <si>
    <t>perilipin 2 [Source:MGI Symbol;Acc:MGI:87920]</t>
  </si>
  <si>
    <t>Atp8a1</t>
  </si>
  <si>
    <t>ATPase, aminophospholipid transporter (APLT), class I, type 8A, member 1 [Source:MGI Symbol;Acc:MGI:1330848]</t>
  </si>
  <si>
    <t>Runx1</t>
  </si>
  <si>
    <t>runt related transcription factor 1 [Source:MGI Symbol;Acc:MGI:99852]</t>
  </si>
  <si>
    <t>Fez2</t>
  </si>
  <si>
    <t>fasciculation and elongation protein zeta 2 (zygin II) [Source:MGI Symbol;Acc:MGI:2675856]</t>
  </si>
  <si>
    <t>Zfp362</t>
  </si>
  <si>
    <t>zinc finger protein 362 [Source:MGI Symbol;Acc:MGI:2652839]</t>
  </si>
  <si>
    <t>Slc39a3</t>
  </si>
  <si>
    <t>solute carrier family 39 (zinc transporter), member 3 [Source:MGI Symbol;Acc:MGI:2147269]</t>
  </si>
  <si>
    <t>Kif3a</t>
  </si>
  <si>
    <t>kinesin family member 3A [Source:MGI Symbol;Acc:MGI:107689]</t>
  </si>
  <si>
    <t>Rp2</t>
  </si>
  <si>
    <t>retinitis pigmentosa 2 homolog [Source:MGI Symbol;Acc:MGI:1277953]</t>
  </si>
  <si>
    <t>Pnpla7</t>
  </si>
  <si>
    <t>patatin-like phospholipase domain containing 7 [Source:MGI Symbol;Acc:MGI:2385325]</t>
  </si>
  <si>
    <t>Tyk2</t>
  </si>
  <si>
    <t>tyrosine kinase 2 [Source:MGI Symbol;Acc:MGI:1929470]</t>
  </si>
  <si>
    <t>Pgghg</t>
  </si>
  <si>
    <t>protein glucosylgalactosylhydroxylysine glucosidase [Source:MGI Symbol;Acc:MGI:2444047]</t>
  </si>
  <si>
    <t>Frmd4b</t>
  </si>
  <si>
    <t>FERM domain containing 4B [Source:MGI Symbol;Acc:MGI:2141794]</t>
  </si>
  <si>
    <t>Tgfbr2</t>
  </si>
  <si>
    <t>transforming growth factor, beta receptor II [Source:MGI Symbol;Acc:MGI:98729]</t>
  </si>
  <si>
    <t>St3gal1</t>
  </si>
  <si>
    <t>ST3 beta-galactoside alpha-2,3-sialyltransferase 1 [Source:MGI Symbol;Acc:MGI:98304]</t>
  </si>
  <si>
    <t>Fgd2</t>
  </si>
  <si>
    <t>FYVE, RhoGEF and PH domain containing 2 [Source:MGI Symbol;Acc:MGI:1347084]</t>
  </si>
  <si>
    <t>Lyst</t>
  </si>
  <si>
    <t>lysosomal trafficking regulator [Source:MGI Symbol;Acc:MGI:107448]</t>
  </si>
  <si>
    <t>Tor3a</t>
  </si>
  <si>
    <t>torsin family 3, member A [Source:MGI Symbol;Acc:MGI:1353652]</t>
  </si>
  <si>
    <t>Arhgap25</t>
  </si>
  <si>
    <t>Rho GTPase activating protein 25 [Source:MGI Symbol;Acc:MGI:2443687]</t>
  </si>
  <si>
    <t>Rab7b</t>
  </si>
  <si>
    <t>RAB7B, member RAS oncogene family [Source:MGI Symbol;Acc:MGI:2442295]</t>
  </si>
  <si>
    <t>Utrn</t>
  </si>
  <si>
    <t>utrophin [Source:MGI Symbol;Acc:MGI:104631]</t>
  </si>
  <si>
    <t>Rasa3</t>
  </si>
  <si>
    <t>RAS p21 protein activator 3 [Source:MGI Symbol;Acc:MGI:1197013]</t>
  </si>
  <si>
    <t>Ing4</t>
  </si>
  <si>
    <t>inhibitor of growth family, member 4 [Source:MGI Symbol;Acc:MGI:107307]</t>
  </si>
  <si>
    <t>Myo1d</t>
  </si>
  <si>
    <t>myosin ID [Source:MGI Symbol;Acc:MGI:107728]</t>
  </si>
  <si>
    <t>Donson</t>
  </si>
  <si>
    <t>downstream neighbor of SON [Source:MGI Symbol;Acc:MGI:1890621]</t>
  </si>
  <si>
    <t>Ralgapa2</t>
  </si>
  <si>
    <t>Ral GTPase activating protein, alpha subunit 2 (catalytic) [Source:MGI Symbol;Acc:MGI:3036245]</t>
  </si>
  <si>
    <t>Tnip1</t>
  </si>
  <si>
    <t>TNFAIP3 interacting protein 1 [Source:MGI Symbol;Acc:MGI:1926194]</t>
  </si>
  <si>
    <t>Cyp4f16</t>
  </si>
  <si>
    <t>cytochrome P450, family 4, subfamily f, polypeptide 16 [Source:MGI Symbol;Acc:MGI:1917351]</t>
  </si>
  <si>
    <t>Mfsd6</t>
  </si>
  <si>
    <t>major facilitator superfamily domain containing 6 [Source:MGI Symbol;Acc:MGI:1922925]</t>
  </si>
  <si>
    <t>Cryzl1</t>
  </si>
  <si>
    <t>crystallin, zeta (quinone reductase)-like 1 [Source:MGI Symbol;Acc:MGI:1913859]</t>
  </si>
  <si>
    <t>Marchf2</t>
  </si>
  <si>
    <t>membrane associated ring-CH-type finger 2 [Source:MGI Symbol;Acc:MGI:1925915]</t>
  </si>
  <si>
    <t>Vps13d</t>
  </si>
  <si>
    <t>vacuolar protein sorting 13D [Source:MGI Symbol;Acc:MGI:2448530]</t>
  </si>
  <si>
    <t>Fam219a</t>
  </si>
  <si>
    <t>family with sequence similarity 219, member A [Source:MGI Symbol;Acc:MGI:1919151]</t>
  </si>
  <si>
    <t>Gpcpd1</t>
  </si>
  <si>
    <t>glycerophosphocholine phosphodiesterase 1 [Source:MGI Symbol;Acc:MGI:104898]</t>
  </si>
  <si>
    <t>Ift140</t>
  </si>
  <si>
    <t>intraflagellar transport 140 [Source:MGI Symbol;Acc:MGI:2146906]</t>
  </si>
  <si>
    <t>Bbx</t>
  </si>
  <si>
    <t>bobby sox HMG box containing [Source:MGI Symbol;Acc:MGI:1917758]</t>
  </si>
  <si>
    <t>Heca</t>
  </si>
  <si>
    <t>hdc homolog, cell cycle regulator [Source:MGI Symbol;Acc:MGI:2685715]</t>
  </si>
  <si>
    <t>Abcd1</t>
  </si>
  <si>
    <t>ATP-binding cassette, sub-family D (ALD), member 1 [Source:MGI Symbol;Acc:MGI:1349215]</t>
  </si>
  <si>
    <t>Naip6</t>
  </si>
  <si>
    <t>NLR family, apoptosis inhibitory protein 6 [Source:MGI Symbol;Acc:MGI:1298222]</t>
  </si>
  <si>
    <t>Acsf3</t>
  </si>
  <si>
    <t>acyl-CoA synthetase family member 3 [Source:MGI Symbol;Acc:MGI:2182591]</t>
  </si>
  <si>
    <t>Herc1</t>
  </si>
  <si>
    <t>HECT and RLD domain containing E3 ubiquitin protein ligase family member 1 [Source:MGI Symbol;Acc:MGI:2384589]</t>
  </si>
  <si>
    <t>Flot1</t>
  </si>
  <si>
    <t>flotillin 1 [Source:MGI Symbol;Acc:MGI:1100500]</t>
  </si>
  <si>
    <t>Bcas3</t>
  </si>
  <si>
    <t>breast carcinoma amplified sequence 3 [Source:MGI Symbol;Acc:MGI:2385848]</t>
  </si>
  <si>
    <t>Dpm3</t>
  </si>
  <si>
    <t>dolichyl-phosphate mannosyltransferase polypeptide 3 [Source:MGI Symbol;Acc:MGI:1915813]</t>
  </si>
  <si>
    <t>Mtmr14</t>
  </si>
  <si>
    <t>myotubularin related protein 14 [Source:MGI Symbol;Acc:MGI:1916075]</t>
  </si>
  <si>
    <t>Gabarapl1</t>
  </si>
  <si>
    <t>gamma-aminobutyric acid (GABA) A receptor-associated protein-like 1 [Source:MGI Symbol;Acc:MGI:1914980]</t>
  </si>
  <si>
    <t>Trps1</t>
  </si>
  <si>
    <t>transcriptional repressor GATA binding 1 [Source:MGI Symbol;Acc:MGI:1927616]</t>
  </si>
  <si>
    <t>Herc2</t>
  </si>
  <si>
    <t>HECT and RLD domain containing E3 ubiquitin protein ligase 2 [Source:MGI Symbol;Acc:MGI:103234]</t>
  </si>
  <si>
    <t>Pald1</t>
  </si>
  <si>
    <t>phosphatase domain containing, paladin 1 [Source:MGI Symbol;Acc:MGI:1351623]</t>
  </si>
  <si>
    <t>Ephx1</t>
  </si>
  <si>
    <t>epoxide hydrolase 1, microsomal [Source:MGI Symbol;Acc:MGI:95405]</t>
  </si>
  <si>
    <t>Txndc16</t>
  </si>
  <si>
    <t>thioredoxin domain containing 16 [Source:MGI Symbol;Acc:MGI:1917811]</t>
  </si>
  <si>
    <t>Orai1</t>
  </si>
  <si>
    <t>ORAI calcium release-activated calcium modulator 1 [Source:MGI Symbol;Acc:MGI:1925542]</t>
  </si>
  <si>
    <t>Echs1</t>
  </si>
  <si>
    <t>enoyl Coenzyme A hydratase, short chain, 1, mitochondrial [Source:MGI Symbol;Acc:MGI:2136460]</t>
  </si>
  <si>
    <t>Arap3</t>
  </si>
  <si>
    <t>ArfGAP with RhoGAP domain, ankyrin repeat and PH domain 3 [Source:MGI Symbol;Acc:MGI:2147274]</t>
  </si>
  <si>
    <t>Ulk1</t>
  </si>
  <si>
    <t>unc-51 like kinase 1 [Source:MGI Symbol;Acc:MGI:1270126]</t>
  </si>
  <si>
    <t>Maml2</t>
  </si>
  <si>
    <t>mastermind like transcriptional coactivator 2 [Source:MGI Symbol;Acc:MGI:2389460]</t>
  </si>
  <si>
    <t>Pkd1</t>
  </si>
  <si>
    <t>polycystin 1, transient receptor poteintial channel interacting [Source:MGI Symbol;Acc:MGI:97603]</t>
  </si>
  <si>
    <t>Pla2g15</t>
  </si>
  <si>
    <t>phospholipase A2, group XV [Source:MGI Symbol;Acc:MGI:2178076]</t>
  </si>
  <si>
    <t>Wdyhv1</t>
  </si>
  <si>
    <t>WDYHV motif containing 1 [Source:MGI Symbol;Acc:MGI:1924023]</t>
  </si>
  <si>
    <t>Fosl2</t>
  </si>
  <si>
    <t>fos-like antigen 2 [Source:MGI Symbol;Acc:MGI:102858]</t>
  </si>
  <si>
    <t>Tmub2</t>
  </si>
  <si>
    <t>transmembrane and ubiquitin-like domain containing 2 [Source:MGI Symbol;Acc:MGI:1919303]</t>
  </si>
  <si>
    <t>Gpr162</t>
  </si>
  <si>
    <t>G protein-coupled receptor 162 [Source:MGI Symbol;Acc:MGI:1315214]</t>
  </si>
  <si>
    <t>A530017D24Rik</t>
  </si>
  <si>
    <t>RIKEN cDNA A530017D24 gene [Source:MGI Symbol;Acc:MGI:2144320]</t>
  </si>
  <si>
    <t>St6gal1</t>
  </si>
  <si>
    <t>beta galactoside alpha 2,6 sialyltransferase 1 [Source:MGI Symbol;Acc:MGI:108470]</t>
  </si>
  <si>
    <t>Slc7a8</t>
  </si>
  <si>
    <t>solute carrier family 7 (cationic amino acid transporter, y+ system), member 8 [Source:MGI Symbol;Acc:MGI:1355323]</t>
  </si>
  <si>
    <t>Tifab</t>
  </si>
  <si>
    <t>TRAF-interacting protein with forkhead-associated domain, family member B [Source:MGI Symbol;Acc:MGI:2385852]</t>
  </si>
  <si>
    <t>Rps6ka5</t>
  </si>
  <si>
    <t>ribosomal protein S6 kinase, polypeptide 5 [Source:MGI Symbol;Acc:MGI:1920336]</t>
  </si>
  <si>
    <t>Cd47</t>
  </si>
  <si>
    <t>CD47 antigen (Rh-related antigen, integrin-associated signal transducer) [Source:MGI Symbol;Acc:MGI:96617]</t>
  </si>
  <si>
    <t>Arap1</t>
  </si>
  <si>
    <t>ArfGAP with RhoGAP domain, ankyrin repeat and PH domain 1 [Source:MGI Symbol;Acc:MGI:1916960]</t>
  </si>
  <si>
    <t>Abcc5</t>
  </si>
  <si>
    <t>ATP-binding cassette, sub-family C (CFTR/MRP), member 5 [Source:MGI Symbol;Acc:MGI:1351644]</t>
  </si>
  <si>
    <t>Dhrs1</t>
  </si>
  <si>
    <t>dehydrogenase/reductase (SDR family) member 1 [Source:MGI Symbol;Acc:MGI:1196314]</t>
  </si>
  <si>
    <t>Cmtm6</t>
  </si>
  <si>
    <t>CKLF-like MARVEL transmembrane domain containing 6 [Source:MGI Symbol;Acc:MGI:2447165]</t>
  </si>
  <si>
    <t>Fam174a</t>
  </si>
  <si>
    <t>family with sequence similarity 174, member A [Source:MGI Symbol;Acc:MGI:1914948]</t>
  </si>
  <si>
    <t>Atg4c</t>
  </si>
  <si>
    <t>autophagy related 4C, cysteine peptidase [Source:MGI Symbol;Acc:MGI:2651854]</t>
  </si>
  <si>
    <t>Cd48</t>
  </si>
  <si>
    <t>CD48 antigen [Source:MGI Symbol;Acc:MGI:88339]</t>
  </si>
  <si>
    <t>Dennd1a</t>
  </si>
  <si>
    <t>DENN/MADD domain containing 1A [Source:MGI Symbol;Acc:MGI:2442794]</t>
  </si>
  <si>
    <t>Bnip3l</t>
  </si>
  <si>
    <t>BCL2/adenovirus E1B interacting protein 3-like [Source:MGI Symbol;Acc:MGI:1332659]</t>
  </si>
  <si>
    <t>Ninj1</t>
  </si>
  <si>
    <t>ninjurin 1 [Source:MGI Symbol;Acc:MGI:1196617]</t>
  </si>
  <si>
    <t>Myl6</t>
  </si>
  <si>
    <t>myosin, light polypeptide 6, alkali, smooth muscle and non-muscle [Source:MGI Symbol;Acc:MGI:109318]</t>
  </si>
  <si>
    <t>Card19</t>
  </si>
  <si>
    <t>caspase recruitment domain family, member 19 [Source:MGI Symbol;Acc:MGI:1915730]</t>
  </si>
  <si>
    <t>Rab11fip5</t>
  </si>
  <si>
    <t>RAB11 family interacting protein 5 (class I) [Source:MGI Symbol;Acc:MGI:1098586]</t>
  </si>
  <si>
    <t>Tm2d2</t>
  </si>
  <si>
    <t>TM2 domain containing 2 [Source:MGI Symbol;Acc:MGI:1916992]</t>
  </si>
  <si>
    <t>Ankrd44</t>
  </si>
  <si>
    <t>ankyrin repeat domain 44 [Source:MGI Symbol;Acc:MGI:3045243]</t>
  </si>
  <si>
    <t>Osbpl11</t>
  </si>
  <si>
    <t>oxysterol binding protein-like 11 [Source:MGI Symbol;Acc:MGI:2146553]</t>
  </si>
  <si>
    <t>Klc4</t>
  </si>
  <si>
    <t>kinesin light chain 4 [Source:MGI Symbol;Acc:MGI:1922014]</t>
  </si>
  <si>
    <t>Shisa5</t>
  </si>
  <si>
    <t>shisa family member 5 [Source:MGI Symbol;Acc:MGI:1915044]</t>
  </si>
  <si>
    <t>Lrrc61</t>
  </si>
  <si>
    <t>leucine rich repeat containing 61 [Source:MGI Symbol;Acc:MGI:2652848]</t>
  </si>
  <si>
    <t>Tmco4</t>
  </si>
  <si>
    <t>transmembrane and coiled-coil domains 4 [Source:MGI Symbol;Acc:MGI:1924306]</t>
  </si>
  <si>
    <t>Pnpla2</t>
  </si>
  <si>
    <t>patatin-like phospholipase domain containing 2 [Source:MGI Symbol;Acc:MGI:1914103]</t>
  </si>
  <si>
    <t>Fchsd2</t>
  </si>
  <si>
    <t>FCH and double SH3 domains 2 [Source:MGI Symbol;Acc:MGI:2448475]</t>
  </si>
  <si>
    <t>H6pd</t>
  </si>
  <si>
    <t>hexose-6-phosphate dehydrogenase (glucose 1-dehydrogenase) [Source:MGI Symbol;Acc:MGI:2140356]</t>
  </si>
  <si>
    <t>Osbpl2</t>
  </si>
  <si>
    <t>oxysterol binding protein-like 2 [Source:MGI Symbol;Acc:MGI:2442832]</t>
  </si>
  <si>
    <t>Tec</t>
  </si>
  <si>
    <t>tec protein tyrosine kinase [Source:MGI Symbol;Acc:MGI:98662]</t>
  </si>
  <si>
    <t>Polr3gl</t>
  </si>
  <si>
    <t>polymerase (RNA) III (DNA directed) polypeptide G like [Source:MGI Symbol;Acc:MGI:1917120]</t>
  </si>
  <si>
    <t>Fermt3</t>
  </si>
  <si>
    <t>fermitin family member 3 [Source:MGI Symbol;Acc:MGI:2147790]</t>
  </si>
  <si>
    <t>Abtb1</t>
  </si>
  <si>
    <t>ankyrin repeat and  BTB (POZ) domain containing 1 [Source:MGI Symbol;Acc:MGI:1933148]</t>
  </si>
  <si>
    <t>Ocel1</t>
  </si>
  <si>
    <t>occludin/ELL domain containing 1 [Source:MGI Symbol;Acc:MGI:1924340]</t>
  </si>
  <si>
    <t>Il4ra</t>
  </si>
  <si>
    <t>interleukin 4 receptor, alpha [Source:MGI Symbol;Acc:MGI:105367]</t>
  </si>
  <si>
    <t>Gng2</t>
  </si>
  <si>
    <t>guanine nucleotide binding protein (G protein), gamma 2 [Source:MGI Symbol;Acc:MGI:102705]</t>
  </si>
  <si>
    <t>Lcp2</t>
  </si>
  <si>
    <t>lymphocyte cytosolic protein 2 [Source:MGI Symbol;Acc:MGI:1321402]</t>
  </si>
  <si>
    <t>Tdrd3</t>
  </si>
  <si>
    <t>tudor domain containing 3 [Source:MGI Symbol;Acc:MGI:2444023]</t>
  </si>
  <si>
    <t>Fgf11</t>
  </si>
  <si>
    <t>fibroblast growth factor 11 [Source:MGI Symbol;Acc:MGI:109167]</t>
  </si>
  <si>
    <t>Srd5a3</t>
  </si>
  <si>
    <t>steroid 5 alpha-reductase 3 [Source:MGI Symbol;Acc:MGI:1930252]</t>
  </si>
  <si>
    <t>Inpp4a</t>
  </si>
  <si>
    <t>inositol polyphosphate-4-phosphatase, type I [Source:MGI Symbol;Acc:MGI:1931123]</t>
  </si>
  <si>
    <t>Ggta1</t>
  </si>
  <si>
    <t>glycoprotein galactosyltransferase alpha 1, 3 [Source:MGI Symbol;Acc:MGI:95704]</t>
  </si>
  <si>
    <t>Alox5ap</t>
  </si>
  <si>
    <t>arachidonate 5-lipoxygenase activating protein [Source:MGI Symbol;Acc:MGI:107505]</t>
  </si>
  <si>
    <t>Rb1</t>
  </si>
  <si>
    <t>RB transcriptional corepressor 1 [Source:MGI Symbol;Acc:MGI:97874]</t>
  </si>
  <si>
    <t>Idh2</t>
  </si>
  <si>
    <t>isocitrate dehydrogenase 2 (NADP+), mitochondrial [Source:MGI Symbol;Acc:MGI:96414]</t>
  </si>
  <si>
    <t>Pgap1</t>
  </si>
  <si>
    <t>post-GPI attachment to proteins 1 [Source:MGI Symbol;Acc:MGI:2443342]</t>
  </si>
  <si>
    <t>Tnfaip8l2</t>
  </si>
  <si>
    <t>tumor necrosis factor, alpha-induced protein 8-like 2 [Source:MGI Symbol;Acc:MGI:1917019]</t>
  </si>
  <si>
    <t>Pld2</t>
  </si>
  <si>
    <t>phospholipase D2 [Source:MGI Symbol;Acc:MGI:892877]</t>
  </si>
  <si>
    <t>Sgk3</t>
  </si>
  <si>
    <t>serum/glucocorticoid regulated kinase 3 [Source:MGI Symbol;Acc:MGI:2182368]</t>
  </si>
  <si>
    <t>Sipa1l2</t>
  </si>
  <si>
    <t>signal-induced proliferation-associated 1 like 2 [Source:MGI Symbol;Acc:MGI:2676970]</t>
  </si>
  <si>
    <t>Kptn</t>
  </si>
  <si>
    <t>kaptin [Source:MGI Symbol;Acc:MGI:1890380]</t>
  </si>
  <si>
    <t>Htatip2</t>
  </si>
  <si>
    <t>HIV-1 Tat interactive protein 2 [Source:MGI Symbol;Acc:MGI:1859271]</t>
  </si>
  <si>
    <t>Cd300a</t>
  </si>
  <si>
    <t>CD300A molecule [Source:MGI Symbol;Acc:MGI:2443411]</t>
  </si>
  <si>
    <t>Nbr1</t>
  </si>
  <si>
    <t>NBR1, autophagy cargo receptor [Source:MGI Symbol;Acc:MGI:108498]</t>
  </si>
  <si>
    <t>Gm21970</t>
  </si>
  <si>
    <t>predicted gene 21970 [Source:MGI Symbol;Acc:MGI:5439439]</t>
  </si>
  <si>
    <t>Kcnk6</t>
  </si>
  <si>
    <t>potassium inwardly-rectifying channel, subfamily K, member 6 [Source:MGI Symbol;Acc:MGI:1891291]</t>
  </si>
  <si>
    <t>Os9</t>
  </si>
  <si>
    <t>amplified in osteosarcoma [Source:MGI Symbol;Acc:MGI:1924301]</t>
  </si>
  <si>
    <t>Alas1</t>
  </si>
  <si>
    <t>aminolevulinic acid synthase 1 [Source:MGI Symbol;Acc:MGI:87989]</t>
  </si>
  <si>
    <t>Atf3</t>
  </si>
  <si>
    <t>activating transcription factor 3 [Source:MGI Symbol;Acc:MGI:109384]</t>
  </si>
  <si>
    <t>Sirpa</t>
  </si>
  <si>
    <t>signal-regulatory protein alpha [Source:MGI Symbol;Acc:MGI:108563]</t>
  </si>
  <si>
    <t>Myo9a</t>
  </si>
  <si>
    <t>myosin IXa [Source:MGI Symbol;Acc:MGI:107735]</t>
  </si>
  <si>
    <t>Rmnd5a</t>
  </si>
  <si>
    <t>required for meiotic nuclear division 5 homolog A [Source:MGI Symbol;Acc:MGI:1915727]</t>
  </si>
  <si>
    <t>Map4k4</t>
  </si>
  <si>
    <t>mitogen-activated protein kinase kinase kinase kinase 4 [Source:MGI Symbol;Acc:MGI:1349394]</t>
  </si>
  <si>
    <t>Taldo1</t>
  </si>
  <si>
    <t>transaldolase 1 [Source:MGI Symbol;Acc:MGI:1274789]</t>
  </si>
  <si>
    <t>Rab32</t>
  </si>
  <si>
    <t>RAB32, member RAS oncogene family [Source:MGI Symbol;Acc:MGI:1915094]</t>
  </si>
  <si>
    <t>Mpp1</t>
  </si>
  <si>
    <t>membrane protein, palmitoylated [Source:MGI Symbol;Acc:MGI:105941]</t>
  </si>
  <si>
    <t>Fes</t>
  </si>
  <si>
    <t>feline sarcoma oncogene [Source:MGI Symbol;Acc:MGI:95514]</t>
  </si>
  <si>
    <t>Dock10</t>
  </si>
  <si>
    <t>dedicator of cytokinesis 10 [Source:MGI Symbol;Acc:MGI:2146320]</t>
  </si>
  <si>
    <t>Arid5b</t>
  </si>
  <si>
    <t>AT rich interactive domain 5B (MRF1-like) [Source:MGI Symbol;Acc:MGI:2175912]</t>
  </si>
  <si>
    <t>Tk1</t>
  </si>
  <si>
    <t>thymidine kinase 1 [Source:MGI Symbol;Acc:MGI:98763]</t>
  </si>
  <si>
    <t>Il12rb2</t>
  </si>
  <si>
    <t>interleukin 12 receptor, beta 2 [Source:MGI Symbol;Acc:MGI:1270861]</t>
  </si>
  <si>
    <t>Plcb2</t>
  </si>
  <si>
    <t>phospholipase C, beta 2 [Source:MGI Symbol;Acc:MGI:107465]</t>
  </si>
  <si>
    <t>Mta3</t>
  </si>
  <si>
    <t>metastasis associated 3 [Source:MGI Symbol;Acc:MGI:2151172]</t>
  </si>
  <si>
    <t>Phkb</t>
  </si>
  <si>
    <t>phosphorylase kinase beta [Source:MGI Symbol;Acc:MGI:97578]</t>
  </si>
  <si>
    <t>Sema4d</t>
  </si>
  <si>
    <t>sema domain, immunoglobulin domain (Ig), transmembrane domain (TM) and short cytoplasmic domain, (semaphorin) 4D [Source:MGI Symbol;Acc:MGI:109244]</t>
  </si>
  <si>
    <t>Dpy19l4</t>
  </si>
  <si>
    <t>dpy-19-like 4 (C. elegans) [Source:MGI Symbol;Acc:MGI:2685869]</t>
  </si>
  <si>
    <t>Khnyn</t>
  </si>
  <si>
    <t>KH and NYN domain containing [Source:MGI Symbol;Acc:MGI:2451333]</t>
  </si>
  <si>
    <t>Mgrn1</t>
  </si>
  <si>
    <t>mahogunin, ring finger 1 [Source:MGI Symbol;Acc:MGI:2447670]</t>
  </si>
  <si>
    <t>Ldlrad3</t>
  </si>
  <si>
    <t>low density lipoprotein receptor class A domain containing 3 [Source:MGI Symbol;Acc:MGI:2138856]</t>
  </si>
  <si>
    <t>Als2cl</t>
  </si>
  <si>
    <t>ALS2 C-terminal like [Source:MGI Symbol;Acc:MGI:2447532]</t>
  </si>
  <si>
    <t>Ifnar1</t>
  </si>
  <si>
    <t>interferon (alpha and beta) receptor 1 [Source:MGI Symbol;Acc:MGI:107658]</t>
  </si>
  <si>
    <t>Mier1</t>
  </si>
  <si>
    <t>MEIR1 treanscription regulator [Source:MGI Symbol;Acc:MGI:1918398]</t>
  </si>
  <si>
    <t>Tpm4</t>
  </si>
  <si>
    <t>tropomyosin 4 [Source:MGI Symbol;Acc:MGI:2449202]</t>
  </si>
  <si>
    <t>Naga</t>
  </si>
  <si>
    <t>N-acetyl galactosaminidase, alpha [Source:MGI Symbol;Acc:MGI:1261422]</t>
  </si>
  <si>
    <t>Stxbp3</t>
  </si>
  <si>
    <t>syntaxin binding protein 3 [Source:MGI Symbol;Acc:MGI:107362]</t>
  </si>
  <si>
    <t>Inpp5d</t>
  </si>
  <si>
    <t>inositol polyphosphate-5-phosphatase D [Source:MGI Symbol;Acc:MGI:107357]</t>
  </si>
  <si>
    <t>Ube2h</t>
  </si>
  <si>
    <t>ubiquitin-conjugating enzyme E2H [Source:MGI Symbol;Acc:MGI:104632]</t>
  </si>
  <si>
    <t>Tpd52</t>
  </si>
  <si>
    <t>tumor protein D52 [Source:MGI Symbol;Acc:MGI:107749]</t>
  </si>
  <si>
    <t>Vhl</t>
  </si>
  <si>
    <t>von Hippel-Lindau tumor suppressor [Source:MGI Symbol;Acc:MGI:103223]</t>
  </si>
  <si>
    <t>Usf3</t>
  </si>
  <si>
    <t>upstream transcription factor family member 3 [Source:MGI Symbol;Acc:MGI:2685454]</t>
  </si>
  <si>
    <t>Arid3a</t>
  </si>
  <si>
    <t>AT rich interactive domain 3A (BRIGHT-like) [Source:MGI Symbol;Acc:MGI:1328360]</t>
  </si>
  <si>
    <t>Scarb2</t>
  </si>
  <si>
    <t>scavenger receptor class B, member 2 [Source:MGI Symbol;Acc:MGI:1196458]</t>
  </si>
  <si>
    <t>Coro1b</t>
  </si>
  <si>
    <t>coronin, actin binding protein 1B [Source:MGI Symbol;Acc:MGI:1345963]</t>
  </si>
  <si>
    <t>Slc36a4</t>
  </si>
  <si>
    <t>solute carrier family 36 (proton/amino acid symporter), member 4 [Source:MGI Symbol;Acc:MGI:2442595]</t>
  </si>
  <si>
    <t>Insr</t>
  </si>
  <si>
    <t>insulin receptor [Source:MGI Symbol;Acc:MGI:96575]</t>
  </si>
  <si>
    <t>Ptov1</t>
  </si>
  <si>
    <t>prostate tumor over expressed gene 1 [Source:MGI Symbol;Acc:MGI:1933946]</t>
  </si>
  <si>
    <t>Rbl2</t>
  </si>
  <si>
    <t>RB transcriptional corepressor like 2 [Source:MGI Symbol;Acc:MGI:105085]</t>
  </si>
  <si>
    <t>Tep1</t>
  </si>
  <si>
    <t>telomerase associated protein 1 [Source:MGI Symbol;Acc:MGI:109573]</t>
  </si>
  <si>
    <t>Arhgap19</t>
  </si>
  <si>
    <t>Rho GTPase activating protein 19 [Source:MGI Symbol;Acc:MGI:1918335]</t>
  </si>
  <si>
    <t>Aldh3a2</t>
  </si>
  <si>
    <t>aldehyde dehydrogenase family 3, subfamily A2 [Source:MGI Symbol;Acc:MGI:1353452]</t>
  </si>
  <si>
    <t>Emp3</t>
  </si>
  <si>
    <t>epithelial membrane protein 3 [Source:MGI Symbol;Acc:MGI:1098729]</t>
  </si>
  <si>
    <t>Zbtb18</t>
  </si>
  <si>
    <t>zinc finger and BTB domain containing 18 [Source:MGI Symbol;Acc:MGI:1353609]</t>
  </si>
  <si>
    <t>Myadm</t>
  </si>
  <si>
    <t>myeloid-associated differentiation marker [Source:MGI Symbol;Acc:MGI:1355332]</t>
  </si>
  <si>
    <t>Gpr176</t>
  </si>
  <si>
    <t>G protein-coupled receptor 176 [Source:MGI Symbol;Acc:MGI:2685858]</t>
  </si>
  <si>
    <t>Napepld</t>
  </si>
  <si>
    <t>N-acyl phosphatidylethanolamine phospholipase D [Source:MGI Symbol;Acc:MGI:2140885]</t>
  </si>
  <si>
    <t>Irak1</t>
  </si>
  <si>
    <t>interleukin-1 receptor-associated kinase 1 [Source:MGI Symbol;Acc:MGI:107420]</t>
  </si>
  <si>
    <t>B3glct</t>
  </si>
  <si>
    <t>beta-3-glucosyltransferase [Source:MGI Symbol;Acc:MGI:2685903]</t>
  </si>
  <si>
    <t>Sgsm2</t>
  </si>
  <si>
    <t>small G protein signaling modulator 2 [Source:MGI Symbol;Acc:MGI:2144695]</t>
  </si>
  <si>
    <t>Smarca2</t>
  </si>
  <si>
    <t>SWI/SNF related, matrix associated, actin dependent regulator of chromatin, subfamily a, member 2 [Source:MGI Symbol;Acc:MGI:99603]</t>
  </si>
  <si>
    <t>Ctps2</t>
  </si>
  <si>
    <t>cytidine 5'-triphosphate synthase 2 [Source:MGI Symbol;Acc:MGI:1933185]</t>
  </si>
  <si>
    <t>Irf8</t>
  </si>
  <si>
    <t>interferon regulatory factor 8 [Source:MGI Symbol;Acc:MGI:96395]</t>
  </si>
  <si>
    <t>Tmem165</t>
  </si>
  <si>
    <t>transmembrane protein 165 [Source:MGI Symbol;Acc:MGI:894407]</t>
  </si>
  <si>
    <t>Cat</t>
  </si>
  <si>
    <t>catalase [Source:MGI Symbol;Acc:MGI:88271]</t>
  </si>
  <si>
    <t>Siae</t>
  </si>
  <si>
    <t>sialic acid acetylesterase [Source:MGI Symbol;Acc:MGI:104803]</t>
  </si>
  <si>
    <t>Sfxn3</t>
  </si>
  <si>
    <t>sideroflexin 3 [Source:MGI Symbol;Acc:MGI:2137679]</t>
  </si>
  <si>
    <t>Akr1a1</t>
  </si>
  <si>
    <t>aldo-keto reductase family 1, member A1 (aldehyde reductase) [Source:MGI Symbol;Acc:MGI:1929955]</t>
  </si>
  <si>
    <t>Rnf44</t>
  </si>
  <si>
    <t>ring finger protein 44 [Source:MGI Symbol;Acc:MGI:2145310]</t>
  </si>
  <si>
    <t>Pts</t>
  </si>
  <si>
    <t>6-pyruvoyl-tetrahydropterin synthase [Source:MGI Symbol;Acc:MGI:1338783]</t>
  </si>
  <si>
    <t>Gm28035</t>
  </si>
  <si>
    <t>predicted gene, 28035 [Source:MGI Symbol;Acc:MGI:5547771]</t>
  </si>
  <si>
    <t>Rab31</t>
  </si>
  <si>
    <t>RAB31, member RAS oncogene family [Source:MGI Symbol;Acc:MGI:1914603]</t>
  </si>
  <si>
    <t>Efhd2</t>
  </si>
  <si>
    <t>EF hand domain containing 2 [Source:MGI Symbol;Acc:MGI:106504]</t>
  </si>
  <si>
    <t>Slc11a1</t>
  </si>
  <si>
    <t>solute carrier family 11 (proton-coupled divalent metal ion transporters), member 1 [Source:MGI Symbol;Acc:MGI:1345275]</t>
  </si>
  <si>
    <t>Kcnk13</t>
  </si>
  <si>
    <t>potassium channel, subfamily K, member 13 [Source:MGI Symbol;Acc:MGI:2384976]</t>
  </si>
  <si>
    <t>Vav3</t>
  </si>
  <si>
    <t>vav 3 oncogene [Source:MGI Symbol;Acc:MGI:1888518]</t>
  </si>
  <si>
    <t>Trmt2b</t>
  </si>
  <si>
    <t>TRM2 tRNA methyltransferase 2B [Source:MGI Symbol;Acc:MGI:2442530]</t>
  </si>
  <si>
    <t>Abhd17a</t>
  </si>
  <si>
    <t>abhydrolase domain containing 17A [Source:MGI Symbol;Acc:MGI:106388]</t>
  </si>
  <si>
    <t>Ugdh</t>
  </si>
  <si>
    <t>UDP-glucose dehydrogenase [Source:MGI Symbol;Acc:MGI:1306785]</t>
  </si>
  <si>
    <t>Snx13</t>
  </si>
  <si>
    <t>sorting nexin 13 [Source:MGI Symbol;Acc:MGI:2661416]</t>
  </si>
  <si>
    <t>Gatd3a</t>
  </si>
  <si>
    <t>glutamine amidotransferase like class 1 domain containing 3A [Source:MGI Symbol;Acc:MGI:1351861]</t>
  </si>
  <si>
    <t>Gpr108</t>
  </si>
  <si>
    <t>G protein-coupled receptor 108 [Source:MGI Symbol;Acc:MGI:1925558]</t>
  </si>
  <si>
    <t>Fgd4</t>
  </si>
  <si>
    <t>FYVE, RhoGEF and PH domain containing 4 [Source:MGI Symbol;Acc:MGI:2183747]</t>
  </si>
  <si>
    <t>Glul</t>
  </si>
  <si>
    <t>glutamate-ammonia ligase (glutamine synthetase) [Source:MGI Symbol;Acc:MGI:95739]</t>
  </si>
  <si>
    <t>Ywhah</t>
  </si>
  <si>
    <t>tyrosine 3-monooxygenase/tryptophan 5-monooxygenase activation protein, eta polypeptide [Source:MGI Symbol;Acc:MGI:109194]</t>
  </si>
  <si>
    <t>Eif2ak3</t>
  </si>
  <si>
    <t>eukaryotic translation initiation factor 2 alpha kinase 3 [Source:MGI Symbol;Acc:MGI:1341830]</t>
  </si>
  <si>
    <t>Mgat5</t>
  </si>
  <si>
    <t>mannoside acetylglucosaminyltransferase 5 [Source:MGI Symbol;Acc:MGI:894701]</t>
  </si>
  <si>
    <t>Nampt</t>
  </si>
  <si>
    <t>nicotinamide phosphoribosyltransferase [Source:MGI Symbol;Acc:MGI:1929865]</t>
  </si>
  <si>
    <t>Rassf2</t>
  </si>
  <si>
    <t>Ras association (RalGDS/AF-6) domain family member 2 [Source:MGI Symbol;Acc:MGI:2442060]</t>
  </si>
  <si>
    <t>Mbnl2</t>
  </si>
  <si>
    <t>muscleblind like splicing factor 2 [Source:MGI Symbol;Acc:MGI:2145597]</t>
  </si>
  <si>
    <t>Mcoln2</t>
  </si>
  <si>
    <t>mucolipin 2 [Source:MGI Symbol;Acc:MGI:1915529]</t>
  </si>
  <si>
    <t>Yipf3</t>
  </si>
  <si>
    <t>Yip1 domain family, member 3 [Source:MGI Symbol;Acc:MGI:106280]</t>
  </si>
  <si>
    <t>Ipo8</t>
  </si>
  <si>
    <t>importin 8 [Source:MGI Symbol;Acc:MGI:2444611]</t>
  </si>
  <si>
    <t>Ensa</t>
  </si>
  <si>
    <t>endosulfine alpha [Source:MGI Symbol;Acc:MGI:1891189]</t>
  </si>
  <si>
    <t>Dstyk</t>
  </si>
  <si>
    <t>dual serine/threonine and tyrosine protein kinase [Source:MGI Symbol;Acc:MGI:1925064]</t>
  </si>
  <si>
    <t>Tecr</t>
  </si>
  <si>
    <t>trans-2,3-enoyl-CoA reductase [Source:MGI Symbol;Acc:MGI:1915408]</t>
  </si>
  <si>
    <t>Slc12a9</t>
  </si>
  <si>
    <t>solute carrier family 12 (potassium/chloride transporters), member 9 [Source:MGI Symbol;Acc:MGI:1933532]</t>
  </si>
  <si>
    <t>Scamp5</t>
  </si>
  <si>
    <t>secretory carrier membrane protein 5 [Source:MGI Symbol;Acc:MGI:1928948]</t>
  </si>
  <si>
    <t>Sft2d2</t>
  </si>
  <si>
    <t>SFT2 domain containing 2 [Source:MGI Symbol;Acc:MGI:1917362]</t>
  </si>
  <si>
    <t>Ifngr2</t>
  </si>
  <si>
    <t>interferon gamma receptor 2 [Source:MGI Symbol;Acc:MGI:107654]</t>
  </si>
  <si>
    <t>Card11</t>
  </si>
  <si>
    <t>caspase recruitment domain family, member 11 [Source:MGI Symbol;Acc:MGI:1916978]</t>
  </si>
  <si>
    <t>Rnf13</t>
  </si>
  <si>
    <t>ring finger protein 13 [Source:MGI Symbol;Acc:MGI:1346341]</t>
  </si>
  <si>
    <t>Mtch1</t>
  </si>
  <si>
    <t>mitochondrial carrier 1 [Source:MGI Symbol;Acc:MGI:1929261]</t>
  </si>
  <si>
    <t>Rab5b</t>
  </si>
  <si>
    <t>RAB5B, member RAS oncogene family [Source:MGI Symbol;Acc:MGI:105938]</t>
  </si>
  <si>
    <t>Atp7a</t>
  </si>
  <si>
    <t>ATPase, Cu++ transporting, alpha polypeptide [Source:MGI Symbol;Acc:MGI:99400]</t>
  </si>
  <si>
    <t>Ncf1</t>
  </si>
  <si>
    <t>neutrophil cytosolic factor 1 [Source:MGI Symbol;Acc:MGI:97283]</t>
  </si>
  <si>
    <t>Zfp523</t>
  </si>
  <si>
    <t>zinc finger protein 523 [Source:MGI Symbol;Acc:MGI:2687278]</t>
  </si>
  <si>
    <t>Idh3g</t>
  </si>
  <si>
    <t>isocitrate dehydrogenase 3 (NAD+), gamma [Source:MGI Symbol;Acc:MGI:1099463]</t>
  </si>
  <si>
    <t>Tbc1d23</t>
  </si>
  <si>
    <t>TBC1 domain family, member 23 [Source:MGI Symbol;Acc:MGI:1914831]</t>
  </si>
  <si>
    <t>Mpst</t>
  </si>
  <si>
    <t>mercaptopyruvate sulfurtransferase [Source:MGI Symbol;Acc:MGI:2179733]</t>
  </si>
  <si>
    <t>Rffl</t>
  </si>
  <si>
    <t>ring finger and FYVE like domain containing protein [Source:MGI Symbol;Acc:MGI:1914588]</t>
  </si>
  <si>
    <t>Sbf2</t>
  </si>
  <si>
    <t>SET binding factor 2 [Source:MGI Symbol;Acc:MGI:1921831]</t>
  </si>
  <si>
    <t>Son</t>
  </si>
  <si>
    <t>Son DNA binding protein [Source:MGI Symbol;Acc:MGI:98353]</t>
  </si>
  <si>
    <t>Man2a2</t>
  </si>
  <si>
    <t>mannosidase 2, alpha 2 [Source:MGI Symbol;Acc:MGI:2150656]</t>
  </si>
  <si>
    <t>Ptms</t>
  </si>
  <si>
    <t>parathymosin [Source:MGI Symbol;Acc:MGI:1916452]</t>
  </si>
  <si>
    <t>Cog2</t>
  </si>
  <si>
    <t>component of oligomeric golgi complex 2 [Source:MGI Symbol;Acc:MGI:1923582]</t>
  </si>
  <si>
    <t>Gnai2</t>
  </si>
  <si>
    <t>guanine nucleotide binding protein (G protein), alpha inhibiting 2 [Source:MGI Symbol;Acc:MGI:95772]</t>
  </si>
  <si>
    <t>Arhgap17</t>
  </si>
  <si>
    <t>Rho GTPase activating protein 17 [Source:MGI Symbol;Acc:MGI:1917747]</t>
  </si>
  <si>
    <t>Exoc3</t>
  </si>
  <si>
    <t>exocyst complex component 3 [Source:MGI Symbol;Acc:MGI:2443972]</t>
  </si>
  <si>
    <t>Slc35f6</t>
  </si>
  <si>
    <t>solute carrier family 35, member F6 [Source:MGI Symbol;Acc:MGI:1922169]</t>
  </si>
  <si>
    <t>Nr1h3</t>
  </si>
  <si>
    <t>nuclear receptor subfamily 1, group H, member 3 [Source:MGI Symbol;Acc:MGI:1352462]</t>
  </si>
  <si>
    <t>Rufy3</t>
  </si>
  <si>
    <t>RUN and FYVE domain containing 3 [Source:MGI Symbol;Acc:MGI:106484]</t>
  </si>
  <si>
    <t>Zeb2</t>
  </si>
  <si>
    <t>zinc finger E-box binding homeobox 2 [Source:MGI Symbol;Acc:MGI:1344407]</t>
  </si>
  <si>
    <t>Yipf6</t>
  </si>
  <si>
    <t>Yip1 domain family, member 6 [Source:MGI Symbol;Acc:MGI:1925179]</t>
  </si>
  <si>
    <t>Ap2s1</t>
  </si>
  <si>
    <t>adaptor-related protein complex 2, sigma 1 subunit [Source:MGI Symbol;Acc:MGI:2141861]</t>
  </si>
  <si>
    <t>Tnrc6b</t>
  </si>
  <si>
    <t>trinucleotide repeat containing 6b [Source:MGI Symbol;Acc:MGI:2443730]</t>
  </si>
  <si>
    <t>Ep300</t>
  </si>
  <si>
    <t>E1A binding protein p300 [Source:MGI Symbol;Acc:MGI:1276116]</t>
  </si>
  <si>
    <t>Slc11a2</t>
  </si>
  <si>
    <t>solute carrier family 11 (proton-coupled divalent metal ion transporters), member 2 [Source:MGI Symbol;Acc:MGI:1345279]</t>
  </si>
  <si>
    <t>Dhrs4</t>
  </si>
  <si>
    <t>dehydrogenase/reductase (SDR family) member 4 [Source:MGI Symbol;Acc:MGI:90169]</t>
  </si>
  <si>
    <t>Git2</t>
  </si>
  <si>
    <t>GIT ArfGAP 2 [Source:MGI Symbol;Acc:MGI:1347053]</t>
  </si>
  <si>
    <t>Rassf3</t>
  </si>
  <si>
    <t>Ras association (RalGDS/AF-6) domain family member 3 [Source:MGI Symbol;Acc:MGI:2179722]</t>
  </si>
  <si>
    <t>Slc66a2</t>
  </si>
  <si>
    <t>solute carrier family 66 member 2 [Source:MGI Symbol;Acc:MGI:1914193]</t>
  </si>
  <si>
    <t>Asap1</t>
  </si>
  <si>
    <t>ArfGAP with SH3 domain, ankyrin repeat and PH domain1 [Source:MGI Symbol;Acc:MGI:1342335]</t>
  </si>
  <si>
    <t>Snapin</t>
  </si>
  <si>
    <t>SNAP-associated protein [Source:MGI Symbol;Acc:MGI:1333745]</t>
  </si>
  <si>
    <t>Bsdc1</t>
  </si>
  <si>
    <t>BSD domain containing 1 [Source:MGI Symbol;Acc:MGI:1913466]</t>
  </si>
  <si>
    <t>Foxo3</t>
  </si>
  <si>
    <t>forkhead box O3 [Source:MGI Symbol;Acc:MGI:1890081]</t>
  </si>
  <si>
    <t>Gm49510</t>
  </si>
  <si>
    <t>predicted gene, 49510 [Source:MGI Symbol;Acc:MGI:6155200]</t>
  </si>
  <si>
    <t>Nfkb1</t>
  </si>
  <si>
    <t>nuclear factor of kappa light polypeptide gene enhancer in B cells 1, p105 [Source:MGI Symbol;Acc:MGI:97312]</t>
  </si>
  <si>
    <t>Zfyve1</t>
  </si>
  <si>
    <t>zinc finger, FYVE domain containing 1 [Source:MGI Symbol;Acc:MGI:3026685]</t>
  </si>
  <si>
    <t>Plekhb2</t>
  </si>
  <si>
    <t>pleckstrin homology domain containing, family B (evectins) member 2 [Source:MGI Symbol;Acc:MGI:2385825]</t>
  </si>
  <si>
    <t>P2rx4</t>
  </si>
  <si>
    <t>purinergic receptor P2X, ligand-gated ion channel 4 [Source:MGI Symbol;Acc:MGI:1338859]</t>
  </si>
  <si>
    <t>Pias1</t>
  </si>
  <si>
    <t>protein inhibitor of activated STAT 1 [Source:MGI Symbol;Acc:MGI:1913125]</t>
  </si>
  <si>
    <t>Secisbp2l</t>
  </si>
  <si>
    <t>SECIS binding protein 2-like [Source:MGI Symbol;Acc:MGI:1917604]</t>
  </si>
  <si>
    <t>Nedd4l</t>
  </si>
  <si>
    <t>neural precursor cell expressed, developmentally down-regulated gene 4-like [Source:MGI Symbol;Acc:MGI:1933754]</t>
  </si>
  <si>
    <t>Ilk</t>
  </si>
  <si>
    <t>integrin linked kinase [Source:MGI Symbol;Acc:MGI:1195267]</t>
  </si>
  <si>
    <t>Ap2m1</t>
  </si>
  <si>
    <t>adaptor-related protein complex 2, mu 1 subunit [Source:MGI Symbol;Acc:MGI:1298405]</t>
  </si>
  <si>
    <t>Pkib</t>
  </si>
  <si>
    <t>protein kinase inhibitor beta, cAMP dependent, testis specific [Source:MGI Symbol;Acc:MGI:101937]</t>
  </si>
  <si>
    <t>Hsd17b4</t>
  </si>
  <si>
    <t>hydroxysteroid (17-beta) dehydrogenase 4 [Source:MGI Symbol;Acc:MGI:105089]</t>
  </si>
  <si>
    <t>Ano6</t>
  </si>
  <si>
    <t>anoctamin 6 [Source:MGI Symbol;Acc:MGI:2145890]</t>
  </si>
  <si>
    <t>Sod2</t>
  </si>
  <si>
    <t>superoxide dismutase 2, mitochondrial [Source:MGI Symbol;Acc:MGI:98352]</t>
  </si>
  <si>
    <t>Ifi30</t>
  </si>
  <si>
    <t>interferon gamma inducible protein 30 [Source:MGI Symbol;Acc:MGI:2137648]</t>
  </si>
  <si>
    <t>Gab2</t>
  </si>
  <si>
    <t>growth factor receptor bound protein 2-associated protein 2 [Source:MGI Symbol;Acc:MGI:1333854]</t>
  </si>
  <si>
    <t>Capns1</t>
  </si>
  <si>
    <t>calpain, small subunit 1 [Source:MGI Symbol;Acc:MGI:88266]</t>
  </si>
  <si>
    <t>Tmem179b</t>
  </si>
  <si>
    <t>transmembrane protein 179B [Source:MGI Symbol;Acc:MGI:1914956]</t>
  </si>
  <si>
    <t>Laptm5</t>
  </si>
  <si>
    <t>lysosomal-associated protein transmembrane 5 [Source:MGI Symbol;Acc:MGI:108046]</t>
  </si>
  <si>
    <t>Etv3</t>
  </si>
  <si>
    <t>ets variant 3 [Source:MGI Symbol;Acc:MGI:1350926]</t>
  </si>
  <si>
    <t>Atl3</t>
  </si>
  <si>
    <t>atlastin GTPase 3 [Source:MGI Symbol;Acc:MGI:1924270]</t>
  </si>
  <si>
    <t>Necap2</t>
  </si>
  <si>
    <t>NECAP endocytosis associated 2 [Source:MGI Symbol;Acc:MGI:1913397]</t>
  </si>
  <si>
    <t>Galc</t>
  </si>
  <si>
    <t>galactosylceramidase [Source:MGI Symbol;Acc:MGI:95636]</t>
  </si>
  <si>
    <t>Vps28</t>
  </si>
  <si>
    <t>vacuolar protein sorting 28 [Source:MGI Symbol;Acc:MGI:1914164]</t>
  </si>
  <si>
    <t>Ccdc91</t>
  </si>
  <si>
    <t>coiled-coil domain containing 91 [Source:MGI Symbol;Acc:MGI:1914265]</t>
  </si>
  <si>
    <t>Susd6</t>
  </si>
  <si>
    <t>sushi domain containing 6 [Source:MGI Symbol;Acc:MGI:2444661]</t>
  </si>
  <si>
    <t>Reep5</t>
  </si>
  <si>
    <t>receptor accessory protein 5 [Source:MGI Symbol;Acc:MGI:1270152]</t>
  </si>
  <si>
    <t>Rbm47</t>
  </si>
  <si>
    <t>RNA binding motif protein 47 [Source:MGI Symbol;Acc:MGI:2384294]</t>
  </si>
  <si>
    <t>Spag9</t>
  </si>
  <si>
    <t>sperm associated antigen 9 [Source:MGI Symbol;Acc:MGI:1918084]</t>
  </si>
  <si>
    <t>Bcl2l11</t>
  </si>
  <si>
    <t>BCL2-like 11 (apoptosis facilitator) [Source:MGI Symbol;Acc:MGI:1197519]</t>
  </si>
  <si>
    <t>Zfp513</t>
  </si>
  <si>
    <t>zinc finger protein 513 [Source:MGI Symbol;Acc:MGI:2141255]</t>
  </si>
  <si>
    <t>Tgfbr1</t>
  </si>
  <si>
    <t>transforming growth factor, beta receptor I [Source:MGI Symbol;Acc:MGI:98728]</t>
  </si>
  <si>
    <t>Aldh16a1</t>
  </si>
  <si>
    <t>aldehyde dehydrogenase 16 family, member A1 [Source:MGI Symbol;Acc:MGI:1916998]</t>
  </si>
  <si>
    <t>Slc27a4</t>
  </si>
  <si>
    <t>solute carrier family 27 (fatty acid transporter), member 4 [Source:MGI Symbol;Acc:MGI:1347347]</t>
  </si>
  <si>
    <t>Spg7</t>
  </si>
  <si>
    <t>SPG7, paraplegin matrix AAA peptidase subunit [Source:MGI Symbol;Acc:MGI:2385906]</t>
  </si>
  <si>
    <t>Nek9</t>
  </si>
  <si>
    <t>NIMA (never in mitosis gene a)-related expressed kinase 9 [Source:MGI Symbol;Acc:MGI:2387995]</t>
  </si>
  <si>
    <t>Acads</t>
  </si>
  <si>
    <t>acyl-Coenzyme A dehydrogenase, short chain [Source:MGI Symbol;Acc:MGI:87868]</t>
  </si>
  <si>
    <t>Tmem234</t>
  </si>
  <si>
    <t>transmembrane protein 234 [Source:MGI Symbol;Acc:MGI:1924049]</t>
  </si>
  <si>
    <t>Stk38</t>
  </si>
  <si>
    <t>serine/threonine kinase 38 [Source:MGI Symbol;Acc:MGI:2442572]</t>
  </si>
  <si>
    <t>Lyn</t>
  </si>
  <si>
    <t>LYN proto-oncogene, Src family tyrosine kinase [Source:MGI Symbol;Acc:MGI:96892]</t>
  </si>
  <si>
    <t>Crybg3</t>
  </si>
  <si>
    <t>beta-gamma crystallin domain containing 3 [Source:MGI Symbol;Acc:MGI:2676311]</t>
  </si>
  <si>
    <t>Tgif1</t>
  </si>
  <si>
    <t>TGFB-induced factor homeobox 1 [Source:MGI Symbol;Acc:MGI:1194497]</t>
  </si>
  <si>
    <t>Nr1h2</t>
  </si>
  <si>
    <t>nuclear receptor subfamily 1, group H, member 2 [Source:MGI Symbol;Acc:MGI:1352463]</t>
  </si>
  <si>
    <t>2610507B11Rik</t>
  </si>
  <si>
    <t>RIKEN cDNA 2610507B11 gene [Source:MGI Symbol;Acc:MGI:1919753]</t>
  </si>
  <si>
    <t>Ppm1h</t>
  </si>
  <si>
    <t>protein phosphatase 1H (PP2C domain containing) [Source:MGI Symbol;Acc:MGI:2442087]</t>
  </si>
  <si>
    <t>Crat</t>
  </si>
  <si>
    <t>carnitine acetyltransferase [Source:MGI Symbol;Acc:MGI:109501]</t>
  </si>
  <si>
    <t>Atg2a</t>
  </si>
  <si>
    <t>autophagy related 2A [Source:MGI Symbol;Acc:MGI:1916291]</t>
  </si>
  <si>
    <t>Tmem134</t>
  </si>
  <si>
    <t>transmembrane protein 134 [Source:MGI Symbol;Acc:MGI:1914240]</t>
  </si>
  <si>
    <t>Irf3</t>
  </si>
  <si>
    <t>interferon regulatory factor 3 [Source:MGI Symbol;Acc:MGI:1859179]</t>
  </si>
  <si>
    <t>Bckdk</t>
  </si>
  <si>
    <t>branched chain ketoacid dehydrogenase kinase [Source:MGI Symbol;Acc:MGI:1276121]</t>
  </si>
  <si>
    <t>Plcb3</t>
  </si>
  <si>
    <t>phospholipase C, beta 3 [Source:MGI Symbol;Acc:MGI:104778]</t>
  </si>
  <si>
    <t>Lamp2</t>
  </si>
  <si>
    <t>lysosomal-associated membrane protein 2 [Source:MGI Symbol;Acc:MGI:96748]</t>
  </si>
  <si>
    <t>Tbc1d9b</t>
  </si>
  <si>
    <t>TBC1 domain family, member 9B [Source:MGI Symbol;Acc:MGI:1924045]</t>
  </si>
  <si>
    <t>Capzb</t>
  </si>
  <si>
    <t>capping protein (actin filament) muscle Z-line, beta [Source:MGI Symbol;Acc:MGI:104652]</t>
  </si>
  <si>
    <t>Ptgfrn</t>
  </si>
  <si>
    <t>prostaglandin F2 receptor negative regulator [Source:MGI Symbol;Acc:MGI:1277114]</t>
  </si>
  <si>
    <t>Wwp1</t>
  </si>
  <si>
    <t>WW domain containing E3 ubiquitin protein ligase 1 [Source:MGI Symbol;Acc:MGI:1861728]</t>
  </si>
  <si>
    <t>Anapc2</t>
  </si>
  <si>
    <t>anaphase promoting complex subunit 2 [Source:MGI Symbol;Acc:MGI:2139135]</t>
  </si>
  <si>
    <t>Sbno2</t>
  </si>
  <si>
    <t>strawberry notch 2 [Source:MGI Symbol;Acc:MGI:2448490]</t>
  </si>
  <si>
    <t>Stx7</t>
  </si>
  <si>
    <t>syntaxin 7 [Source:MGI Symbol;Acc:MGI:1858210]</t>
  </si>
  <si>
    <t>Retreg2</t>
  </si>
  <si>
    <t>reticulophagy regulator family member 2 [Source:MGI Symbol;Acc:MGI:2388278]</t>
  </si>
  <si>
    <t>Zfp516</t>
  </si>
  <si>
    <t>zinc finger protein 516 [Source:MGI Symbol;Acc:MGI:2443957]</t>
  </si>
  <si>
    <t>Lztr1</t>
  </si>
  <si>
    <t>leucine-zipper-like transcriptional regulator, 1 [Source:MGI Symbol;Acc:MGI:1914113]</t>
  </si>
  <si>
    <t>Ptk2b</t>
  </si>
  <si>
    <t>PTK2 protein tyrosine kinase 2 beta [Source:MGI Symbol;Acc:MGI:104908]</t>
  </si>
  <si>
    <t>Serp1</t>
  </si>
  <si>
    <t>stress-associated endoplasmic reticulum protein 1 [Source:MGI Symbol;Acc:MGI:92638]</t>
  </si>
  <si>
    <t>Stom</t>
  </si>
  <si>
    <t>stomatin [Source:MGI Symbol;Acc:MGI:95403]</t>
  </si>
  <si>
    <t>Acadvl</t>
  </si>
  <si>
    <t>acyl-Coenzyme A dehydrogenase, very long chain [Source:MGI Symbol;Acc:MGI:895149]</t>
  </si>
  <si>
    <t>Mmut</t>
  </si>
  <si>
    <t>methylmalonyl-Coenzyme A mutase [Source:MGI Symbol;Acc:MGI:97239]</t>
  </si>
  <si>
    <t>Zw10</t>
  </si>
  <si>
    <t>zw10 kinetochore protein [Source:MGI Symbol;Acc:MGI:1349478]</t>
  </si>
  <si>
    <t>Auh</t>
  </si>
  <si>
    <t>AU RNA binding protein/enoyl-coenzyme A hydratase [Source:MGI Symbol;Acc:MGI:1338011]</t>
  </si>
  <si>
    <t>Ptpra</t>
  </si>
  <si>
    <t>protein tyrosine phosphatase, receptor type, A [Source:MGI Symbol;Acc:MGI:97808]</t>
  </si>
  <si>
    <t>Srgap2</t>
  </si>
  <si>
    <t>SLIT-ROBO Rho GTPase activating protein 2 [Source:MGI Symbol;Acc:MGI:109605]</t>
  </si>
  <si>
    <t>Copg2</t>
  </si>
  <si>
    <t>coatomer protein complex, subunit gamma 2 [Source:MGI Symbol;Acc:MGI:1858683]</t>
  </si>
  <si>
    <t>Dock8</t>
  </si>
  <si>
    <t>dedicator of cytokinesis 8 [Source:MGI Symbol;Acc:MGI:1921396]</t>
  </si>
  <si>
    <t>Psap</t>
  </si>
  <si>
    <t>prosaposin [Source:MGI Symbol;Acc:MGI:97783]</t>
  </si>
  <si>
    <t>Tbc1d13</t>
  </si>
  <si>
    <t>TBC1 domain family, member 13 [Source:MGI Symbol;Acc:MGI:2385326]</t>
  </si>
  <si>
    <t>Bloc1s5</t>
  </si>
  <si>
    <t>biogenesis of lysosomal organelles complex-1, subunit 5, muted [Source:MGI Symbol;Acc:MGI:2178598]</t>
  </si>
  <si>
    <t>Tlnrd1</t>
  </si>
  <si>
    <t>talin rod domain containing 1 [Source:MGI Symbol;Acc:MGI:1891420]</t>
  </si>
  <si>
    <t>Gltp</t>
  </si>
  <si>
    <t>glycolipid transfer protein [Source:MGI Symbol;Acc:MGI:1929253]</t>
  </si>
  <si>
    <t>Tmem131l</t>
  </si>
  <si>
    <t>transmembrane 131 like [Source:MGI Symbol;Acc:MGI:2443399]</t>
  </si>
  <si>
    <t>Lrp6</t>
  </si>
  <si>
    <t>low density lipoprotein receptor-related protein 6 [Source:MGI Symbol;Acc:MGI:1298218]</t>
  </si>
  <si>
    <t>Atp2c1</t>
  </si>
  <si>
    <t>ATPase, Ca++-sequestering [Source:MGI Symbol;Acc:MGI:1889008]</t>
  </si>
  <si>
    <t>Depdc5</t>
  </si>
  <si>
    <t>DEP domain containing 5 [Source:MGI Symbol;Acc:MGI:2141101]</t>
  </si>
  <si>
    <t>Zfp715</t>
  </si>
  <si>
    <t>zinc finger protein 715 [Source:MGI Symbol;Acc:MGI:1917180]</t>
  </si>
  <si>
    <t>Man1c1</t>
  </si>
  <si>
    <t>mannosidase, alpha, class 1C, member 1 [Source:MGI Symbol;Acc:MGI:2446214]</t>
  </si>
  <si>
    <t>Zfp263</t>
  </si>
  <si>
    <t>zinc finger protein 263 [Source:MGI Symbol;Acc:MGI:1921370]</t>
  </si>
  <si>
    <t>Tbck</t>
  </si>
  <si>
    <t>TBC1 domain containing kinase [Source:MGI Symbol;Acc:MGI:2445052]</t>
  </si>
  <si>
    <t>App</t>
  </si>
  <si>
    <t>amyloid beta (A4) precursor protein [Source:MGI Symbol;Acc:MGI:88059]</t>
  </si>
  <si>
    <t>Rhbdf2</t>
  </si>
  <si>
    <t>rhomboid 5 homolog 2 [Source:MGI Symbol;Acc:MGI:2442473]</t>
  </si>
  <si>
    <t>Prkaca</t>
  </si>
  <si>
    <t>protein kinase, cAMP dependent, catalytic, alpha [Source:MGI Symbol;Acc:MGI:97592]</t>
  </si>
  <si>
    <t>Ncoa1</t>
  </si>
  <si>
    <t>nuclear receptor coactivator 1 [Source:MGI Symbol;Acc:MGI:1276523]</t>
  </si>
  <si>
    <t>Fcer1g</t>
  </si>
  <si>
    <t>Fc receptor, IgE, high affinity I, gamma polypeptide [Source:MGI Symbol;Acc:MGI:95496]</t>
  </si>
  <si>
    <t>Ube2l3</t>
  </si>
  <si>
    <t>ubiquitin-conjugating enzyme E2L 3 [Source:MGI Symbol;Acc:MGI:109240]</t>
  </si>
  <si>
    <t>Htt</t>
  </si>
  <si>
    <t>huntingtin [Source:MGI Symbol;Acc:MGI:96067]</t>
  </si>
  <si>
    <t>Map7d1</t>
  </si>
  <si>
    <t>MAP7 domain containing 1 [Source:MGI Symbol;Acc:MGI:2384297]</t>
  </si>
  <si>
    <t>Ccdc50</t>
  </si>
  <si>
    <t>coiled-coil domain containing 50 [Source:MGI Symbol;Acc:MGI:1914751]</t>
  </si>
  <si>
    <t>Rac2</t>
  </si>
  <si>
    <t>Rac family small GTPase 2 [Source:MGI Symbol;Acc:MGI:97846]</t>
  </si>
  <si>
    <t>Kdelr1</t>
  </si>
  <si>
    <t>KDEL (Lys-Asp-Glu-Leu) endoplasmic reticulum protein retention receptor 1 [Source:MGI Symbol;Acc:MGI:1915387]</t>
  </si>
  <si>
    <t>Mapkapk3</t>
  </si>
  <si>
    <t>mitogen-activated protein kinase-activated protein kinase 3 [Source:MGI Symbol;Acc:MGI:2143163]</t>
  </si>
  <si>
    <t>Sorl1</t>
  </si>
  <si>
    <t>sortilin-related receptor, LDLR class A repeats-containing [Source:MGI Symbol;Acc:MGI:1202296]</t>
  </si>
  <si>
    <t>Mxi1</t>
  </si>
  <si>
    <t>MAX interactor 1, dimerization protein [Source:MGI Symbol;Acc:MGI:97245]</t>
  </si>
  <si>
    <t>Erbin</t>
  </si>
  <si>
    <t>Erbb2 interacting protein [Source:MGI Symbol;Acc:MGI:1890169]</t>
  </si>
  <si>
    <t>Zfp710</t>
  </si>
  <si>
    <t>zinc finger protein 710 [Source:MGI Symbol;Acc:MGI:1921747]</t>
  </si>
  <si>
    <t>B4galnt1</t>
  </si>
  <si>
    <t>beta-1,4-N-acetyl-galactosaminyl transferase 1 [Source:MGI Symbol;Acc:MGI:1342057]</t>
  </si>
  <si>
    <t>Sdcbp</t>
  </si>
  <si>
    <t>syndecan binding protein [Source:MGI Symbol;Acc:MGI:1337026]</t>
  </si>
  <si>
    <t>Adam9</t>
  </si>
  <si>
    <t>a disintegrin and metallopeptidase domain 9 (meltrin gamma) [Source:MGI Symbol;Acc:MGI:105376]</t>
  </si>
  <si>
    <t>Wsb2</t>
  </si>
  <si>
    <t>WD repeat and SOCS box-containing 2 [Source:MGI Symbol;Acc:MGI:2144041]</t>
  </si>
  <si>
    <t>Spopl</t>
  </si>
  <si>
    <t>speckle-type BTB/POZ protein-like [Source:MGI Symbol;Acc:MGI:1924107]</t>
  </si>
  <si>
    <t>Ripk1</t>
  </si>
  <si>
    <t>receptor (TNFRSF)-interacting serine-threonine kinase 1 [Source:MGI Symbol;Acc:MGI:108212]</t>
  </si>
  <si>
    <t>Sh3glb1</t>
  </si>
  <si>
    <t>SH3-domain GRB2-like B1 (endophilin) [Source:MGI Symbol;Acc:MGI:1859730]</t>
  </si>
  <si>
    <t>Rab11b</t>
  </si>
  <si>
    <t>RAB11B, member RAS oncogene family [Source:MGI Symbol;Acc:MGI:99425]</t>
  </si>
  <si>
    <t>Chmp3</t>
  </si>
  <si>
    <t>charged multivesicular body protein 3 [Source:MGI Symbol;Acc:MGI:1913950]</t>
  </si>
  <si>
    <t>Myl12b</t>
  </si>
  <si>
    <t>myosin, light chain 12B, regulatory [Source:MGI Symbol;Acc:MGI:107494]</t>
  </si>
  <si>
    <t>Otulinl</t>
  </si>
  <si>
    <t>OTU deubiquitinase with linear linkage specificity like [Source:MGI Symbol;Acc:MGI:2687281]</t>
  </si>
  <si>
    <t>Bcat2</t>
  </si>
  <si>
    <t>branched chain aminotransferase 2, mitochondrial [Source:MGI Symbol;Acc:MGI:1276534]</t>
  </si>
  <si>
    <t>Sh3bp2</t>
  </si>
  <si>
    <t>SH3-domain binding protein 2 [Source:MGI Symbol;Acc:MGI:1346349]</t>
  </si>
  <si>
    <t>Galnt1</t>
  </si>
  <si>
    <t>polypeptide N-acetylgalactosaminyltransferase 1 [Source:MGI Symbol;Acc:MGI:894693]</t>
  </si>
  <si>
    <t>Sdf4</t>
  </si>
  <si>
    <t>stromal cell derived factor 4 [Source:MGI Symbol;Acc:MGI:108079]</t>
  </si>
  <si>
    <t>Rreb1</t>
  </si>
  <si>
    <t>ras responsive element binding protein 1 [Source:MGI Symbol;Acc:MGI:2443664]</t>
  </si>
  <si>
    <t>Tmem14c</t>
  </si>
  <si>
    <t>transmembrane protein 14C [Source:MGI Symbol;Acc:MGI:1913404]</t>
  </si>
  <si>
    <t>Map3k11</t>
  </si>
  <si>
    <t>mitogen-activated protein kinase kinase kinase 11 [Source:MGI Symbol;Acc:MGI:1346880]</t>
  </si>
  <si>
    <t>Abr</t>
  </si>
  <si>
    <t>active BCR-related gene [Source:MGI Symbol;Acc:MGI:107771]</t>
  </si>
  <si>
    <t>Sh3pxd2b</t>
  </si>
  <si>
    <t>SH3 and PX domains 2B [Source:MGI Symbol;Acc:MGI:2442062]</t>
  </si>
  <si>
    <t>Cast</t>
  </si>
  <si>
    <t>calpastatin [Source:MGI Symbol;Acc:MGI:1098236]</t>
  </si>
  <si>
    <t>Akap10</t>
  </si>
  <si>
    <t>A kinase (PRKA) anchor protein 10 [Source:MGI Symbol;Acc:MGI:1890218]</t>
  </si>
  <si>
    <t>Pi4ka</t>
  </si>
  <si>
    <t>phosphatidylinositol 4-kinase alpha [Source:MGI Symbol;Acc:MGI:2448506]</t>
  </si>
  <si>
    <t>Litaf</t>
  </si>
  <si>
    <t>LPS-induced TN factor [Source:MGI Symbol;Acc:MGI:1929512]</t>
  </si>
  <si>
    <t>Zfp740</t>
  </si>
  <si>
    <t>zinc finger protein 740 [Source:MGI Symbol;Acc:MGI:1915994]</t>
  </si>
  <si>
    <t>Rps6ka3</t>
  </si>
  <si>
    <t>ribosomal protein S6 kinase polypeptide 3 [Source:MGI Symbol;Acc:MGI:104557]</t>
  </si>
  <si>
    <t>Atxn1l</t>
  </si>
  <si>
    <t>ataxin 1-like [Source:MGI Symbol;Acc:MGI:3694797]</t>
  </si>
  <si>
    <t>Glmp</t>
  </si>
  <si>
    <t>glycosylated lysosomal membrane protein [Source:MGI Symbol;Acc:MGI:1913318]</t>
  </si>
  <si>
    <t>Vipas39</t>
  </si>
  <si>
    <t>VPS33B interacting protein, apical-basolateral polarity regulator, spe-39 homolog [Source:MGI Symbol;Acc:MGI:2144805]</t>
  </si>
  <si>
    <t>Elmo2</t>
  </si>
  <si>
    <t>engulfment and cell motility 2 [Source:MGI Symbol;Acc:MGI:2153045]</t>
  </si>
  <si>
    <t>Gna12</t>
  </si>
  <si>
    <t>guanine nucleotide binding protein, alpha 12 [Source:MGI Symbol;Acc:MGI:95767]</t>
  </si>
  <si>
    <t>Rnf130</t>
  </si>
  <si>
    <t>ring finger protein 130 [Source:MGI Symbol;Acc:MGI:1891717]</t>
  </si>
  <si>
    <t>Smap2</t>
  </si>
  <si>
    <t>small ArfGAP 2 [Source:MGI Symbol;Acc:MGI:1917030]</t>
  </si>
  <si>
    <t>Naa60</t>
  </si>
  <si>
    <t>N(alpha)-acetyltransferase 60, NatF catalytic subunit [Source:MGI Symbol;Acc:MGI:1922013]</t>
  </si>
  <si>
    <t>Itpripl2</t>
  </si>
  <si>
    <t>inositol 1,4,5-triphosphate receptor interacting protein-like 2 [Source:MGI Symbol;Acc:MGI:2442416]</t>
  </si>
  <si>
    <t>Grk2</t>
  </si>
  <si>
    <t>G protein-coupled receptor kinase 2 [Source:MGI Symbol;Acc:MGI:87940]</t>
  </si>
  <si>
    <t>Spi1</t>
  </si>
  <si>
    <t>spleen focus forming virus (SFFV) proviral integration oncogene [Source:MGI Symbol;Acc:MGI:98282]</t>
  </si>
  <si>
    <t>Sphk2</t>
  </si>
  <si>
    <t>sphingosine kinase 2 [Source:MGI Symbol;Acc:MGI:1861380]</t>
  </si>
  <si>
    <t>Sgpl1</t>
  </si>
  <si>
    <t>sphingosine phosphate lyase 1 [Source:MGI Symbol;Acc:MGI:1261415]</t>
  </si>
  <si>
    <t>Ap1b1</t>
  </si>
  <si>
    <t>adaptor protein complex AP-1, beta 1 subunit [Source:MGI Symbol;Acc:MGI:1096368]</t>
  </si>
  <si>
    <t>Lpin2</t>
  </si>
  <si>
    <t>lipin 2 [Source:MGI Symbol;Acc:MGI:1891341]</t>
  </si>
  <si>
    <t>Csnk1g2</t>
  </si>
  <si>
    <t>casein kinase 1, gamma 2 [Source:MGI Symbol;Acc:MGI:1920014]</t>
  </si>
  <si>
    <t>Brwd1</t>
  </si>
  <si>
    <t>bromodomain and WD repeat domain containing 1 [Source:MGI Symbol;Acc:MGI:1890651]</t>
  </si>
  <si>
    <t>Ate1</t>
  </si>
  <si>
    <t>arginyltransferase 1 [Source:MGI Symbol;Acc:MGI:1333870]</t>
  </si>
  <si>
    <t>Gnas</t>
  </si>
  <si>
    <t>GNAS (guanine nucleotide binding protein, alpha stimulating) complex locus [Source:MGI Symbol;Acc:MGI:95777]</t>
  </si>
  <si>
    <t>Elf4</t>
  </si>
  <si>
    <t>E74-like factor 4 (ets domain transcription factor) [Source:MGI Symbol;Acc:MGI:1928377]</t>
  </si>
  <si>
    <t>Rtn3</t>
  </si>
  <si>
    <t>reticulon 3 [Source:MGI Symbol;Acc:MGI:1339970]</t>
  </si>
  <si>
    <t>Mecp2</t>
  </si>
  <si>
    <t>methyl CpG binding protein 2 [Source:MGI Symbol;Acc:MGI:99918]</t>
  </si>
  <si>
    <t>Cdc42se1</t>
  </si>
  <si>
    <t>CDC42 small effector 1 [Source:MGI Symbol;Acc:MGI:1889510]</t>
  </si>
  <si>
    <t>Etv6</t>
  </si>
  <si>
    <t>ets variant 6 [Source:MGI Symbol;Acc:MGI:109336]</t>
  </si>
  <si>
    <t>Myo9b</t>
  </si>
  <si>
    <t>myosin IXb [Source:MGI Symbol;Acc:MGI:106624]</t>
  </si>
  <si>
    <t>Grb2</t>
  </si>
  <si>
    <t>growth factor receptor bound protein 2 [Source:MGI Symbol;Acc:MGI:95805]</t>
  </si>
  <si>
    <t>Ptp4a3</t>
  </si>
  <si>
    <t>protein tyrosine phosphatase 4a3 [Source:MGI Symbol;Acc:MGI:1277098]</t>
  </si>
  <si>
    <t>Dock1</t>
  </si>
  <si>
    <t>dedicator of cytokinesis 1 [Source:MGI Symbol;Acc:MGI:2429765]</t>
  </si>
  <si>
    <t>Sh3pxd2a</t>
  </si>
  <si>
    <t>SH3 and PX domains 2A [Source:MGI Symbol;Acc:MGI:1298393]</t>
  </si>
  <si>
    <t>Ctnna1</t>
  </si>
  <si>
    <t>catenin (cadherin associated protein), alpha 1 [Source:MGI Symbol;Acc:MGI:88274]</t>
  </si>
  <si>
    <t>Setd3</t>
  </si>
  <si>
    <t>SET domain containing 3 [Source:MGI Symbol;Acc:MGI:1289184]</t>
  </si>
  <si>
    <t>Rab10</t>
  </si>
  <si>
    <t>RAB10, member RAS oncogene family [Source:MGI Symbol;Acc:MGI:105066]</t>
  </si>
  <si>
    <t>Erap1</t>
  </si>
  <si>
    <t>endoplasmic reticulum aminopeptidase 1 [Source:MGI Symbol;Acc:MGI:1933403]</t>
  </si>
  <si>
    <t>Oip5os1</t>
  </si>
  <si>
    <t>Opa interacting protein 5, opposite strand 1 [Source:MGI Symbol;Acc:MGI:1913852]</t>
  </si>
  <si>
    <t>Trap1</t>
  </si>
  <si>
    <t>TNF receptor-associated protein 1 [Source:MGI Symbol;Acc:MGI:1915265]</t>
  </si>
  <si>
    <t>Tbc1d1</t>
  </si>
  <si>
    <t>TBC1 domain family, member 1 [Source:MGI Symbol;Acc:MGI:1889508]</t>
  </si>
  <si>
    <t>Arf3</t>
  </si>
  <si>
    <t>ADP-ribosylation factor 3 [Source:MGI Symbol;Acc:MGI:99432]</t>
  </si>
  <si>
    <t>Xiap</t>
  </si>
  <si>
    <t>X-linked inhibitor of apoptosis [Source:MGI Symbol;Acc:MGI:107572]</t>
  </si>
  <si>
    <t>Usp8</t>
  </si>
  <si>
    <t>ubiquitin specific peptidase 8 [Source:MGI Symbol;Acc:MGI:1934029]</t>
  </si>
  <si>
    <t>Ctdsp1</t>
  </si>
  <si>
    <t>CTD (carboxy-terminal domain, RNA polymerase II, polypeptide A) small phosphatase 1 [Source:MGI Symbol;Acc:MGI:2654470]</t>
  </si>
  <si>
    <t>Picalm</t>
  </si>
  <si>
    <t>phosphatidylinositol binding clathrin assembly protein [Source:MGI Symbol;Acc:MGI:2385902]</t>
  </si>
  <si>
    <t>Pik3r2</t>
  </si>
  <si>
    <t>phosphoinositide-3-kinase regulatory subunit 2 [Source:MGI Symbol;Acc:MGI:1098772]</t>
  </si>
  <si>
    <t>Epb41l2</t>
  </si>
  <si>
    <t>erythrocyte membrane protein band 4.1 like 2 [Source:MGI Symbol;Acc:MGI:103009]</t>
  </si>
  <si>
    <t>Itch</t>
  </si>
  <si>
    <t>itchy, E3 ubiquitin protein ligase [Source:MGI Symbol;Acc:MGI:1202301]</t>
  </si>
  <si>
    <t>Ptpn1</t>
  </si>
  <si>
    <t>protein tyrosine phosphatase, non-receptor type 1 [Source:MGI Symbol;Acc:MGI:97805]</t>
  </si>
  <si>
    <t>Marf1</t>
  </si>
  <si>
    <t>meiosis regulator and mRNA stability 1 [Source:MGI Symbol;Acc:MGI:2444505]</t>
  </si>
  <si>
    <t>Heatr5a</t>
  </si>
  <si>
    <t>HEAT repeat containing 5A [Source:MGI Symbol;Acc:MGI:2444133]</t>
  </si>
  <si>
    <t>Lnpep</t>
  </si>
  <si>
    <t>leucyl/cystinyl aminopeptidase [Source:MGI Symbol;Acc:MGI:2387123]</t>
  </si>
  <si>
    <t>Rac1</t>
  </si>
  <si>
    <t>Rac family small GTPase 1 [Source:MGI Symbol;Acc:MGI:97845]</t>
  </si>
  <si>
    <t>Snx4</t>
  </si>
  <si>
    <t>sorting nexin 4 [Source:MGI Symbol;Acc:MGI:1916400]</t>
  </si>
  <si>
    <t>Vps39</t>
  </si>
  <si>
    <t>VPS39 HOPS complex subunit [Source:MGI Symbol;Acc:MGI:2443189]</t>
  </si>
  <si>
    <t>Slc16a10</t>
  </si>
  <si>
    <t>solute carrier family 16 (monocarboxylic acid transporters), member 10 [Source:MGI Symbol;Acc:MGI:1919722]</t>
  </si>
  <si>
    <t>Ctnnb1</t>
  </si>
  <si>
    <t>catenin (cadherin associated protein), beta 1 [Source:MGI Symbol;Acc:MGI:88276]</t>
  </si>
  <si>
    <t>Lmbrd2</t>
  </si>
  <si>
    <t>LMBR1 domain containing 2 [Source:MGI Symbol;Acc:MGI:2444173]</t>
  </si>
  <si>
    <t>Marchf6</t>
  </si>
  <si>
    <t>membrane associated ring-CH-type finger 6 [Source:MGI Symbol;Acc:MGI:2442773]</t>
  </si>
  <si>
    <t>Pacs1</t>
  </si>
  <si>
    <t>phosphofurin acidic cluster sorting protein 1 [Source:MGI Symbol;Acc:MGI:1277113]</t>
  </si>
  <si>
    <t>Cln3</t>
  </si>
  <si>
    <t>ceroid lipofuscinosis, neuronal 3, juvenile (Batten, Spielmeyer-Vogt disease) [Source:MGI Symbol;Acc:MGI:107537]</t>
  </si>
  <si>
    <t>Med15</t>
  </si>
  <si>
    <t>mediator complex subunit 15 [Source:MGI Symbol;Acc:MGI:2137379]</t>
  </si>
  <si>
    <t>Rab8b</t>
  </si>
  <si>
    <t>RAB8B, member RAS oncogene family [Source:MGI Symbol;Acc:MGI:2442982]</t>
  </si>
  <si>
    <t>Ociad1</t>
  </si>
  <si>
    <t>OCIA domain containing 1 [Source:MGI Symbol;Acc:MGI:1915345]</t>
  </si>
  <si>
    <t>Arfgef2</t>
  </si>
  <si>
    <t>ADP-ribosylation factor guanine nucleotide-exchange factor 2 (brefeldin A-inhibited) [Source:MGI Symbol;Acc:MGI:2139354]</t>
  </si>
  <si>
    <t>Rabgap1</t>
  </si>
  <si>
    <t>RAB GTPase activating protein 1 [Source:MGI Symbol;Acc:MGI:2385139]</t>
  </si>
  <si>
    <t>Gsto1</t>
  </si>
  <si>
    <t>glutathione S-transferase omega 1 [Source:MGI Symbol;Acc:MGI:1342273]</t>
  </si>
  <si>
    <t>Kdm3b</t>
  </si>
  <si>
    <t>KDM3B lysine (K)-specific demethylase 3B [Source:MGI Symbol;Acc:MGI:1923356]</t>
  </si>
  <si>
    <t>Abl1</t>
  </si>
  <si>
    <t>c-abl oncogene 1, non-receptor tyrosine kinase [Source:MGI Symbol;Acc:MGI:87859]</t>
  </si>
  <si>
    <t>Slc25a39</t>
  </si>
  <si>
    <t>solute carrier family 25, member 39 [Source:MGI Symbol;Acc:MGI:1196386]</t>
  </si>
  <si>
    <t>Gnaq</t>
  </si>
  <si>
    <t>guanine nucleotide binding protein, alpha q polypeptide [Source:MGI Symbol;Acc:MGI:95776]</t>
  </si>
  <si>
    <t>Pisd</t>
  </si>
  <si>
    <t>phosphatidylserine decarboxylase [Source:MGI Symbol;Acc:MGI:2445114]</t>
  </si>
  <si>
    <t>Anapc5</t>
  </si>
  <si>
    <t>anaphase-promoting complex subunit 5 [Source:MGI Symbol;Acc:MGI:1929722]</t>
  </si>
  <si>
    <t>Csk</t>
  </si>
  <si>
    <t>c-src tyrosine kinase [Source:MGI Symbol;Acc:MGI:88537]</t>
  </si>
  <si>
    <t>Mapk1</t>
  </si>
  <si>
    <t>mitogen-activated protein kinase 1 [Source:MGI Symbol;Acc:MGI:1346858]</t>
  </si>
  <si>
    <t>Pitpna</t>
  </si>
  <si>
    <t>phosphatidylinositol transfer protein, alpha [Source:MGI Symbol;Acc:MGI:99887]</t>
  </si>
  <si>
    <t>Slc6a6</t>
  </si>
  <si>
    <t>solute carrier family 6 (neurotransmitter transporter, taurine), member 6 [Source:MGI Symbol;Acc:MGI:98488]</t>
  </si>
  <si>
    <t>Gnb1</t>
  </si>
  <si>
    <t>guanine nucleotide binding protein (G protein), beta 1 [Source:MGI Symbol;Acc:MGI:95781]</t>
  </si>
  <si>
    <t>Dlst</t>
  </si>
  <si>
    <t>dihydrolipoamide S-succinyltransferase (E2 component of 2-oxo-glutarate complex) [Source:MGI Symbol;Acc:MGI:1926170]</t>
  </si>
  <si>
    <t>Mdh2</t>
  </si>
  <si>
    <t>malate dehydrogenase 2, NAD (mitochondrial) [Source:MGI Symbol;Acc:MGI:97050]</t>
  </si>
  <si>
    <t>Tcp1</t>
  </si>
  <si>
    <t>t-complex protein 1 [Source:MGI Symbol;Acc:MGI:98535]</t>
  </si>
  <si>
    <t>Eif3b</t>
  </si>
  <si>
    <t>eukaryotic translation initiation factor 3, subunit B [Source:MGI Symbol;Acc:MGI:106478]</t>
  </si>
  <si>
    <t>Api5</t>
  </si>
  <si>
    <t>apoptosis inhibitor 5 [Source:MGI Symbol;Acc:MGI:1888993]</t>
  </si>
  <si>
    <t>Tcf25</t>
  </si>
  <si>
    <t>transcription factor 25 (basic helix-loop-helix) [Source:MGI Symbol;Acc:MGI:1914105]</t>
  </si>
  <si>
    <t>Atic</t>
  </si>
  <si>
    <t>5-aminoimidazole-4-carboxamide ribonucleotide formyltransferase/IMP cyclohydrolase [Source:MGI Symbol;Acc:MGI:1351352]</t>
  </si>
  <si>
    <t>Metap2</t>
  </si>
  <si>
    <t>methionine aminopeptidase 2 [Source:MGI Symbol;Acc:MGI:1929701]</t>
  </si>
  <si>
    <t>Sf3b3</t>
  </si>
  <si>
    <t>splicing factor 3b, subunit 3 [Source:MGI Symbol;Acc:MGI:1289341]</t>
  </si>
  <si>
    <t>Ppp5c</t>
  </si>
  <si>
    <t>protein phosphatase 5, catalytic subunit [Source:MGI Symbol;Acc:MGI:102666]</t>
  </si>
  <si>
    <t>Max</t>
  </si>
  <si>
    <t>Max protein [Source:MGI Symbol;Acc:MGI:96921]</t>
  </si>
  <si>
    <t>Polr2m</t>
  </si>
  <si>
    <t>polymerase (RNA) II (DNA directed) polypeptide M [Source:MGI Symbol;Acc:MGI:107282]</t>
  </si>
  <si>
    <t>Eif3d</t>
  </si>
  <si>
    <t>eukaryotic translation initiation factor 3, subunit D [Source:MGI Symbol;Acc:MGI:1933181]</t>
  </si>
  <si>
    <t>Eif3l</t>
  </si>
  <si>
    <t>eukaryotic translation initiation factor 3, subunit L [Source:MGI Symbol;Acc:MGI:2386251]</t>
  </si>
  <si>
    <t>Sfxn1</t>
  </si>
  <si>
    <t>sideroflexin 1 [Source:MGI Symbol;Acc:MGI:2137677]</t>
  </si>
  <si>
    <t>Hsp90ab1</t>
  </si>
  <si>
    <t>heat shock protein 90 alpha (cytosolic), class B member 1 [Source:MGI Symbol;Acc:MGI:96247]</t>
  </si>
  <si>
    <t>Sec61a1</t>
  </si>
  <si>
    <t>Sec61 alpha 1 subunit (S. cerevisiae) [Source:MGI Symbol;Acc:MGI:1858417]</t>
  </si>
  <si>
    <t>Hspa9</t>
  </si>
  <si>
    <t>heat shock protein 9 [Source:MGI Symbol;Acc:MGI:96245]</t>
  </si>
  <si>
    <t>Ino80e</t>
  </si>
  <si>
    <t>INO80 complex subunit E [Source:MGI Symbol;Acc:MGI:2141881]</t>
  </si>
  <si>
    <t>Gorasp2</t>
  </si>
  <si>
    <t>golgi reassembly stacking protein 2 [Source:MGI Symbol;Acc:MGI:2135962]</t>
  </si>
  <si>
    <t>Gatad2a</t>
  </si>
  <si>
    <t>GATA zinc finger domain containing 2A [Source:MGI Symbol;Acc:MGI:2384585]</t>
  </si>
  <si>
    <t>Cpsf3</t>
  </si>
  <si>
    <t>cleavage and polyadenylation specificity factor 3 [Source:MGI Symbol;Acc:MGI:1859328]</t>
  </si>
  <si>
    <t>Syncrip</t>
  </si>
  <si>
    <t>synaptotagmin binding, cytoplasmic RNA interacting protein [Source:MGI Symbol;Acc:MGI:1891690]</t>
  </si>
  <si>
    <t>Zranb2</t>
  </si>
  <si>
    <t>zinc finger, RAN-binding domain containing 2 [Source:MGI Symbol;Acc:MGI:1858211]</t>
  </si>
  <si>
    <t>Klhdc4</t>
  </si>
  <si>
    <t>kelch domain containing 4 [Source:MGI Symbol;Acc:MGI:2384569]</t>
  </si>
  <si>
    <t>Fubp3</t>
  </si>
  <si>
    <t>far upstream element (FUSE) binding protein 3 [Source:MGI Symbol;Acc:MGI:2443699]</t>
  </si>
  <si>
    <t>Eif3g</t>
  </si>
  <si>
    <t>eukaryotic translation initiation factor 3, subunit G [Source:MGI Symbol;Acc:MGI:1858258]</t>
  </si>
  <si>
    <t>Rad23b</t>
  </si>
  <si>
    <t>RAD23 homolog B, nucleotide excision repair protein [Source:MGI Symbol;Acc:MGI:105128]</t>
  </si>
  <si>
    <t>Nop2</t>
  </si>
  <si>
    <t>NOP2 nucleolar protein [Source:MGI Symbol;Acc:MGI:107891]</t>
  </si>
  <si>
    <t>Ipo7</t>
  </si>
  <si>
    <t>importin 7 [Source:MGI Symbol;Acc:MGI:2152414]</t>
  </si>
  <si>
    <t>Pa2g4</t>
  </si>
  <si>
    <t>proliferation-associated 2G4 [Source:MGI Symbol;Acc:MGI:894684]</t>
  </si>
  <si>
    <t>Nolc1</t>
  </si>
  <si>
    <t>nucleolar and coiled-body phosphoprotein 1 [Source:MGI Symbol;Acc:MGI:1918019]</t>
  </si>
  <si>
    <t>Cs</t>
  </si>
  <si>
    <t>citrate synthase [Source:MGI Symbol;Acc:MGI:88529]</t>
  </si>
  <si>
    <t>Carm1</t>
  </si>
  <si>
    <t>coactivator-associated arginine methyltransferase 1 [Source:MGI Symbol;Acc:MGI:1913208]</t>
  </si>
  <si>
    <t>Gnpat</t>
  </si>
  <si>
    <t>glyceronephosphate O-acyltransferase [Source:MGI Symbol;Acc:MGI:1343460]</t>
  </si>
  <si>
    <t>B3galnt2</t>
  </si>
  <si>
    <t>UDP-GalNAc:betaGlcNAc beta 1,3-galactosaminyltransferase, polypeptide 2 [Source:MGI Symbol;Acc:MGI:2145517]</t>
  </si>
  <si>
    <t>Ddx56</t>
  </si>
  <si>
    <t>DEAD (Asp-Glu-Ala-Asp) box polypeptide 56 [Source:MGI Symbol;Acc:MGI:1277172]</t>
  </si>
  <si>
    <t>Nop14</t>
  </si>
  <si>
    <t>NOP14 nucleolar protein [Source:MGI Symbol;Acc:MGI:1922666]</t>
  </si>
  <si>
    <t>Ppp4r3a</t>
  </si>
  <si>
    <t>protein phosphatase 4 regulatory subunit 3A [Source:MGI Symbol;Acc:MGI:1915984]</t>
  </si>
  <si>
    <t>Mapk1ip1l</t>
  </si>
  <si>
    <t>mitogen-activated protein kinase 1 interacting protein 1-like [Source:MGI Symbol;Acc:MGI:2444022]</t>
  </si>
  <si>
    <t>Ywhae</t>
  </si>
  <si>
    <t>tyrosine 3-monooxygenase/tryptophan 5-monooxygenase activation protein, epsilon polypeptide [Source:MGI Symbol;Acc:MGI:894689]</t>
  </si>
  <si>
    <t>Metap1</t>
  </si>
  <si>
    <t>methionyl aminopeptidase 1 [Source:MGI Symbol;Acc:MGI:1922874]</t>
  </si>
  <si>
    <t>Bpnt1</t>
  </si>
  <si>
    <t>bisphosphate 3'-nucleotidase 1 [Source:MGI Symbol;Acc:MGI:1338800]</t>
  </si>
  <si>
    <t>Gemin5</t>
  </si>
  <si>
    <t>gem nuclear organelle associated protein 5 [Source:MGI Symbol;Acc:MGI:2449311]</t>
  </si>
  <si>
    <t>Nop56</t>
  </si>
  <si>
    <t>NOP56 ribonucleoprotein [Source:MGI Symbol;Acc:MGI:1914384]</t>
  </si>
  <si>
    <t>Ftsj3</t>
  </si>
  <si>
    <t>FtsJ RNA methyltransferase homolog 3 (E. coli) [Source:MGI Symbol;Acc:MGI:1860295]</t>
  </si>
  <si>
    <t>Cct7</t>
  </si>
  <si>
    <t>chaperonin containing Tcp1, subunit 7 (eta) [Source:MGI Symbol;Acc:MGI:107184]</t>
  </si>
  <si>
    <t>Psmd7</t>
  </si>
  <si>
    <t>proteasome (prosome, macropain) 26S subunit, non-ATPase, 7 [Source:MGI Symbol;Acc:MGI:1351511]</t>
  </si>
  <si>
    <t>Fubp1</t>
  </si>
  <si>
    <t>far upstream element (FUSE) binding protein 1 [Source:MGI Symbol;Acc:MGI:1196294]</t>
  </si>
  <si>
    <t>Atg2b</t>
  </si>
  <si>
    <t>autophagy related 2B [Source:MGI Symbol;Acc:MGI:1923809]</t>
  </si>
  <si>
    <t>Ldah</t>
  </si>
  <si>
    <t>lipid droplet associated hydrolase [Source:MGI Symbol;Acc:MGI:1916082]</t>
  </si>
  <si>
    <t>Grwd1</t>
  </si>
  <si>
    <t>glutamate-rich WD repeat containing 1 [Source:MGI Symbol;Acc:MGI:2141989]</t>
  </si>
  <si>
    <t>Cct2</t>
  </si>
  <si>
    <t>chaperonin containing Tcp1, subunit 2 (beta) [Source:MGI Symbol;Acc:MGI:107186]</t>
  </si>
  <si>
    <t>Smyd5</t>
  </si>
  <si>
    <t>SET and MYND domain containing 5 [Source:MGI Symbol;Acc:MGI:108048]</t>
  </si>
  <si>
    <t>Elp3</t>
  </si>
  <si>
    <t>elongator acetyltransferase complex subunit 3 [Source:MGI Symbol;Acc:MGI:1921445]</t>
  </si>
  <si>
    <t>Nras</t>
  </si>
  <si>
    <t>neuroblastoma ras oncogene [Source:MGI Symbol;Acc:MGI:97376]</t>
  </si>
  <si>
    <t>Tnpo3</t>
  </si>
  <si>
    <t>transportin 3 [Source:MGI Symbol;Acc:MGI:1196412]</t>
  </si>
  <si>
    <t>Plaa</t>
  </si>
  <si>
    <t>phospholipase A2, activating protein [Source:MGI Symbol;Acc:MGI:104810]</t>
  </si>
  <si>
    <t>Ncbp1</t>
  </si>
  <si>
    <t>nuclear cap binding protein subunit 1 [Source:MGI Symbol;Acc:MGI:1891840]</t>
  </si>
  <si>
    <t>Zc3h18</t>
  </si>
  <si>
    <t>zinc finger CCCH-type containing 18 [Source:MGI Symbol;Acc:MGI:1923264]</t>
  </si>
  <si>
    <t>Mak16</t>
  </si>
  <si>
    <t>MAK16 homolog [Source:MGI Symbol;Acc:MGI:1915170]</t>
  </si>
  <si>
    <t>Dnajc7</t>
  </si>
  <si>
    <t>DnaJ heat shock protein family (Hsp40) member C7 [Source:MGI Symbol;Acc:MGI:1928373]</t>
  </si>
  <si>
    <t>Orc4</t>
  </si>
  <si>
    <t>origin recognition complex, subunit 4 [Source:MGI Symbol;Acc:MGI:1347043]</t>
  </si>
  <si>
    <t>Wapl</t>
  </si>
  <si>
    <t>WAPL cohesin release factor [Source:MGI Symbol;Acc:MGI:2675859]</t>
  </si>
  <si>
    <t>Mybbp1a</t>
  </si>
  <si>
    <t>MYB binding protein (P160) 1a [Source:MGI Symbol;Acc:MGI:106181]</t>
  </si>
  <si>
    <t>Dkc1</t>
  </si>
  <si>
    <t>dyskeratosis congenita 1, dyskerin [Source:MGI Symbol;Acc:MGI:1861727]</t>
  </si>
  <si>
    <t>Eftud2</t>
  </si>
  <si>
    <t>elongation factor Tu GTP binding domain containing 2 [Source:MGI Symbol;Acc:MGI:1336880]</t>
  </si>
  <si>
    <t>Slc39a6</t>
  </si>
  <si>
    <t>solute carrier family 39 (metal ion transporter), member 6 [Source:MGI Symbol;Acc:MGI:2147279]</t>
  </si>
  <si>
    <t>Acp1</t>
  </si>
  <si>
    <t>acid phosphatase 1, soluble [Source:MGI Symbol;Acc:MGI:87881]</t>
  </si>
  <si>
    <t>Chordc1</t>
  </si>
  <si>
    <t>cysteine and histidine-rich domain (CHORD)-containing, zinc-binding protein 1 [Source:MGI Symbol;Acc:MGI:1914167]</t>
  </si>
  <si>
    <t>Bid</t>
  </si>
  <si>
    <t>BH3 interacting domain death agonist [Source:MGI Symbol;Acc:MGI:108093]</t>
  </si>
  <si>
    <t>Psmf1</t>
  </si>
  <si>
    <t>proteasome (prosome, macropain) inhibitor subunit 1 [Source:MGI Symbol;Acc:MGI:1346072]</t>
  </si>
  <si>
    <t>Etf1</t>
  </si>
  <si>
    <t>eukaryotic translation termination factor 1 [Source:MGI Symbol;Acc:MGI:2385071]</t>
  </si>
  <si>
    <t>Smarca5</t>
  </si>
  <si>
    <t>SWI/SNF related, matrix associated, actin dependent regulator of chromatin, subfamily a, member 5 [Source:MGI Symbol;Acc:MGI:1935129]</t>
  </si>
  <si>
    <t>Xpo1</t>
  </si>
  <si>
    <t>exportin 1 [Source:MGI Symbol;Acc:MGI:2144013]</t>
  </si>
  <si>
    <t>Twnk</t>
  </si>
  <si>
    <t>twinkle mtDNA helicase [Source:MGI Symbol;Acc:MGI:2137410]</t>
  </si>
  <si>
    <t>Nsun2</t>
  </si>
  <si>
    <t>NOL1/NOP2/Sun domain family member 2 [Source:MGI Symbol;Acc:MGI:107252]</t>
  </si>
  <si>
    <t>Eif3e</t>
  </si>
  <si>
    <t>eukaryotic translation initiation factor 3, subunit E [Source:MGI Symbol;Acc:MGI:99257]</t>
  </si>
  <si>
    <t>Wdr36</t>
  </si>
  <si>
    <t>WD repeat domain 36 [Source:MGI Symbol;Acc:MGI:1917819]</t>
  </si>
  <si>
    <t>Mphosph10</t>
  </si>
  <si>
    <t>M-phase phosphoprotein 10 (U3 small nucleolar ribonucleoprotein) [Source:MGI Symbol;Acc:MGI:1915223]</t>
  </si>
  <si>
    <t>Exoc5</t>
  </si>
  <si>
    <t>exocyst complex component 5 [Source:MGI Symbol;Acc:MGI:2145645]</t>
  </si>
  <si>
    <t>Timm17a</t>
  </si>
  <si>
    <t>translocase of inner mitochondrial membrane 17a [Source:MGI Symbol;Acc:MGI:1343131]</t>
  </si>
  <si>
    <t>Rbm17</t>
  </si>
  <si>
    <t>RNA binding motif protein 17 [Source:MGI Symbol;Acc:MGI:1924188]</t>
  </si>
  <si>
    <t>Dnaja2</t>
  </si>
  <si>
    <t>DnaJ heat shock protein family (Hsp40) member A2 [Source:MGI Symbol;Acc:MGI:1931882]</t>
  </si>
  <si>
    <t>Ccnb2</t>
  </si>
  <si>
    <t>cyclin B2 [Source:MGI Symbol;Acc:MGI:88311]</t>
  </si>
  <si>
    <t>Tbrg4</t>
  </si>
  <si>
    <t>transforming growth factor beta regulated gene 4 [Source:MGI Symbol;Acc:MGI:1100868]</t>
  </si>
  <si>
    <t>Ltv1</t>
  </si>
  <si>
    <t>LTV1 ribosome biogenesis factor [Source:MGI Symbol;Acc:MGI:2447810]</t>
  </si>
  <si>
    <t>Armc1</t>
  </si>
  <si>
    <t>armadillo repeat containing 1 [Source:MGI Symbol;Acc:MGI:1921502]</t>
  </si>
  <si>
    <t>Tubb4b</t>
  </si>
  <si>
    <t>tubulin, beta 4B class IVB [Source:MGI Symbol;Acc:MGI:1915472]</t>
  </si>
  <si>
    <t>Cops2</t>
  </si>
  <si>
    <t>COP9 signalosome subunit 2 [Source:MGI Symbol;Acc:MGI:1330276]</t>
  </si>
  <si>
    <t>Ddx10</t>
  </si>
  <si>
    <t>DEAD (Asp-Glu-Ala-Asp) box polypeptide 10 [Source:MGI Symbol;Acc:MGI:1924841]</t>
  </si>
  <si>
    <t>Ipo5</t>
  </si>
  <si>
    <t>importin 5 [Source:MGI Symbol;Acc:MGI:1917822]</t>
  </si>
  <si>
    <t>Zfp622</t>
  </si>
  <si>
    <t>zinc finger protein 622 [Source:MGI Symbol;Acc:MGI:1289282]</t>
  </si>
  <si>
    <t>Mrpl12</t>
  </si>
  <si>
    <t>mitochondrial ribosomal protein L12 [Source:MGI Symbol;Acc:MGI:1926273]</t>
  </si>
  <si>
    <t>Gfm2</t>
  </si>
  <si>
    <t>G elongation factor, mitochondrial 2 [Source:MGI Symbol;Acc:MGI:2444783]</t>
  </si>
  <si>
    <t>Eif2b1</t>
  </si>
  <si>
    <t>eukaryotic translation initiation factor 2B, subunit 1 (alpha) [Source:MGI Symbol;Acc:MGI:2384802]</t>
  </si>
  <si>
    <t>Nemf</t>
  </si>
  <si>
    <t>nuclear export mediator factor [Source:MGI Symbol;Acc:MGI:1918305]</t>
  </si>
  <si>
    <t>Naa25</t>
  </si>
  <si>
    <t>N(alpha)-acetyltransferase 25, NatB auxiliary subunit [Source:MGI Symbol;Acc:MGI:2442563]</t>
  </si>
  <si>
    <t>Abce1</t>
  </si>
  <si>
    <t>ATP-binding cassette, sub-family E (OABP), member 1 [Source:MGI Symbol;Acc:MGI:1195458]</t>
  </si>
  <si>
    <t>Mtdh</t>
  </si>
  <si>
    <t>metadherin [Source:MGI Symbol;Acc:MGI:1914404]</t>
  </si>
  <si>
    <t>Apex1</t>
  </si>
  <si>
    <t>apurinic/apyrimidinic endonuclease 1 [Source:MGI Symbol;Acc:MGI:88042]</t>
  </si>
  <si>
    <t>Kat7</t>
  </si>
  <si>
    <t>K(lysine) acetyltransferase 7 [Source:MGI Symbol;Acc:MGI:2182799]</t>
  </si>
  <si>
    <t>Ogfod1</t>
  </si>
  <si>
    <t>2-oxoglutarate and iron-dependent oxygenase domain containing 1 [Source:MGI Symbol;Acc:MGI:2442978]</t>
  </si>
  <si>
    <t>Ap1ar</t>
  </si>
  <si>
    <t>adaptor-related protein complex 1 associated regulatory protein [Source:MGI Symbol;Acc:MGI:2384822]</t>
  </si>
  <si>
    <t>Bop1</t>
  </si>
  <si>
    <t>block of proliferation 1 [Source:MGI Symbol;Acc:MGI:1334460]</t>
  </si>
  <si>
    <t>Mrps2</t>
  </si>
  <si>
    <t>mitochondrial ribosomal protein S2 [Source:MGI Symbol;Acc:MGI:2153089]</t>
  </si>
  <si>
    <t>Pdcd11</t>
  </si>
  <si>
    <t>programmed cell death 11 [Source:MGI Symbol;Acc:MGI:1341788]</t>
  </si>
  <si>
    <t>Utp4</t>
  </si>
  <si>
    <t>UTP4 small subunit processome component [Source:MGI Symbol;Acc:MGI:1096573]</t>
  </si>
  <si>
    <t>Parg</t>
  </si>
  <si>
    <t>poly (ADP-ribose) glycohydrolase [Source:MGI Symbol;Acc:MGI:1347094]</t>
  </si>
  <si>
    <t>Pus10</t>
  </si>
  <si>
    <t>pseudouridylate synthase 10 [Source:MGI Symbol;Acc:MGI:1921717]</t>
  </si>
  <si>
    <t>Tcof1</t>
  </si>
  <si>
    <t>treacle ribosome biogenesis factor 1 [Source:MGI Symbol;Acc:MGI:892003]</t>
  </si>
  <si>
    <t>Ddx47</t>
  </si>
  <si>
    <t>DEAD (Asp-Glu-Ala-Asp) box polypeptide 47 [Source:MGI Symbol;Acc:MGI:1915005]</t>
  </si>
  <si>
    <t>Spns1</t>
  </si>
  <si>
    <t>spinster homolog 1 [Source:MGI Symbol;Acc:MGI:1920908]</t>
  </si>
  <si>
    <t>Hsp90aa1</t>
  </si>
  <si>
    <t>heat shock protein 90, alpha (cytosolic), class A member 1 [Source:MGI Symbol;Acc:MGI:96250]</t>
  </si>
  <si>
    <t>Srp68</t>
  </si>
  <si>
    <t>signal recognition particle 68 [Source:MGI Symbol;Acc:MGI:1917447]</t>
  </si>
  <si>
    <t>Tnpo1</t>
  </si>
  <si>
    <t>transportin 1 [Source:MGI Symbol;Acc:MGI:2681523]</t>
  </si>
  <si>
    <t>Bax</t>
  </si>
  <si>
    <t>BCL2-associated X protein [Source:MGI Symbol;Acc:MGI:99702]</t>
  </si>
  <si>
    <t>Cdk8</t>
  </si>
  <si>
    <t>cyclin-dependent kinase 8 [Source:MGI Symbol;Acc:MGI:1196224]</t>
  </si>
  <si>
    <t>Celf1</t>
  </si>
  <si>
    <t>CUGBP, Elav-like family member 1 [Source:MGI Symbol;Acc:MGI:1342295]</t>
  </si>
  <si>
    <t>Mpp6</t>
  </si>
  <si>
    <t>membrane protein, palmitoylated 6 (MAGUK p55 subfamily member 6) [Source:MGI Symbol;Acc:MGI:1927340]</t>
  </si>
  <si>
    <t>Nop9</t>
  </si>
  <si>
    <t>NOP9 nucleolar protein [Source:MGI Symbol;Acc:MGI:1915092]</t>
  </si>
  <si>
    <t>Sprtn</t>
  </si>
  <si>
    <t>SprT-like N-terminal domain [Source:MGI Symbol;Acc:MGI:2685351]</t>
  </si>
  <si>
    <t>Nfx1</t>
  </si>
  <si>
    <t>nuclear transcription factor, X-box binding 1 [Source:MGI Symbol;Acc:MGI:1921414]</t>
  </si>
  <si>
    <t>Wdr3</t>
  </si>
  <si>
    <t>WD repeat domain 3 [Source:MGI Symbol;Acc:MGI:2443143]</t>
  </si>
  <si>
    <t>Hsph1</t>
  </si>
  <si>
    <t>heat shock 105kDa/110kDa protein 1 [Source:MGI Symbol;Acc:MGI:105053]</t>
  </si>
  <si>
    <t>Polr3c</t>
  </si>
  <si>
    <t>polymerase (RNA) III (DNA directed) polypeptide C [Source:MGI Symbol;Acc:MGI:1921664]</t>
  </si>
  <si>
    <t>Usp15</t>
  </si>
  <si>
    <t>ubiquitin specific peptidase 15 [Source:MGI Symbol;Acc:MGI:101857]</t>
  </si>
  <si>
    <t>Gmps</t>
  </si>
  <si>
    <t>guanine monophosphate synthetase [Source:MGI Symbol;Acc:MGI:2448526]</t>
  </si>
  <si>
    <t>Kdm1b</t>
  </si>
  <si>
    <t>lysine (K)-specific demethylase 1B [Source:MGI Symbol;Acc:MGI:2145261]</t>
  </si>
  <si>
    <t>Ola1</t>
  </si>
  <si>
    <t>Obg-like ATPase 1 [Source:MGI Symbol;Acc:MGI:1914309]</t>
  </si>
  <si>
    <t>Ube2j2</t>
  </si>
  <si>
    <t>ubiquitin-conjugating enzyme E2J 2 [Source:MGI Symbol;Acc:MGI:2153608]</t>
  </si>
  <si>
    <t>Wdr74</t>
  </si>
  <si>
    <t>WD repeat domain 74 [Source:MGI Symbol;Acc:MGI:2147427]</t>
  </si>
  <si>
    <t>Dars</t>
  </si>
  <si>
    <t>aspartyl-tRNA synthetase [Source:MGI Symbol;Acc:MGI:2442544]</t>
  </si>
  <si>
    <t>Enoph1</t>
  </si>
  <si>
    <t>enolase-phosphatase 1 [Source:MGI Symbol;Acc:MGI:1915120]</t>
  </si>
  <si>
    <t>Cacybp</t>
  </si>
  <si>
    <t>calcyclin binding protein [Source:MGI Symbol;Acc:MGI:1270839]</t>
  </si>
  <si>
    <t>Dnajc21</t>
  </si>
  <si>
    <t>DnaJ heat shock protein family (Hsp40) member C21 [Source:MGI Symbol;Acc:MGI:1925371]</t>
  </si>
  <si>
    <t>Gtf2f2</t>
  </si>
  <si>
    <t>general transcription factor IIF, polypeptide 2 [Source:MGI Symbol;Acc:MGI:1915955]</t>
  </si>
  <si>
    <t>Kdm1a</t>
  </si>
  <si>
    <t>lysine (K)-specific demethylase 1A [Source:MGI Symbol;Acc:MGI:1196256]</t>
  </si>
  <si>
    <t>Capn1</t>
  </si>
  <si>
    <t>calpain 1 [Source:MGI Symbol;Acc:MGI:88263]</t>
  </si>
  <si>
    <t>Gpd2</t>
  </si>
  <si>
    <t>glycerol phosphate dehydrogenase 2, mitochondrial [Source:MGI Symbol;Acc:MGI:99778]</t>
  </si>
  <si>
    <t>Psmd11</t>
  </si>
  <si>
    <t>proteasome (prosome, macropain) 26S subunit, non-ATPase, 11 [Source:MGI Symbol;Acc:MGI:1916327]</t>
  </si>
  <si>
    <t>Serbp1</t>
  </si>
  <si>
    <t>serpine1 mRNA binding protein 1 [Source:MGI Symbol;Acc:MGI:1914120]</t>
  </si>
  <si>
    <t>Dhx9</t>
  </si>
  <si>
    <t>DEAH (Asp-Glu-Ala-His) box polypeptide 9 [Source:MGI Symbol;Acc:MGI:108177]</t>
  </si>
  <si>
    <t>Kars</t>
  </si>
  <si>
    <t>lysyl-tRNA synthetase [Source:MGI Symbol;Acc:MGI:1934754]</t>
  </si>
  <si>
    <t>Esf1</t>
  </si>
  <si>
    <t>ESF1 nucleolar pre-rRNA processing protein homolog [Source:MGI Symbol;Acc:MGI:1913830]</t>
  </si>
  <si>
    <t>Trmt61a</t>
  </si>
  <si>
    <t>tRNA methyltransferase 61A [Source:MGI Symbol;Acc:MGI:2443487]</t>
  </si>
  <si>
    <t>Ywhaz</t>
  </si>
  <si>
    <t>tyrosine 3-monooxygenase/tryptophan 5-monooxygenase activation protein, zeta polypeptide [Source:MGI Symbol;Acc:MGI:109484]</t>
  </si>
  <si>
    <t>Rpf1</t>
  </si>
  <si>
    <t>ribosome production factor 1 homolog [Source:MGI Symbol;Acc:MGI:1917535]</t>
  </si>
  <si>
    <t>Utp15</t>
  </si>
  <si>
    <t>UTP15 small subunit processome component [Source:MGI Symbol;Acc:MGI:2145443]</t>
  </si>
  <si>
    <t>Ccdc59</t>
  </si>
  <si>
    <t>coiled-coil domain containing 59 [Source:MGI Symbol;Acc:MGI:1289302]</t>
  </si>
  <si>
    <t>Dcaf13</t>
  </si>
  <si>
    <t>DDB1 and CUL4 associated factor 13 [Source:MGI Symbol;Acc:MGI:2684929]</t>
  </si>
  <si>
    <t>Ppp2r2d</t>
  </si>
  <si>
    <t>protein phosphatase 2, regulatory subunit B, delta [Source:MGI Symbol;Acc:MGI:1289252]</t>
  </si>
  <si>
    <t>Thumpd1</t>
  </si>
  <si>
    <t>THUMP domain containing 1 [Source:MGI Symbol;Acc:MGI:2444479]</t>
  </si>
  <si>
    <t>Snrpa1</t>
  </si>
  <si>
    <t>small nuclear ribonucleoprotein polypeptide A' [Source:MGI Symbol;Acc:MGI:1916231]</t>
  </si>
  <si>
    <t>Ilf2</t>
  </si>
  <si>
    <t>interleukin enhancer binding factor 2 [Source:MGI Symbol;Acc:MGI:1915031]</t>
  </si>
  <si>
    <t>Bzw1</t>
  </si>
  <si>
    <t>basic leucine zipper and W2 domains 1 [Source:MGI Symbol;Acc:MGI:1914132]</t>
  </si>
  <si>
    <t>Wdr12</t>
  </si>
  <si>
    <t>WD repeat domain 12 [Source:MGI Symbol;Acc:MGI:1927241]</t>
  </si>
  <si>
    <t>Timm9</t>
  </si>
  <si>
    <t>translocase of inner mitochondrial membrane 9 [Source:MGI Symbol;Acc:MGI:1353436]</t>
  </si>
  <si>
    <t>Vps4a</t>
  </si>
  <si>
    <t>vacuolar protein sorting 4A [Source:MGI Symbol;Acc:MGI:1890520]</t>
  </si>
  <si>
    <t>Gorasp1</t>
  </si>
  <si>
    <t>golgi reassembly stacking protein 1 [Source:MGI Symbol;Acc:MGI:1921748]</t>
  </si>
  <si>
    <t>Cct6a</t>
  </si>
  <si>
    <t>chaperonin containing Tcp1, subunit 6a (zeta) [Source:MGI Symbol;Acc:MGI:107943]</t>
  </si>
  <si>
    <t>Utp20</t>
  </si>
  <si>
    <t>UTP20 small subunit processome component [Source:MGI Symbol;Acc:MGI:1917933]</t>
  </si>
  <si>
    <t>Eif4g2</t>
  </si>
  <si>
    <t>eukaryotic translation initiation factor 4, gamma 2 [Source:MGI Symbol;Acc:MGI:109207]</t>
  </si>
  <si>
    <t>Eif2s1</t>
  </si>
  <si>
    <t>eukaryotic translation initiation factor 2, subunit 1 alpha [Source:MGI Symbol;Acc:MGI:95299]</t>
  </si>
  <si>
    <t>Ddx18</t>
  </si>
  <si>
    <t>DEAD (Asp-Glu-Ala-Asp) box polypeptide 18 [Source:MGI Symbol;Acc:MGI:1914192]</t>
  </si>
  <si>
    <t>Nmt2</t>
  </si>
  <si>
    <t>N-myristoyltransferase 2 [Source:MGI Symbol;Acc:MGI:1202298]</t>
  </si>
  <si>
    <t>Ruvbl1</t>
  </si>
  <si>
    <t>RuvB-like protein 1 [Source:MGI Symbol;Acc:MGI:1928760]</t>
  </si>
  <si>
    <t>Hars</t>
  </si>
  <si>
    <t>histidyl-tRNA synthetase [Source:MGI Symbol;Acc:MGI:108087]</t>
  </si>
  <si>
    <t>Dock9</t>
  </si>
  <si>
    <t>dedicator of cytokinesis 9 [Source:MGI Symbol;Acc:MGI:106321]</t>
  </si>
  <si>
    <t>Fastkd2</t>
  </si>
  <si>
    <t>FAST kinase domains 2 [Source:MGI Symbol;Acc:MGI:1922869]</t>
  </si>
  <si>
    <t>Mrto4</t>
  </si>
  <si>
    <t>mRNA turnover 4, ribosome maturation factor [Source:MGI Symbol;Acc:MGI:1917152]</t>
  </si>
  <si>
    <t>Ppp2r2a</t>
  </si>
  <si>
    <t>protein phosphatase 2, regulatory subunit B, alpha [Source:MGI Symbol;Acc:MGI:1919228]</t>
  </si>
  <si>
    <t>Zc3h15</t>
  </si>
  <si>
    <t>zinc finger CCCH-type containing 15 [Source:MGI Symbol;Acc:MGI:1919747]</t>
  </si>
  <si>
    <t>Ssr1</t>
  </si>
  <si>
    <t>signal sequence receptor, alpha [Source:MGI Symbol;Acc:MGI:105082]</t>
  </si>
  <si>
    <t>Mrps5</t>
  </si>
  <si>
    <t>mitochondrial ribosomal protein S5 [Source:MGI Symbol;Acc:MGI:1924971]</t>
  </si>
  <si>
    <t>Gnl3</t>
  </si>
  <si>
    <t>guanine nucleotide binding protein-like 3 (nucleolar) [Source:MGI Symbol;Acc:MGI:1353651]</t>
  </si>
  <si>
    <t>Zrsr2</t>
  </si>
  <si>
    <t>zinc finger (CCCH type), RNA binding motif and serine/arginine rich 2 [Source:MGI Symbol;Acc:MGI:103287]</t>
  </si>
  <si>
    <t>Psmd6</t>
  </si>
  <si>
    <t>proteasome (prosome, macropain) 26S subunit, non-ATPase, 6 [Source:MGI Symbol;Acc:MGI:1913663]</t>
  </si>
  <si>
    <t>Riok1</t>
  </si>
  <si>
    <t>RIO kinase 1 [Source:MGI Symbol;Acc:MGI:1918590]</t>
  </si>
  <si>
    <t>Thoc1</t>
  </si>
  <si>
    <t>THO complex 1 [Source:MGI Symbol;Acc:MGI:1919668]</t>
  </si>
  <si>
    <t>Nob1</t>
  </si>
  <si>
    <t>NIN1/RPN12 binding protein 1 homolog [Source:MGI Symbol;Acc:MGI:1914869]</t>
  </si>
  <si>
    <t>Srm</t>
  </si>
  <si>
    <t>spermidine synthase [Source:MGI Symbol;Acc:MGI:102690]</t>
  </si>
  <si>
    <t>Trip10</t>
  </si>
  <si>
    <t>thyroid hormone receptor interactor 10 [Source:MGI Symbol;Acc:MGI:2146901]</t>
  </si>
  <si>
    <t>Ptcd2</t>
  </si>
  <si>
    <t>pentatricopeptide repeat domain 2 [Source:MGI Symbol;Acc:MGI:1916177]</t>
  </si>
  <si>
    <t>Rcl1</t>
  </si>
  <si>
    <t>RNA terminal phosphate cyclase-like 1 [Source:MGI Symbol;Acc:MGI:1913275]</t>
  </si>
  <si>
    <t>Fmr1</t>
  </si>
  <si>
    <t>fragile X mental retardation 1 [Source:MGI Symbol;Acc:MGI:95564]</t>
  </si>
  <si>
    <t>Med10</t>
  </si>
  <si>
    <t>mediator complex subunit 10 [Source:MGI Symbol;Acc:MGI:106331]</t>
  </si>
  <si>
    <t>Heatr3</t>
  </si>
  <si>
    <t>HEAT repeat containing 3 [Source:MGI Symbol;Acc:MGI:2444491]</t>
  </si>
  <si>
    <t>Rpap3</t>
  </si>
  <si>
    <t>RNA polymerase II associated protein 3 [Source:MGI Symbol;Acc:MGI:1277218]</t>
  </si>
  <si>
    <t>Oxnad1</t>
  </si>
  <si>
    <t>oxidoreductase NAD-binding domain containing 1 [Source:MGI Symbol;Acc:MGI:1916953]</t>
  </si>
  <si>
    <t>Dnttip2</t>
  </si>
  <si>
    <t>deoxynucleotidyltransferase, terminal, interacting protein 2 [Source:MGI Symbol;Acc:MGI:1923173]</t>
  </si>
  <si>
    <t>Rpp14</t>
  </si>
  <si>
    <t>ribonuclease P 14 subunit [Source:MGI Symbol;Acc:MGI:1914303]</t>
  </si>
  <si>
    <t>Rwdd1</t>
  </si>
  <si>
    <t>RWD domain containing 1 [Source:MGI Symbol;Acc:MGI:1913771]</t>
  </si>
  <si>
    <t>Trim44</t>
  </si>
  <si>
    <t>tripartite motif-containing 44 [Source:MGI Symbol;Acc:MGI:1931835]</t>
  </si>
  <si>
    <t>Polr3a</t>
  </si>
  <si>
    <t>polymerase (RNA) III (DNA directed) polypeptide A [Source:MGI Symbol;Acc:MGI:2681836]</t>
  </si>
  <si>
    <t>Rtca</t>
  </si>
  <si>
    <t>RNA 3'-terminal phosphate cyclase [Source:MGI Symbol;Acc:MGI:1913618]</t>
  </si>
  <si>
    <t>Pabpn1</t>
  </si>
  <si>
    <t>poly(A) binding protein, nuclear 1 [Source:MGI Symbol;Acc:MGI:1859158]</t>
  </si>
  <si>
    <t>Mtap</t>
  </si>
  <si>
    <t>methylthioadenosine phosphorylase [Source:MGI Symbol;Acc:MGI:1914152]</t>
  </si>
  <si>
    <t>Cops4</t>
  </si>
  <si>
    <t>COP9 signalosome subunit 4 [Source:MGI Symbol;Acc:MGI:1349414]</t>
  </si>
  <si>
    <t>Tomm40</t>
  </si>
  <si>
    <t>translocase of outer mitochondrial membrane 40 [Source:MGI Symbol;Acc:MGI:1858259]</t>
  </si>
  <si>
    <t>Pabpc4</t>
  </si>
  <si>
    <t>poly(A) binding protein, cytoplasmic 4 [Source:MGI Symbol;Acc:MGI:2385206]</t>
  </si>
  <si>
    <t>Slc25a28</t>
  </si>
  <si>
    <t>solute carrier family 25, member 28 [Source:MGI Symbol;Acc:MGI:2180509]</t>
  </si>
  <si>
    <t>Top1mt</t>
  </si>
  <si>
    <t>DNA topoisomerase 1, mitochondrial [Source:MGI Symbol;Acc:MGI:1920210]</t>
  </si>
  <si>
    <t>Zc3hc1</t>
  </si>
  <si>
    <t>zinc finger, C3HC type 1 [Source:MGI Symbol;Acc:MGI:1916023]</t>
  </si>
  <si>
    <t>Ermp1</t>
  </si>
  <si>
    <t>endoplasmic reticulum metallopeptidase 1 [Source:MGI Symbol;Acc:MGI:106250]</t>
  </si>
  <si>
    <t>Gm20521</t>
  </si>
  <si>
    <t>predicted gene 20521 [Source:MGI Symbol;Acc:MGI:5141986]</t>
  </si>
  <si>
    <t>Vdac2</t>
  </si>
  <si>
    <t>voltage-dependent anion channel 2 [Source:MGI Symbol;Acc:MGI:106915]</t>
  </si>
  <si>
    <t>Fam98a</t>
  </si>
  <si>
    <t>family with sequence similarity 98, member A [Source:MGI Symbol;Acc:MGI:1919972]</t>
  </si>
  <si>
    <t>Nol11</t>
  </si>
  <si>
    <t>nucleolar protein 11 [Source:MGI Symbol;Acc:MGI:1916229]</t>
  </si>
  <si>
    <t>Set</t>
  </si>
  <si>
    <t>SET nuclear oncogene [Source:MGI Symbol;Acc:MGI:1860267]</t>
  </si>
  <si>
    <t>Ugcg</t>
  </si>
  <si>
    <t>UDP-glucose ceramide glucosyltransferase [Source:MGI Symbol;Acc:MGI:1332243]</t>
  </si>
  <si>
    <t>Exosc2</t>
  </si>
  <si>
    <t>exosome component 2 [Source:MGI Symbol;Acc:MGI:2385133]</t>
  </si>
  <si>
    <t>Adat1</t>
  </si>
  <si>
    <t>adenosine deaminase, tRNA-specific 1 [Source:MGI Symbol;Acc:MGI:1353631]</t>
  </si>
  <si>
    <t>Mettl16</t>
  </si>
  <si>
    <t>methyltransferase like 16 [Source:MGI Symbol;Acc:MGI:1914743]</t>
  </si>
  <si>
    <t>Mrps35</t>
  </si>
  <si>
    <t>mitochondrial ribosomal protein S35 [Source:MGI Symbol;Acc:MGI:2385255]</t>
  </si>
  <si>
    <t>Nup88</t>
  </si>
  <si>
    <t>nucleoporin 88 [Source:MGI Symbol;Acc:MGI:104900]</t>
  </si>
  <si>
    <t>Aatf</t>
  </si>
  <si>
    <t>apoptosis antagonizing transcription factor [Source:MGI Symbol;Acc:MGI:1929608]</t>
  </si>
  <si>
    <t>Ccng1</t>
  </si>
  <si>
    <t>cyclin G1 [Source:MGI Symbol;Acc:MGI:102890]</t>
  </si>
  <si>
    <t>Dnaja1</t>
  </si>
  <si>
    <t>DnaJ heat shock protein family (Hsp40) member A1 [Source:MGI Symbol;Acc:MGI:1270129]</t>
  </si>
  <si>
    <t>Psmb7</t>
  </si>
  <si>
    <t>proteasome (prosome, macropain) subunit, beta type 7 [Source:MGI Symbol;Acc:MGI:107637]</t>
  </si>
  <si>
    <t>Uchl3</t>
  </si>
  <si>
    <t>ubiquitin carboxyl-terminal esterase L3 (ubiquitin thiolesterase) [Source:MGI Symbol;Acc:MGI:1355274]</t>
  </si>
  <si>
    <t>Clstn1</t>
  </si>
  <si>
    <t>calsyntenin 1 [Source:MGI Symbol;Acc:MGI:1929895]</t>
  </si>
  <si>
    <t>Cd3eap</t>
  </si>
  <si>
    <t>CD3E antigen, epsilon polypeptide associated protein [Source:MGI Symbol;Acc:MGI:1917583]</t>
  </si>
  <si>
    <t>Pno1</t>
  </si>
  <si>
    <t>partner of NOB1 homolog [Source:MGI Symbol;Acc:MGI:1913499]</t>
  </si>
  <si>
    <t>Cep83</t>
  </si>
  <si>
    <t>centrosomal protein 83 [Source:MGI Symbol;Acc:MGI:1924298]</t>
  </si>
  <si>
    <t>Rap2c</t>
  </si>
  <si>
    <t>RAP2C, member of RAS oncogene family [Source:MGI Symbol;Acc:MGI:1919315]</t>
  </si>
  <si>
    <t>Ttpal</t>
  </si>
  <si>
    <t>tocopherol (alpha) transfer protein-like [Source:MGI Symbol;Acc:MGI:1923330]</t>
  </si>
  <si>
    <t>Psmd12</t>
  </si>
  <si>
    <t>proteasome (prosome, macropain) 26S subunit, non-ATPase, 12 [Source:MGI Symbol;Acc:MGI:1914247]</t>
  </si>
  <si>
    <t>Dip2c</t>
  </si>
  <si>
    <t>disco interacting protein 2 homolog C [Source:MGI Symbol;Acc:MGI:1920179]</t>
  </si>
  <si>
    <t>Gstp1</t>
  </si>
  <si>
    <t>glutathione S-transferase, pi 1 [Source:MGI Symbol;Acc:MGI:95865]</t>
  </si>
  <si>
    <t>Polr3d</t>
  </si>
  <si>
    <t>polymerase (RNA) III (DNA directed) polypeptide D [Source:MGI Symbol;Acc:MGI:1914315]</t>
  </si>
  <si>
    <t>4933434E20Rik</t>
  </si>
  <si>
    <t>RIKEN cDNA 4933434E20 gene [Source:MGI Symbol;Acc:MGI:1914027]</t>
  </si>
  <si>
    <t>Cfdp1</t>
  </si>
  <si>
    <t>craniofacial development protein 1 [Source:MGI Symbol;Acc:MGI:1344403]</t>
  </si>
  <si>
    <t>Rbm28</t>
  </si>
  <si>
    <t>RNA binding motif protein 28 [Source:MGI Symbol;Acc:MGI:2655711]</t>
  </si>
  <si>
    <t>Exosc4</t>
  </si>
  <si>
    <t>exosome component 4 [Source:MGI Symbol;Acc:MGI:1923576]</t>
  </si>
  <si>
    <t>Ncl</t>
  </si>
  <si>
    <t>nucleolin [Source:MGI Symbol;Acc:MGI:97286]</t>
  </si>
  <si>
    <t>Rbm19</t>
  </si>
  <si>
    <t>RNA binding motif protein 19 [Source:MGI Symbol;Acc:MGI:1921361]</t>
  </si>
  <si>
    <t>Adrm1</t>
  </si>
  <si>
    <t>adhesion regulating molecule 1 [Source:MGI Symbol;Acc:MGI:1929289]</t>
  </si>
  <si>
    <t>Cct4</t>
  </si>
  <si>
    <t>chaperonin containing Tcp1, subunit 4 (delta) [Source:MGI Symbol;Acc:MGI:104689]</t>
  </si>
  <si>
    <t>Wdr43</t>
  </si>
  <si>
    <t>WD repeat domain 43 [Source:MGI Symbol;Acc:MGI:1919765]</t>
  </si>
  <si>
    <t>L2hgdh</t>
  </si>
  <si>
    <t>L-2-hydroxyglutarate dehydrogenase [Source:MGI Symbol;Acc:MGI:2384968]</t>
  </si>
  <si>
    <t>Fastkd1</t>
  </si>
  <si>
    <t>FAST kinase domains 1 [Source:MGI Symbol;Acc:MGI:2444596]</t>
  </si>
  <si>
    <t>Myo19</t>
  </si>
  <si>
    <t>myosin XIX [Source:MGI Symbol;Acc:MGI:1913446]</t>
  </si>
  <si>
    <t>Usp39</t>
  </si>
  <si>
    <t>ubiquitin specific peptidase 39 [Source:MGI Symbol;Acc:MGI:107622]</t>
  </si>
  <si>
    <t>Tsfm</t>
  </si>
  <si>
    <t>Ts translation elongation factor, mitochondrial [Source:MGI Symbol;Acc:MGI:1913649]</t>
  </si>
  <si>
    <t>Eef1aknmt</t>
  </si>
  <si>
    <t>EEF1A lysine and N-terminal methyltransferase [Source:MGI Symbol;Acc:MGI:1918699]</t>
  </si>
  <si>
    <t>Rcc1</t>
  </si>
  <si>
    <t>regulator of chromosome condensation 1 [Source:MGI Symbol;Acc:MGI:1913989]</t>
  </si>
  <si>
    <t>Gm49496</t>
  </si>
  <si>
    <t>predicted gene, 49496 [Source:MGI Symbol;Acc:MGI:6155177]</t>
  </si>
  <si>
    <t>Trmt1</t>
  </si>
  <si>
    <t>tRNA methyltransferase 1 [Source:MGI Symbol;Acc:MGI:1289155]</t>
  </si>
  <si>
    <t>Rae1</t>
  </si>
  <si>
    <t>ribonucleic acid export 1 [Source:MGI Symbol;Acc:MGI:1913929]</t>
  </si>
  <si>
    <t>Prmt1</t>
  </si>
  <si>
    <t>protein arginine N-methyltransferase 1 [Source:MGI Symbol;Acc:MGI:107846]</t>
  </si>
  <si>
    <t>Mtrex</t>
  </si>
  <si>
    <t>Mtr4 exosome RNA helicase [Source:MGI Symbol;Acc:MGI:1919448]</t>
  </si>
  <si>
    <t>Bysl</t>
  </si>
  <si>
    <t>bystin-like [Source:MGI Symbol;Acc:MGI:1858419]</t>
  </si>
  <si>
    <t>Supt16</t>
  </si>
  <si>
    <t>SPT16, facilitates chromatin remodeling subunit [Source:MGI Symbol;Acc:MGI:1890948]</t>
  </si>
  <si>
    <t>Dhx29</t>
  </si>
  <si>
    <t>DEAH (Asp-Glu-Ala-His) box polypeptide 29 [Source:MGI Symbol;Acc:MGI:2145374]</t>
  </si>
  <si>
    <t>Rrp15</t>
  </si>
  <si>
    <t>ribosomal RNA processing 15 homolog (S. cerevisiae) [Source:MGI Symbol;Acc:MGI:1914473]</t>
  </si>
  <si>
    <t>Noc3l</t>
  </si>
  <si>
    <t>NOC3 like DNA replication regulator [Source:MGI Symbol;Acc:MGI:1932610]</t>
  </si>
  <si>
    <t>Noct</t>
  </si>
  <si>
    <t>nocturnin [Source:MGI Symbol;Acc:MGI:109382]</t>
  </si>
  <si>
    <t>2810004N23Rik</t>
  </si>
  <si>
    <t>RIKEN cDNA 2810004N23 gene [Source:MGI Symbol;Acc:MGI:1913773]</t>
  </si>
  <si>
    <t>Ccdc85c</t>
  </si>
  <si>
    <t>coiled-coil domain containing 85C [Source:MGI Symbol;Acc:MGI:3644008]</t>
  </si>
  <si>
    <t>Exosc1</t>
  </si>
  <si>
    <t>exosome component 1 [Source:MGI Symbol;Acc:MGI:1913833]</t>
  </si>
  <si>
    <t>Nle1</t>
  </si>
  <si>
    <t>notchless homolog 1 [Source:MGI Symbol;Acc:MGI:2429770]</t>
  </si>
  <si>
    <t>Elac2</t>
  </si>
  <si>
    <t>elaC ribonuclease Z 2 [Source:MGI Symbol;Acc:MGI:1890496]</t>
  </si>
  <si>
    <t>Rpp40</t>
  </si>
  <si>
    <t>ribonuclease P 40 subunit [Source:MGI Symbol;Acc:MGI:1346084]</t>
  </si>
  <si>
    <t>Slc25a30</t>
  </si>
  <si>
    <t>solute carrier family 25, member 30 [Source:MGI Symbol;Acc:MGI:1914804]</t>
  </si>
  <si>
    <t>Bms1</t>
  </si>
  <si>
    <t>BMS1, ribosome biogenesis factor [Source:MGI Symbol;Acc:MGI:2446132]</t>
  </si>
  <si>
    <t>Jmjd4</t>
  </si>
  <si>
    <t>jumonji domain containing 4 [Source:MGI Symbol;Acc:MGI:2144404]</t>
  </si>
  <si>
    <t>Otud3</t>
  </si>
  <si>
    <t>OTU domain containing 3 [Source:MGI Symbol;Acc:MGI:1920412]</t>
  </si>
  <si>
    <t>Cep57</t>
  </si>
  <si>
    <t>centrosomal protein 57 [Source:MGI Symbol;Acc:MGI:1915551]</t>
  </si>
  <si>
    <t>Trnt1</t>
  </si>
  <si>
    <t>tRNA nucleotidyl transferase, CCA-adding, 1 [Source:MGI Symbol;Acc:MGI:1917297]</t>
  </si>
  <si>
    <t>Helq</t>
  </si>
  <si>
    <t>helicase, POLQ-like [Source:MGI Symbol;Acc:MGI:2176740]</t>
  </si>
  <si>
    <t>Eef1e1</t>
  </si>
  <si>
    <t>eukaryotic translation elongation factor 1 epsilon 1 [Source:MGI Symbol;Acc:MGI:1913393]</t>
  </si>
  <si>
    <t>Selenos</t>
  </si>
  <si>
    <t>selenoprotein S [Source:MGI Symbol;Acc:MGI:95994]</t>
  </si>
  <si>
    <t>Ybx3</t>
  </si>
  <si>
    <t>Y box protein 3 [Source:MGI Symbol;Acc:MGI:2137670]</t>
  </si>
  <si>
    <t>Mapk8</t>
  </si>
  <si>
    <t>mitogen-activated protein kinase 8 [Source:MGI Symbol;Acc:MGI:1346861]</t>
  </si>
  <si>
    <t>Ece1</t>
  </si>
  <si>
    <t>endothelin converting enzyme 1 [Source:MGI Symbol;Acc:MGI:1101357]</t>
  </si>
  <si>
    <t>Pdss1</t>
  </si>
  <si>
    <t>prenyl (solanesyl) diphosphate synthase, subunit 1 [Source:MGI Symbol;Acc:MGI:1889278]</t>
  </si>
  <si>
    <t>Hgh1</t>
  </si>
  <si>
    <t>HGH1 homolog [Source:MGI Symbol;Acc:MGI:1930628]</t>
  </si>
  <si>
    <t>Brix1</t>
  </si>
  <si>
    <t>BRX1, biogenesis of ribosomes [Source:MGI Symbol;Acc:MGI:1915082]</t>
  </si>
  <si>
    <t>Fkbp11</t>
  </si>
  <si>
    <t>FK506 binding protein 11 [Source:MGI Symbol;Acc:MGI:1913370]</t>
  </si>
  <si>
    <t>Otud7b</t>
  </si>
  <si>
    <t>OTU domain containing 7B [Source:MGI Symbol;Acc:MGI:2654703]</t>
  </si>
  <si>
    <t>Eif2s3x</t>
  </si>
  <si>
    <t>eukaryotic translation initiation factor 2, subunit 3, structural gene X-linked [Source:MGI Symbol;Acc:MGI:1349431]</t>
  </si>
  <si>
    <t>Pnn</t>
  </si>
  <si>
    <t>pinin [Source:MGI Symbol;Acc:MGI:1100514]</t>
  </si>
  <si>
    <t>Slc16a1</t>
  </si>
  <si>
    <t>solute carrier family 16 (monocarboxylic acid transporters), member 1 [Source:MGI Symbol;Acc:MGI:106013]</t>
  </si>
  <si>
    <t>Smn1</t>
  </si>
  <si>
    <t>survival motor neuron 1 [Source:MGI Symbol;Acc:MGI:109257]</t>
  </si>
  <si>
    <t>Uchl5</t>
  </si>
  <si>
    <t>ubiquitin carboxyl-terminal esterase L5 [Source:MGI Symbol;Acc:MGI:1914848]</t>
  </si>
  <si>
    <t>Mybl2</t>
  </si>
  <si>
    <t>myeloblastosis oncogene-like 2 [Source:MGI Symbol;Acc:MGI:101785]</t>
  </si>
  <si>
    <t>Ube2s</t>
  </si>
  <si>
    <t>ubiquitin-conjugating enzyme E2S [Source:MGI Symbol;Acc:MGI:1925141]</t>
  </si>
  <si>
    <t>Ngdn</t>
  </si>
  <si>
    <t>neuroguidin, EIF4E binding protein [Source:MGI Symbol;Acc:MGI:1916216]</t>
  </si>
  <si>
    <t>Bmi1</t>
  </si>
  <si>
    <t>Bmi1 polycomb ring finger oncogene [Source:MGI Symbol;Acc:MGI:88174]</t>
  </si>
  <si>
    <t>Entpd6</t>
  </si>
  <si>
    <t>ectonucleoside triphosphate diphosphohydrolase 6 [Source:MGI Symbol;Acc:MGI:1202295]</t>
  </si>
  <si>
    <t>Mindy3</t>
  </si>
  <si>
    <t>MINDY lysine 48 deubiquitinase 3 [Source:MGI Symbol;Acc:MGI:1914210]</t>
  </si>
  <si>
    <t>Rbm3</t>
  </si>
  <si>
    <t>RNA binding motif (RNP1, RRM) protein 3 [Source:MGI Symbol;Acc:MGI:1099460]</t>
  </si>
  <si>
    <t>Pdcd2</t>
  </si>
  <si>
    <t>programmed cell death 2 [Source:MGI Symbol;Acc:MGI:104643]</t>
  </si>
  <si>
    <t>Yrdc</t>
  </si>
  <si>
    <t>yrdC domain containing (E.coli) [Source:MGI Symbol;Acc:MGI:2387201]</t>
  </si>
  <si>
    <t>Eif3j1</t>
  </si>
  <si>
    <t>eukaryotic translation initiation factor 3, subunit J1 [Source:MGI Symbol;Acc:MGI:1925905]</t>
  </si>
  <si>
    <t>Ecd</t>
  </si>
  <si>
    <t>ecdysoneless cell cycle regulator [Source:MGI Symbol;Acc:MGI:1917851]</t>
  </si>
  <si>
    <t>Fam199x</t>
  </si>
  <si>
    <t>family with sequence similarity 199, X-linked [Source:MGI Symbol;Acc:MGI:2384304]</t>
  </si>
  <si>
    <t>Psmc6</t>
  </si>
  <si>
    <t>proteasome (prosome, macropain) 26S subunit, ATPase, 6 [Source:MGI Symbol;Acc:MGI:1914339]</t>
  </si>
  <si>
    <t>Npm1</t>
  </si>
  <si>
    <t>nucleophosmin 1 [Source:MGI Symbol;Acc:MGI:106184]</t>
  </si>
  <si>
    <t>Impdh1</t>
  </si>
  <si>
    <t>inosine monophosphate dehydrogenase 1 [Source:MGI Symbol;Acc:MGI:96567]</t>
  </si>
  <si>
    <t>Arfrp1</t>
  </si>
  <si>
    <t>ADP-ribosylation factor related protein 1 [Source:MGI Symbol;Acc:MGI:1923938]</t>
  </si>
  <si>
    <t>Dclre1b</t>
  </si>
  <si>
    <t>DNA cross-link repair 1B [Source:MGI Symbol;Acc:MGI:2156057]</t>
  </si>
  <si>
    <t>Zfp131</t>
  </si>
  <si>
    <t>zinc finger protein 131 [Source:MGI Symbol;Acc:MGI:1919715]</t>
  </si>
  <si>
    <t>Ecsit</t>
  </si>
  <si>
    <t>ECSIT signalling integrator [Source:MGI Symbol;Acc:MGI:1349469]</t>
  </si>
  <si>
    <t>Ttll12</t>
  </si>
  <si>
    <t>tubulin tyrosine ligase-like family, member 12 [Source:MGI Symbol;Acc:MGI:3039573]</t>
  </si>
  <si>
    <t>Eif2b3</t>
  </si>
  <si>
    <t>eukaryotic translation initiation factor 2B, subunit 3 [Source:MGI Symbol;Acc:MGI:1313286]</t>
  </si>
  <si>
    <t>Map3k6</t>
  </si>
  <si>
    <t>mitogen-activated protein kinase kinase kinase 6 [Source:MGI Symbol;Acc:MGI:1855691]</t>
  </si>
  <si>
    <t>Pmm1</t>
  </si>
  <si>
    <t>phosphomannomutase 1 [Source:MGI Symbol;Acc:MGI:1353418]</t>
  </si>
  <si>
    <t>Nrf1</t>
  </si>
  <si>
    <t>nuclear respiratory factor 1 [Source:MGI Symbol;Acc:MGI:1332235]</t>
  </si>
  <si>
    <t>Ppp2r1b</t>
  </si>
  <si>
    <t>protein phosphatase 2, regulatory subunit A, beta [Source:MGI Symbol;Acc:MGI:1920949]</t>
  </si>
  <si>
    <t>Prpf3</t>
  </si>
  <si>
    <t>pre-mRNA processing factor 3 [Source:MGI Symbol;Acc:MGI:1918017]</t>
  </si>
  <si>
    <t>Utp14a</t>
  </si>
  <si>
    <t>UTP14A small subunit processome component [Source:MGI Symbol;Acc:MGI:1919804]</t>
  </si>
  <si>
    <t>Upf3b</t>
  </si>
  <si>
    <t>UPF3 regulator of nonsense transcripts homolog B (yeast) [Source:MGI Symbol;Acc:MGI:1915384]</t>
  </si>
  <si>
    <t>Nme1</t>
  </si>
  <si>
    <t>NME/NM23 nucleoside diphosphate kinase 1 [Source:MGI Symbol;Acc:MGI:97355]</t>
  </si>
  <si>
    <t>Rpf2</t>
  </si>
  <si>
    <t>ribosome production factor 2 homolog [Source:MGI Symbol;Acc:MGI:1914489]</t>
  </si>
  <si>
    <t>Taf1c</t>
  </si>
  <si>
    <t>TATA-box binding protein associated factor, RNA polymerase I, C [Source:MGI Symbol;Acc:MGI:109576]</t>
  </si>
  <si>
    <t>Lsm12</t>
  </si>
  <si>
    <t>LSM12 homolog [Source:MGI Symbol;Acc:MGI:1919592]</t>
  </si>
  <si>
    <t>Gtf2h1</t>
  </si>
  <si>
    <t>general transcription factor II H, polypeptide 1 [Source:MGI Symbol;Acc:MGI:1277216]</t>
  </si>
  <si>
    <t>Mtres1</t>
  </si>
  <si>
    <t>mitochondrial transcription rescue factor 1 [Source:MGI Symbol;Acc:MGI:1915101]</t>
  </si>
  <si>
    <t>Pinx1</t>
  </si>
  <si>
    <t>PIN2/TERF1 interacting, telomerase inhibitor 1 [Source:MGI Symbol;Acc:MGI:1919650]</t>
  </si>
  <si>
    <t>Dis3</t>
  </si>
  <si>
    <t>DIS3 homolog, exosome endoribonuclease and 3'-5' exoribonuclease [Source:MGI Symbol;Acc:MGI:1919912]</t>
  </si>
  <si>
    <t>Pla2g12a</t>
  </si>
  <si>
    <t>phospholipase A2, group XIIA [Source:MGI Symbol;Acc:MGI:1913600]</t>
  </si>
  <si>
    <t>Armt1</t>
  </si>
  <si>
    <t>acidic residue methyltransferase 1 [Source:MGI Symbol;Acc:MGI:1920669]</t>
  </si>
  <si>
    <t>Hbs1l</t>
  </si>
  <si>
    <t>Hbs1-like (S. cerevisiae) [Source:MGI Symbol;Acc:MGI:1891704]</t>
  </si>
  <si>
    <t>Qtrt1</t>
  </si>
  <si>
    <t>queuine tRNA-ribosyltransferase catalytic subunit 1 [Source:MGI Symbol;Acc:MGI:1931441]</t>
  </si>
  <si>
    <t>Nol10</t>
  </si>
  <si>
    <t>nucleolar protein 10 [Source:MGI Symbol;Acc:MGI:2684913]</t>
  </si>
  <si>
    <t>Tdp1</t>
  </si>
  <si>
    <t>tyrosyl-DNA phosphodiesterase 1 [Source:MGI Symbol;Acc:MGI:1920036]</t>
  </si>
  <si>
    <t>Nip7</t>
  </si>
  <si>
    <t>NIP7, nucleolar pre-rRNA processing protein [Source:MGI Symbol;Acc:MGI:1913414]</t>
  </si>
  <si>
    <t>Ppid</t>
  </si>
  <si>
    <t>peptidylprolyl isomerase D (cyclophilin D) [Source:MGI Symbol;Acc:MGI:1914988]</t>
  </si>
  <si>
    <t>2310061I04Rik</t>
  </si>
  <si>
    <t>RIKEN cDNA 2310061I04 gene [Source:MGI Symbol;Acc:MGI:1916912]</t>
  </si>
  <si>
    <t>Mphosph6</t>
  </si>
  <si>
    <t>M phase phosphoprotein 6 [Source:MGI Symbol;Acc:MGI:1915783]</t>
  </si>
  <si>
    <t>Tango6</t>
  </si>
  <si>
    <t>transport and golgi organization 6 [Source:MGI Symbol;Acc:MGI:2142786]</t>
  </si>
  <si>
    <t>Cdv3</t>
  </si>
  <si>
    <t>carnitine deficiency-associated gene expressed in ventricle 3 [Source:MGI Symbol;Acc:MGI:2448759]</t>
  </si>
  <si>
    <t>Cisd1</t>
  </si>
  <si>
    <t>CDGSH iron sulfur domain 1 [Source:MGI Symbol;Acc:MGI:1261855]</t>
  </si>
  <si>
    <t>Rbm38</t>
  </si>
  <si>
    <t>RNA binding motif protein 38 [Source:MGI Symbol;Acc:MGI:1889294]</t>
  </si>
  <si>
    <t>Msto1</t>
  </si>
  <si>
    <t>misato 1, mitochondrial distribution and morphology regulator [Source:MGI Symbol;Acc:MGI:2385175]</t>
  </si>
  <si>
    <t>Zfp777</t>
  </si>
  <si>
    <t>zinc finger protein 777 [Source:MGI Symbol;Acc:MGI:1919556]</t>
  </si>
  <si>
    <t>Ndufaf4</t>
  </si>
  <si>
    <t>NADH:ubiquinone oxidoreductase complex assembly factor 4 [Source:MGI Symbol;Acc:MGI:1915743]</t>
  </si>
  <si>
    <t>Taco1</t>
  </si>
  <si>
    <t>translational activator of mitochondrially encoded cytochrome c oxidase I [Source:MGI Symbol;Acc:MGI:1917457]</t>
  </si>
  <si>
    <t>Kctd3</t>
  </si>
  <si>
    <t>potassium channel tetramerisation domain containing 3 [Source:MGI Symbol;Acc:MGI:2444629]</t>
  </si>
  <si>
    <t>Ska3</t>
  </si>
  <si>
    <t>spindle and kinetochore associated complex subunit 3 [Source:MGI Symbol;Acc:MGI:3041235]</t>
  </si>
  <si>
    <t>Ythdc2</t>
  </si>
  <si>
    <t>YTH domain containing 2 [Source:MGI Symbol;Acc:MGI:2448561]</t>
  </si>
  <si>
    <t>Dusp2</t>
  </si>
  <si>
    <t>dual specificity phosphatase 2 [Source:MGI Symbol;Acc:MGI:101911]</t>
  </si>
  <si>
    <t>Reps1</t>
  </si>
  <si>
    <t>RalBP1 associated Eps domain containing protein [Source:MGI Symbol;Acc:MGI:1196373]</t>
  </si>
  <si>
    <t>Nek2</t>
  </si>
  <si>
    <t>NIMA (never in mitosis gene a)-related expressed kinase 2 [Source:MGI Symbol;Acc:MGI:109359]</t>
  </si>
  <si>
    <t>Sh3rf1</t>
  </si>
  <si>
    <t>SH3 domain containing ring finger 1 [Source:MGI Symbol;Acc:MGI:1913066]</t>
  </si>
  <si>
    <t>Eno1</t>
  </si>
  <si>
    <t>enolase 1, alpha non-neuron [Source:MGI Symbol;Acc:MGI:95393]</t>
  </si>
  <si>
    <t>Gripap1</t>
  </si>
  <si>
    <t>GRIP1 associated protein 1 [Source:MGI Symbol;Acc:MGI:1859616]</t>
  </si>
  <si>
    <t>Ccdc137</t>
  </si>
  <si>
    <t>coiled-coil domain containing 137 [Source:MGI Symbol;Acc:MGI:1914541]</t>
  </si>
  <si>
    <t>Ppil3</t>
  </si>
  <si>
    <t>peptidylprolyl isomerase (cyclophilin)-like 3 [Source:MGI Symbol;Acc:MGI:1917475]</t>
  </si>
  <si>
    <t>Bccip</t>
  </si>
  <si>
    <t>BRCA2 and CDKN1A interacting protein [Source:MGI Symbol;Acc:MGI:1913415]</t>
  </si>
  <si>
    <t>Ddx21</t>
  </si>
  <si>
    <t>DEAD (Asp-Glu-Ala-Asp) box polypeptide 21 [Source:MGI Symbol;Acc:MGI:1860494]</t>
  </si>
  <si>
    <t>Gpatch4</t>
  </si>
  <si>
    <t>G patch domain containing 4 [Source:MGI Symbol;Acc:MGI:1913864]</t>
  </si>
  <si>
    <t>Cfap298</t>
  </si>
  <si>
    <t>cilia and flagella associate protien 298 [Source:MGI Symbol;Acc:MGI:1915251]</t>
  </si>
  <si>
    <t>Slc16a3</t>
  </si>
  <si>
    <t>solute carrier family 16 (monocarboxylic acid transporters), member 3 [Source:MGI Symbol;Acc:MGI:1933438]</t>
  </si>
  <si>
    <t>Ankrd28</t>
  </si>
  <si>
    <t>ankyrin repeat domain 28 [Source:MGI Symbol;Acc:MGI:2145661]</t>
  </si>
  <si>
    <t>Ndufaf2</t>
  </si>
  <si>
    <t>NADH:ubiquinone oxidoreductase complex assembly factor 2 [Source:MGI Symbol;Acc:MGI:1922847]</t>
  </si>
  <si>
    <t>Sec61a2</t>
  </si>
  <si>
    <t>Sec61, alpha subunit 2 (S. cerevisiae) [Source:MGI Symbol;Acc:MGI:1931071]</t>
  </si>
  <si>
    <t>Nat10</t>
  </si>
  <si>
    <t>N-acetyltransferase 10 [Source:MGI Symbol;Acc:MGI:2138939]</t>
  </si>
  <si>
    <t>Usp10</t>
  </si>
  <si>
    <t>ubiquitin specific peptidase 10 [Source:MGI Symbol;Acc:MGI:894652]</t>
  </si>
  <si>
    <t>Net1</t>
  </si>
  <si>
    <t>neuroepithelial cell transforming gene 1 [Source:MGI Symbol;Acc:MGI:1927138]</t>
  </si>
  <si>
    <t>Mrpl47</t>
  </si>
  <si>
    <t>mitochondrial ribosomal protein L47 [Source:MGI Symbol;Acc:MGI:1921850]</t>
  </si>
  <si>
    <t>Lyar</t>
  </si>
  <si>
    <t>Ly1 antibody reactive clone [Source:MGI Symbol;Acc:MGI:107470]</t>
  </si>
  <si>
    <t>Ptk2</t>
  </si>
  <si>
    <t>PTK2 protein tyrosine kinase 2 [Source:MGI Symbol;Acc:MGI:95481]</t>
  </si>
  <si>
    <t>Taf1a</t>
  </si>
  <si>
    <t>TATA-box binding protein associated factor, RNA polymerase I, A [Source:MGI Symbol;Acc:MGI:109578]</t>
  </si>
  <si>
    <t>Prmt5</t>
  </si>
  <si>
    <t>protein arginine N-methyltransferase 5 [Source:MGI Symbol;Acc:MGI:1351645]</t>
  </si>
  <si>
    <t>Faap24</t>
  </si>
  <si>
    <t>Fanconi anemia core complex associated protein 24 [Source:MGI Symbol;Acc:MGI:2142208]</t>
  </si>
  <si>
    <t>Map4k5</t>
  </si>
  <si>
    <t>mitogen-activated protein kinase kinase kinase kinase 5 [Source:MGI Symbol;Acc:MGI:1925503]</t>
  </si>
  <si>
    <t>Gpr132</t>
  </si>
  <si>
    <t>G protein-coupled receptor 132 [Source:MGI Symbol;Acc:MGI:1890220]</t>
  </si>
  <si>
    <t>Pfkp</t>
  </si>
  <si>
    <t>phosphofructokinase, platelet [Source:MGI Symbol;Acc:MGI:1891833]</t>
  </si>
  <si>
    <t>Lpl</t>
  </si>
  <si>
    <t>lipoprotein lipase [Source:MGI Symbol;Acc:MGI:96820]</t>
  </si>
  <si>
    <t>Eif5</t>
  </si>
  <si>
    <t>eukaryotic translation initiation factor 5 [Source:MGI Symbol;Acc:MGI:95309]</t>
  </si>
  <si>
    <t>Dyrk3</t>
  </si>
  <si>
    <t>dual-specificity tyrosine-(Y)-phosphorylation regulated kinase 3 [Source:MGI Symbol;Acc:MGI:1330300]</t>
  </si>
  <si>
    <t>Trmt13</t>
  </si>
  <si>
    <t>tRNA methyltransferase 13 [Source:MGI Symbol;Acc:MGI:1925219]</t>
  </si>
  <si>
    <t>Nln</t>
  </si>
  <si>
    <t>neurolysin (metallopeptidase M3 family) [Source:MGI Symbol;Acc:MGI:1923055]</t>
  </si>
  <si>
    <t>Ppif</t>
  </si>
  <si>
    <t>peptidylprolyl isomerase F (cyclophilin F) [Source:MGI Symbol;Acc:MGI:2145814]</t>
  </si>
  <si>
    <t>Slf1</t>
  </si>
  <si>
    <t>SMC5-SMC6 complex localization factor 1 [Source:MGI Symbol;Acc:MGI:2145448]</t>
  </si>
  <si>
    <t>Tpm1</t>
  </si>
  <si>
    <t>tropomyosin 1, alpha [Source:MGI Symbol;Acc:MGI:98809]</t>
  </si>
  <si>
    <t>Snhg15</t>
  </si>
  <si>
    <t>small nucleolar RNA host gene 15 [Source:MGI Symbol;Acc:MGI:3650059]</t>
  </si>
  <si>
    <t>Cdkl2</t>
  </si>
  <si>
    <t>cyclin-dependent kinase-like 2 (CDC2-related kinase) [Source:MGI Symbol;Acc:MGI:1858227]</t>
  </si>
  <si>
    <t>Itpk1</t>
  </si>
  <si>
    <t>inositol 1,3,4-triphosphate 5/6 kinase [Source:MGI Symbol;Acc:MGI:2446159]</t>
  </si>
  <si>
    <t>Zmat3</t>
  </si>
  <si>
    <t>zinc finger matrin type 3 [Source:MGI Symbol;Acc:MGI:1195270]</t>
  </si>
  <si>
    <t>Aen</t>
  </si>
  <si>
    <t>apoptosis enhancing nuclease [Source:MGI Symbol;Acc:MGI:1915298]</t>
  </si>
  <si>
    <t>Ckap4</t>
  </si>
  <si>
    <t>cytoskeleton-associated protein 4 [Source:MGI Symbol;Acc:MGI:2444926]</t>
  </si>
  <si>
    <t>Tarbp1</t>
  </si>
  <si>
    <t>TAR RNA binding protein 1 [Source:MGI Symbol;Acc:MGI:4936930]</t>
  </si>
  <si>
    <t>Syce2</t>
  </si>
  <si>
    <t>synaptonemal complex central element protein 2 [Source:MGI Symbol;Acc:MGI:1919096]</t>
  </si>
  <si>
    <t>E2f5</t>
  </si>
  <si>
    <t>E2F transcription factor 5 [Source:MGI Symbol;Acc:MGI:105091]</t>
  </si>
  <si>
    <t>Rab3ip</t>
  </si>
  <si>
    <t>RAB3A interacting protein [Source:MGI Symbol;Acc:MGI:105933]</t>
  </si>
  <si>
    <t>Adarb1</t>
  </si>
  <si>
    <t>adenosine deaminase, RNA-specific, B1 [Source:MGI Symbol;Acc:MGI:891999]</t>
  </si>
  <si>
    <t>Tmtc4</t>
  </si>
  <si>
    <t>transmembrane and tetratricopeptide repeat containing 4 [Source:MGI Symbol;Acc:MGI:1921050]</t>
  </si>
  <si>
    <t>Wdr75</t>
  </si>
  <si>
    <t>WD repeat domain 75 [Source:MGI Symbol;Acc:MGI:1920924]</t>
  </si>
  <si>
    <t>Sfmbt2</t>
  </si>
  <si>
    <t>Scm-like with four mbt domains 2 [Source:MGI Symbol;Acc:MGI:2447794]</t>
  </si>
  <si>
    <t>Pfdn4</t>
  </si>
  <si>
    <t>prefoldin 4 [Source:MGI Symbol;Acc:MGI:1923512]</t>
  </si>
  <si>
    <t>Hccs</t>
  </si>
  <si>
    <t>holocytochrome c synthetase [Source:MGI Symbol;Acc:MGI:106911]</t>
  </si>
  <si>
    <t>Tmem126a</t>
  </si>
  <si>
    <t>transmembrane protein 126A [Source:MGI Symbol;Acc:MGI:1913521]</t>
  </si>
  <si>
    <t>Gcsh</t>
  </si>
  <si>
    <t>glycine cleavage system protein H (aminomethyl carrier) [Source:MGI Symbol;Acc:MGI:1915383]</t>
  </si>
  <si>
    <t>Plekha5</t>
  </si>
  <si>
    <t>pleckstrin homology domain containing, family A member 5 [Source:MGI Symbol;Acc:MGI:1923802]</t>
  </si>
  <si>
    <t>Hspa4l</t>
  </si>
  <si>
    <t>heat shock protein 4 like [Source:MGI Symbol;Acc:MGI:107422]</t>
  </si>
  <si>
    <t>Nfic</t>
  </si>
  <si>
    <t>nuclear factor I/C [Source:MGI Symbol;Acc:MGI:109591]</t>
  </si>
  <si>
    <t>Odc1</t>
  </si>
  <si>
    <t>ornithine decarboxylase, structural 1 [Source:MGI Symbol;Acc:MGI:97402]</t>
  </si>
  <si>
    <t>Rrp12</t>
  </si>
  <si>
    <t>ribosomal RNA processing 12 homolog (S. cerevisiae) [Source:MGI Symbol;Acc:MGI:2147437]</t>
  </si>
  <si>
    <t>Glmn</t>
  </si>
  <si>
    <t>glomulin, FKBP associated protein [Source:MGI Symbol;Acc:MGI:2141180]</t>
  </si>
  <si>
    <t>Nptxr</t>
  </si>
  <si>
    <t>neuronal pentraxin receptor [Source:MGI Symbol;Acc:MGI:1920590]</t>
  </si>
  <si>
    <t>Asf1a</t>
  </si>
  <si>
    <t>anti-silencing function 1A histone chaperone [Source:MGI Symbol;Acc:MGI:1913653]</t>
  </si>
  <si>
    <t>Rrp9</t>
  </si>
  <si>
    <t>RRP9, small subunit (SSU) processome component, homolog (yeast) [Source:MGI Symbol;Acc:MGI:2384313]</t>
  </si>
  <si>
    <t>Cry1</t>
  </si>
  <si>
    <t>cryptochrome 1 (photolyase-like) [Source:MGI Symbol;Acc:MGI:1270841]</t>
  </si>
  <si>
    <t>Kbtbd8</t>
  </si>
  <si>
    <t>kelch repeat and BTB (POZ) domain containing 8 [Source:MGI Symbol;Acc:MGI:2661430]</t>
  </si>
  <si>
    <t>Mcu</t>
  </si>
  <si>
    <t>mitochondrial calcium uniporter [Source:MGI Symbol;Acc:MGI:3026965]</t>
  </si>
  <si>
    <t>Xpo4</t>
  </si>
  <si>
    <t>exportin 4 [Source:MGI Symbol;Acc:MGI:1888526]</t>
  </si>
  <si>
    <t>Fam136a</t>
  </si>
  <si>
    <t>family with sequence similarity 136, member A [Source:MGI Symbol;Acc:MGI:1913738]</t>
  </si>
  <si>
    <t>Ifrd1</t>
  </si>
  <si>
    <t>interferon-related developmental regulator 1 [Source:MGI Symbol;Acc:MGI:1316717]</t>
  </si>
  <si>
    <t>Ttc19</t>
  </si>
  <si>
    <t>tetratricopeptide repeat domain 19 [Source:MGI Symbol;Acc:MGI:1920045]</t>
  </si>
  <si>
    <t>Naa16</t>
  </si>
  <si>
    <t>N(alpha)-acetyltransferase 16, NatA auxiliary subunit [Source:MGI Symbol;Acc:MGI:1914147]</t>
  </si>
  <si>
    <t>Scyl1</t>
  </si>
  <si>
    <t>SCY1-like 1 (S. cerevisiae) [Source:MGI Symbol;Acc:MGI:1931787]</t>
  </si>
  <si>
    <t>Amhr2</t>
  </si>
  <si>
    <t>anti-Mullerian hormone type 2 receptor [Source:MGI Symbol;Acc:MGI:105062]</t>
  </si>
  <si>
    <t>Hdac10</t>
  </si>
  <si>
    <t>histone deacetylase 10 [Source:MGI Symbol;Acc:MGI:2158340]</t>
  </si>
  <si>
    <t>Gm43351</t>
  </si>
  <si>
    <t>predicted gene 43351 [Source:MGI Symbol;Acc:MGI:5663488]</t>
  </si>
  <si>
    <t>Dnmt3b</t>
  </si>
  <si>
    <t>DNA methyltransferase 3B [Source:MGI Symbol;Acc:MGI:1261819]</t>
  </si>
  <si>
    <t>Nme6</t>
  </si>
  <si>
    <t>NME/NM23 nucleoside diphosphate kinase 6 [Source:MGI Symbol;Acc:MGI:1861676]</t>
  </si>
  <si>
    <t>Selenow</t>
  </si>
  <si>
    <t>selenoprotein W [Source:MGI Symbol;Acc:MGI:1100878]</t>
  </si>
  <si>
    <t>Nt5dc2</t>
  </si>
  <si>
    <t>5'-nucleotidase domain containing 2 [Source:MGI Symbol;Acc:MGI:1917271]</t>
  </si>
  <si>
    <t>Abitram</t>
  </si>
  <si>
    <t>actin binding transcription modulator [Source:MGI Symbol;Acc:MGI:2677850]</t>
  </si>
  <si>
    <t>Styx</t>
  </si>
  <si>
    <t>serine/threonine/tyrosine interaction protein [Source:MGI Symbol;Acc:MGI:1891150]</t>
  </si>
  <si>
    <t>Cst7</t>
  </si>
  <si>
    <t>cystatin F (leukocystatin) [Source:MGI Symbol;Acc:MGI:1298217]</t>
  </si>
  <si>
    <t>Abca5</t>
  </si>
  <si>
    <t>ATP-binding cassette, sub-family A (ABC1), member 5 [Source:MGI Symbol;Acc:MGI:2386607]</t>
  </si>
  <si>
    <t>Prpsap1</t>
  </si>
  <si>
    <t>phosphoribosyl pyrophosphate synthetase-associated protein 1 [Source:MGI Symbol;Acc:MGI:1915013]</t>
  </si>
  <si>
    <t>Zc3h8</t>
  </si>
  <si>
    <t>zinc finger CCCH type containing 8 [Source:MGI Symbol;Acc:MGI:1930128]</t>
  </si>
  <si>
    <t>Orc2</t>
  </si>
  <si>
    <t>origin recognition complex, subunit 2 [Source:MGI Symbol;Acc:MGI:1328306]</t>
  </si>
  <si>
    <t>Ppa1</t>
  </si>
  <si>
    <t>pyrophosphatase (inorganic) 1 [Source:MGI Symbol;Acc:MGI:97831]</t>
  </si>
  <si>
    <t>Slc7a5</t>
  </si>
  <si>
    <t>solute carrier family 7 (cationic amino acid transporter, y+ system), member 5 [Source:MGI Symbol;Acc:MGI:1298205]</t>
  </si>
  <si>
    <t>Zfp7</t>
  </si>
  <si>
    <t>zinc finger protein 7 [Source:MGI Symbol;Acc:MGI:99208]</t>
  </si>
  <si>
    <t>8030453O22Rik</t>
  </si>
  <si>
    <t>RIKEN cDNA 8030453O22 gene [Source:MGI Symbol;Acc:MGI:1924459]</t>
  </si>
  <si>
    <t>Traf4</t>
  </si>
  <si>
    <t>TNF receptor associated factor 4 [Source:MGI Symbol;Acc:MGI:1202880]</t>
  </si>
  <si>
    <t>Dnph1</t>
  </si>
  <si>
    <t>2'-deoxynucleoside 5'-phosphate N-hydrolase 1 [Source:MGI Symbol;Acc:MGI:3039376]</t>
  </si>
  <si>
    <t>Mreg</t>
  </si>
  <si>
    <t>melanoregulin [Source:MGI Symbol;Acc:MGI:2151839]</t>
  </si>
  <si>
    <t>2610301B20Rik</t>
  </si>
  <si>
    <t>RIKEN cDNA 2610301B20 gene [Source:MGI Symbol;Acc:MGI:1914407]</t>
  </si>
  <si>
    <t>Rai14</t>
  </si>
  <si>
    <t>retinoic acid induced 14 [Source:MGI Symbol;Acc:MGI:1922896]</t>
  </si>
  <si>
    <t>Slc25a33</t>
  </si>
  <si>
    <t>solute carrier family 25, member 33 [Source:MGI Symbol;Acc:MGI:1917806]</t>
  </si>
  <si>
    <t>Fpgs</t>
  </si>
  <si>
    <t>folylpolyglutamyl synthetase [Source:MGI Symbol;Acc:MGI:95576]</t>
  </si>
  <si>
    <t>Slc29a2</t>
  </si>
  <si>
    <t>solute carrier family 29 (nucleoside transporters), member 2 [Source:MGI Symbol;Acc:MGI:1345278]</t>
  </si>
  <si>
    <t>Prkca</t>
  </si>
  <si>
    <t>protein kinase C, alpha [Source:MGI Symbol;Acc:MGI:97595]</t>
  </si>
  <si>
    <t>Jaml</t>
  </si>
  <si>
    <t>junction adhesion molecule like [Source:MGI Symbol;Acc:MGI:2685484]</t>
  </si>
  <si>
    <t>Ddx20</t>
  </si>
  <si>
    <t>DEAD (Asp-Glu-Ala-Asp) box polypeptide 20 [Source:MGI Symbol;Acc:MGI:1858415]</t>
  </si>
  <si>
    <t>Nupl2</t>
  </si>
  <si>
    <t>nucleoporin like 2 [Source:MGI Symbol;Acc:MGI:2387631]</t>
  </si>
  <si>
    <t>Nkain1</t>
  </si>
  <si>
    <t>Na+/K+ transporting ATPase interacting 1 [Source:MGI Symbol;Acc:MGI:1914399]</t>
  </si>
  <si>
    <t>Bcat1</t>
  </si>
  <si>
    <t>branched chain aminotransferase 1, cytosolic [Source:MGI Symbol;Acc:MGI:104861]</t>
  </si>
  <si>
    <t>Ppcs</t>
  </si>
  <si>
    <t>phosphopantothenoylcysteine synthetase [Source:MGI Symbol;Acc:MGI:1915237]</t>
  </si>
  <si>
    <t>Pigl</t>
  </si>
  <si>
    <t>phosphatidylinositol glycan anchor biosynthesis, class L [Source:MGI Symbol;Acc:MGI:2681271]</t>
  </si>
  <si>
    <t>Tgif2</t>
  </si>
  <si>
    <t>TGFB-induced factor homeobox 2 [Source:MGI Symbol;Acc:MGI:1915299]</t>
  </si>
  <si>
    <t>Cdc25c</t>
  </si>
  <si>
    <t>cell division cycle 25C [Source:MGI Symbol;Acc:MGI:88350]</t>
  </si>
  <si>
    <t>Pecr</t>
  </si>
  <si>
    <t>peroxisomal trans-2-enoyl-CoA reductase [Source:MGI Symbol;Acc:MGI:2148199]</t>
  </si>
  <si>
    <t>2210016F16Rik</t>
  </si>
  <si>
    <t>RIKEN cDNA 2210016F16 gene [Source:MGI Symbol;Acc:MGI:1917403]</t>
  </si>
  <si>
    <t>Slc39a14</t>
  </si>
  <si>
    <t>solute carrier family 39 (zinc transporter), member 14 [Source:MGI Symbol;Acc:MGI:2384851]</t>
  </si>
  <si>
    <t>Pim3</t>
  </si>
  <si>
    <t>proviral integration site 3 [Source:MGI Symbol;Acc:MGI:1355297]</t>
  </si>
  <si>
    <t>Ccnyl1</t>
  </si>
  <si>
    <t>cyclin Y-like 1 [Source:MGI Symbol;Acc:MGI:2138614]</t>
  </si>
  <si>
    <t>Ccdc92</t>
  </si>
  <si>
    <t>coiled-coil domain containing 92 [Source:MGI Symbol;Acc:MGI:106485]</t>
  </si>
  <si>
    <t>Coprs</t>
  </si>
  <si>
    <t>coordinator of PRMT5, differentiation stimulator [Source:MGI Symbol;Acc:MGI:1913673]</t>
  </si>
  <si>
    <t>Smco4</t>
  </si>
  <si>
    <t>single-pass membrane protein with coiled-coil domains 4 [Source:MGI Symbol;Acc:MGI:3039636]</t>
  </si>
  <si>
    <t>Dpf1</t>
  </si>
  <si>
    <t>D4, zinc and double PHD fingers family 1 [Source:MGI Symbol;Acc:MGI:1352748]</t>
  </si>
  <si>
    <t>1810055G02Rik</t>
  </si>
  <si>
    <t>RIKEN cDNA 1810055G02 gene [Source:MGI Symbol;Acc:MGI:1919306]</t>
  </si>
  <si>
    <t>Dtwd2</t>
  </si>
  <si>
    <t>DTW domain containing 2 [Source:MGI Symbol;Acc:MGI:1916107]</t>
  </si>
  <si>
    <t>Ier5l</t>
  </si>
  <si>
    <t>immediate early response 5-like [Source:MGI Symbol;Acc:MGI:1919750]</t>
  </si>
  <si>
    <t>Ccdc66</t>
  </si>
  <si>
    <t>coiled-coil domain containing 66 [Source:MGI Symbol;Acc:MGI:2443639]</t>
  </si>
  <si>
    <t>Nefh</t>
  </si>
  <si>
    <t>neurofilament, heavy polypeptide [Source:MGI Symbol;Acc:MGI:97309]</t>
  </si>
  <si>
    <t>P3h1</t>
  </si>
  <si>
    <t>prolyl 3-hydroxylase 1 [Source:MGI Symbol;Acc:MGI:1888921]</t>
  </si>
  <si>
    <t>Ssx2ip</t>
  </si>
  <si>
    <t>synovial sarcoma, X 2 interacting protein [Source:MGI Symbol;Acc:MGI:2139150]</t>
  </si>
  <si>
    <t>Ero1l</t>
  </si>
  <si>
    <t>ERO1-like (S. cerevisiae) [Source:MGI Symbol;Acc:MGI:1354385]</t>
  </si>
  <si>
    <t>Thumpd2</t>
  </si>
  <si>
    <t>THUMP domain containing 2 [Source:MGI Symbol;Acc:MGI:1919417]</t>
  </si>
  <si>
    <t>Gm9833</t>
  </si>
  <si>
    <t>predicted gene 9833 [Source:MGI Symbol;Acc:MGI:3641855]</t>
  </si>
  <si>
    <t>Ryk</t>
  </si>
  <si>
    <t>receptor-like tyrosine kinase [Source:MGI Symbol;Acc:MGI:101766]</t>
  </si>
  <si>
    <t>Tnk2</t>
  </si>
  <si>
    <t>tyrosine kinase, non-receptor, 2 [Source:MGI Symbol;Acc:MGI:1858308]</t>
  </si>
  <si>
    <t>Mad2l2</t>
  </si>
  <si>
    <t>MAD2 mitotic arrest deficient-like 2 [Source:MGI Symbol;Acc:MGI:1919140]</t>
  </si>
  <si>
    <t>Mtfp1</t>
  </si>
  <si>
    <t>mitochondrial fission process 1 [Source:MGI Symbol;Acc:MGI:1916686]</t>
  </si>
  <si>
    <t>Hoxa1</t>
  </si>
  <si>
    <t>homeobox A1 [Source:MGI Symbol;Acc:MGI:96170]</t>
  </si>
  <si>
    <t>Hspbap1</t>
  </si>
  <si>
    <t>Hspb associated protein 1 [Source:MGI Symbol;Acc:MGI:1913917]</t>
  </si>
  <si>
    <t>Adat2</t>
  </si>
  <si>
    <t>adenosine deaminase, tRNA-specific 2 [Source:MGI Symbol;Acc:MGI:1914007]</t>
  </si>
  <si>
    <t>Ccdc181</t>
  </si>
  <si>
    <t>coiled-coil domain containing 181 [Source:MGI Symbol;Acc:MGI:1922145]</t>
  </si>
  <si>
    <t>Tulp3</t>
  </si>
  <si>
    <t>tubby-like protein 3 [Source:MGI Symbol;Acc:MGI:1329045]</t>
  </si>
  <si>
    <t>Slc30a4</t>
  </si>
  <si>
    <t>solute carrier family 30 (zinc transporter), member 4 [Source:MGI Symbol;Acc:MGI:1345282]</t>
  </si>
  <si>
    <t>Trim63</t>
  </si>
  <si>
    <t>tripartite motif-containing 63 [Source:MGI Symbol;Acc:MGI:2447992]</t>
  </si>
  <si>
    <t>H1f0</t>
  </si>
  <si>
    <t>H1.0 linker histone [Source:MGI Symbol;Acc:MGI:95893]</t>
  </si>
  <si>
    <t>Plpp3</t>
  </si>
  <si>
    <t>phospholipid phosphatase 3 [Source:MGI Symbol;Acc:MGI:1915166]</t>
  </si>
  <si>
    <t>Rab23</t>
  </si>
  <si>
    <t>RAB23, member RAS oncogene family [Source:MGI Symbol;Acc:MGI:99833]</t>
  </si>
  <si>
    <t>Sapcd2</t>
  </si>
  <si>
    <t>suppressor APC domain containing 2 [Source:MGI Symbol;Acc:MGI:1919330]</t>
  </si>
  <si>
    <t>Gm32856</t>
  </si>
  <si>
    <t>predicted gene, 32856 [Source:MGI Symbol;Acc:MGI:5592015]</t>
  </si>
  <si>
    <t>Hcn3</t>
  </si>
  <si>
    <t>hyperpolarization-activated, cyclic nucleotide-gated K+ 3 [Source:MGI Symbol;Acc:MGI:1298211]</t>
  </si>
  <si>
    <t>Reep6</t>
  </si>
  <si>
    <t>receptor accessory protein 6 [Source:MGI Symbol;Acc:MGI:1917585]</t>
  </si>
  <si>
    <t>Pou4f1</t>
  </si>
  <si>
    <t>POU domain, class 4, transcription factor 1 [Source:MGI Symbol;Acc:MGI:102525]</t>
  </si>
  <si>
    <t>Cxcl14</t>
  </si>
  <si>
    <t>chemokine (C-X-C motif) ligand 14 [Source:MGI Symbol;Acc:MGI:1888514]</t>
  </si>
  <si>
    <t>Eml5</t>
  </si>
  <si>
    <t>echinoderm microtubule associated protein like 5 [Source:MGI Symbol;Acc:MGI:2442513]</t>
  </si>
  <si>
    <t>Jmjd7</t>
  </si>
  <si>
    <t>jumonji domain containing 7 [Source:MGI Symbol;Acc:MGI:3845785]</t>
  </si>
  <si>
    <t>Fam57a</t>
  </si>
  <si>
    <t>family with sequence similarity 57, member A [Source:MGI Symbol;Acc:MGI:2151840]</t>
  </si>
  <si>
    <t>Ptrh1</t>
  </si>
  <si>
    <t>peptidyl-tRNA hydrolase 1 homolog [Source:MGI Symbol;Acc:MGI:1913779]</t>
  </si>
  <si>
    <t>Klhl12</t>
  </si>
  <si>
    <t>kelch-like 12 [Source:MGI Symbol;Acc:MGI:2385619]</t>
  </si>
  <si>
    <t>Hbegf</t>
  </si>
  <si>
    <t>heparin-binding EGF-like growth factor [Source:MGI Symbol;Acc:MGI:96070]</t>
  </si>
  <si>
    <t>Ccdc88c</t>
  </si>
  <si>
    <t>coiled-coil domain containing 88C [Source:MGI Symbol;Acc:MGI:1915589]</t>
  </si>
  <si>
    <t>Slc9a5</t>
  </si>
  <si>
    <t>solute carrier family 9 (sodium/hydrogen exchanger), member 5 [Source:MGI Symbol;Acc:MGI:2685542]</t>
  </si>
  <si>
    <t>Tdrd5</t>
  </si>
  <si>
    <t>tudor domain containing 5 [Source:MGI Symbol;Acc:MGI:2684949]</t>
  </si>
  <si>
    <t>Efr3b</t>
  </si>
  <si>
    <t>EFR3 homolog B [Source:MGI Symbol;Acc:MGI:2444851]</t>
  </si>
  <si>
    <t>Arhgef3</t>
  </si>
  <si>
    <t>Rho guanine nucleotide exchange factor (GEF) 3 [Source:MGI Symbol;Acc:MGI:1918954]</t>
  </si>
  <si>
    <t>Dmwd</t>
  </si>
  <si>
    <t>dystrophia myotonica-containing WD repeat motif [Source:MGI Symbol;Acc:MGI:94907]</t>
  </si>
  <si>
    <t>Nckap1</t>
  </si>
  <si>
    <t>NCK-associated protein 1 [Source:MGI Symbol;Acc:MGI:1355333]</t>
  </si>
  <si>
    <t>F2r</t>
  </si>
  <si>
    <t>coagulation factor II (thrombin) receptor [Source:MGI Symbol;Acc:MGI:101802]</t>
  </si>
  <si>
    <t>Zic2</t>
  </si>
  <si>
    <t>zinc finger protein of the cerebellum 2 [Source:MGI Symbol;Acc:MGI:106679]</t>
  </si>
  <si>
    <t>Plod2</t>
  </si>
  <si>
    <t>procollagen lysine, 2-oxoglutarate 5-dioxygenase 2 [Source:MGI Symbol;Acc:MGI:1347007]</t>
  </si>
  <si>
    <t>Snora73b</t>
  </si>
  <si>
    <t>small nucleolar RNA, H/ACA box 73b [Source:MGI Symbol;Acc:MGI:4360049]</t>
  </si>
  <si>
    <t>Hhipl1</t>
  </si>
  <si>
    <t>hedgehog interacting protein-like 1 [Source:MGI Symbol;Acc:MGI:1919265]</t>
  </si>
  <si>
    <t>Car12</t>
  </si>
  <si>
    <t>carbonic anhydrase 12 [Source:MGI Symbol;Acc:MGI:1923709]</t>
  </si>
  <si>
    <t>Klrg2</t>
  </si>
  <si>
    <t>killer cell lectin-like receptor subfamily G, member 2 [Source:MGI Symbol;Acc:MGI:1921503]</t>
  </si>
  <si>
    <t>Smoc1</t>
  </si>
  <si>
    <t>SPARC related  modular calcium binding 1 [Source:MGI Symbol;Acc:MGI:1929878]</t>
  </si>
  <si>
    <t>Rgs11</t>
  </si>
  <si>
    <t>regulator of G-protein signaling 11 [Source:MGI Symbol;Acc:MGI:1354739]</t>
  </si>
  <si>
    <t>Gm28042</t>
  </si>
  <si>
    <t>predicted gene, 28042 [Source:MGI Symbol;Acc:MGI:5547778]</t>
  </si>
  <si>
    <t>Larp1b</t>
  </si>
  <si>
    <t>La ribonucleoprotein domain family, member 1B [Source:MGI Symbol;Acc:MGI:1914604]</t>
  </si>
  <si>
    <t>Mir17hg</t>
  </si>
  <si>
    <t>Mir17 host gene (non-protein coding) [Source:MGI Symbol;Acc:MGI:1923207]</t>
  </si>
  <si>
    <t>Angptl2</t>
  </si>
  <si>
    <t>angiopoietin-like 2 [Source:MGI Symbol;Acc:MGI:1347002]</t>
  </si>
  <si>
    <t>Akap6</t>
  </si>
  <si>
    <t>A kinase (PRKA) anchor protein 6 [Source:MGI Symbol;Acc:MGI:3050566]</t>
  </si>
  <si>
    <t>Kcnn4</t>
  </si>
  <si>
    <t>potassium intermediate/small conductance calcium-activated channel, subfamily N, member 4 [Source:MGI Symbol;Acc:MGI:1277957]</t>
  </si>
  <si>
    <t>Strbp</t>
  </si>
  <si>
    <t>spermatid perinuclear RNA binding protein [Source:MGI Symbol;Acc:MGI:104626]</t>
  </si>
  <si>
    <t>Mier3</t>
  </si>
  <si>
    <t>MIER family member 3 [Source:MGI Symbol;Acc:MGI:2442317]</t>
  </si>
  <si>
    <t>Castor1</t>
  </si>
  <si>
    <t>cytosolic arginine sensor for mTORC1 subunit 1 [Source:MGI Symbol;Acc:MGI:1919212]</t>
  </si>
  <si>
    <t>Cfap74</t>
  </si>
  <si>
    <t>cilia and flagella associated protein 74 [Source:MGI Symbol;Acc:MGI:1917130]</t>
  </si>
  <si>
    <t>Spp1</t>
  </si>
  <si>
    <t>secreted phosphoprotein 1 [Source:MGI Symbol;Acc:MGI:98389]</t>
  </si>
  <si>
    <t>Asah2</t>
  </si>
  <si>
    <t>N-acylsphingosine amidohydrolase 2 [Source:MGI Symbol;Acc:MGI:1859310]</t>
  </si>
  <si>
    <t>Tmem158</t>
  </si>
  <si>
    <t>transmembrane protein 158 [Source:MGI Symbol;Acc:MGI:1919559]</t>
  </si>
  <si>
    <t>Gfod1</t>
  </si>
  <si>
    <t>glucose-fructose oxidoreductase domain containing 1 [Source:MGI Symbol;Acc:MGI:2145304]</t>
  </si>
  <si>
    <t>Fn3krp</t>
  </si>
  <si>
    <t>fructosamine 3 kinase related protein [Source:MGI Symbol;Acc:MGI:2679256]</t>
  </si>
  <si>
    <t>Tchp</t>
  </si>
  <si>
    <t>trichoplein, keratin filament binding [Source:MGI Symbol;Acc:MGI:1925082]</t>
  </si>
  <si>
    <t>Fam78b</t>
  </si>
  <si>
    <t>family with sequence similarity 78, member B [Source:MGI Symbol;Acc:MGI:2443050]</t>
  </si>
  <si>
    <t>Rcor2</t>
  </si>
  <si>
    <t>REST corepressor 2 [Source:MGI Symbol;Acc:MGI:1859854]</t>
  </si>
  <si>
    <t>Mt2</t>
  </si>
  <si>
    <t>metallothionein 2 [Source:MGI Symbol;Acc:MGI:97172]</t>
  </si>
  <si>
    <t>Septin3</t>
  </si>
  <si>
    <t>septin 3 [Source:MGI Symbol;Acc:MGI:1345148]</t>
  </si>
  <si>
    <t>Eno1b</t>
  </si>
  <si>
    <t>enolase 1B, retrotransposed [Source:MGI Symbol;Acc:MGI:3648653]</t>
  </si>
  <si>
    <t>Ppp1r26</t>
  </si>
  <si>
    <t>protein phosphatase 1, regulatory subunit 26 [Source:MGI Symbol;Acc:MGI:2685193]</t>
  </si>
  <si>
    <t>Tiam2</t>
  </si>
  <si>
    <t>T cell lymphoma invasion and metastasis 2 [Source:MGI Symbol;Acc:MGI:1344338]</t>
  </si>
  <si>
    <t>Ccnd2</t>
  </si>
  <si>
    <t>cyclin D2 [Source:MGI Symbol;Acc:MGI:88314]</t>
  </si>
  <si>
    <t>Srcin1</t>
  </si>
  <si>
    <t>SRC kinase signaling inhibitor 1 [Source:MGI Symbol;Acc:MGI:1933179]</t>
  </si>
  <si>
    <t>Fgfbp3</t>
  </si>
  <si>
    <t>fibroblast growth factor binding protein 3 [Source:MGI Symbol;Acc:MGI:1919764]</t>
  </si>
  <si>
    <t>Faah</t>
  </si>
  <si>
    <t>fatty acid amide hydrolase [Source:MGI Symbol;Acc:MGI:109609]</t>
  </si>
  <si>
    <t>Errfi1</t>
  </si>
  <si>
    <t>ERBB receptor feedback inhibitor 1 [Source:MGI Symbol;Acc:MGI:1921405]</t>
  </si>
  <si>
    <t>Map4k1</t>
  </si>
  <si>
    <t>mitogen-activated protein kinase kinase kinase kinase 1 [Source:MGI Symbol;Acc:MGI:1346882]</t>
  </si>
  <si>
    <t>Celsr3</t>
  </si>
  <si>
    <t>cadherin, EGF LAG seven-pass G-type receptor 3 [Source:MGI Symbol;Acc:MGI:1858236]</t>
  </si>
  <si>
    <t>Ezr</t>
  </si>
  <si>
    <t>ezrin [Source:MGI Symbol;Acc:MGI:98931]</t>
  </si>
  <si>
    <t>Fosl1</t>
  </si>
  <si>
    <t>fos-like antigen 1 [Source:MGI Symbol;Acc:MGI:107179]</t>
  </si>
  <si>
    <t>Efna2</t>
  </si>
  <si>
    <t>ephrin A2 [Source:MGI Symbol;Acc:MGI:102707]</t>
  </si>
  <si>
    <t>Hes7</t>
  </si>
  <si>
    <t>hes family bHLH transcription factor 7 [Source:MGI Symbol;Acc:MGI:2135679]</t>
  </si>
  <si>
    <t>Cbfa2t3</t>
  </si>
  <si>
    <t>CBFA2/RUNX1 translocation partner 3 [Source:MGI Symbol;Acc:MGI:1338013]</t>
  </si>
  <si>
    <t>Zan</t>
  </si>
  <si>
    <t>zonadhesin [Source:MGI Symbol;Acc:MGI:106656]</t>
  </si>
  <si>
    <t>Zbtb32</t>
  </si>
  <si>
    <t>zinc finger and BTB domain containing 32 [Source:MGI Symbol;Acc:MGI:1891838]</t>
  </si>
  <si>
    <t>Ttc39b</t>
  </si>
  <si>
    <t>tetratricopeptide repeat domain 39B [Source:MGI Symbol;Acc:MGI:1917113]</t>
  </si>
  <si>
    <t>Rps6ka2</t>
  </si>
  <si>
    <t>ribosomal protein S6 kinase, polypeptide 2 [Source:MGI Symbol;Acc:MGI:1342290]</t>
  </si>
  <si>
    <t>Cisd3</t>
  </si>
  <si>
    <t>CDGSH iron sulfur domain 3 [Source:MGI Symbol;Acc:MGI:101788]</t>
  </si>
  <si>
    <t>Mlph</t>
  </si>
  <si>
    <t>melanophilin [Source:MGI Symbol;Acc:MGI:2176380]</t>
  </si>
  <si>
    <t>Zfp469</t>
  </si>
  <si>
    <t>zinc finger protein 469 [Source:MGI Symbol;Acc:MGI:2684868]</t>
  </si>
  <si>
    <t>Lpcat4</t>
  </si>
  <si>
    <t>lysophosphatidylcholine acyltransferase 4 [Source:MGI Symbol;Acc:MGI:2138993]</t>
  </si>
  <si>
    <t>Arhgdig</t>
  </si>
  <si>
    <t>Rho GDP dissociation inhibitor (GDI) gamma [Source:MGI Symbol;Acc:MGI:108430]</t>
  </si>
  <si>
    <t>B9d1</t>
  </si>
  <si>
    <t>B9 protein domain 1 [Source:MGI Symbol;Acc:MGI:1351471]</t>
  </si>
  <si>
    <t>Dusp14</t>
  </si>
  <si>
    <t>dual specificity phosphatase 14 [Source:MGI Symbol;Acc:MGI:1927168]</t>
  </si>
  <si>
    <t>Gm16201</t>
  </si>
  <si>
    <t>predicted gene 16201 [Source:MGI Symbol;Acc:MGI:3802153]</t>
  </si>
  <si>
    <t>Hes1</t>
  </si>
  <si>
    <t>hes family bHLH transcription factor 1 [Source:MGI Symbol;Acc:MGI:104853]</t>
  </si>
  <si>
    <t>Gm16104</t>
  </si>
  <si>
    <t>predicted gene 16104 [Source:MGI Symbol;Acc:MGI:3801749]</t>
  </si>
  <si>
    <t>Frmd6</t>
  </si>
  <si>
    <t>FERM domain containing 6 [Source:MGI Symbol;Acc:MGI:2442579]</t>
  </si>
  <si>
    <t>Cd2</t>
  </si>
  <si>
    <t>CD2 antigen [Source:MGI Symbol;Acc:MGI:88320]</t>
  </si>
  <si>
    <t>Acap1</t>
  </si>
  <si>
    <t>ArfGAP with coiled-coil, ankyrin repeat and PH domains 1 [Source:MGI Symbol;Acc:MGI:2388270]</t>
  </si>
  <si>
    <t>Dab2ip</t>
  </si>
  <si>
    <t>disabled 2 interacting protein [Source:MGI Symbol;Acc:MGI:1916851]</t>
  </si>
  <si>
    <t>Caskin2</t>
  </si>
  <si>
    <t>CASK-interacting protein 2 [Source:MGI Symbol;Acc:MGI:2157062]</t>
  </si>
  <si>
    <t>Creb3l2</t>
  </si>
  <si>
    <t>cAMP responsive element binding protein 3-like 2 [Source:MGI Symbol;Acc:MGI:2442695]</t>
  </si>
  <si>
    <t>Nhsl2</t>
  </si>
  <si>
    <t>NHS-like 2 [Source:MGI Symbol;Acc:MGI:3645090]</t>
  </si>
  <si>
    <t>Myom3</t>
  </si>
  <si>
    <t>myomesin family, member 3 [Source:MGI Symbol;Acc:MGI:2685280]</t>
  </si>
  <si>
    <t>Bcar1</t>
  </si>
  <si>
    <t>breast cancer anti-estrogen resistance 1 [Source:MGI Symbol;Acc:MGI:108091]</t>
  </si>
  <si>
    <t>Hip1r</t>
  </si>
  <si>
    <t>huntingtin interacting protein 1 related [Source:MGI Symbol;Acc:MGI:1352504]</t>
  </si>
  <si>
    <t>Fabp3</t>
  </si>
  <si>
    <t>fatty acid binding protein 3, muscle and heart [Source:MGI Symbol;Acc:MGI:95476]</t>
  </si>
  <si>
    <t>Rpph1</t>
  </si>
  <si>
    <t>ribonuclease P RNA component H1 [Source:MGI Symbol;Acc:MGI:1934664]</t>
  </si>
  <si>
    <t>ribozyme</t>
  </si>
  <si>
    <t>Ccnb1ip1</t>
  </si>
  <si>
    <t>cyclin B1 interacting protein 1 [Source:MGI Symbol;Acc:MGI:2685134]</t>
  </si>
  <si>
    <t>Gls2</t>
  </si>
  <si>
    <t>glutaminase 2 (liver, mitochondrial) [Source:MGI Symbol;Acc:MGI:2143539]</t>
  </si>
  <si>
    <t>Gm2614</t>
  </si>
  <si>
    <t>predicted gene 2614 [Source:MGI Symbol;Acc:MGI:3780782]</t>
  </si>
  <si>
    <t>Serpinb1a</t>
  </si>
  <si>
    <t>serine (or cysteine) peptidase inhibitor, clade B, member 1a [Source:MGI Symbol;Acc:MGI:1913472]</t>
  </si>
  <si>
    <t>D930048N14Rik</t>
  </si>
  <si>
    <t>RIKEN cDNA D930048N14 gene [Source:MGI Symbol;Acc:MGI:2144709]</t>
  </si>
  <si>
    <t>Nxn</t>
  </si>
  <si>
    <t>nucleoredoxin [Source:MGI Symbol;Acc:MGI:109331]</t>
  </si>
  <si>
    <t>Zfp651</t>
  </si>
  <si>
    <t>zinc finger protein 651 [Source:MGI Symbol;Acc:MGI:2670992]</t>
  </si>
  <si>
    <t>Sigirr</t>
  </si>
  <si>
    <t>single immunoglobulin and toll-interleukin 1 receptor (TIR) domain [Source:MGI Symbol;Acc:MGI:1344402]</t>
  </si>
  <si>
    <t>Vdr</t>
  </si>
  <si>
    <t>vitamin D (1,25-dihydroxyvitamin D3) receptor [Source:MGI Symbol;Acc:MGI:103076]</t>
  </si>
  <si>
    <t>Mcoln3</t>
  </si>
  <si>
    <t>mucolipin 3 [Source:MGI Symbol;Acc:MGI:1890500]</t>
  </si>
  <si>
    <t>Etv4</t>
  </si>
  <si>
    <t>ets variant 4 [Source:MGI Symbol;Acc:MGI:99423]</t>
  </si>
  <si>
    <t>Ush1c</t>
  </si>
  <si>
    <t>USH1 protein network component harmonin [Source:MGI Symbol;Acc:MGI:1919338]</t>
  </si>
  <si>
    <t>Gm807</t>
  </si>
  <si>
    <t>predicted gene 807 [Source:MGI Symbol;Acc:MGI:2685653]</t>
  </si>
  <si>
    <t>AI847159</t>
  </si>
  <si>
    <t>expressed sequence AI847159 [Source:MGI Symbol;Acc:MGI:3528181]</t>
  </si>
  <si>
    <t>Thbs3</t>
  </si>
  <si>
    <t>thrombospondin 3 [Source:MGI Symbol;Acc:MGI:98739]</t>
  </si>
  <si>
    <t>Rorc</t>
  </si>
  <si>
    <t>RAR-related orphan receptor gamma [Source:MGI Symbol;Acc:MGI:104856]</t>
  </si>
  <si>
    <t>Kcnk2</t>
  </si>
  <si>
    <t>potassium channel, subfamily K, member 2 [Source:MGI Symbol;Acc:MGI:109366]</t>
  </si>
  <si>
    <t>Ephb2</t>
  </si>
  <si>
    <t>Eph receptor B2 [Source:MGI Symbol;Acc:MGI:99611]</t>
  </si>
  <si>
    <t>Gdf11</t>
  </si>
  <si>
    <t>growth differentiation factor 11 [Source:MGI Symbol;Acc:MGI:1338027]</t>
  </si>
  <si>
    <t>Tox2</t>
  </si>
  <si>
    <t>TOX high mobility group box family member 2 [Source:MGI Symbol;Acc:MGI:3611233]</t>
  </si>
  <si>
    <t>Slc9a4</t>
  </si>
  <si>
    <t>solute carrier family 9 (sodium/hydrogen exchanger), member 4 [Source:MGI Symbol;Acc:MGI:105074]</t>
  </si>
  <si>
    <t>Adgrg3</t>
  </si>
  <si>
    <t>adhesion G protein-coupled receptor G3 [Source:MGI Symbol;Acc:MGI:1859670]</t>
  </si>
  <si>
    <t>Erbb3</t>
  </si>
  <si>
    <t>erb-b2 receptor tyrosine kinase 3 [Source:MGI Symbol;Acc:MGI:95411]</t>
  </si>
  <si>
    <t>Gng8</t>
  </si>
  <si>
    <t>guanine nucleotide binding protein (G protein), gamma 8 [Source:MGI Symbol;Acc:MGI:109163]</t>
  </si>
  <si>
    <t>Spry4</t>
  </si>
  <si>
    <t>sprouty RTK signaling antagonist 4 [Source:MGI Symbol;Acc:MGI:1345144]</t>
  </si>
  <si>
    <t>Tnfsf8</t>
  </si>
  <si>
    <t>tumor necrosis factor (ligand) superfamily, member 8 [Source:MGI Symbol;Acc:MGI:88328]</t>
  </si>
  <si>
    <t>Tal2</t>
  </si>
  <si>
    <t>T cell acute lymphocytic leukemia 2 [Source:MGI Symbol;Acc:MGI:99540]</t>
  </si>
  <si>
    <t>Trpm6</t>
  </si>
  <si>
    <t>transient receptor potential cation channel, subfamily M, member 6 [Source:MGI Symbol;Acc:MGI:2675603]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</si>
  <si>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</si>
  <si>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</si>
  <si>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</si>
  <si>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</si>
  <si>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</si>
  <si>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</si>
  <si>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</si>
  <si>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</si>
  <si>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</si>
  <si>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</si>
  <si>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</si>
  <si>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</si>
  <si>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</si>
  <si>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SCARB1, ADCY3, CACNA1D, ADCY7, AGT, PLCB3, ADCY9, CREB3L3, GNAQ, GNAS, ORAI1, PRKACA, PLCB2</t>
  </si>
  <si>
    <t>NCOA1, SRC, ADCY3, PIK3R2, FOS, KRT10, ADCY7, GNAI2, PLCB3, ADCY9, CREB3L3, GNAQ, AKT3, GNAS, MAPK1, GRB2, PRKACA, PLCB2, MAPK3</t>
  </si>
  <si>
    <t>SRC, ADCY3, ADCY7, GNAI2, PLCB3, TUBB2A, ADCY9, GNAQ, GNAS, MAPK1, GRB2, PRKACA, PLCB2, MAPK3</t>
  </si>
  <si>
    <t>CYBB, PIK3R2, TNF, NFKB1, TGFBR1, AGT, TGFBR2, THBD, IL1A, PLCB3, AKT3, MAPK1, RAC1, PLCB2, MAPK3</t>
  </si>
  <si>
    <t>SCARB1, ATP2B4, ADCY3, CACNA1D, ADCY7, AGT, PLCB3, ADCY9, CREB3L3, GNAQ, GNAS, ORAI1, PRKACA, PLCB2</t>
  </si>
  <si>
    <t>ABCA1, ABCC3, ABCD2, ABCC2, ABCA8B, ABCC5, ABCA7, ABCD1</t>
  </si>
  <si>
    <t>HGSNAT, NAGLU, IDS, GUSB, SGSH</t>
  </si>
  <si>
    <t>TECR, HSD17B4, ACAA1A, ELOVL7, ACOX3, HACD4</t>
  </si>
  <si>
    <t>PLCB3, PDE1C, GNAQ, GNAS, ORAI1, CACNA1D, PRKACA, PLCB2, AGT, GNAI2</t>
  </si>
  <si>
    <t>RAB5B, ADCY9, CREB3L3, GNAS, ADCY3, PRKACA, RAB11B</t>
  </si>
  <si>
    <t>SEMA4A, SEMA4D, SRC, ILK, PIK3R2, MYL12B, GNAI2, SMO, FES, ABL1, PLXNB3, RAC2, MAPK1, PLXNC1, RAC1, SRGAP2, MET, MAPK3</t>
  </si>
  <si>
    <t>GABARAPL1, GNGT2, ADCY9, GNG2, SRC, ADCY3, CACNA1D, PRKACA, GLUL, ADCY7, GNAI2</t>
  </si>
  <si>
    <t>IL1A, IFNGR1, IFNGR2, IL4RA, NOD2, TNF, NFKB1, IL12RB2</t>
  </si>
  <si>
    <t>PIK3R2, FOXO3, NFKB1, RPS6KA3, RPS6KA5, IRAK1, IRAK2, AKT3, ABL1, MAPK1, GRB2, RAC1, MAPK3</t>
  </si>
  <si>
    <t>RPS6KA3, PTPN1, CREB3L3, INSR, NR1H2, AKT3, NR1H3, PIK3R2, TNF, NFKB1, AGT, SLC27A4</t>
  </si>
  <si>
    <t>UTP15, NOP56, RBM28, WDR36, UTP4, WDR3, RPP40, WDR75, NAT10, WDR43, GNL3, RCL1, XPO1, NOB1, TCOF1, DKC1, BMS1, MPHOSPH10, RIOK1, UTP14A</t>
  </si>
  <si>
    <t>Description</t>
  </si>
  <si>
    <t>LogP</t>
  </si>
  <si>
    <t>Log(q-value)</t>
  </si>
  <si>
    <t>InTerm_InList</t>
  </si>
  <si>
    <t>Symbols</t>
  </si>
  <si>
    <t>GO Biological Processes</t>
  </si>
  <si>
    <t>GO:0001819</t>
  </si>
  <si>
    <t>positive regulation of cytokine production</t>
  </si>
  <si>
    <t>88/520</t>
  </si>
  <si>
    <t>Abl1,Agt,Aif1,App,Bcl3,C3,Casp4,Runx1,Cd81,Cd83,Cebpg,Clu,Csf1r,Cybb,Eif2ak3,Fcer1g,Fcgr3,Flot1,Hgf,Irf8,Ifi203,Ifi204,Ifnar1,Ifngr1,Cd74,Il12rb2,Il1a,Irak1,Il4ra,Laptm5,Il1rl1,Ly9,Mmp8,Naip5,Nos2,Slc11a1,Ptafr,Ptprj,Ripk1,Ccl4,Ccl5,Sorl1,Src,Tlr1,Tnf,Cd40,Tnfrsf8,Tyrobp,Irf7,Irf3,Unc93b1,Tyk2,Zbtb20,Sphk2,Clec7a,Scamp5,Crlf2,Rsad2,Tbc1d23,Mcoln2,Gsdmd,Nfam1,Ulbp1,Dhx58,Arfgef2,Nod1,Card11,Grk2,Cd300c2,Tlr8,Nlrp1a,Nlrp3,Tmem106a,Rab7b,Ifi207,Rigi,Tnfrsf14,Tarm1,Rbm47,Oas3,Oas2,Nod2,Nlrc4,Ifi211,Trim56,Nlrp1b,Isg15,Mndal</t>
  </si>
  <si>
    <t>GO:0045087</t>
  </si>
  <si>
    <t>innate immune response</t>
  </si>
  <si>
    <t>104/718</t>
  </si>
  <si>
    <t>App,Prdm1,C1qb,C1qc,C3,Casp4,Cebpg,Cfh,Csf1r,Cybb,Evl,Fcer1g,Gbp2,Mr1,Hck,Irf8,Irgm1,Ifi204,Ifit1,Ifit3,Ifnar1,Ifngr1,Igtp,Cd74,Irak1,Itch,Cd47,Ly86,Ly9,Lyn,Lyst,Mpeg1,Mrc1,Naip5,Naip6,Nfkb1,Nos2,Slc11a1,Sirpa,Relb,Ccl4,Ccl5,Src,Trim21,Stxbp3,Tlr1,Tnf,Cd40,Zyx,Oasl2,Serinc3,Msrb1,Rab11fip5,Irf7,Irf3,Irgm2,Unc93b1,Tyk2,Gbp3,Ikbke,Elf4,Rsad2,Nmi,Slc15a3,Herc6,Mcoln2,Gsdmd,Dapk1,Tnfaip8l2,Kynu,Trim29,Trim14,Ulbp1,Parp9,Dhx58,Ifitm2,Cdc42ep2,Pld4,Nod1,Sp110,Tlr8,Nlrp1a,Dtx3l,Neurl3,Nlrp3,Tmem106a,Marchf2,Treml4,Rab7b,Gbp7,Rigi,Tnfrsf14,Tarm1,Oas3,Oas2,Nod2,Nlrc4,Tlr13,Tlr12,Trim56,Parp14,Nlrp1b,Wfdc17,Isg15</t>
  </si>
  <si>
    <t>GO:0031347</t>
  </si>
  <si>
    <t>regulation of defense response</t>
  </si>
  <si>
    <t>106/772</t>
  </si>
  <si>
    <t>Agt,Aldh2,Alox5ap,Fabp4,Apoe,App,C3,Casp4,Cd81,Cebpa,Cfh,Csf1r,Fcer1g,Fcgr3,Flot1,Fut7,Hgf,Ier3,Irgm1,Ifi203,Ifi204,Igtp,Cd74,Irak1,Itch,Cd47,Il1rl1,Lyn,Mmp8,Myo1f,Ncf1,Nfkb1,Ninj1,Pdcd4,Sirpa,Rb1,Ripk1,Ccl5,Spi1,Trim21,Tgm2,Tlr1,Tnf,Tnfaip3,Tnfrsf1b,Cd40,Tyrobp,Nr1h3,Mapk3,Aoah,Irf7,Irf3,Irgm2,Unc93b1,Calcrl,Ikbke,Elf4,Clec7a,Tnip1,Rsad2,Erbin,Nmi,Slc15a3,Tbc1d23,Snx4,Tnfaip8l2,Ulbp1,Gpr108,Cdk19,Parp9,Nfkbiz,Dhx58,Siglece,Clec2d,Mapkapk3,Nod1,Irak2,Abr,Rps6ka3,Tlr8,Nlrp1a,Dtx3l,Sbno2,Nlrp3,Cd300a,Treml4,Rab7b,Ifi207,Syt11,Rigi,Zc3h12a,Trafd1,Cd200r4,Napepld,Rbm47,Oas3,Nod2,Nlrc4,Tlr13,Ifi211,Tlr12,Trim56,Parp14,Nlrp1b,Isg15,Mndal</t>
  </si>
  <si>
    <t>GO:0032103</t>
  </si>
  <si>
    <t>positive regulation of response to external stimulus</t>
  </si>
  <si>
    <t>85/555</t>
  </si>
  <si>
    <t>Aif1,Alox5ap,Fabp4,App,C3,Casp4,Cd81,Cebpa,Csf1r,S1pr1,Fcer1g,Fcgr3,Flot1,Irgm1,Cxcl10,Ifi203,Ifi204,Igtp,Cd74,Irak1,Cd47,Kdr,Il1rl1,Ly86,Lyn,Met,Mmp8,Ninj1,P2rx4,Pdcd4,Ptk2b,Ptprj,Rac1,Rac2,Ripk1,Ccl5,Spi1,Tgm2,Tlr1,Tnf,Cd40,Tyrobp,Nr1h3,Mapk1,Mapk3,Irf7,Irf3,Irgm2,Unc93b1,Ikbke,Clec7a,Tnip1,Rsad2,Nmi,Slc15a3,Snx4,Sash1,Ulbp1,Cdk19,Parp9,Nfkbiz,Dhx58,Mapkapk3,Ano6,Nod1,Irak2,Rps6ka3,Tlr8,Nlrp1a,Nlrp3,Treml4,Ifi207,Rigi,Napepld,Rbm47,Oas3,Nod2,Nlrc4,Megf8,Tlr13,Ifi211,Tlr12,Trim56,Nlrp1b,Mndal</t>
  </si>
  <si>
    <t>GO:0031349</t>
  </si>
  <si>
    <t>positive regulation of defense response</t>
  </si>
  <si>
    <t>70/413</t>
  </si>
  <si>
    <t>Alox5ap,Fabp4,App,C3,Casp4,Cd81,Cebpa,Csf1r,Fcer1g,Fcgr3,Flot1,Irgm1,Ifi203,Ifi204,Igtp,Cd74,Irak1,Cd47,Il1rl1,Lyn,Mmp8,Ninj1,Pdcd4,Ripk1,Ccl5,Spi1,Tgm2,Tlr1,Tnf,Cd40,Tyrobp,Nr1h3,Mapk3,Irf7,Irf3,Irgm2,Unc93b1,Ikbke,Clec7a,Tnip1,Rsad2,Nmi,Slc15a3,Snx4,Ulbp1,Cdk19,Parp9,Nfkbiz,Dhx58,Mapkapk3,Nod1,Irak2,Rps6ka3,Tlr8,Nlrp1a,Nlrp3,Treml4,Ifi207,Rigi,Napepld,Rbm47,Oas3,Nod2,Nlrc4,Tlr13,Ifi211,Tlr12,Trim56,Nlrp1b,Mndal</t>
  </si>
  <si>
    <t>GO:0002831</t>
  </si>
  <si>
    <t>regulation of response to biotic stimulus</t>
  </si>
  <si>
    <t>76/489</t>
  </si>
  <si>
    <t>Ahr,Apoe,App,C3,Cfh,Flot1,Mr1,Irgm1,Ifi203,Ifi204,Igtp,Cd74,Irak1,Itch,Ly86,Lyn,Myo1f,Ncf1,Ninj1,Ccl5,Spi1,Trim21,Tlr1,Tnf,Tnfaip3,Cd40,Tyrobp,Nr1h3,Mapk3,Irf7,Irf3,Irgm2,Unc93b1,Ikbke,Clec7a,Tnip1,Rsad2,Erbin,Nmi,Slc15a3,Dapk1,Sash1,Ulbp1,Gpr108,Parp9,Nfkbiz,Dhx58,Clec2d,Mapkapk3,Nod1,Irak2,Rps6ka3,Tlr8,Nlrp1a,Dtx3l,Nlrp3,Cd300a,Treml4,Rab7b,Ifi207,Syt11,Rigi,Zc3h12a,Trafd1,Rbm47,Oas3,Nod2,Nlrc4,Tlr13,Ifi211,Tlr12,Trim56,Parp14,Nlrp1b,Isg15,Mndal</t>
  </si>
  <si>
    <t>GO:0050778</t>
  </si>
  <si>
    <t>positive regulation of immune response</t>
  </si>
  <si>
    <t>88/648</t>
  </si>
  <si>
    <t>Abl1,Bcl2a1d,C1qb,C1qc,C3,Cd38,Cd81,Cfh,Fcer1g,Fcgr3,Flot1,Gab2,Grb2,H2-D1,H2-K1,H2-Q4,H2-T24,Mr1,Hfe,Irgm1,Ifi203,Ifi204,Igtp,Cd74,Irak1,Il4ra,Lcp2,Lyn,Nfkb1,Ninj1,Slc11a1,Pld2,Ptafr,Ptprj,Spi1,Tec,Tlr1,Tnf,Cd40,Tyrobp,Nr1h3,Fyb,Mapk1,Stx7,Irf7,Irf3,Irgm2,Unc93b1,Tyk2,Ikbke,Sphk2,Clec7a,Vav3,Tnip1,Rsad2,Nmi,Slc15a3,Snx4,Nfam1,Ulbp1,Parp9,Nfkbiz,Dhx58,Mapkapk3,Nod1,Card11,Irak2,Rps6ka3,Tlr8,Nlrp1a,Nlrp3,Treml4,Ifi207,Rigi,Zc3h12a,Rbm47,Oas3,Nod2,Nlrc4,Tlr13,C5ar2,Pram1,Raet1e,Ifi211,Tlr12,Trim56,Nlrp1b,Mndal</t>
  </si>
  <si>
    <t>GO:0045088</t>
  </si>
  <si>
    <t>regulation of innate immune response</t>
  </si>
  <si>
    <t>65/389</t>
  </si>
  <si>
    <t>Apoe,App,C3,Cfh,Flot1,Irgm1,Ifi203,Ifi204,Igtp,Cd74,Irak1,Lyn,Myo1f,Ncf1,Ninj1,Spi1,Trim21,Tlr1,Tnf,Tnfaip3,Cd40,Tyrobp,Nr1h3,Irf7,Irf3,Irgm2,Unc93b1,Ikbke,Clec7a,Tnip1,Rsad2,Erbin,Nmi,Slc15a3,Ulbp1,Gpr108,Parp9,Nfkbiz,Dhx58,Clec2d,Mapkapk3,Nod1,Irak2,Rps6ka3,Tlr8,Nlrp1a,Nlrp3,Cd300a,Treml4,Rab7b,Ifi207,Rigi,Trafd1,Rbm47,Oas3,Nod2,Nlrc4,Tlr13,Ifi211,Tlr12,Trim56,Parp14,Nlrp1b,Isg15,Mndal</t>
  </si>
  <si>
    <t>GO:0045089</t>
  </si>
  <si>
    <t>positive regulation of innate immune response</t>
  </si>
  <si>
    <t>49/263</t>
  </si>
  <si>
    <t>Flot1,Irgm1,Ifi203,Ifi204,Igtp,Cd74,Irak1,Lyn,Ninj1,Spi1,Tlr1,Tnf,Cd40,Tyrobp,Nr1h3,Irf7,Irf3,Irgm2,Unc93b1,Ikbke,Clec7a,Tnip1,Rsad2,Nmi,Slc15a3,Ulbp1,Parp9,Nfkbiz,Dhx58,Mapkapk3,Nod1,Irak2,Rps6ka3,Tlr8,Nlrp1a,Nlrp3,Treml4,Ifi207,Rigi,Rbm47,Oas3,Nod2,Nlrc4,Tlr13,Ifi211,Tlr12,Trim56,Nlrp1b,Mndal</t>
  </si>
  <si>
    <t>GO:0002833</t>
  </si>
  <si>
    <t>positive regulation of response to biotic stimulus</t>
  </si>
  <si>
    <t>52/293</t>
  </si>
  <si>
    <t>Flot1,Mr1,Irgm1,Ifi203,Ifi204,Igtp,Cd74,Irak1,Ly86,Lyn,Ninj1,Spi1,Tlr1,Tnf,Cd40,Tyrobp,Nr1h3,Irf7,Irf3,Irgm2,Unc93b1,Ikbke,Clec7a,Tnip1,Rsad2,Nmi,Slc15a3,Sash1,Ulbp1,Parp9,Nfkbiz,Dhx58,Mapkapk3,Nod1,Irak2,Rps6ka3,Tlr8,Nlrp1a,Nlrp3,Treml4,Ifi207,Rigi,Rbm47,Oas3,Nod2,Nlrc4,Tlr13,Ifi211,Tlr12,Trim56,Nlrp1b,Mndal</t>
  </si>
  <si>
    <t>GO:0002253</t>
  </si>
  <si>
    <t>activation of immune response</t>
  </si>
  <si>
    <t>54/340</t>
  </si>
  <si>
    <t>Abl1,Bcl2a1d,C1qb,C1qc,C3,Cd38,Cfh,Fcer1g,Grb2,Irgm1,Ifi203,Ifi204,Igtp,Irak1,Lcp2,Lyn,Nfkb1,Tec,Tlr1,Tnf,Cd40,Tyrobp,Fyb,Mapk1,Irf3,Irgm2,Unc93b1,Clec7a,Vav3,Tnip1,Nmi,Nfam1,Nfkbiz,Dhx58,Mapkapk3,Nod1,Irak2,Rps6ka3,Tlr8,Nlrp1a,Nlrp3,Ifi207,Rigi,Zc3h12a,Oas3,Nod2,Nlrc4,Tlr13,C5ar2,Pram1,Ifi211,Tlr12,Nlrp1b,Mndal</t>
  </si>
  <si>
    <t>GO:0002218</t>
  </si>
  <si>
    <t>activation of innate immune response</t>
  </si>
  <si>
    <t>35/154</t>
  </si>
  <si>
    <t>Irgm1,Ifi203,Ifi204,Igtp,Irak1,Lyn,Tlr1,Tnf,Cd40,Tyrobp,Irf3,Irgm2,Unc93b1,Clec7a,Tnip1,Nmi,Nfkbiz,Dhx58,Mapkapk3,Nod1,Irak2,Rps6ka3,Tlr8,Nlrp1a,Nlrp3,Ifi207,Rigi,Oas3,Nod2,Nlrc4,Tlr13,Ifi211,Tlr12,Nlrp1b,Mndal</t>
  </si>
  <si>
    <t>GO:0002221</t>
  </si>
  <si>
    <t>pattern recognition receptor signaling pathway</t>
  </si>
  <si>
    <t>28/104</t>
  </si>
  <si>
    <t>Irgm1,Igtp,Irak1,Lyn,Tlr1,Tnf,Cd40,Irf3,Irgm2,Unc93b1,Clec7a,Tnip1,Nmi,Nfkbiz,Dhx58,Mapkapk3,Nod1,Irak2,Rps6ka3,Tlr8,Nlrp1a,Nlrp3,Rigi,Oas3,Nod2,Tlr13,Tlr12,Nlrp1b</t>
  </si>
  <si>
    <t>GO:0002758</t>
  </si>
  <si>
    <t>innate immune response-activating signaling pathway</t>
  </si>
  <si>
    <t>29/115</t>
  </si>
  <si>
    <t>Irgm1,Igtp,Irak1,Lyn,Tlr1,Tnf,Cd40,Tyrobp,Irf3,Irgm2,Unc93b1,Clec7a,Tnip1,Nmi,Nfkbiz,Dhx58,Mapkapk3,Nod1,Irak2,Rps6ka3,Tlr8,Nlrp1a,Nlrp3,Rigi,Oas3,Nod2,Tlr13,Tlr12,Nlrp1b</t>
  </si>
  <si>
    <t>GO:0002757</t>
  </si>
  <si>
    <t>immune response-activating signaling pathway</t>
  </si>
  <si>
    <t>44/257</t>
  </si>
  <si>
    <t>Abl1,Bcl2a1d,Cd38,Fcer1g,Grb2,Irgm1,Igtp,Irak1,Lcp2,Lyn,Nfkb1,Tec,Tlr1,Tnf,Cd40,Tyrobp,Fyb,Mapk1,Irf3,Irgm2,Unc93b1,Clec7a,Vav3,Tnip1,Nmi,Nfam1,Nfkbiz,Dhx58,Mapkapk3,Nod1,Irak2,Rps6ka3,Tlr8,Nlrp1a,Nlrp3,Rigi,Zc3h12a,Oas3,Nod2,Tlr13,C5ar2,Pram1,Tlr12,Nlrp1b</t>
  </si>
  <si>
    <t>GO:0002764</t>
  </si>
  <si>
    <t>immune response-regulating signaling pathway</t>
  </si>
  <si>
    <t>45/270</t>
  </si>
  <si>
    <t>Abl1,Bcl2a1d,Cd38,Ctsh,Fcer1g,Grb2,Irgm1,Igtp,Irak1,Lcp2,Lyn,Nfkb1,Tec,Tlr1,Tnf,Cd40,Tyrobp,Fyb,Mapk1,Irf3,Irgm2,Unc93b1,Clec7a,Vav3,Tnip1,Nmi,Nfam1,Nfkbiz,Dhx58,Mapkapk3,Nod1,Irak2,Rps6ka3,Tlr8,Nlrp1a,Nlrp3,Rigi,Zc3h12a,Oas3,Nod2,Tlr13,C5ar2,Pram1,Tlr12,Nlrp1b</t>
  </si>
  <si>
    <t>GO:0051345</t>
  </si>
  <si>
    <t>positive regulation of hydrolase activity</t>
  </si>
  <si>
    <t>77/564</t>
  </si>
  <si>
    <t>Agt,Apoc2,App,Bcl2l11,Ctsh,Asap1,S1pr1,Eif2ak3,Srgap2,Gna12,Gnaq,Gnas,Ifi203,Ifi204,Itga6,Laptm5,Lyn,Marcks,Mmut,Myo9b,Slc11a2,Psap,Ptafr,Ptk2b,Ccl4,Ccl5,Sema4d,Tnf,Cd40,Nr1h3,Nr1h2,Slc27a4,Map4k4,Tbc1d8,Mtch1,Tbc1d1,Tbc1d2b,Aph1c,Pink1,Dapk1,Arap1,Tbc1d13,Vsir,Ccdc125,Dock8,Rapgef2,Tax1bp3,Tbc1d9b,Ralgps2,Sgsm2,Arap3,Nod1,Abr,Bcas3,Nlrp1a,Dock10,Evi5l,Nlrp3,Cd300a,Snx13,Ifi207,Rabgap1,Dennd1a,Arhgap25,Picalm,Ralgapa2,Iqsec3,Sipa1l2,Nlrc4,Myo9a,Tbck,Prex1,Dock6,Ifi211,Nlrp1b,Mndal,Apoc2l</t>
  </si>
  <si>
    <t>GO:0043087</t>
  </si>
  <si>
    <t>regulation of GTPase activity</t>
  </si>
  <si>
    <t>54/352</t>
  </si>
  <si>
    <t>Asap1,S1pr1,Srgap2,Gnas,Itga6,Met,Mmut,Myo9b,Ptk2b,Rasa3,Ccl4,Ccl5,Sema4d,Cd40,Slc27a4,Map4k4,Rasa4,Tbc1d8,Plxnc1,Vav3,Tbc1d1,Tbc1d2b,Arap1,Tbc1d13,Ccpg1,Ccdc125,Dock8,Rapgef2,Tax1bp3,Tbc1d9b,Ralgps2,Sgsm2,Arap3,Abr,Plxnb3,Bcas3,Dock10,Evi5l,Snx13,Rabgap1,Dennd1a,Arhgap25,Picalm,Als2cl,Ralgapa2,Iqsec3,Sipa1l2,Myo9a,Tbck,Prex1,Dock6,Sbf2,Dgki,Iqgap2</t>
  </si>
  <si>
    <t>GO:0043547</t>
  </si>
  <si>
    <t>positive regulation of GTPase activity</t>
  </si>
  <si>
    <t>43/258</t>
  </si>
  <si>
    <t>Asap1,S1pr1,Srgap2,Gnas,Itga6,Mmut,Myo9b,Ptk2b,Ccl4,Ccl5,Sema4d,Cd40,Slc27a4,Map4k4,Tbc1d8,Tbc1d1,Tbc1d2b,Arap1,Tbc1d13,Ccdc125,Dock8,Rapgef2,Tax1bp3,Tbc1d9b,Ralgps2,Sgsm2,Arap3,Abr,Bcas3,Dock10,Evi5l,Snx13,Rabgap1,Dennd1a,Arhgap25,Picalm,Ralgapa2,Iqsec3,Sipa1l2,Myo9a,Tbck,Prex1,Dock6</t>
  </si>
  <si>
    <t>GO:0006954</t>
  </si>
  <si>
    <t>inflammatory response</t>
  </si>
  <si>
    <t>72/539</t>
  </si>
  <si>
    <t>Agt,Aif1,Alox5ap,App,C3,Casp4,Casp7,Cfh,Clu,Csf1r,Cybb,Ecm1,Fcer1g,Fcgr3,Fut7,Hck,Cxcl10,Ifngr1,Ifngr2,Il1a,Il4ra,Cd47,Lipa,Il1rl1,Ly86,Lyn,Naip5,Naip6,Ncf1,Nfkb1,Ninj1,Nos2,Notch1,Slc11a1,Ptafr,Ptgs1,Relb,Ripk1,Saa3,Ccl4,Ccl5,Cxcl2,Tlr1,Tnf,Tnfaip3,Tnfrsf1b,Cd40,Tyrobp,Ccrl2,Tnip1,Crlf2,Nampt,Gsdmd,Rps6ka5,Nfkbiz,Siglece,Pld4,Ano6,Irak2,Tlr8,Stab1,Nlrp1a,Nlrp3,Cd300a,Zc3h12a,Nod2,Nlrc4,Tlr13,C5ar2,Smo,Tlr12,Nlrp1b</t>
  </si>
  <si>
    <t>GO:0050727</t>
  </si>
  <si>
    <t>regulation of inflammatory response</t>
  </si>
  <si>
    <t>54/383</t>
  </si>
  <si>
    <t>Agt,Aldh2,Alox5ap,Fabp4,Apoe,App,C3,Casp4,Cd81,Cebpa,Csf1r,Fcer1g,Fcgr3,Fut7,Hgf,Ier3,Cd47,Il1rl1,Lyn,Mmp8,Ncf1,Nfkb1,Ninj1,Pdcd4,Sirpa,Rb1,Ripk1,Ccl5,Tgm2,Tnf,Tnfaip3,Tnfrsf1b,Nr1h3,Aoah,Irf3,Calcrl,Elf4,Tnip1,Nmi,Tbc1d23,Snx4,Tnfaip8l2,Cdk19,Nfkbiz,Siglece,Abr,Nlrp1a,Sbno2,Nlrp3,Syt11,Cd200r4,Napepld,Nod2,Nlrp1b</t>
  </si>
  <si>
    <t>GO:0050729</t>
  </si>
  <si>
    <t>positive regulation of inflammatory response</t>
  </si>
  <si>
    <t>28/152</t>
  </si>
  <si>
    <t>Alox5ap,Fabp4,App,C3,Casp4,Cd81,Cebpa,Csf1r,Fcer1g,Fcgr3,Cd47,Il1rl1,Mmp8,Ninj1,Pdcd4,Ripk1,Ccl5,Tgm2,Tnf,Tnip1,Nmi,Snx4,Cdk19,Nfkbiz,Nlrp1a,Nlrp3,Napepld,Nlrp1b</t>
  </si>
  <si>
    <t>GO:0006909</t>
  </si>
  <si>
    <t>phagocytosis</t>
  </si>
  <si>
    <t>35/152</t>
  </si>
  <si>
    <t>Abca1,Abl1,Aif1,Anxa3,Cln3,Fcer1g,Fcgr3,Hck,Irf8,Itgal,Lyst,Mertk,Met,Ncf4,Slc11a1,Sirpa,Rac1,Scarb1,Tgm2,Tyrobp,Nr1h3,Abca7,Clec7a,Cdc42se1,Cd302,Siglece,Pld4,Abr,Elmo2,Treml4,Rab7b,Arhgap25,P2ry6,Nod2,Dock1</t>
  </si>
  <si>
    <t>GO:0050764</t>
  </si>
  <si>
    <t>regulation of phagocytosis</t>
  </si>
  <si>
    <t>24/129</t>
  </si>
  <si>
    <t>C3,Csk,Fcer1g,Fcgr3,Hck,Il15ra,Cd47,Mertk,Slc11a1,Sirpa,Ptprj,Scarb1,Tgm2,Tnf,Abca7,Clec7a,Siglece,Ano6,Rab31,Abr,Cd300a,Syt11,Nod2,Sirpb1c</t>
  </si>
  <si>
    <t>GO:0030335</t>
  </si>
  <si>
    <t>positive regulation of cell migration</t>
  </si>
  <si>
    <t>75/595</t>
  </si>
  <si>
    <t>Abl1,Adam9,Agt,Aif1,Anxa3,App,Atp7a,Atp8a1,Csf1r,Ctsh,S1pr1,Fut7,Gab2,Gnai2,Hgf,Cxcl10,Cd74,Il1a,Ilk,Insr,Itga6,Cd47,Kdr,Lyn,Met,Mmp14,Myo1f,Notch1,P2rx4,Pld2,Ptafr,Ptk2b,Tmsb4x,Ptprj,Rac1,Rac2,S100a11,Ccl5,Sema4a,Sema4d,Spi1,Slc8a1,Sod2,Src,Tgfbr1,Tgfbr2,Cd40,Trip6,Akt3,Mapk1,Mapk3,Map4k4,Myadm,Rufy3,Sdcbp,Clec7a,Rreb1,Sash1,Spag9,Rin2,Vsir,Dock8,Rapgef2,Ano6,Fam83h,Mgat5,Fermt3,Bcas3,Sun2,Zc3h12a,Tnfrsf14,P2ry6,Prex1,Smo,Dock1</t>
  </si>
  <si>
    <t>GO:2000147</t>
  </si>
  <si>
    <t>positive regulation of cell motility</t>
  </si>
  <si>
    <t>75/622</t>
  </si>
  <si>
    <t>GO:0040017</t>
  </si>
  <si>
    <t>positive regulation of locomotion</t>
  </si>
  <si>
    <t>76/639</t>
  </si>
  <si>
    <t>Abl1,Adam9,Agt,Aif1,Anxa3,App,Atp7a,Atp8a1,Csf1r,Ctsh,S1pr1,Fut7,Gab2,Gnai2,Hgf,Cxcl10,Cd74,Il1a,Ilk,Insr,Itga6,Cd47,Kdr,Lyn,Met,Mmp14,Myo1f,Notch1,P2rx4,Pld2,Ptafr,Ptk2b,Tmsb4x,Ptprj,Rac1,Rac2,S100a11,Ccl5,Sema4a,Sema4d,Spi1,Slc8a1,Sod2,Src,Tgfbr1,Tgfbr2,Cd40,Trip6,Akt3,Mapk1,Mapk3,Map4k4,Myadm,Rufy3,Sdcbp,Clec7a,Rreb1,Sash1,Spag9,Rin2,Vsir,Dock8,Rapgef2,Ano6,Fam83h,Mgat5,Fermt3,Bcas3,Sun2,Zc3h12a,Tnfrsf14,P2ry6,Megf8,Prex1,Smo,Dock1</t>
  </si>
  <si>
    <t>GO:0010632</t>
  </si>
  <si>
    <t>regulation of epithelial cell migration</t>
  </si>
  <si>
    <t>32/249</t>
  </si>
  <si>
    <t>Abl1,Acvrl1,Adam9,Agt,Anxa3,Apoe,Ctsh,Evl,Gab2,Glul,Kdr,Mecp2,Met,Notch1,P2rx4,Pik3r2,Ptk2b,Rac1,Sema4a,Src,Tgfbr2,Tnf,Cd40,Akt3,Map4k4,Rreb1,Sash1,Rin2,Bcas3,Zc3h12a,Dock1,Atp2b4</t>
  </si>
  <si>
    <t>GO:0009615</t>
  </si>
  <si>
    <t>response to virus</t>
  </si>
  <si>
    <t>51/317</t>
  </si>
  <si>
    <t>Bcl3,Bnip3l,Irgm1,Cxcl10,Ifi203,Ifi204,Ifit1,Ifit3,Ifnar1,Ifngr1,Ifngr2,Igtp,Il10rb,Itch,Lyst,Nfkb1,Trim21,Tnf,Cd40,Oasl2,Rnasel,Serinc3,Irf7,Irf3,Irgm2,Unc93b1,Ikbke,Rsad2,Nmi,Rtp4,Parp9,Dhx58,Ifitm2,Tlr8,Nlrp1a,Dtx3l,Nlrp3,Marchf2,Treml4,Ifi207,Gbp7,Rigi,Zc3h12a,Oas3,Oas2,Tlr13,Ifi211,Trim56,Nlrp1b,Isg15,Mndal</t>
  </si>
  <si>
    <t>GO:0051607</t>
  </si>
  <si>
    <t>defense response to virus</t>
  </si>
  <si>
    <t>41/251</t>
  </si>
  <si>
    <t>Bnip3l,Cxcl10,Ifi203,Ifi204,Ifit1,Ifit3,Ifnar1,Ifngr1,Ifngr2,Il10rb,Itch,Lyst,Trim21,Cd40,Oasl2,Rnasel,Serinc3,Irf7,Irf3,Unc93b1,Rsad2,Rtp4,Parp9,Dhx58,Ifitm2,Tlr8,Nlrp1a,Dtx3l,Nlrp3,Marchf2,Treml4,Ifi207,Gbp7,Rigi,Oas3,Oas2,Ifi211,Trim56,Nlrp1b,Isg15,Mndal</t>
  </si>
  <si>
    <t>GO:0140546</t>
  </si>
  <si>
    <t>defense response to symbiont</t>
  </si>
  <si>
    <t>41/252</t>
  </si>
  <si>
    <t>GO:0035456</t>
  </si>
  <si>
    <t>response to interferon-beta</t>
  </si>
  <si>
    <t>17/69</t>
  </si>
  <si>
    <t>Gbp2,Irgm1,Ifi203,Ifi204,Ifit1,Ifit3,Igtp,Irgm2,Gbp3,Ikbke,Ifitm2,Ifi207,Gbp7,Xaf1,Ifi211,Gm5431,Mndal</t>
  </si>
  <si>
    <t>GO:0045071</t>
  </si>
  <si>
    <t>negative regulation of viral genome replication</t>
  </si>
  <si>
    <t>15/65</t>
  </si>
  <si>
    <t>Ifi203,Ifi204,Inpp5k,Ccl5,Tnf,Oasl2,Rnasel,Rsad2,Ifitm2,Ifi207,Oas3,Oas2,Ifi211,Isg15,Mndal</t>
  </si>
  <si>
    <t>GO:0035458</t>
  </si>
  <si>
    <t>cellular response to interferon-beta</t>
  </si>
  <si>
    <t>14/59</t>
  </si>
  <si>
    <t>Gbp2,Irgm1,Ifi203,Ifi204,Ifit1,Ifit3,Igtp,Irgm2,Gbp3,Ifi207,Gbp7,Ifi211,Gm5431,Mndal</t>
  </si>
  <si>
    <t>GO:0060627</t>
  </si>
  <si>
    <t>regulation of vesicle-mediated transport</t>
  </si>
  <si>
    <t>76/617</t>
  </si>
  <si>
    <t>Ap2m1,Apoc2,Apoe,App,Atp9a,C3,Cd22,Cdk5r1,Cln3,Clu,Csk,Fcer1g,Fcgr3,Fes,Flot1,Gab2,Gnai2,Hck,Hfe,Il15ra,Il4ra,Insr,Cd47,Itsn1,Kif3a,Lyn,Mertk,Notch1,Slc11a1,Pld2,Ptafr,Ptpn1,Sirpa,Ptprj,Rab11b,Rab5b,Rac2,Spi1,Snapin,Sorl1,Scarb1,Src,Stxbp3,Tgm2,Tnf,Nr1h3,Nr1h2,Mapk1,Mapk3,Git2,Abca7,Sdcbp,Sh3glb1,Sphk2,Clec7a,Scamp5,Vps28,Snx4,Zdhhc2,Fbxl20,Siglece,Nedd4l,Ano6,Rab31,Abr,Cd300a,Syt11,Picalm,Rab8b,Atp2c1,Pgap1,Nod2,Pram1,Sirpb1c,Rubcn,Apoc2l</t>
  </si>
  <si>
    <t>GO:0030100</t>
  </si>
  <si>
    <t>regulation of endocytosis</t>
  </si>
  <si>
    <t>Ap2m1,Apoc2,Apoe,App,C3,Cd22,Cln3,Clu,Flot1,Hfe,Insr,Itsn1,Kif3a,Pld2,Ptpn1,Rab5b,Src,Nr1h3,Nr1h2,Abca7,Sdcbp,Scamp5,Vps28,Siglece,Nedd4l,Ano6,Rab31,Cd300a,Syt11,Picalm,Rubcn,Apoc2l</t>
  </si>
  <si>
    <t>GO:0032680</t>
  </si>
  <si>
    <t>regulation of tumor necrosis factor production</t>
  </si>
  <si>
    <t>37/185</t>
  </si>
  <si>
    <t>App,Bcl3,Tspo,Clu,Csf1r,Cybb,Fcer1g,Fcgr3,Ifngr1,Il1a,Cd47,Mmp8,Ptafr,Sirpa,Ptprj,Ripk1,Ccl4,Tlr1,Tnfaip3,Tnfrsf8,Tyrobp,Zbtb20,Elf4,Sphk2,Clec7a,Tbc1d23,Vsir,Arfgef2,Nod1,Tmem106a,Syt11,Rigi,Zc3h12a,Oas3,Oas2,Nod2,C5ar2</t>
  </si>
  <si>
    <t>GO:1903555</t>
  </si>
  <si>
    <t>regulation of tumor necrosis factor superfamily cytokine production</t>
  </si>
  <si>
    <t>37/188</t>
  </si>
  <si>
    <t>GO:0032675</t>
  </si>
  <si>
    <t>regulation of interleukin-6 production</t>
  </si>
  <si>
    <t>35/170</t>
  </si>
  <si>
    <t>Aif1,App,Capn2,Csk,Fcer1g,Hgf,Cd74,Il1a,Inpp5d,Cd47,Laptm5,Met,Mmp8,Nos2,Ptafr,Sirpa,Tlr1,Tnf,Tnfaip3,Tyrobp,Unc93b1,Zbtb20,Elf4,Sphk2,Tbc1d23,Nod1,Grk2,Tlr8,Tmem106a,Rab7b,Syt11,Rigi,Zc3h12a,Nod2,C5ar2</t>
  </si>
  <si>
    <t>GO:0032760</t>
  </si>
  <si>
    <t>positive regulation of tumor necrosis factor production</t>
  </si>
  <si>
    <t>26/114</t>
  </si>
  <si>
    <t>App,Clu,Csf1r,Cybb,Fcer1g,Fcgr3,Ifngr1,Il1a,Mmp8,Ptafr,Ptprj,Ripk1,Ccl4,Tlr1,Tnfrsf8,Tyrobp,Zbtb20,Sphk2,Clec7a,Arfgef2,Nod1,Tmem106a,Rigi,Oas3,Oas2,Nod2</t>
  </si>
  <si>
    <t>GO:1903557</t>
  </si>
  <si>
    <t>positive regulation of tumor necrosis factor superfamily cytokine production</t>
  </si>
  <si>
    <t>26/116</t>
  </si>
  <si>
    <t>GO:0032755</t>
  </si>
  <si>
    <t>positive regulation of interleukin-6 production</t>
  </si>
  <si>
    <t>23/110</t>
  </si>
  <si>
    <t>Aif1,App,Fcer1g,Cd74,Il1a,Laptm5,Mmp8,Nos2,Ptafr,Tlr1,Tnf,Tyrobp,Unc93b1,Zbtb20,Sphk2,Tbc1d23,Nod1,Grk2,Tlr8,Tmem106a,Rab7b,Rigi,Nod2</t>
  </si>
  <si>
    <t>GO:0001775</t>
  </si>
  <si>
    <t>cell activation</t>
  </si>
  <si>
    <t>87/781</t>
  </si>
  <si>
    <t>Abl1,Acvrl1,Adam9,Agt,Ahr,Aif1,Anxa3,App,Atp7a,Bcl2a1d,Bcl3,Cast,Ctnnb1,Cd22,Cd38,Entpd1,Cd48,Cd81,Cd83,Cebpg,Cfh,Clu,Csf1r,Evl,Fcer1g,Fcgr3,Fut7,Gnas,Mr1,Irf8,Cxcl10,Ifnar1,Ifngr1,Ifngr2,Cd74,Il15ra,Il4ra,Itch,Itgal,Mafb,Lcp2,Ly9,Lyn,Mertk,Myo1f,Slc11a1,Psap,Ptk2b,Ptprj,Relb,Ccl5,Sema4a,Spi1,St3gal1,Slfn2,Sox4,Stxbp3,Tgfbr2,Tlr1,Tnf,Tnfaip3,Cd40,Tpd52,Tyrobp,Ebi3,Elf4,Rsad2,Nampt,Nmi,Kdelr1,Tnfaip8l2,Nfam1,Dock8,Ulbp1,Nfkbiz,Wwp1,Fermt3,Card11,Abr,Dock10,Sbno2,Tmem106a,Cd300a,Tnfrsf14,Prex1,Smo,Ep300</t>
  </si>
  <si>
    <t>GO:0045321</t>
  </si>
  <si>
    <t>leukocyte activation</t>
  </si>
  <si>
    <t>76/684</t>
  </si>
  <si>
    <t>Abl1,Adam9,Ahr,Aif1,Anxa3,App,Atp7a,Bcl2a1d,Bcl3,Ctnnb1,Cd22,Cd38,Cd48,Cd81,Cd83,Cebpg,Clu,Csf1r,Fcer1g,Fcgr3,Fut7,Mr1,Irf8,Ifnar1,Ifngr1,Ifngr2,Cd74,Il15ra,Il4ra,Itch,Itgal,Mafb,Lcp2,Ly9,Lyn,Mertk,Myo1f,Slc11a1,Psap,Ptk2b,Ptprj,Relb,Ccl5,Sema4a,Spi1,St3gal1,Slfn2,Sox4,Tgfbr2,Tlr1,Tnf,Tnfaip3,Cd40,Tpd52,Tyrobp,Ebi3,Elf4,Rsad2,Nampt,Nmi,Kdelr1,Tnfaip8l2,Nfam1,Dock8,Ulbp1,Nfkbiz,Wwp1,Card11,Abr,Dock10,Sbno2,Tmem106a,Cd300a,Tnfrsf14,Prex1,Ep300</t>
  </si>
  <si>
    <t>GO:0002521</t>
  </si>
  <si>
    <t>leukocyte differentiation</t>
  </si>
  <si>
    <t>60/481</t>
  </si>
  <si>
    <t>Abl1,Ahr,App,Atp7a,Bcl2a1d,Bcl3,Ctnnb1,Runx1,Cd81,Cd83,Cebpa,Cebpg,Csf1r,Csf3,Fcer1g,Sh3pxd2a,Fos,Fut7,Gab2,Mr1,Irf8,Ifi203,Ifi204,Cd74,Il15ra,Il4ra,Mafb,Il1rl1,Ly9,Lyn,Mertk,Psap,Ptk2b,Ptprj,Relb,Sema4a,Spi1,St3gal1,Sox4,Src,Tgfbr2,Tnf,Tnfaip3,Tpd52,Tyrobp,Rsad2,Tmem176b,Kdelr1,Nfam1,Ocstamp,Nfkbiz,Wwp1,Card11,Dock10,Sbno2,Ifi207,Prex1,Ep300,Ifi211,Mndal</t>
  </si>
  <si>
    <t>GO:1903131</t>
  </si>
  <si>
    <t>mononuclear cell differentiation</t>
  </si>
  <si>
    <t>45/390</t>
  </si>
  <si>
    <t>Abl1,Ahr,Atp7a,Bcl2a1d,Bcl3,Ctnnb1,Cd83,Cebpg,Fcer1g,Fut7,Mr1,Irf8,Ifi203,Ifi204,Cd74,Il15ra,Il4ra,Mafb,Ly9,Lyn,Mertk,Psap,Ptk2b,Ptprj,Relb,Sema4a,Spi1,St3gal1,Sox4,Tgfbr2,Tnfaip3,Tpd52,Rsad2,Tmem176b,Kdelr1,Nfam1,Nfkbiz,Wwp1,Card11,Dock10,Ifi207,Prex1,Ep300,Ifi211,Mndal</t>
  </si>
  <si>
    <t>GO:0002263</t>
  </si>
  <si>
    <t>cell activation involved in immune response</t>
  </si>
  <si>
    <t>29/215</t>
  </si>
  <si>
    <t>Abl1,Anxa3,App,Atp7a,Bcl3,Fcer1g,Irf8,Cd74,Il4ra,Itgal,Ly9,Lyn,Myo1f,Slc11a1,Ptk2b,Relb,Sema4a,Spi1,St3gal1,Slfn2,Tnf,Tnfaip3,Tyrobp,Nmi,Nfkbiz,Abr,Dock10,Sbno2,Cd300a</t>
  </si>
  <si>
    <t>GO:0002366</t>
  </si>
  <si>
    <t>leukocyte activation involved in immune response</t>
  </si>
  <si>
    <t>28/211</t>
  </si>
  <si>
    <t>Abl1,Anxa3,Atp7a,Bcl3,Fcer1g,Irf8,Cd74,Il4ra,Itgal,Ly9,Lyn,Myo1f,Slc11a1,Ptk2b,Relb,Sema4a,Spi1,St3gal1,Slfn2,Tnf,Tnfaip3,Tyrobp,Nmi,Nfkbiz,Abr,Dock10,Sbno2,Cd300a</t>
  </si>
  <si>
    <t>GO:0050865</t>
  </si>
  <si>
    <t>regulation of cell activation</t>
  </si>
  <si>
    <t>80/699</t>
  </si>
  <si>
    <t>Abl1,Ahr,Aif1,Apoe,Prdm1,Ctnnb1,Runx1,Cd22,Cd38,Cd81,Cd83,Cebpa,Csf1r,Csk,Fcer1g,Fes,Gab2,Gnaq,Hfe,Cd74,Il12rb2,Il15ra,Il1a,Il4ra,Inpp5d,Itch,Itgal,Cd47,Laptm5,Lst1,Il1rl1,Lyn,Lyst,Mertk,Mmp14,Mmp8,Pld2,Ptafr,Sirpa,Ptprj,Rac2,Ccl5,Spi1,Sox12,Sox4,Tec,Tgfbr2,Tnf,Tnfaip3,Tnfrsf1b,Cd40,Tyrobp,Nr1h3,Tyk2,Sphk2,Clec7a,Tex101,Vav3,Crlf2,Smarca2,Snx4,Tnfaip8l2,Nfam1,Vsir,Dock8,Ulbp1,Nfkbiz,Card11,Abr,Nlrp3,Cd300a,Tmem131l,Syt11,Zc3h12a,Tnfrsf14,Tarm1,Nod2,Smo,Pram1,Sirpb1c</t>
  </si>
  <si>
    <t>GO:0002694</t>
  </si>
  <si>
    <t>regulation of leukocyte activation</t>
  </si>
  <si>
    <t>75/643</t>
  </si>
  <si>
    <t>Abl1,Ahr,Aif1,Prdm1,Ctnnb1,Runx1,Cd22,Cd38,Cd81,Cd83,Cebpa,Csf1r,Csk,Fcer1g,Fes,Gab2,Hfe,Cd74,Il12rb2,Il15ra,Il1a,Il4ra,Inpp5d,Itch,Itgal,Cd47,Laptm5,Lst1,Il1rl1,Lyn,Lyst,Mertk,Mmp14,Mmp8,Pld2,Ptafr,Sirpa,Rac2,Ccl5,Spi1,Sox12,Sox4,Tgfbr2,Tnf,Tnfaip3,Tnfrsf1b,Cd40,Tyrobp,Nr1h3,Tyk2,Sphk2,Clec7a,Tex101,Vav3,Crlf2,Smarca2,Snx4,Tnfaip8l2,Nfam1,Vsir,Dock8,Ulbp1,Nfkbiz,Card11,Abr,Nlrp3,Cd300a,Tmem131l,Syt11,Zc3h12a,Tnfrsf14,Tarm1,Nod2,Pram1,Sirpb1c</t>
  </si>
  <si>
    <t>GO:0050867</t>
  </si>
  <si>
    <t>positive regulation of cell activation</t>
  </si>
  <si>
    <t>52/430</t>
  </si>
  <si>
    <t>Abl1,Aif1,Runx1,Cd38,Cd81,Cd83,Cebpa,Csf1r,Fcer1g,Gab2,Cd74,Il12rb2,Il15ra,Il1a,Il4ra,Inpp5d,Itgal,Cd47,Il1rl1,Lyst,Mmp14,Mmp8,Pld2,Ptafr,Sirpa,Ptprj,Ccl5,Spi1,Sox12,Sox4,Tgfbr2,Tnf,Cd40,Tyrobp,Tyk2,Sphk2,Clec7a,Tex101,Vav3,Crlf2,Smarca2,Snx4,Vsir,Dock8,Ulbp1,Nfkbiz,Card11,Nlrp3,Tnfrsf14,Nod2,Smo,Sirpb1c</t>
  </si>
  <si>
    <t>GO:0002696</t>
  </si>
  <si>
    <t>positive regulation of leukocyte activation</t>
  </si>
  <si>
    <t>50/408</t>
  </si>
  <si>
    <t>Abl1,Aif1,Runx1,Cd38,Cd81,Cd83,Cebpa,Csf1r,Fcer1g,Gab2,Cd74,Il12rb2,Il15ra,Il1a,Il4ra,Inpp5d,Itgal,Cd47,Il1rl1,Lyst,Mmp14,Mmp8,Pld2,Ptafr,Sirpa,Ccl5,Spi1,Sox12,Sox4,Tgfbr2,Tnf,Cd40,Tyrobp,Tyk2,Sphk2,Clec7a,Tex101,Vav3,Crlf2,Smarca2,Snx4,Vsir,Dock8,Ulbp1,Nfkbiz,Card11,Nlrp3,Tnfrsf14,Nod2,Sirpb1c</t>
  </si>
  <si>
    <t>GO:0051249</t>
  </si>
  <si>
    <t>regulation of lymphocyte activation</t>
  </si>
  <si>
    <t>58/530</t>
  </si>
  <si>
    <t>Abl1,Ahr,Aif1,Prdm1,Ctnnb1,Runx1,Cd22,Cd38,Cd81,Cd83,Csf1r,Csk,Hfe,Cd74,Il12rb2,Il15ra,Il1a,Il4ra,Inpp5d,Itch,Itgal,Cd47,Laptm5,Lst1,Lyn,Lyst,Mertk,Mmp14,Sirpa,Rac2,Ccl5,Spi1,Sox12,Sox4,Tgfbr2,Tnfaip3,Tnfrsf1b,Cd40,Tyrobp,Tyk2,Clec7a,Vav3,Smarca2,Tnfaip8l2,Nfam1,Vsir,Dock8,Ulbp1,Nfkbiz,Card11,Nlrp3,Cd300a,Tmem131l,Zc3h12a,Tnfrsf14,Tarm1,Nod2,Sirpb1c</t>
  </si>
  <si>
    <t>GO:1903706</t>
  </si>
  <si>
    <t>regulation of hemopoiesis</t>
  </si>
  <si>
    <t>49/445</t>
  </si>
  <si>
    <t>Abl1,Prdm1,C1qc,Ctnnb1,Runx1,Cd83,Cebpa,Csf1r,Csf3,Csf3r,Fes,Fos,Gnas,Cd74,Il15ra,Il4ra,Inpp5d,Mafb,Lyn,Mmp14,Ninj1,Ptk2b,Rb1,Ripk1,Ccl5,Spi1,Sox12,Sox4,Tgfbr2,Tnf,Tyrobp,Foxo3,Tmem176b,Tmem176a,Smarca2,Mturn,Nfam1,Vsir,Ocstamp,Nfkbiz,Clec2d,Card11,Rassf2,Nlrp3,Rab7b,Tmem131l,Zc3h12a,Inpp4b,Isg15</t>
  </si>
  <si>
    <t>GO:0045785</t>
  </si>
  <si>
    <t>positive regulation of cell adhesion</t>
  </si>
  <si>
    <t>53/517</t>
  </si>
  <si>
    <t>Abl1,Adam19,Adam9,Aif1,Runx1,Cd81,Cd83,Flot1,Fut7,Cd74,Il12rb2,Il1a,Irak1,Il4ra,Ilk,Itga6,Itgal,Cd47,Kdr,Ninj1,Pik3r2,Pld2,Ptafr,Ptk2b,Sirpa,Ptprj,Rac1,Ccl5,Sox12,Sox4,Src,Tgfbr2,Tgm2,Tnf,Utrn,Map4k4,Myadm,Tyk2,Vav3,Smarca2,Rreb1,Rin2,Vsir,Dock8,Nfkbiz,Card11,Nlrp3,Tnfrsf14,Kif26b,Prex1,Dock1,Olfm4,Sirpb1c</t>
  </si>
  <si>
    <t>GO:1902105</t>
  </si>
  <si>
    <t>regulation of leukocyte differentiation</t>
  </si>
  <si>
    <t>41/359</t>
  </si>
  <si>
    <t>Abl1,Prdm1,C1qc,Ctnnb1,Runx1,Cd83,Csf1r,Fes,Fos,Gnas,Cd74,Il15ra,Il4ra,Inpp5d,Mafb,Lyn,Mmp14,Ninj1,Rb1,Ripk1,Ccl5,Spi1,Sox12,Sox4,Tgfbr2,Tnf,Tyrobp,Tmem176b,Tmem176a,Smarca2,Nfam1,Vsir,Ocstamp,Nfkbiz,Clec2d,Card11,Rassf2,Nlrp3,Tmem131l,Zc3h12a,Inpp4b</t>
  </si>
  <si>
    <t>GO:0070663</t>
  </si>
  <si>
    <t>regulation of leukocyte proliferation</t>
  </si>
  <si>
    <t>35/287</t>
  </si>
  <si>
    <t>Ahr,Aif1,Ctnnb1,Cd22,Cd38,Cd81,Csf1r,Csf2ra,Cd74,Il12rb2,Il1a,Inpp5d,Itch,Itgal,Laptm5,Lst1,Lyn,Rac2,Ccl5,St6gal1,Tgfbr2,Tnfrsf1b,Cd40,Tyrobp,Mapk1,Mapk3,Tyk2,Vav3,Vsir,Ocstamp,Card11,Cd300a,Tmem131l,Tnfrsf14,Tarm1</t>
  </si>
  <si>
    <t>GO:0006897</t>
  </si>
  <si>
    <t>endocytosis</t>
  </si>
  <si>
    <t>55/400</t>
  </si>
  <si>
    <t>Abca1,Abl1,Aif1,Ap2m1,Apoe,App,Atp9a,Scarb2,Cd81,Cln3,Fcer1g,Fcgr3,Flot1,Grb2,Il10ra,Insr,Itsn1,Lrp6,Mrc1,Pld2,Lgals3bp,Sirpa,Rab5b,Rac1,Siglec1,Sorl1,Scarb1,Tgfbr2,Ulk1,Mapk1,Mapk3,Calcrl,Clec7a,Necap2,Tbc1d2b,Rin2,Siglece,Mapkapk3,Csnk1g2,Rab31,Grk2,Reps2,Fchsd2,Neurl3,Cd300a,Marchf2,Treml4,Dennd1a,Arhgap25,Ap2s1,Picalm,Ldlrad3,Heatr5a,Entrep1,Rubcn</t>
  </si>
  <si>
    <t>GO:0006898</t>
  </si>
  <si>
    <t>receptor-mediated endocytosis</t>
  </si>
  <si>
    <t>25/165</t>
  </si>
  <si>
    <t>Ap2m1,Apoe,Scarb2,Cd81,Cln3,Fcer1g,Grb2,Insr,Itsn1,Lrp6,Mrc1,Pld2,Siglec1,Sorl1,Tgfbr2,Ulk1,Calcrl,Rab31,Grk2,Fchsd2,Cd300a,Ap2s1,Picalm,Ldlrad3,Entrep1</t>
  </si>
  <si>
    <t>GO:0002252</t>
  </si>
  <si>
    <t>immune effector process</t>
  </si>
  <si>
    <t>55/408</t>
  </si>
  <si>
    <t>Abl1,Anxa3,App,Atp7a,Bcl3,C1qb,C1qc,C3,Cd81,Cebpg,Cfh,Clu,Csf3r,Ctsh,Fcer1g,Fcgr3,Fut7,H2-D1,H2-K1,Irf8,Cd74,Il4ra,Inpp5d,Itgal,Cd47,Ly9,Lyn,Lyst,Myo1f,Ncf1,Slc11a1,Ptk2b,Relb,Sema4a,Spi1,St3gal1,Slfn2,Tnf,Tnfaip3,Cd40,Tyrobp,Irf7,Unc93b1,Crlf2,Nmi,Kdelr1,Ulbp1,Nfkbiz,Abr,Dock10,Sbno2,Cd300a,Treml4,Nod2,Raet1e</t>
  </si>
  <si>
    <t>GO:0002443</t>
  </si>
  <si>
    <t>leukocyte mediated immunity</t>
  </si>
  <si>
    <t>35/253</t>
  </si>
  <si>
    <t>Anxa3,Bcl3,C1qb,C1qc,C3,Cd81,Cebpg,Cfh,Csf3r,Ctsh,Fcer1g,Fcgr3,H2-D1,H2-K1,Cd74,Il4ra,Inpp5d,Lyn,Lyst,Myo1f,Ncf1,Slc11a1,Slfn2,Cd40,Irf7,Unc93b1,Crlf2,Kdelr1,Ulbp1,Nfkbiz,Abr,Cd300a,Treml4,Nod2,Raet1e</t>
  </si>
  <si>
    <t>GO:0002460</t>
  </si>
  <si>
    <t>adaptive immune response based on somatic recombination of immune receptors built from immunoglobulin superfamily domains</t>
  </si>
  <si>
    <t>31/213</t>
  </si>
  <si>
    <t>Bcl3,C1qb,C1qc,C3,Cd81,Cfh,Csf3r,Ctsh,Fcer1g,Fcgr3,H2-D1,H2-K1,Cd74,Il4ra,Inpp5d,Ly9,Lyst,Notch1,Slc11a1,Relb,Sema4a,Slfn2,Cd40,Irf7,Unc93b1,Crlf2,Kdelr1,Nfkbiz,Treml4,Nod2,Raet1e</t>
  </si>
  <si>
    <t>GO:0002250</t>
  </si>
  <si>
    <t>adaptive immune response</t>
  </si>
  <si>
    <t>43/365</t>
  </si>
  <si>
    <t>Bcl3,Prdm1,C1qb,C1qc,C3,Cd81,Cfh,Csf3r,Csk,Ctsh,Adgre1,Fcer1g,Fcgr3,H2-D1,H2-K1,Cd74,Il4ra,Inpp5d,Ly9,Lyn,Lyst,Notch1,Slc11a1,Ptk2b,Relb,Sema4a,Slfn2,Tec,Cd40,Irf7,Unc93b1,Crlf2,Kdelr1,Mcoln2,Nfkbiz,Erap1,Mfsd6,Orai1,Treml4,Tnfrsf14,Tarm1,Nod2,Raet1e</t>
  </si>
  <si>
    <t>GO:0002449</t>
  </si>
  <si>
    <t>lymphocyte mediated immunity</t>
  </si>
  <si>
    <t>29/199</t>
  </si>
  <si>
    <t>Bcl3,C1qb,C1qc,C3,Cd81,Cebpg,Cfh,Csf3r,Ctsh,Fcer1g,Fcgr3,H2-D1,H2-K1,Cd74,Il4ra,Inpp5d,Lyst,Slc11a1,Slfn2,Cd40,Irf7,Unc93b1,Crlf2,Kdelr1,Ulbp1,Nfkbiz,Treml4,Nod2,Raet1e</t>
  </si>
  <si>
    <t>GO:0034341</t>
  </si>
  <si>
    <t>response to type II interferon</t>
  </si>
  <si>
    <t>29/134</t>
  </si>
  <si>
    <t>Evl,Gbp2,Irf8,Irgm1,Ifngr1,Cd74,Cd47,Mrc1,Nos2,Slc11a1,Sirpa,Ccl4,Ccl5,Trim21,Stxbp3,Tnf,Cd40,Zyx,Rab11fip5,Irgm2,Tyk2,Gbp3,Nmi,Dapk1,Kynu,Ifitm2,Cdc42ep2,Rab7b,Gbp7</t>
  </si>
  <si>
    <t>GO:0071346</t>
  </si>
  <si>
    <t>cellular response to type II interferon</t>
  </si>
  <si>
    <t>22/104</t>
  </si>
  <si>
    <t>Evl,Gbp2,Irf8,Irgm1,Ifngr1,Cd47,Mrc1,Nos2,Sirpa,Ccl4,Ccl5,Stxbp3,Tnf,Zyx,Rab11fip5,Tyk2,Gbp3,Nmi,Dapk1,Cdc42ep2,Rab7b,Gbp7</t>
  </si>
  <si>
    <t>GO:0032731</t>
  </si>
  <si>
    <t>positive regulation of interleukin-1 beta production</t>
  </si>
  <si>
    <t>20/67</t>
  </si>
  <si>
    <t>App,Casp4,Ifi203,Ifi204,Ifnar1,Naip5,Tnf,Tyrobp,Gsdmd,Nod1,Tlr8,Nlrp1a,Nlrp3,Tmem106a,Ifi207,Nod2,Nlrc4,Ifi211,Nlrp1b,Mndal</t>
  </si>
  <si>
    <t>GO:0032651</t>
  </si>
  <si>
    <t>regulation of interleukin-1 beta production</t>
  </si>
  <si>
    <t>24/102</t>
  </si>
  <si>
    <t>App,Casp4,Ifi203,Ifi204,Ifnar1,Naip5,Sirpa,Tnf,Tnfaip3,Tyrobp,Elf4,Gsdmd,Nod1,Tlr8,Nlrp1a,Nlrp3,Tmem106a,Ifi207,Zc3h12a,Nod2,Nlrc4,Ifi211,Nlrp1b,Mndal</t>
  </si>
  <si>
    <t>GO:0032732</t>
  </si>
  <si>
    <t>positive regulation of interleukin-1 production</t>
  </si>
  <si>
    <t>20/78</t>
  </si>
  <si>
    <t>GO:0032652</t>
  </si>
  <si>
    <t>regulation of interleukin-1 production</t>
  </si>
  <si>
    <t>24/122</t>
  </si>
  <si>
    <t>GO:2000117</t>
  </si>
  <si>
    <t>negative regulation of cysteine-type endopeptidase activity</t>
  </si>
  <si>
    <t>19/102</t>
  </si>
  <si>
    <t>Xiap,Bcl2a1d,Cast,Cst3,Htt,Hgf,Ifi203,Ifi204,Naip5,Naip6,Src,Tnf,Rffl,Grk2,Rps6ka3,Ifi207,Ep300,Ifi211,Mndal</t>
  </si>
  <si>
    <t>GO:2000116</t>
  </si>
  <si>
    <t>regulation of cysteine-type endopeptidase activity</t>
  </si>
  <si>
    <t>32/252</t>
  </si>
  <si>
    <t>Xiap,App,Bcl2a1d,Bcl2l11,Cast,Cst3,Eif2ak3,Htt,Hgf,Ifi203,Ifi204,Laptm5,Psmb9,Naip5,Naip6,Slc11a2,Src,Tnf,Mtch1,Rffl,Dapk1,Nod1,Grk2,Rps6ka3,Nlrp1a,Nlrp3,Ifi207,Nlrc4,Ep300,Ifi211,Nlrp1b,Mndal</t>
  </si>
  <si>
    <t>GO:0043408</t>
  </si>
  <si>
    <t>regulation of MAPK cascade</t>
  </si>
  <si>
    <t>79/750</t>
  </si>
  <si>
    <t>Abl1,Adam9,Agt,Apoe,App,Atf3,C3,Ctnnb1,Cd81,Csf1r,Csk,Gnai2,Grb2,Hgf,Cd74,Il1a,Irak1,Ilk,Insr,Itch,Kdr,Laptm5,Lyn,Met,Mmp8,Naip5,Naip6,Nbr1,Notch1,Pik3r2,Inpp5k,Psap,Ptk2b,Ptpn1,Dusp1,Sirpa,Ptprj,Rac1,Ripk1,Ccl4,Ccl5,Spi1,Sla,Sorl1,Src,Tgfbr1,Timp2,Tnf,Cd40,Traf1,Zeb2,Fgd2,Map3k11,Mapk1,Mapk3,Map4k4,Abca7,Tnip1,Cdc42se1,Mturn,Sash1,Spag9,Akap13,Rapgef2,Lamtor2,Rell1,Stk38,Nod1,Dstyk,Rassf2,Tmem106a,Cd300a,Fgd4,Zc3h12a,P2ry6,Nod2,Tlr13,C5ar2,Ksr2</t>
  </si>
  <si>
    <t>GO:0043410</t>
  </si>
  <si>
    <t>positive regulation of MAPK cascade</t>
  </si>
  <si>
    <t>61/541</t>
  </si>
  <si>
    <t>Abl1,Adam9,Agt,Apoe,App,C3,Ctnnb1,Cd81,Csf1r,Csk,Gnai2,Hgf,Cd74,Il1a,Irak1,Ilk,Insr,Kdr,Laptm5,Met,Mmp8,Naip5,Naip6,Notch1,Psap,Ptk2b,Ptpn1,Ptprj,Ripk1,Ccl4,Ccl5,Spi1,Src,Tgfbr1,Timp2,Tnf,Cd40,Traf1,Zeb2,Fgd2,Map3k11,Mapk3,Map4k4,Abca7,Mturn,Sash1,Spag9,Akap13,Rapgef2,Lamtor2,Rell1,Nod1,Dstyk,Rassf2,Tmem106a,Fgd4,Zc3h12a,P2ry6,Nod2,C5ar2,Ksr2</t>
  </si>
  <si>
    <t>GO:0070302</t>
  </si>
  <si>
    <t>regulation of stress-activated protein kinase signaling cascade</t>
  </si>
  <si>
    <t>31/206</t>
  </si>
  <si>
    <t>App,Hgf,Il1a,Itch,Lyn,Met,Mmp8,Naip5,Naip6,Nbr1,Ptk2b,Dusp1,Sirpa,Ripk1,Spi1,Tnf,Traf1,Rnf13,Map3k11,Mapk1,Mapk3,Map4k4,Cdc42se1,Mturn,Sash1,Rell1,Nod1,Rassf2,Fgd4,Zc3h12a,Nod2</t>
  </si>
  <si>
    <t>GO:0032872</t>
  </si>
  <si>
    <t>regulation of stress-activated MAPK cascade</t>
  </si>
  <si>
    <t>29/203</t>
  </si>
  <si>
    <t>App,Hgf,Il1a,Itch,Met,Mmp8,Naip5,Naip6,Nbr1,Ptk2b,Dusp1,Sirpa,Ripk1,Spi1,Tnf,Traf1,Map3k11,Mapk1,Mapk3,Map4k4,Cdc42se1,Mturn,Sash1,Rell1,Nod1,Rassf2,Fgd4,Zc3h12a,Nod2</t>
  </si>
  <si>
    <t>GO:0070304</t>
  </si>
  <si>
    <t>positive regulation of stress-activated protein kinase signaling cascade</t>
  </si>
  <si>
    <t>23/139</t>
  </si>
  <si>
    <t>App,Il1a,Lyn,Met,Mmp8,Naip5,Naip6,Ptk2b,Ripk1,Spi1,Tnf,Traf1,Rnf13,Map3k11,Map4k4,Mturn,Sash1,Rell1,Nod1,Rassf2,Fgd4,Zc3h12a,Nod2</t>
  </si>
  <si>
    <t>GO:0019882</t>
  </si>
  <si>
    <t>antigen processing and presentation</t>
  </si>
  <si>
    <t>26/120</t>
  </si>
  <si>
    <t>Fcer1g,Fcgr3,H2-D1,H2-K1,H2-Q4,H2-T24,Mr1,Hfe,Cd74,Psmb9,Slc11a1,Psap,Rab10,Rab5b,Relb,Tapbp,Unc93b1,Ifi30,Rab32,Ulbp1,Erap1,Mfsd6,Tapbpl,Treml4,Rab8b,Raet1e</t>
  </si>
  <si>
    <t>GO:0002697</t>
  </si>
  <si>
    <t>regulation of immune effector process</t>
  </si>
  <si>
    <t>53/471</t>
  </si>
  <si>
    <t>Ahr,C3,Casp4,Cd22,Cd81,Cfh,Fcer1g,Fcgr3,Fes,Fut7,Gab2,H2-D1,H2-K1,H2-Q4,H2-T24,Mr1,Hfe,Cd74,Il4ra,Cd47,Laptm5,Lyn,Ncf1,Pld2,Ptafr,Ptprj,Rac2,Spi1,Tnf,Tnfaip3,Tnfrsf1b,Cd40,Tyrobp,Stx7,Sphk2,Litaf,Rsad2,Snx4,Vsir,Ulbp1,Nfkbiz,Dhx58,Clec2d,Nod1,Abr,Nlrp3,Cd300a,Rigi,Zc3h12a,Tnfrsf14,Nod2,Pram1,Raet1e</t>
  </si>
  <si>
    <t>GO:0002819</t>
  </si>
  <si>
    <t>regulation of adaptive immune response</t>
  </si>
  <si>
    <t>34/249</t>
  </si>
  <si>
    <t>Adcy7,Ahr,C3,Cd48,Cd81,Fcer1g,Fcgr3,Fut7,H2-D1,H2-K1,H2-Q4,H2-T24,Mr1,Hfe,Cd74,Il4ra,Il1rl1,Slc11a1,Tnf,Tnfaip3,Tnfrsf1b,Cd40,Stx7,Irf7,Tyk2,Rsad2,Vsir,Ulbp1,Nfkbiz,Nlrp3,Zc3h12a,Tnfrsf14,Nod2,Raet1e</t>
  </si>
  <si>
    <t>GO:0048002</t>
  </si>
  <si>
    <t>antigen processing and presentation of peptide antigen</t>
  </si>
  <si>
    <t>18/82</t>
  </si>
  <si>
    <t>Fcer1g,Fcgr3,H2-D1,H2-K1,H2-Q4,H2-T24,Mr1,Hfe,Cd74,Slc11a1,Tapbp,Unc93b1,Ifi30,Ulbp1,Erap1,Mfsd6,Tapbpl,Raet1e</t>
  </si>
  <si>
    <t>GO:0002474</t>
  </si>
  <si>
    <t>antigen processing and presentation of peptide antigen via MHC class I</t>
  </si>
  <si>
    <t>15/60</t>
  </si>
  <si>
    <t>Fcer1g,Fcgr3,H2-D1,H2-K1,H2-Q4,H2-T24,Mr1,Hfe,Tapbp,Ifi30,Ulbp1,Erap1,Mfsd6,Tapbpl,Raet1e</t>
  </si>
  <si>
    <t>GO:0002703</t>
  </si>
  <si>
    <t>regulation of leukocyte mediated immunity</t>
  </si>
  <si>
    <t>38/310</t>
  </si>
  <si>
    <t>Ahr,C3,Cd81,Fcer1g,Fcgr3,Fes,Fut7,Gab2,H2-D1,H2-K1,H2-Q4,H2-T24,Mr1,Hfe,Il4ra,Lyn,Pld2,Ptafr,Rac2,Spi1,Tnf,Tnfrsf1b,Cd40,Tyrobp,Stx7,Sphk2,Rsad2,Snx4,Vsir,Ulbp1,Clec2d,Abr,Nlrp3,Cd300a,Rigi,Nod2,Pram1,Raet1e</t>
  </si>
  <si>
    <t>GO:0002699</t>
  </si>
  <si>
    <t>positive regulation of immune effector process</t>
  </si>
  <si>
    <t>39/327</t>
  </si>
  <si>
    <t>C3,Casp4,Cd81,Fcer1g,Fcgr3,Fes,Gab2,H2-D1,H2-K1,H2-Q4,H2-T24,Mr1,Hfe,Cd74,Il4ra,Laptm5,Lyn,Pld2,Ptafr,Ptprj,Rac2,Spi1,Tnf,Cd40,Tyrobp,Stx7,Sphk2,Rsad2,Snx4,Ulbp1,Nfkbiz,Dhx58,Nod1,Nlrp3,Cd300a,Rigi,Tnfrsf14,Nod2,Raet1e</t>
  </si>
  <si>
    <t>GO:0010942</t>
  </si>
  <si>
    <t>positive regulation of cell death</t>
  </si>
  <si>
    <t>75/708</t>
  </si>
  <si>
    <t>Abl1,Agt,Apbb2,Apoe,App,Atf3,Axin2,Bcl2a1b,Bcl2a1d,Bcl2l11,Bnip3l,Tspo,C3,Capn2,Casp7,Ctnna1,Ctnnb1,Cdk5r1,Clu,Ctsh,Eif2ak3,Fos,Htt,Inpp5d,Itga6,Laptm5,Lrp6,Lyn,Ncoa1,Nos2,Notch1,Nsmaf,Pdcd4,Dusp1,Ripk1,Ccl5,Siglec1,Sod2,Sox4,Src,Slc6a6,Tgfbr1,Tgm2,Tnf,Tnfrsf1b,Cd40,Tnfrsf8,Tyrobp,Map3k11,Slc27a4,Serinc3,Ing4,Htatip2,Sh3glb1,Mtch1,Foxo3,Sphk2,Clec7a,Itm2c,Dapk1,Rapgef2,Cdk19,Trps1,Kmo,Ano6,Nod1,Sp110,Grk2,Bmf,Klf11,Rassf2,Zc3h12a,Picalm,Nlrc4,Ep300</t>
  </si>
  <si>
    <t>GO:0043068</t>
  </si>
  <si>
    <t>positive regulation of programmed cell death</t>
  </si>
  <si>
    <t>67/634</t>
  </si>
  <si>
    <t>Abl1,Agt,Apbb2,App,Atf3,Bcl2a1b,Bcl2a1d,Bcl2l11,Bnip3l,Tspo,C3,Capn2,Casp7,Ctnna1,Ctnnb1,Cdk5r1,Clu,Ctsh,Eif2ak3,Htt,Inpp5d,Itga6,Laptm5,Lrp6,Lyn,Ncoa1,Nos2,Notch1,Nsmaf,Pdcd4,Dusp1,Ripk1,Ccl5,Siglec1,Sod2,Sox4,Src,Tgfbr1,Tgm2,Tnf,Tnfrsf1b,Cd40,Tnfrsf8,Tyrobp,Map3k11,Slc27a4,Serinc3,Ing4,Htatip2,Sh3glb1,Mtch1,Foxo3,Sphk2,Clec7a,Itm2c,Dapk1,Rapgef2,Cdk19,Trps1,Ano6,Sp110,Grk2,Bmf,Klf11,Rassf2,Zc3h12a,Nlrc4</t>
  </si>
  <si>
    <t>GO:0043065</t>
  </si>
  <si>
    <t>positive regulation of apoptotic process</t>
  </si>
  <si>
    <t>64/621</t>
  </si>
  <si>
    <t>Abl1,Agt,Apbb2,App,Atf3,Bcl2a1b,Bcl2a1d,Bcl2l11,Bnip3l,Tspo,C3,Capn2,Casp7,Ctnna1,Ctnnb1,Cdk5r1,Clu,Ctsh,Eif2ak3,Htt,Inpp5d,Itga6,Lrp6,Lyn,Ncoa1,Nos2,Notch1,Nsmaf,Pdcd4,Dusp1,Ripk1,Ccl5,Siglec1,Sod2,Sox4,Src,Tgfbr1,Tgm2,Tnf,Tnfrsf1b,Cd40,Tnfrsf8,Tyrobp,Map3k11,Slc27a4,Serinc3,Ing4,Sh3glb1,Mtch1,Foxo3,Sphk2,Itm2c,Dapk1,Rapgef2,Cdk19,Trps1,Ano6,Sp110,Grk2,Bmf,Klf11,Rassf2,Zc3h12a,Nlrc4</t>
  </si>
  <si>
    <t>GO:0071216</t>
  </si>
  <si>
    <t>cellular response to biotic stimulus</t>
  </si>
  <si>
    <t>45/325</t>
  </si>
  <si>
    <t>Abca1,Abl1,Adam9,Bcl2l11,Cfh,Eif2ak3,Gbp2,Irf8,Irgm1,Cxcl10,Igtp,Il1a,Irak1,Ly86,Lyn,Mrc1,Nfkb1,Nos2,Notch1,Pdcd4,Ptafr,Sirpa,Ccl5,Cxcl2,Spi1,Tlr1,Tnf,Tnfaip3,Tnfrsf1b,Cmpk2,Nr1h3,Mapk1,Mapk3,Irf3,Irgm2,Clec7a,Litaf,Tnip1,Nfkbiz,Irak2,Tifab,Sbno2,Nlrp3,Zc3h12a,Nod2</t>
  </si>
  <si>
    <t>GO:0032496</t>
  </si>
  <si>
    <t>response to lipopolysaccharide</t>
  </si>
  <si>
    <t>49/375</t>
  </si>
  <si>
    <t>Abca1,Abl1,Adam9,Cfh,Gbp2,Irf8,Irgm1,Cxcl10,Ifnar1,Igtp,Il12rb2,Il1a,Irak1,Ly86,Lyn,Mrc1,Nfkb1,Nos2,Slc11a1,Pdcd4,Ptafr,Sirpa,Ccl5,Cxcl2,Spi1,Scarb1,Tnf,Tnfaip3,Tnfrsf1b,Cmpk2,Nr1h3,Mapk1,Mapk3,Irf3,Irgm2,Mgst1,Litaf,Tnip1,Erbin,Nfkbiz,Mapkapk3,Irak2,Abr,Rps6ka3,Tifab,Sbno2,Nlrp3,Zc3h12a,Nod2</t>
  </si>
  <si>
    <t>GO:0002237</t>
  </si>
  <si>
    <t>response to molecule of bacterial origin</t>
  </si>
  <si>
    <t>50/395</t>
  </si>
  <si>
    <t>Abca1,Abl1,Adam9,Cfh,Gbp2,Irf8,Irgm1,Cxcl10,Ifnar1,Igtp,Il12rb2,Il1a,Irak1,Ly86,Lyn,Mrc1,Nfkb1,Nos2,Slc11a1,Pdcd4,Ptafr,Sirpa,Ccl5,Cxcl2,Spi1,Scarb1,Tlr1,Tnf,Tnfaip3,Tnfrsf1b,Cmpk2,Nr1h3,Mapk1,Mapk3,Irf3,Irgm2,Mgst1,Litaf,Tnip1,Erbin,Nfkbiz,Mapkapk3,Irak2,Abr,Rps6ka3,Tifab,Sbno2,Nlrp3,Zc3h12a,Nod2</t>
  </si>
  <si>
    <t>GO:0071219</t>
  </si>
  <si>
    <t>cellular response to molecule of bacterial origin</t>
  </si>
  <si>
    <t>41/298</t>
  </si>
  <si>
    <t>Abca1,Abl1,Adam9,Cfh,Gbp2,Irf8,Irgm1,Cxcl10,Igtp,Il1a,Irak1,Ly86,Lyn,Mrc1,Nfkb1,Nos2,Pdcd4,Ptafr,Sirpa,Ccl5,Cxcl2,Spi1,Tlr1,Tnf,Tnfaip3,Tnfrsf1b,Cmpk2,Nr1h3,Mapk1,Mapk3,Irf3,Irgm2,Litaf,Tnip1,Nfkbiz,Irak2,Tifab,Sbno2,Nlrp3,Zc3h12a,Nod2</t>
  </si>
  <si>
    <t>GO:0071222</t>
  </si>
  <si>
    <t>cellular response to lipopolysaccharide</t>
  </si>
  <si>
    <t>40/288</t>
  </si>
  <si>
    <t>Abca1,Abl1,Adam9,Cfh,Gbp2,Irf8,Irgm1,Cxcl10,Igtp,Il1a,Irak1,Ly86,Lyn,Mrc1,Nfkb1,Nos2,Pdcd4,Ptafr,Sirpa,Ccl5,Cxcl2,Spi1,Tnf,Tnfaip3,Tnfrsf1b,Cmpk2,Nr1h3,Mapk1,Mapk3,Irf3,Irgm2,Litaf,Tnip1,Nfkbiz,Irak2,Tifab,Sbno2,Nlrp3,Zc3h12a,Nod2</t>
  </si>
  <si>
    <t>GO:0071396</t>
  </si>
  <si>
    <t>cellular response to lipid</t>
  </si>
  <si>
    <t>57/581</t>
  </si>
  <si>
    <t>Abca1,Abl1,Adam9,Ahr,Cfh,Fes,Gbp2,Gnas,Irf8,Irgm1,Cxcl10,Igtp,Il1a,Irak1,Lrp6,Ly86,Lyn,Mrc1,Nfkb1,Nos2,Pdcd4,Ptafr,Ptk2b,Sirpa,Ccl5,Cxcl2,Spi1,Sgk1,Src,Tnf,Tnfaip3,Tnfrsf1b,Cmpk2,Ube2l3,Nr1h3,Ywhah,Mapk1,Mapk3,Irf3,Irgm2,Mgst1,Sphk2,Litaf,Tnip1,Calcoco1,Nfkbiz,Ugt1a6a,Adcy3,Irak2,Tifab,Sbno2,Nlrp3,Zc3h12a,P2ry6,Nod2,Smo,Ugt1a6b</t>
  </si>
  <si>
    <t>GO:0031663</t>
  </si>
  <si>
    <t>lipopolysaccharide-mediated signaling pathway</t>
  </si>
  <si>
    <t>12/42</t>
  </si>
  <si>
    <t>Irak1,Ly86,Lyn,Ptafr,Ccl5,Spi1,Tnf,Mapk1,Mapk3,Irf3,Irak2,Tifab</t>
  </si>
  <si>
    <t>GO:0031329</t>
  </si>
  <si>
    <t>regulation of cellular catabolic process</t>
  </si>
  <si>
    <t>77/752</t>
  </si>
  <si>
    <t>Adam9,Abcd1,Apoc2,Apoe,App,Axin2,Bcl2l11,Bnip3l,Tspo,Scarb2,Cln3,Clu,Cst3,Gna12,Htt,Hfe,Elavl4,Irgm1,Igtp,Il10ra,Insr,Itch,Kdr,Laptm5,Slc11a1,Pik3r2,Ptk2b,Ptpn1,Slfn2,Sorl1,Scarb1,Trim21,Timp2,Tnf,Tnfaip3,Tnfrsf1b,Ulk1,Rnasel,Mapk3,Abcd2,Ulk2,Sdcbp,Irgm2,Wdr45,Sh3glb1,Pias1,Foxo3,Ikbke,Zbtb20,Nampt,Pnpla2,Dram2,Trp53inp2,Pdcl3,Pink1,Snx4,Dapk1,Dram1,Tent5c,Nod1,Sesn1,Bmf,Dtx3l,Tnrc6b,Rnf144b,Fez2,Zc3h12a,Vps13d,Herc1,Rbm47,Nod2,Depdc5,Smo,Atg2a,Atp2b4,Rubcn,Apoc2l</t>
  </si>
  <si>
    <t>GO:0009896</t>
  </si>
  <si>
    <t>positive regulation of catabolic process</t>
  </si>
  <si>
    <t>59/527</t>
  </si>
  <si>
    <t>Adam9,Abcd1,Apoc2,Apoe,App,Axin2,Bcl2l11,Bnip3l,Cd81,Clu,Eif2ak3,Htt,Ier3,Irgm1,Igtp,Insr,Itch,Kdr,Laptm5,Ptk2b,Ptpn1,Sorl1,Trim21,Tnf,Tnfaip3,Tnfrsf1b,Ulk1,Mapk3,Abcd2,Ulk2,Irgm2,Wdr45,Sh3glb1,Pias1,Foxo3,Zbtb20,Pnpla2,Vps28,Trp53inp2,Asb11,Pink1,Snx4,Dapk1,Vsir,Crebrf,Nedd4l,Nod1,Sesn1,Dtx3l,Tnrc6b,Rnf144b,Marchf2,Zc3h12a,Vps13d,Nod2,Depdc5,Smo,Atg2a,Apoc2l</t>
  </si>
  <si>
    <t>GO:0010506</t>
  </si>
  <si>
    <t>regulation of autophagy</t>
  </si>
  <si>
    <t>38/292</t>
  </si>
  <si>
    <t>Bcl2l11,Bnip3l,Tspo,Cln3,Htt,Irgm1,Igtp,Il10ra,Kdr,Pik3r2,Trim21,Tnfaip3,Ulk1,Mapk3,Ulk2,Irgm2,Wdr45,Sh3glb1,Foxo3,Nampt,Dram2,Trp53inp2,Pink1,Snx4,Dapk1,Dram1,Nod1,Sesn1,Bmf,Fez2,Zc3h12a,Vps13d,Herc1,Nod2,Depdc5,Smo,Atg2a,Rubcn</t>
  </si>
  <si>
    <t>GO:0010508</t>
  </si>
  <si>
    <t>positive regulation of autophagy</t>
  </si>
  <si>
    <t>26/156</t>
  </si>
  <si>
    <t>Bcl2l11,Bnip3l,Htt,Irgm1,Igtp,Kdr,Trim21,Ulk1,Mapk3,Ulk2,Irgm2,Wdr45,Sh3glb1,Foxo3,Trp53inp2,Pink1,Snx4,Dapk1,Nod1,Sesn1,Zc3h12a,Vps13d,Nod2,Depdc5,Smo,Atg2a</t>
  </si>
  <si>
    <t>GO:0031331</t>
  </si>
  <si>
    <t>positive regulation of cellular catabolic process</t>
  </si>
  <si>
    <t>48/427</t>
  </si>
  <si>
    <t>Adam9,Abcd1,Apoc2,Apoe,App,Axin2,Bcl2l11,Bnip3l,Clu,Htt,Irgm1,Igtp,Insr,Itch,Kdr,Laptm5,Ptk2b,Ptpn1,Trim21,Tnf,Tnfrsf1b,Ulk1,Mapk3,Abcd2,Ulk2,Irgm2,Wdr45,Sh3glb1,Pias1,Foxo3,Zbtb20,Pnpla2,Trp53inp2,Pink1,Snx4,Dapk1,Nod1,Sesn1,Dtx3l,Tnrc6b,Rnf144b,Zc3h12a,Vps13d,Nod2,Depdc5,Smo,Atg2a,Apoc2l</t>
  </si>
  <si>
    <t>GO:0016239</t>
  </si>
  <si>
    <t>positive regulation of macroautophagy</t>
  </si>
  <si>
    <t>17/79</t>
  </si>
  <si>
    <t>Bnip3l,Htt,Irgm1,Igtp,Kdr,Ulk1,Mapk3,Irgm2,Wdr45,Sh3glb1,Pink1,Snx4,Nod1,Sesn1,Vps13d,Nod2,Atg2a</t>
  </si>
  <si>
    <t>GO:0006914</t>
  </si>
  <si>
    <t>autophagy</t>
  </si>
  <si>
    <t>35/290</t>
  </si>
  <si>
    <t>Abl1,Cln3,Clu,Irf8,Irgm1,Igtp,Lamp2,Nbr1,Snapin,Ulk1,Mapk3,Ulk2,Irgm2,Wdr45,Gabarapl1,Map1lc3a,Dram2,Trp53inp2,Pink1,Dram1,Wdfy3,Nhlrc1,Nod1,Bcas3,Zfyve1,Retreg2,Syt11,Herc1,Atg4c,Nod2,Vps39,Sbf2,Atg2a,Rnf213,Rubcn</t>
  </si>
  <si>
    <t>GO:0061919</t>
  </si>
  <si>
    <t>process utilizing autophagic mechanism</t>
  </si>
  <si>
    <t>GO:0016241</t>
  </si>
  <si>
    <t>regulation of macroautophagy</t>
  </si>
  <si>
    <t>20/118</t>
  </si>
  <si>
    <t>Bnip3l,Cln3,Htt,Irgm1,Igtp,Kdr,Ulk1,Mapk3,Irgm2,Wdr45,Sh3glb1,Pink1,Snx4,Nod1,Sesn1,Fez2,Vps13d,Nod2,Atg2a,Rubcn</t>
  </si>
  <si>
    <t>GO:0022604</t>
  </si>
  <si>
    <t>regulation of cell morphogenesis</t>
  </si>
  <si>
    <t>40/279</t>
  </si>
  <si>
    <t>Capzb,Csf1r,Epb41l2,Fes,Gas7,Gna12,Hck,Ilk,Kdr,Kif3a,Lst1,Marcks,Mecp2,Met,Ptk2b,Rac1,Sema4a,Sema4d,Sgk1,Src,Coro1b,Sh3glb1,Plxnc1,Cdc42se1,Myl12b,Rreb1,Arap1,Spag9,Ago4,Myh10,Nedd4l,Brwd1,Anapc2,Wtip,Cdc42ep2,Plxnb3,Fgd4,Picalm,Myo9a,Unc13a</t>
  </si>
  <si>
    <t>Group</t>
  </si>
  <si>
    <t>GO:0022613</t>
  </si>
  <si>
    <t>ribonucleoprotein complex biogenesis</t>
  </si>
  <si>
    <t>82/406</t>
  </si>
  <si>
    <t>Bop1,Celf1,Dhx9,Hsp90aa1,Lyar,Npm1,Mybbp1a,Pdcd11,Pa2g4,Nup88,Smn1,Utp4,Abce1,Eif2s3x,Prmt5,Rrp9,Usp39,Ddx56,Zfp622,Bysl,Ddx20,Eif3d,Ftsj3,Ddx21,Aatf,Ruvbl1,Wdr12,Rcl1,Nip7,Esf1,Exosc1,Ddx18,Nop56,Rrp15,Rpf2,Mettl16,Nob1,Ddx47,Brix1,Nop9,Mak16,Mphosph10,Mphosph6,Ngdn,Nol11,Mrto4,Rpf1,Utp20,Prpf3,Riok1,Mtrex,Wdr43,Utp14a,Dis3,Wdr75,Nop14,Fastkd2,Ddx10,Nat10,Grwd1,Xpo1,Utp15,Wdr74,Rrp12,Exosc4,Nop2,Mrps2,Rpp40,Bms1,Gemin5,Nle1,Nol10,Eif5,Dhx29,Dcaf13,Wdr36,Exosc2,Heatr3,Dkc1,Wdr3,Ltv1,Ncbp1</t>
  </si>
  <si>
    <t>GO:0042254</t>
  </si>
  <si>
    <t>ribosome biogenesis</t>
  </si>
  <si>
    <t>68/294</t>
  </si>
  <si>
    <t>Bop1,Lyar,Npm1,Mybbp1a,Pdcd11,Pa2g4,Nup88,Utp4,Abce1,Rrp9,Ddx56,Zfp622,Bysl,Ftsj3,Ddx21,Aatf,Wdr12,Rcl1,Nip7,Esf1,Exosc1,Ddx18,Nop56,Rrp15,Rpf2,Mettl16,Nob1,Ddx47,Brix1,Nop9,Mak16,Mphosph10,Mphosph6,Ngdn,Nol11,Mrto4,Rpf1,Utp20,Riok1,Mtrex,Wdr43,Utp14a,Dis3,Wdr75,Nop14,Fastkd2,Ddx10,Nat10,Grwd1,Xpo1,Utp15,Wdr74,Rrp12,Exosc4,Nop2,Mrps2,Rpp40,Bms1,Nle1,Nol10,Dhx29,Dcaf13,Wdr36,Exosc2,Heatr3,Dkc1,Wdr3,Ltv1</t>
  </si>
  <si>
    <t>GO:0034470</t>
  </si>
  <si>
    <t>ncRNA processing</t>
  </si>
  <si>
    <t>73/384</t>
  </si>
  <si>
    <t>Bop1,Lyar,Npm1,Pdcd11,Pa2g4,Rbm3,Utp4,Rrp9,Nsun2,Adat1,Ddx56,Bysl,Ftsj3,Ddx21,Wdr12,Rcl1,Qtrt1,Esf1,Exosc1,Adat2,Ddx18,Rpp14,Rrp15,Rpf2,Mettl16,Nob1,Ddx47,Brix1,Nop9,Mak16,Mphosph10,Mphosph6,Elac2,Dtwd2,Ngdn,Nol11,Mrto4,Trnt1,2210016F16Rik,Rpf1,Utp20,Riok1,Thumpd2,Mtrex,Wdr43,Utp14a,Dis3,Wdr75,Elp3,Pus10,Nop14,Ddx10,Nat10,Utp15,Wdr74,Rrp12,Exosc4,Nop2,Rpp40,Trmt1,Tarbp1,Bms1,Nol10,Dcaf13,Wdr36,Exosc2,Trmt13,Yrdc,Thumpd1,Dkc1,Wdr3,Trmt61a,Ncbp1</t>
  </si>
  <si>
    <t>GO:0034660</t>
  </si>
  <si>
    <t>ncRNA metabolic process</t>
  </si>
  <si>
    <t>80/483</t>
  </si>
  <si>
    <t>Bop1,Hars,Lyar,Npm1,Pdcd11,Pa2g4,Rbm3,Tcof1,Utp4,Rrp9,Nsun2,Adat1,Ddx56,Bysl,Ftsj3,Ddx21,Zc3h8,Wdr12,Rcl1,Qtrt1,Esf1,Exosc1,Adat2,Ddx18,Rpp14,Rrp15,Rpf2,Mettl16,Nob1,Ddx47,Brix1,Nop9,Mak16,Mphosph10,Mphosph6,Elac2,Dtwd2,Ngdn,Nol11,Mrto4,Trnt1,2210016F16Rik,Rpf1,Polr1g,Utp20,Nolc1,Riok1,Thumpd2,Mtrex,Wdr43,Utp14a,Dis3,Wdr75,Elp3,Pus10,Nop14,Ddx10,Kars,Nat10,Utp15,Wdr74,Rrp12,Exosc4,Nop2,Rpp40,Trmt1,Tarbp1,Bms1,Nol10,Dcaf13,Wdr36,Dars,Exosc2,Trmt13,Yrdc,Thumpd1,Dkc1,Wdr3,Trmt61a,Ncbp1</t>
  </si>
  <si>
    <t>GO:0006364</t>
  </si>
  <si>
    <t>rRNA processing</t>
  </si>
  <si>
    <t>53/203</t>
  </si>
  <si>
    <t>Bop1,Lyar,Npm1,Pdcd11,Pa2g4,Utp4,Rrp9,Ddx56,Bysl,Ftsj3,Ddx21,Wdr12,Rcl1,Esf1,Exosc1,Ddx18,Rrp15,Rpf2,Mettl16,Nob1,Ddx47,Brix1,Nop9,Mak16,Mphosph10,Mphosph6,Ngdn,Nol11,Mrto4,Rpf1,Utp20,Riok1,Mtrex,Wdr43,Utp14a,Dis3,Wdr75,Nop14,Ddx10,Nat10,Utp15,Wdr74,Rrp12,Exosc4,Nop2,Rpp40,Bms1,Nol10,Dcaf13,Wdr36,Exosc2,Dkc1,Wdr3</t>
  </si>
  <si>
    <t>GO:0016072</t>
  </si>
  <si>
    <t>rRNA metabolic process</t>
  </si>
  <si>
    <t>55/234</t>
  </si>
  <si>
    <t>Bop1,Lyar,Npm1,Pdcd11,Pa2g4,Tcof1,Utp4,Rrp9,Ddx56,Bysl,Ftsj3,Ddx21,Wdr12,Rcl1,Esf1,Exosc1,Ddx18,Rrp15,Rpf2,Mettl16,Nob1,Ddx47,Brix1,Nop9,Mak16,Mphosph10,Mphosph6,Ngdn,Nol11,Mrto4,Rpf1,Polr1g,Utp20,Riok1,Mtrex,Wdr43,Utp14a,Dis3,Wdr75,Nop14,Ddx10,Nat10,Utp15,Wdr74,Rrp12,Exosc4,Nop2,Rpp40,Bms1,Nol10,Dcaf13,Wdr36,Exosc2,Dkc1,Wdr3</t>
  </si>
  <si>
    <t>GO:0030490</t>
  </si>
  <si>
    <t>maturation of SSU-rRNA</t>
  </si>
  <si>
    <t>16/49</t>
  </si>
  <si>
    <t>Utp4,Bysl,Rcl1,Nob1,Nop9,Ngdn,Nol11,Riok1,Wdr43,Nop14,Nat10,Rpp40,Bms1,Nol10,Dcaf13,Wdr3</t>
  </si>
  <si>
    <t>GO:0000460</t>
  </si>
  <si>
    <t>maturation of 5.8S rRNA</t>
  </si>
  <si>
    <t>14/35</t>
  </si>
  <si>
    <t>Bop1,Npm1,Ftsj3,Wdr12,Rcl1,Rrp15,Nop9,Mak16,Mphosph6,Rpf1,Mtrex,Exosc4,Rpp40,Exosc2</t>
  </si>
  <si>
    <t>GO:0042274</t>
  </si>
  <si>
    <t>ribosomal small subunit biogenesis</t>
  </si>
  <si>
    <t>18/74</t>
  </si>
  <si>
    <t>Npm1,Utp4,Bysl,Rcl1,Nob1,Nop9,Ngdn,Nol11,Riok1,Wdr43,Nop14,Nat10,Rpp40,Bms1,Nol10,Dcaf13,Wdr3,Ltv1</t>
  </si>
  <si>
    <t>GO:0000462</t>
  </si>
  <si>
    <t>maturation of SSU-rRNA from tricistronic rRNA transcript (SSU-rRNA, 5.8S rRNA, LSU-rRNA)</t>
  </si>
  <si>
    <t>10/35</t>
  </si>
  <si>
    <t>Utp4,Bysl,Rcl1,Nop9,Ngdn,Wdr43,Rpp40,Bms1,Nol10,Dcaf13</t>
  </si>
  <si>
    <t>GO:0000466</t>
  </si>
  <si>
    <t>maturation of 5.8S rRNA from tricistronic rRNA transcript (SSU-rRNA, 5.8S rRNA, LSU-rRNA)</t>
  </si>
  <si>
    <t>8/24</t>
  </si>
  <si>
    <t>Bop1,Npm1,Ftsj3,Wdr12,Rcl1,Nop9,Rpp40,Exosc2</t>
  </si>
  <si>
    <t>GO:0042273</t>
  </si>
  <si>
    <t>ribosomal large subunit biogenesis</t>
  </si>
  <si>
    <t>18/70</t>
  </si>
  <si>
    <t>Bop1,Npm1,Zfp622,Ftsj3,Wdr12,Nip7,Ddx18,Rrp15,Rpf2,Brix1,Mak16,Mrto4,Rpf1,Fastkd2,Wdr74,Nop2,Nle1,Heatr3</t>
  </si>
  <si>
    <t>GO:0000470</t>
  </si>
  <si>
    <t>maturation of LSU-rRNA</t>
  </si>
  <si>
    <t>10/24</t>
  </si>
  <si>
    <t>Bop1,Npm1,Ftsj3,Wdr12,Ddx18,Rrp15,Rpf2,Mak16,Rpf1,Nop2</t>
  </si>
  <si>
    <t>GO:0006399</t>
  </si>
  <si>
    <t>tRNA metabolic process</t>
  </si>
  <si>
    <t>24/174</t>
  </si>
  <si>
    <t>Hars,Nsun2,Adat1,Qtrt1,Adat2,Rpp14,Elac2,Dtwd2,Trnt1,2210016F16Rik,Thumpd2,Elp3,Pus10,Kars,Nat10,Rpp40,Trmt1,Tarbp1,Dars,Exosc2,Trmt13,Yrdc,Thumpd1,Trmt61a</t>
  </si>
  <si>
    <t>GO:0008033</t>
  </si>
  <si>
    <t>tRNA processing</t>
  </si>
  <si>
    <t>20/122</t>
  </si>
  <si>
    <t>Nsun2,Adat1,Qtrt1,Adat2,Rpp14,Elac2,Dtwd2,Trnt1,2210016F16Rik,Thumpd2,Elp3,Pus10,Nat10,Rpp40,Trmt1,Tarbp1,Trmt13,Yrdc,Thumpd1,Trmt61a</t>
  </si>
  <si>
    <t>GO:0009451</t>
  </si>
  <si>
    <t>RNA modification</t>
  </si>
  <si>
    <t>21/148</t>
  </si>
  <si>
    <t>Nsun2,Ftsj3,Syncrip,Qtrt1,Adat2,Mettl16,Dtwd2,2210016F16Rik,Thumpd2,Elp3,Pus10,Nat10,Nop2,Adarb1,Trmt1,Tarbp1,Trmt13,Yrdc,Thumpd1,Dkc1,Trmt61a</t>
  </si>
  <si>
    <t>GO:0006400</t>
  </si>
  <si>
    <t>tRNA modification</t>
  </si>
  <si>
    <t>14/84</t>
  </si>
  <si>
    <t>Nsun2,Qtrt1,Adat2,Dtwd2,2210016F16Rik,Thumpd2,Elp3,Pus10,Trmt1,Tarbp1,Trmt13,Yrdc,Thumpd1,Trmt61a</t>
  </si>
  <si>
    <t>GO:0010608</t>
  </si>
  <si>
    <t>post-transcriptional regulation of gene expression</t>
  </si>
  <si>
    <t>44/559</t>
  </si>
  <si>
    <t>Apex1,Noct,Celf1,Dhx9,Eif2s1,Eif4g2,Fmr1,Eif3e,Ncl,Npm1,Prkca,Pa2g4,Rbm3,Tbrg4,Tcof1,Abce1,Eif3b,Nsun2,Eif3d,Rbm38,Syncrip,Hbs1l,Tsfm,Bzw1,Mettl16,Upf3b,Ngdn,Taco1,Nolc1,Fastkd2,Zc3h18,Nat10,Jmjd4,Gemin5,Eif5,Etf1,Exosc2,Pabpc4,Akap6,Kbtbd8,Dkc1,Ogfod1,Fastkd1,Ncbp1</t>
  </si>
  <si>
    <t>GO:0006417</t>
  </si>
  <si>
    <t>regulation of translation</t>
  </si>
  <si>
    <t>36/404</t>
  </si>
  <si>
    <t>Noct,Celf1,Dhx9,Eif2s1,Eif4g2,Fmr1,Eif3e,Ncl,Npm1,Prkca,Pa2g4,Rbm3,Tcof1,Abce1,Eif3b,Eif3d,Syncrip,Hbs1l,Tsfm,Bzw1,Mettl16,Upf3b,Ngdn,Taco1,Nolc1,Fastkd2,Nat10,Jmjd4,Gemin5,Eif5,Etf1,Exosc2,Akap6,Kbtbd8,Ogfod1,Ncbp1</t>
  </si>
  <si>
    <t>GO:2000112</t>
  </si>
  <si>
    <t>regulation of cellular macromolecule biosynthetic process</t>
  </si>
  <si>
    <t>38/490</t>
  </si>
  <si>
    <t>Noct,Celf1,Dhx9,Eif2s1,Eif4g2,Fmr1,Hbegf,Eif3e,Ncl,Npm1,Prkca,Pa2g4,Rbm3,Tcof1,Abce1,Eif3b,Eif3d,Aatf,Syncrip,Hbs1l,Tsfm,Bzw1,Mettl16,Upf3b,Ngdn,Taco1,Nolc1,Fastkd2,Nat10,Jmjd4,Gemin5,Eif5,Etf1,Exosc2,Akap6,Kbtbd8,Ogfod1,Ncbp1</t>
  </si>
  <si>
    <t>GO:0034248</t>
  </si>
  <si>
    <t>regulation of amide metabolic process</t>
  </si>
  <si>
    <t>36/464</t>
  </si>
  <si>
    <t>GO:0071826</t>
  </si>
  <si>
    <t>ribonucleoprotein complex subunit organization</t>
  </si>
  <si>
    <t>23/175</t>
  </si>
  <si>
    <t>Bop1,Celf1,Dhx9,Hsp90aa1,Smn1,Eif2s3x,Prmt5,Usp39,Ddx20,Eif3d,Ruvbl1,Rpf2,Brix1,Mrto4,Prpf3,Fastkd2,Nop2,Gemin5,Nle1,Eif5,Dhx29,Dyrk3,Ncbp1</t>
  </si>
  <si>
    <t>GO:0022618</t>
  </si>
  <si>
    <t>ribonucleoprotein complex assembly</t>
  </si>
  <si>
    <t>22/167</t>
  </si>
  <si>
    <t>Bop1,Celf1,Dhx9,Hsp90aa1,Smn1,Eif2s3x,Prmt5,Usp39,Ddx20,Eif3d,Ruvbl1,Rpf2,Brix1,Mrto4,Prpf3,Fastkd2,Nop2,Gemin5,Nle1,Eif5,Dhx29,Ncbp1</t>
  </si>
  <si>
    <t>GO:0006412</t>
  </si>
  <si>
    <t>translation</t>
  </si>
  <si>
    <t>34/399</t>
  </si>
  <si>
    <t>Eif2s1,Eif4g2,Hars,Eif3e,Rbm3,Abce1,Eif2s3x,Eif3b,Eif3g,Eif3d,Mrpl12,Hbs1l,Eef1e1,Nemf,Tsfm,Rwdd1,Mtres1,Zc3h15,Mrpl47,Fastkd2,Mrps5,Kars,Eif2b3,Mrps2,Eif2b1,Gemin5,Eif5,Dhx29,Eif3l,Etf1,Dars,Mrps35,Gfm2,Ncbp1</t>
  </si>
  <si>
    <t>GO:0006413</t>
  </si>
  <si>
    <t>translational initiation</t>
  </si>
  <si>
    <t>14/74</t>
  </si>
  <si>
    <t>Eif2s1,Eif4g2,Eif3e,Abce1,Eif2s3x,Eif3b,Eif3g,Eif3d,Eif2b3,Eif2b1,Eif5,Dhx29,Eif3l,Ncbp1</t>
  </si>
  <si>
    <t>GO:0043043</t>
  </si>
  <si>
    <t>peptide biosynthetic process</t>
  </si>
  <si>
    <t>34/423</t>
  </si>
  <si>
    <t>GO:0043604</t>
  </si>
  <si>
    <t>amide biosynthetic process</t>
  </si>
  <si>
    <t>37/527</t>
  </si>
  <si>
    <t>Eif2s1,Eif4g2,Hars,Eif3e,Rbm3,Ugcg,Abce1,Eif2s3x,Eif3b,Eif3g,Asah2,Eif3d,Mrpl12,Hbs1l,Eef1e1,Nemf,Tsfm,Rwdd1,Mtres1,Zc3h15,Mrpl47,Fastkd2,Mrps5,Kars,Ppcs,Eif2b3,Mrps2,Eif2b1,Gemin5,Eif5,Dhx29,Eif3l,Etf1,Dars,Mrps35,Gfm2,Ncbp1</t>
  </si>
  <si>
    <t>GO:0006457</t>
  </si>
  <si>
    <t>protein folding</t>
  </si>
  <si>
    <t>21/166</t>
  </si>
  <si>
    <t>Cct2,Cct4,Cct6a,Cct7,Dnaja1,Hsph1,Hsp90ab1,Hsp90aa1,Hspa9,Hspa4l,Tcp1,Ero1a,Dnajc7,P3h1,Dnaja2,Fkbp11,Chordc1,Ppid,Ppil3,Ppif,Pfdn4</t>
  </si>
  <si>
    <t>GO:0061077</t>
  </si>
  <si>
    <t>chaperone-mediated protein folding</t>
  </si>
  <si>
    <t>12/63</t>
  </si>
  <si>
    <t>Cct2,Cct4,Cct6a,Cct7,Hsph1,Hspa9,Tcp1,Ero1a,Dnajc7,Fkbp11,Chordc1,Ppid</t>
  </si>
  <si>
    <t>GO:0016071</t>
  </si>
  <si>
    <t>mRNA metabolic process</t>
  </si>
  <si>
    <t>43/595</t>
  </si>
  <si>
    <t>Noct,Celf1,Dhx9,Fmr1,Eif3e,Pnn,Smn1,Eftud2,Tbrg4,Zrsr2,Vdr,Prmt5,Usp39,Nsun2,Zranb2,Ddx20,Pabpn1,Cpsf3,Rbm38,Syncrip,Mettl16,Ddx47,Upf3b,Rbm28,Ptcd2,Snrpa1,Mrto4,Ppil3,Ecd,Prpf3,Mtrex,Rbm19,Rbm17,Sf3b3,Exosc4,Adarb1,Gemin5,Thoc1,Etf1,Exosc2,Dkc1,Trmt61a,Ncbp1</t>
  </si>
  <si>
    <t>GO:0045943</t>
  </si>
  <si>
    <t>positive regulation of transcription by RNA polymerase I</t>
  </si>
  <si>
    <t>10/34</t>
  </si>
  <si>
    <t>Lyar,Ncl,Mybbp1a,Ddx21,Carm1,Nol11,Wdr43,Wdr75,Smarca5,Utp15</t>
  </si>
  <si>
    <t>GO:1904816</t>
  </si>
  <si>
    <t>positive regulation of protein localization to chromosome, telomeric region</t>
  </si>
  <si>
    <t>7/13</t>
  </si>
  <si>
    <t>Cct2,Cct4,Cct6a,Cct7,Tcp1,Gnl3,Dkc1</t>
  </si>
  <si>
    <t>GO:1904814</t>
  </si>
  <si>
    <t>regulation of protein localization to chromosome, telomeric region</t>
  </si>
  <si>
    <t>7/15</t>
  </si>
  <si>
    <t>GO:1904851</t>
  </si>
  <si>
    <t>positive regulation of establishment of protein localization to telomere</t>
  </si>
  <si>
    <t>6/10</t>
  </si>
  <si>
    <t>Cct2,Cct4,Cct6a,Cct7,Tcp1,Dkc1</t>
  </si>
  <si>
    <t>GO:0070203</t>
  </si>
  <si>
    <t>regulation of establishment of protein localization to telomere</t>
  </si>
  <si>
    <t>6/11</t>
  </si>
  <si>
    <t>KEGG_PATHWAY</t>
  </si>
  <si>
    <t>mmu03008:Ribosome biogenesis in eukaryotes</t>
  </si>
  <si>
    <t>3.3444816053511706</t>
  </si>
  <si>
    <t>4.4191239547330964E-10</t>
  </si>
  <si>
    <t>6.109152542372882</t>
  </si>
  <si>
    <t>1.20642076772981E-7</t>
  </si>
  <si>
    <t>1.2064208396421354E-7</t>
  </si>
  <si>
    <t>1.1799060959137368E-7</t>
  </si>
  <si>
    <t>mmu04141:Protein processing in endoplasmic reticulum</t>
  </si>
  <si>
    <t>3.0100334448160537</t>
  </si>
  <si>
    <t>5.0570558802018355E-6</t>
  </si>
  <si>
    <t>HSP90AA1, HSP90AB1, HSPA4L, UBE2J2, EIF2S1, RAD23B, CKAP4, DNAJA1, SEC61A2, SEC61A1, MAPK8, HSPH1, SELENOS, DNAJA2, PLAA, SSR1, BAX, CAPN1</t>
  </si>
  <si>
    <t>3.7720465116279067</t>
  </si>
  <si>
    <t>0.0013796271843175</t>
  </si>
  <si>
    <t>6.902881276475506E-4</t>
  </si>
  <si>
    <t>6.75116960006945E-4</t>
  </si>
  <si>
    <t>mmu05017:Spinocerebellar ataxia</t>
  </si>
  <si>
    <t>2.508361204013378</t>
  </si>
  <si>
    <t>3.330352762849924E-5</t>
  </si>
  <si>
    <t>NOP56, PSMD12, PSMD11, TWNK, ADRM1, PRKCA, PSMB7, PSMD6, MAPK8, PSMC6, PSMD7, PPIF, VDAC2, MCU, ATG2B</t>
  </si>
  <si>
    <t>3.834468085106383</t>
  </si>
  <si>
    <t>0.009050807058809895</t>
  </si>
  <si>
    <t>0.0030306210141934306</t>
  </si>
  <si>
    <t>0.002964013958936432</t>
  </si>
  <si>
    <t>mmu03013:Nucleocytoplasmic transport</t>
  </si>
  <si>
    <t>2.1739130434782608</t>
  </si>
  <si>
    <t>8.900428245407063E-5</t>
  </si>
  <si>
    <t>NCBP1, THOC1, UPF3B, IPO7, IPO5, PNN, XPO1, XPO4, NUP88, NUPL2, TNPO1, RAE1, TNPO3</t>
  </si>
  <si>
    <t>4.004888888888889</t>
  </si>
  <si>
    <t>0.02400640051443159</t>
  </si>
  <si>
    <t>0.005414383206142706</t>
  </si>
  <si>
    <t>0.0052953857730406685</t>
  </si>
  <si>
    <t>mmu03018:RNA degradation</t>
  </si>
  <si>
    <t>1.839464882943144</t>
  </si>
  <si>
    <t>9.916452758503125E-5</t>
  </si>
  <si>
    <t>HSPA9, EXOSC4, DIS3, PABPC4, ENO1B, MTREX, ENO1, EXOSC2, PFKP, EXOSC1, MPHOSPH6</t>
  </si>
  <si>
    <t>4.720047619047619</t>
  </si>
  <si>
    <t>0.026710062757170583</t>
  </si>
  <si>
    <t>mmu03050:Proteasome</t>
  </si>
  <si>
    <t>1.3377926421404682</t>
  </si>
  <si>
    <t>2.7651973039818044E-4</t>
  </si>
  <si>
    <t>PSMB7, PSMD12, PSMD6, PSMC6, PSMD11, PSMD7, ADRM1, PSMF1</t>
  </si>
  <si>
    <t>6.135148936170213</t>
  </si>
  <si>
    <t>0.07272057133694898</t>
  </si>
  <si>
    <t>0.01258164773311721</t>
  </si>
  <si>
    <t>0.01230512800271903</t>
  </si>
  <si>
    <t>mmu03015:mRNA surveillance pathway</t>
  </si>
  <si>
    <t>5.355709214934932E-4</t>
  </si>
  <si>
    <t>PNN, HBS1L, NCBP1, PPP2R1B, PABPN1, PABPC4, CPSF3, PPP2R2D, UPF3B, ETF1, PPP2R2A</t>
  </si>
  <si>
    <t>3.8493592233009704</t>
  </si>
  <si>
    <t>0.1360583340299657</t>
  </si>
  <si>
    <t>0.020887265938246236</t>
  </si>
  <si>
    <t>0.020428205148394673</t>
  </si>
  <si>
    <t>mmu05012:Parkinson disease</t>
  </si>
  <si>
    <t>2.842809364548495</t>
  </si>
  <si>
    <t>0.0026448543448470948</t>
  </si>
  <si>
    <t>PSMD12, PSMD11, ADRM1, UBE2J2, TUBB4B, EIF2S1, SLC39A14, PSMB7, PSMD6, MAPK8, PSMC6, PSMD7, PPIF, SLC39A6, BAX, VDAC2, MCU</t>
  </si>
  <si>
    <t>2.3210151515151516</t>
  </si>
  <si>
    <t>0.5147066741826758</t>
  </si>
  <si>
    <t>0.09025565451790711</t>
  </si>
  <si>
    <t>0.08827201375927178</t>
  </si>
  <si>
    <t>mmu05010:Alzheimer disease</t>
  </si>
  <si>
    <t>3.511705685618729</t>
  </si>
  <si>
    <t>0.004614690366313274</t>
  </si>
  <si>
    <t>PSMD12, PSMD11, ADRM1, LPL, TUBB4B, EIF2S1, SLC39A14, PSMB7, NRAS, PSMD6, MAPK8, PSMC6, PSMD7, PPIF, SLC39A6, VDAC2, CAPN1, BID, PPID, MCU, ATG2B</t>
  </si>
  <si>
    <t>1.9763028720626634</t>
  </si>
  <si>
    <t>0.7171182353507908</t>
  </si>
  <si>
    <t>0.13997894111150264</t>
  </si>
  <si>
    <t>0.1369024808672938</t>
  </si>
  <si>
    <t>mmu04151:PI3K-Akt signaling pathway</t>
  </si>
  <si>
    <t>3.177257525083612</t>
  </si>
  <si>
    <t>0.0105959512699849</t>
  </si>
  <si>
    <t>YWHAE, HSP90AA1, HSP90AB1, F2R, PPP2R2A, PRKCA, YWHAZ, PTK2, THBS3, NRAS, EFNA2, CCND2, PPP2R1B, ERBB3, GNB1, CREB3L2, PPP2R2D, SPP1, GNG8</t>
  </si>
  <si>
    <t>1.9076211699164347</t>
  </si>
  <si>
    <t>0.9454222642054646</t>
  </si>
  <si>
    <t>0.2711709946554922</t>
  </si>
  <si>
    <t>0.26521119257515174</t>
  </si>
  <si>
    <t>mmu05022:Pathways of neurodegeneration - multiple diseases</t>
  </si>
  <si>
    <t>3.8461538461538463</t>
  </si>
  <si>
    <t>0.010926303813957563</t>
  </si>
  <si>
    <t>PSMD12, PSMD11, TOMM40, ADRM1, PRKCA, UBE2J2, TUBB4B, EIF2S1, PSMB7, NRAS, PSMD6, MAPK8, PSMC6, PSMD7, PPIF, BAX, VDAC2, CAPN1, BID, NEFH, PPID, MCU, ATG2B</t>
  </si>
  <si>
    <t>1.7601104033970276</t>
  </si>
  <si>
    <t>0.9501778969512971</t>
  </si>
  <si>
    <t>mmu00270:Cysteine and methionine metabolism</t>
  </si>
  <si>
    <t>1.0033444816053512</t>
  </si>
  <si>
    <t>0.016272203421139865</t>
  </si>
  <si>
    <t>MTAP, MDH2, DNMT3B, BCAT1, ENOPH1, SRM</t>
  </si>
  <si>
    <t>0.9886535636904065</t>
  </si>
  <si>
    <t>0.3483232200606282</t>
  </si>
  <si>
    <t>0.34066776467468035</t>
  </si>
  <si>
    <t>mmu05020:Prion disease</t>
  </si>
  <si>
    <t>0.016586820002887057</t>
  </si>
  <si>
    <t>PSMD12, PSMD11, ADRM1, TUBB4B, EIF2S1, PSMB7, PSMD6, MAPK8, PSMC6, PSMD7, CREB3L2, PPIF, BAX, VDAC2, MCU</t>
  </si>
  <si>
    <t>2.0173880597014926</t>
  </si>
  <si>
    <t>0.98960236186603</t>
  </si>
  <si>
    <t>mmu04071:Sphingolipid signaling pathway</t>
  </si>
  <si>
    <t>1.5050167224080269</t>
  </si>
  <si>
    <t>0.02140451455470989</t>
  </si>
  <si>
    <t>NRAS, MAPK8, ASAH2, PPP2R1B, PPP2R2D, BAX, PPP2R2A, PRKCA, BID</t>
  </si>
  <si>
    <t>2.616096774193548</t>
  </si>
  <si>
    <t>0.9972793306999286</t>
  </si>
  <si>
    <t>0.40663627960682497</t>
  </si>
  <si>
    <t>0.39769921851656514</t>
  </si>
  <si>
    <t>mmu04110:Cell cycle</t>
  </si>
  <si>
    <t>0.022342652725649725</t>
  </si>
  <si>
    <t>YWHAE, MAD2L2, CCNB2, ORC4, CCND2, ORC2, CDC25C, E2F5, YWHAZ</t>
  </si>
  <si>
    <t>2.5951679999999997</t>
  </si>
  <si>
    <t>0.9979060780962743</t>
  </si>
  <si>
    <t>mmu05014:Amyotrophic lateral sclerosis</t>
  </si>
  <si>
    <t>0.026882935512928273</t>
  </si>
  <si>
    <t>PSMD12, PSMD11, TOMM40, NCBP1, ADRM1, TUBB4B, EIF2S1, PSMB7, PSMD6, PSMC6, PSMD7, BAX, NUP88, BID, NEFH, RAE1, MCU, ATG2B</t>
  </si>
  <si>
    <t>1.7582439024390244</t>
  </si>
  <si>
    <t>0.9994124171316758</t>
  </si>
  <si>
    <t>0.4586900871893387</t>
  </si>
  <si>
    <t>0.44860898637199054</t>
  </si>
  <si>
    <t>mmu05160:Hepatitis C</t>
  </si>
  <si>
    <t>1.6722408026755853</t>
  </si>
  <si>
    <t>0.03926031563557848</t>
  </si>
  <si>
    <t>YWHAE, NRAS, PPP2R1B, PPP2R2D, BAX, EIF3E, PPP2R2A, BID, EIF2S1, YWHAZ</t>
  </si>
  <si>
    <t>2.1844848484848485</t>
  </si>
  <si>
    <t>0.9999821612545972</t>
  </si>
  <si>
    <t>0.5985337952184511</t>
  </si>
  <si>
    <t>0.585379206312551</t>
  </si>
  <si>
    <t>mmu05016:Huntington disease</t>
  </si>
  <si>
    <t>0.04043090339812823</t>
  </si>
  <si>
    <t>PSMD12, PSMD11, ADRM1, NRF1, TUBB4B, PSMB7, PSMD6, MAPK8, PSMC6, PSMD7, CREB3L2, PPIF, BAX, VDAC2, ATG2B</t>
  </si>
  <si>
    <t>1.7902649006622517</t>
  </si>
  <si>
    <t>0.9999872115759485</t>
  </si>
  <si>
    <t>mmu04914:Progesterone-mediated oocyte maturation</t>
  </si>
  <si>
    <t>1.1705685618729096</t>
  </si>
  <si>
    <t>0.04165619820201674</t>
  </si>
  <si>
    <t>MAD2L2, CCNB2, MAPK8, HSP90AA1, HSP90AB1, RPS6KA2, CDC25C</t>
  </si>
  <si>
    <t>2.7424782608695653</t>
  </si>
  <si>
    <t>0.9999909775316258</t>
  </si>
  <si>
    <t>mmu04115:p53 signaling pathway</t>
  </si>
  <si>
    <t>0.04849468134908345</t>
  </si>
  <si>
    <t>CCNB2, CCND2, ZMAT3, CCNG1, BAX, BID</t>
  </si>
  <si>
    <t>3.003666666666667</t>
  </si>
  <si>
    <t>0.9999987227876219</t>
  </si>
  <si>
    <t>0.661952400414989</t>
  </si>
  <si>
    <t>0.647403996010264</t>
  </si>
  <si>
    <t>mmu03020:RNA polymerase</t>
  </si>
  <si>
    <t>0.6688963210702341</t>
  </si>
  <si>
    <t>0.05742016632389262</t>
  </si>
  <si>
    <t>POLR2M, POLR3A, POLR3C, POLR3D</t>
  </si>
  <si>
    <t>4.5055000000000005</t>
  </si>
  <si>
    <t>0.99999990253397</t>
  </si>
  <si>
    <t>0.7464621622106041</t>
  </si>
  <si>
    <t>0.7300564004037776</t>
  </si>
  <si>
    <t>mmu03040:Spliceosome</t>
  </si>
  <si>
    <t>0.07769712970309008</t>
  </si>
  <si>
    <t>EFTUD2, RBM17, SF3B3, NCBP1, PRPF3, THOC1, SNRPA1, USP39</t>
  </si>
  <si>
    <t>2.1518805970149253</t>
  </si>
  <si>
    <t>0.9999999997426751</t>
  </si>
  <si>
    <t>0.9384463723939128</t>
  </si>
  <si>
    <t>0.9178211773962444</t>
  </si>
  <si>
    <t>mmu04728:Dopaminergic synapse</t>
  </si>
  <si>
    <t>0.08012144929153972</t>
  </si>
  <si>
    <t>MAPK8, PPP2R1B, PPP2R2D, GNB1, CREB3L2, GNG8, PPP2R2A, PRKCA</t>
  </si>
  <si>
    <t>2.1359407407407405</t>
  </si>
  <si>
    <t>0.9999999998745633</t>
  </si>
  <si>
    <t>mmu04012:ErbB signaling pathway</t>
  </si>
  <si>
    <t>0.08250077999067365</t>
  </si>
  <si>
    <t>NRAS, MAPK8, ERBB3, PRKCA, PTK2, HBEGF</t>
  </si>
  <si>
    <t>2.5745714285714287</t>
  </si>
  <si>
    <t>0.9999999999381475</t>
  </si>
  <si>
    <t>mmu04929:GnRH secretion</t>
  </si>
  <si>
    <t>0.8361204013377926</t>
  </si>
  <si>
    <t>0.09596340658609889</t>
  </si>
  <si>
    <t>HCN3, NRAS, SPP1, PRKCA, KCNN4</t>
  </si>
  <si>
    <t>2.860634920634921</t>
  </si>
  <si>
    <t>0.9999999999989065</t>
  </si>
  <si>
    <t>1.0</t>
  </si>
  <si>
    <t>0.9816176470588235</t>
  </si>
  <si>
    <t>mmu04621:NOD-like receptor signaling pathway</t>
  </si>
  <si>
    <t>3.6551077788191186</t>
  </si>
  <si>
    <t>2.052937106498408E-10</t>
  </si>
  <si>
    <t>NLRP1B, RNASEL, NLRP1A, XIAP, TNFAIP3, NOD1, NOD2, NLRC4, CXCL2, TNF, MAP1LC3A, CCL5, CASP4, NAMPT, NLRP3, MAPK1, RIPK1, GBP2, IKBKE, MAPK3, GBP3, GSDMD, GABARAPL1, GBP7, IFI204, ERBIN, CYBB, TYK2, NFKB1, NAIP5, PLCB3, IRF3, OAS2, NAIP6, OAS3, TRIP6, IRF7, PLCB2, IFNAR1</t>
  </si>
  <si>
    <t>3.209924919164794</t>
  </si>
  <si>
    <t>6.281986131284611E-8</t>
  </si>
  <si>
    <t>6.281987545885129E-8</t>
  </si>
  <si>
    <t>3.633698678502183E-8</t>
  </si>
  <si>
    <t>mmu04380:Osteoclast differentiation</t>
  </si>
  <si>
    <t>2.7179006560449857</t>
  </si>
  <si>
    <t>4.4162601335313017E-10</t>
  </si>
  <si>
    <t>CSF1R, SPI1, NCF1, NCF4, PIK3R2, TNF, RELB, AKT3, MAPK1, SIRPA, RAC1, MAPK3, IFNGR1, IFNGR2, TYK2, FOS, GAB2, NFKB1, TGFBR1, FOSL2, TGFBR2, IL1A, FCGR3, TYROBP, TEC, GRB2, LCP2, SIRPB1C, IFNAR1</t>
  </si>
  <si>
    <t>3.9718962791828796</t>
  </si>
  <si>
    <t>1.351375340519212E-7</t>
  </si>
  <si>
    <t>6.756878004302891E-8</t>
  </si>
  <si>
    <t>3.9083902181752025E-8</t>
  </si>
  <si>
    <t>mmu00053:Ascorbate and aldarate metabolism</t>
  </si>
  <si>
    <t>1.3120899718837862</t>
  </si>
  <si>
    <t>4.545619078286753E-9</t>
  </si>
  <si>
    <t>UGT1A10, UGT1A1, AKR1A1, UGT1A6A, UGT1A6B, UGT1A7C, ALDH3A2, UGDH, ALDH2, UGT1A5, UGT1A2, UGT1A9, GUSB, UGT1A8</t>
  </si>
  <si>
    <t>7.917283795657085</t>
  </si>
  <si>
    <t>1.3909584813953657E-6</t>
  </si>
  <si>
    <t>4.636531459852488E-7</t>
  </si>
  <si>
    <t>2.6819152561891845E-7</t>
  </si>
  <si>
    <t>mmu05200:Pathways in cancer</t>
  </si>
  <si>
    <t>5.998125585754452</t>
  </si>
  <si>
    <t>3.126186174614389E-8</t>
  </si>
  <si>
    <t>RB1, SPI1, CSF3R, CASP7, GNGT2, RPS6KA5, HEY1, AKT3, RAC2, EP300, RAC1, PRKACA, NCOA1, IL15RA, DAPK1, GSTO1, IFNGR1, HGF, IFNGR2, TRAF1, FOS, AXIN2, TGFBR1, TGFBR2, RUNX1, PLCB3, ADCY9, SMO, ITGA6, MET, PLCB2, IFNAR1, CSF1R, CEBPA, NOTCH1, MGST3, MGST1, IL4RA, XIAP, ADCY3, PIK3R2, CSF2RA, ADCY7, LRP6, GNAI2, PLD2, BCL2L11, GNG2, GNA12, ABL1, CTNNA1, MAPK1, VHL, IL12RB2, MAPK3, NOS2, AGT, NFKB1, GSTA3, LPAR6, GNAQ, GNAS, CTNNB1, GRB2</t>
  </si>
  <si>
    <t>2.066284010863412</t>
  </si>
  <si>
    <t>9.566084094636551E-6</t>
  </si>
  <si>
    <t>2.3915324235800074E-6</t>
  </si>
  <si>
    <t>1.3833373822668673E-6</t>
  </si>
  <si>
    <t>mmu05163:Human cytomegalovirus infection</t>
  </si>
  <si>
    <t>3.5613870665417062</t>
  </si>
  <si>
    <t>1.2811884727014825E-7</t>
  </si>
  <si>
    <t>H2-T24, RB1, SRC, H2-K1, H2-Q4, ADCY3, PIK3R2, TNF, ADCY7, GNAI2, AKAP13, GNG2, GNGT2, CREB3L3, CCL5, CCL4, GNA12, AKT3, RAC2, PTK2B, MAPK1, RIPK1, RAC1, PRKACA, MAPK3, IL10RB, IL10RA, NFKB1, TAPBP, PLCB3, ADCY9, IRF3, GNAQ, GNAS, CTNNB1, GRB2, PLCB2, H2-D1</t>
  </si>
  <si>
    <t>2.6022768725680936</t>
  </si>
  <si>
    <t>3.92036013067143E-5</t>
  </si>
  <si>
    <t>7.1795592574452155E-6</t>
  </si>
  <si>
    <t>4.152882315581056E-6</t>
  </si>
  <si>
    <t>mmu05207:Chemical carcinogenesis - receptor activation</t>
  </si>
  <si>
    <t>3.280224929709466</t>
  </si>
  <si>
    <t>1.4077567171461207E-7</t>
  </si>
  <si>
    <t>RB1, UGT1A10, SRC, MGST3, MGST1, XIAP, ADCY3, CACNA1D, PIK3R2, AHR, ADCY7, UGT1A7C, GNAI2, RPS6KA3, CREB3L3, AKT3, UGT1A5, MAPK1, UGT1A2, UGT1A9, PRKACA, UGT1A8, IKBKE, MAPK3, UGT1A1, GSTO1, EPHX1, FOS, UGT1A6A, UGT1A6B, NFKB1, ADCY9, GSTA3, GNAS, GRB2</t>
  </si>
  <si>
    <t>2.7270644185041073</t>
  </si>
  <si>
    <t>4.307643074874523E-5</t>
  </si>
  <si>
    <t>mmu05142:Chagas disease</t>
  </si>
  <si>
    <t>2.0618556701030926</t>
  </si>
  <si>
    <t>2.476237806713E-7</t>
  </si>
  <si>
    <t>C1QB, NOS2, IFNGR1, IFNGR2, PIK3R2, FOS, TNF, NFKB1, TGFBR1, TGFBR2, GNAI2, C3, PLCB3, IRAK1, CCL5, GNAQ, AKT3, GNAS, MAPK1, PLCB2, C1QC, MAPK3</t>
  </si>
  <si>
    <t>3.74451286313324</t>
  </si>
  <si>
    <t>7.577001558389806E-5</t>
  </si>
  <si>
    <t>1.082469669791683E-5</t>
  </si>
  <si>
    <t>6.261344168402872E-6</t>
  </si>
  <si>
    <t>mmu04668:TNF signaling pathway</t>
  </si>
  <si>
    <t>2.1555763823805063</t>
  </si>
  <si>
    <t>3.004971914362522E-7</t>
  </si>
  <si>
    <t>TNFAIP3, PIK3R2, NOD2, FOS, TRAF1, TNFRSF1B, TNF, CXCL2, NFKB1, CXCL10, MMP14, ITCH, CASP7, RPS6KA5, CREB3L3, CCL5, BCL3, AKT3, MAPK1, MAP3K8, RIPK1, GM5431, MAPK3</t>
  </si>
  <si>
    <t>3.5682827726317963</t>
  </si>
  <si>
    <t>9.194792693367759E-5</t>
  </si>
  <si>
    <t>1.1494017572436647E-5</t>
  </si>
  <si>
    <t>6.648500360527081E-6</t>
  </si>
  <si>
    <t>mmu04062:Chemokine signaling pathway</t>
  </si>
  <si>
    <t>2.9053420805998127</t>
  </si>
  <si>
    <t>3.720397923520802E-7</t>
  </si>
  <si>
    <t>NCF1, SRC, ADCY3, PIK3R2, FOXO3, CXCL2, ADCY7, GNAI2, PREX1, GRK2, GNG2, GNGT2, CCL5, CCL4, AKT3, RAC2, PTK2B, MAPK1, RAC1, PRKACA, MAPK3, LYN, VAV3, NFKB1, CXCL10, HCK, PLCB3, ADCY9, GNAQ, GRB2, PLCB2</t>
  </si>
  <si>
    <t>2.830546773670558</t>
  </si>
  <si>
    <t>1.1383771761841466E-4</t>
  </si>
  <si>
    <t>1.2649352939970727E-5</t>
  </si>
  <si>
    <t>7.316782582924246E-6</t>
  </si>
  <si>
    <t>mmu04142:Lysosome</t>
  </si>
  <si>
    <t>2.343017806935333</t>
  </si>
  <si>
    <t>5.112198236467025E-7</t>
  </si>
  <si>
    <t>SCARB2, LITAF, LIPA, SGSH, CLN3, CTSO, NAGLU, LAMP2, PSAP, AP1S2, CTSH, IDS, ACP2, CTSF, GUSB, HGSNAT, SLC11A1, SLC11A2, LAPTM5, AP1B1, NAGA, PLA2G15, GALC, DMXL2, MAN2B1</t>
  </si>
  <si>
    <t>3.246505260123937</t>
  </si>
  <si>
    <t>1.5642107098512437E-4</t>
  </si>
  <si>
    <t>1.56433266035891E-5</t>
  </si>
  <si>
    <t>9.048590878546636E-6</t>
  </si>
  <si>
    <t>mmu04620:Toll-like receptor signaling pathway</t>
  </si>
  <si>
    <t>1.9681349578256795</t>
  </si>
  <si>
    <t>6.632737787907244E-7</t>
  </si>
  <si>
    <t>CD40, PIK3R2, FOS, TNF, NFKB1, TLR1, CXCL10, IRF3, IRAK1, CCL5, CCL4, AKT3, IRF7, MAPK1, TLR8, MAP3K8, RIPK1, RAC1, IKBKE, IFNAR1, MAPK3</t>
  </si>
  <si>
    <t>3.6815369649805447</t>
  </si>
  <si>
    <t>2.029412482575932E-4</t>
  </si>
  <si>
    <t>1.845107057363288E-5</t>
  </si>
  <si>
    <t>1.0672678076905294E-5</t>
  </si>
  <si>
    <t>mmu04611:Platelet activation</t>
  </si>
  <si>
    <t>1.8212663460463557E-6</t>
  </si>
  <si>
    <t>LYN, FCER1G, SRC, ADCY3, PIK3R2, ADCY7, MYL12B, GNAI2, PTGS1, PLCB3, FCGR3, ADCY9, GNAQ, TBXAS1, AKT3, GNAS, MAPK1, ORAI1, LCP2, PRKACA, PLCB2, FERMT3, MAPK3</t>
  </si>
  <si>
    <t>3.2257276264591437</t>
  </si>
  <si>
    <t>5.571527421370792E-4</t>
  </si>
  <si>
    <t>4.17665895250143E-5</t>
  </si>
  <si>
    <t>2.415910570564553E-5</t>
  </si>
  <si>
    <t>mmu05135:Yersinia infection</t>
  </si>
  <si>
    <t>2.2492970946579196</t>
  </si>
  <si>
    <t>1.9087357537114285E-6</t>
  </si>
  <si>
    <t>VAV3, GIT2, SRC, PIK3R2, NLRC4, FOS, TNF, FYB, NFKB1, RPS6KA3, FCGR3, IRF3, IRAK1, GNAQ, AKT3, RAC2, ELMO2, MAPK1, NLRP3, PTK2B, LCP2, RAC1, DOCK1, MAPK3</t>
  </si>
  <si>
    <t>3.1166450497189797</t>
  </si>
  <si>
    <t>5.839031602073996E-4</t>
  </si>
  <si>
    <t>2.530459231490159</t>
  </si>
  <si>
    <t>1.9108897168307197E-6</t>
  </si>
  <si>
    <t>RB1, SCARB1, RNASEL, CD81, PIK3R2, IFIT1, TNF, AKT3, MAPK1, RIPK1, IKBKE, YWHAH, MAPK3, RSAD2, EIF2AK3, NR1H3, TYK2, NFKB1, PIAS1, CXCL10, IRF3, OAS2, OAS3, IRF7, CTNNB1, GRB2, IFNAR1</t>
  </si>
  <si>
    <t>2.8687301025822425</t>
  </si>
  <si>
    <t>5.845618891047177E-4</t>
  </si>
  <si>
    <t>mmu00040:Pentose and glucuronate interconversions</t>
  </si>
  <si>
    <t>1.1246485473289598</t>
  </si>
  <si>
    <t>2.9891753693635898E-6</t>
  </si>
  <si>
    <t>UGT1A10, UGDH, UGT1A1, UGT1A5, AKR1A1, UGT1A2, UGT1A9, GUSB, UGT1A8, UGT1A6A, UGT1A6B, UGT1A7C</t>
  </si>
  <si>
    <t>5.8437094682230875</t>
  </si>
  <si>
    <t>9.142708296079327E-4</t>
  </si>
  <si>
    <t>6.0979177535017225E-5</t>
  </si>
  <si>
    <t>3.5272269358490364E-5</t>
  </si>
  <si>
    <t>mmu05152:Tuberculosis</t>
  </si>
  <si>
    <t>2.6241799437675724</t>
  </si>
  <si>
    <t>3.214287637128318E-6</t>
  </si>
  <si>
    <t>RAB5B, SRC, CEBPG, LSP1, NOD2, TNF, C3, IRAK1, CLEC7A, IRAK2, LAMP2, AKT3, MRC1, MAPK1, EP300, MAPK3, CD74, FCER1G, NOS2, IL10RB, IFNGR1, SPHK2, IL10RA, IFNGR2, NFKB1, TLR1, IL1A, FCGR3</t>
  </si>
  <si>
    <t>9.830900477553195E-4</t>
  </si>
  <si>
    <t>6.147325106007908E-5</t>
  </si>
  <si>
    <t>3.5558056985732025E-5</t>
  </si>
  <si>
    <t>mmu04144:Endocytosis</t>
  </si>
  <si>
    <t>3.373945641986879</t>
  </si>
  <si>
    <t>4.480382967506768E-6</t>
  </si>
  <si>
    <t>H2-T24, ARF3, RAB5B, SRC, H2-K1, H2-Q4, NEDD4L, ASAP1, PLD2, SNX4, GRK2, CAPZB, AP2S1, CYTH1, RAB11FIP4, AP2M1, RAB11FIP5, SH3GLB1, ARFGEF2, USP8, GIT2, IQSEC3, ARAP3, WWP1, ARAP1, TGFBR1, TGFBR2, RAB11B, RAB10, ITCH, RAB31, CHMP3, SMAP2, FOLR1, VPS28, H2-D1</t>
  </si>
  <si>
    <t>2.3202964065003435</t>
  </si>
  <si>
    <t>0.0013700608678619552</t>
  </si>
  <si>
    <t>8.064689341512183E-5</t>
  </si>
  <si>
    <t>4.664869324992342E-5</t>
  </si>
  <si>
    <t>mmu05133:Pertussis</t>
  </si>
  <si>
    <t>1.5932521087160263</t>
  </si>
  <si>
    <t>5.1821862877885504E-6</t>
  </si>
  <si>
    <t>C1QB, NOS2, NOD1, FOS, TNF, NFKB1, GNAI2, C3, IL1A, CASP7, IRF3, IRAK1, MAPK1, IRF8, NLRP3, C1QC, MAPK3</t>
  </si>
  <si>
    <t>3.870508868563343</t>
  </si>
  <si>
    <t>0.0015844964707524278</t>
  </si>
  <si>
    <t>8.809716689240535E-5</t>
  </si>
  <si>
    <t>5.0958165163254095E-5</t>
  </si>
  <si>
    <t>mmu04928:Parathyroid hormone synthesis, secretion and action</t>
  </si>
  <si>
    <t>1.874414245548266</t>
  </si>
  <si>
    <t>9.247775019370222E-6</t>
  </si>
  <si>
    <t>ADCY3, FOS, ADCY7, LRP6, GNAI2, PLD2, AKAP13, MMP14, PLCB3, MAFB, ADCY9, CREB3L3, MMP15, GNAQ, GNA12, GNAS, MAPK1, PRKACA, PLCB2, MAPK3</t>
  </si>
  <si>
    <t>0.0028258320396905567</t>
  </si>
  <si>
    <t>1.4893785031196252E-4</t>
  </si>
  <si>
    <t>8.615032518044893E-5</t>
  </si>
  <si>
    <t>mmu04926:Relaxin signaling pathway</t>
  </si>
  <si>
    <t>1.1123100918529925E-5</t>
  </si>
  <si>
    <t>NOS2, SRC, ADCY3, PIK3R2, FOS, ADCY7, NFKB1, TGFBR1, TGFBR2, GNAI2, PLCB3, GNG2, GNGT2, ADCY9, CREB3L3, AKT3, GNAS, MAPK1, GRB2, PRKACA, PLCB2, MAPK3</t>
  </si>
  <si>
    <t>2.9898048442071605</t>
  </si>
  <si>
    <t>0.0033979018319536536</t>
  </si>
  <si>
    <t>1.6645432274723106E-4</t>
  </si>
  <si>
    <t>9.628240237339838E-5</t>
  </si>
  <si>
    <t>mmu04976:Bile secretion</t>
  </si>
  <si>
    <t>1.7806935332708531</t>
  </si>
  <si>
    <t>1.1423335874809975E-5</t>
  </si>
  <si>
    <t>ABCC3, SCARB1, UGT1A10, ABCC2, UGT1A1, EPHX1, ADCY3, UGT1A6A, ADCY7, UGT1A6B, UGT1A7C, ADCY9, FXYD2, UGT1A5, GNAS, UGT1A2, UGT1A9, PRKACA, UGT1A8</t>
  </si>
  <si>
    <t>3.3309143968871595</t>
  </si>
  <si>
    <t>0.003489458383209798</t>
  </si>
  <si>
    <t>mmu04664:Fc epsilon RI signaling pathway</t>
  </si>
  <si>
    <t>1.4058106841611997</t>
  </si>
  <si>
    <t>1.5676030419653792E-5</t>
  </si>
  <si>
    <t>LYN, VAV3, FCER1G, PIK3R2, GAB2, TNF, INPP5D, ALOX5AP, AKT3, RAC2, MAPK1, GRB2, LCP2, RAC1, MAPK3</t>
  </si>
  <si>
    <t>3.9843473646975593</t>
  </si>
  <si>
    <t>0.004785416142259469</t>
  </si>
  <si>
    <t>2.150599099669235E-4</t>
  </si>
  <si>
    <t>1.2439739890243617E-4</t>
  </si>
  <si>
    <t>mmu04666:Fc gamma R-mediated phagocytosis</t>
  </si>
  <si>
    <t>1.6869728209934396</t>
  </si>
  <si>
    <t>1.6164633755683793E-5</t>
  </si>
  <si>
    <t>LYN, VAV3, NCF1, SPHK2, ASAP1, PIK3R2, GAB2, PLD2, HCK, FCGR3, MARCKS, INPP5D, AKT3, RAC2, MAPK1, RAC1, DOCK1, MAPK3</t>
  </si>
  <si>
    <t>3.393121626710179</t>
  </si>
  <si>
    <t>0.004934204528582842</t>
  </si>
  <si>
    <t>mmu00860:Porphyrin metabolism</t>
  </si>
  <si>
    <t>1.9885441135687316E-5</t>
  </si>
  <si>
    <t>UGT1A10, ALAS1, UGT1A1, UGT1A5, BLVRB, UGT1A2, UGT1A9, GUSB, UGT1A8, UGT1A6A, UGT1A6B, UGT1A7C</t>
  </si>
  <si>
    <t>4.892407926884445</t>
  </si>
  <si>
    <t>0.006066529338165538</t>
  </si>
  <si>
    <t>2.535393744800133E-4</t>
  </si>
  <si>
    <t>1.4665512837569396E-4</t>
  </si>
  <si>
    <t>mmu04650:Natural killer cell mediated cytotoxicity</t>
  </si>
  <si>
    <t>2.34193381031505E-5</t>
  </si>
  <si>
    <t>VAV3, FCER1G, IFNGR1, IFNGR2, PIK3R2, ITGAL, TNF, TYROBP, RAET1E, SH3BP2, RAC2, MAPK1, PTK2B, GRB2, LCP2, CD48, RAC1, ULBP1, IFNAR1, MAPK3</t>
  </si>
  <si>
    <t>3.0488918964642195</t>
  </si>
  <si>
    <t>0.007140783953170637</t>
  </si>
  <si>
    <t>2.866526983825621E-4</t>
  </si>
  <si>
    <t>1.6580891377030555E-4</t>
  </si>
  <si>
    <t>mmu05167:Kaposi sarcoma-associated herpesvirus infection</t>
  </si>
  <si>
    <t>2.8116213683223994</t>
  </si>
  <si>
    <t>2.626401341536217E-5</t>
  </si>
  <si>
    <t>H2-T24, RB1, SRC, H2-K1, H2-Q4, PIK3R2, CXCL2, C3, PREX1, GNG2, MAP1LC3A, GNGT2, AKT3, MAPK1, EP300, RAC1, IKBKE, MAPK3, LYN, IFNGR1, TYK2, FOS, NFKB1, CD200R4, HCK, IRF3, IRF7, CTNNB1, H2-D1, IFNAR1</t>
  </si>
  <si>
    <t>2.3479189827682045</t>
  </si>
  <si>
    <t>0.008004684162177811</t>
  </si>
  <si>
    <t>3.091072348115702E-4</t>
  </si>
  <si>
    <t>1.7879732209688862E-4</t>
  </si>
  <si>
    <t>mmu04015:Rap1 signaling pathway</t>
  </si>
  <si>
    <t>2.9746896299941435E-5</t>
  </si>
  <si>
    <t>CSF1R, SRC, ADCY3, PIK3R2, ITGAL, SIPA1L2, ADCY7, FYB, GNAI2, AKT3, RAC2, KDR, MAPK1, RAC1, MAPK3, VAV3, HGF, INSR, ARAP3, PLCB3, ADCY9, GNAQ, GNAS, CTNNB1, RAPGEF2, EVL, LCP2, MET, PLCB2</t>
  </si>
  <si>
    <t>2.3757136623149933</t>
  </si>
  <si>
    <t>0.009061381634556498</t>
  </si>
  <si>
    <t>3.3713149139933627E-4</t>
  </si>
  <si>
    <t>1.9500743129961608E-4</t>
  </si>
  <si>
    <t>mmu05140:Leishmaniasis</t>
  </si>
  <si>
    <t>3.170748502696378E-5</t>
  </si>
  <si>
    <t>NOS2, NCF1, IFNGR1, IFNGR2, NCF4, CYBB, FOS, TNF, NFKB1, C3, IL1A, FCGR3, IRAK1, MAPK1, MAPK3</t>
  </si>
  <si>
    <t>3.7566703724291273</t>
  </si>
  <si>
    <t>0.00965572545769533</t>
  </si>
  <si>
    <t>3.465175149375328E-4</t>
  </si>
  <si>
    <t>2.004366017775925E-4</t>
  </si>
  <si>
    <t>mmu04662:B cell receptor signaling pathway</t>
  </si>
  <si>
    <t>1.499531396438613</t>
  </si>
  <si>
    <t>4.325408167442849E-5</t>
  </si>
  <si>
    <t>LYN, VAV3, CD72, CD81, PIK3R2, FOS, NFKB1, INPP5D, AKT3, RAC2, MAPK1, GRB2, RAC1, CD22, CARD11, MAPK3</t>
  </si>
  <si>
    <t>3.4629389441321994</t>
  </si>
  <si>
    <t>0.013148824136615334</t>
  </si>
  <si>
    <t>4.4552568358295007E-4</t>
  </si>
  <si>
    <t>2.577060326607261E-4</t>
  </si>
  <si>
    <t>mmu05145:Toxoplasmosis</t>
  </si>
  <si>
    <t>4.3678988586563736E-5</t>
  </si>
  <si>
    <t>CD40, NOS2, IFNGR1, IL10RB, IFNGR2, IL10RA, IRGM2, IRGM1, XIAP, TYK2, TNF, NFKB1, GNAI2, IRAK1, AKT3, IGTP, MAPK1, ITGA6, MAPK3</t>
  </si>
  <si>
    <t>3.0281039971701453</t>
  </si>
  <si>
    <t>0.013277133257214357</t>
  </si>
  <si>
    <t>mmu01240:Biosynthesis of cofactors</t>
  </si>
  <si>
    <t>4.5891123370676175E-5</t>
  </si>
  <si>
    <t>UGT1A10, ALAS1, UGT1A1, AKR1A1, CTPS2, KMO, UGT1A6A, UGT1A6B, UGT1A7C, DHRS3, PTS, ALDH3A2, UGDH, ALDH2, KYNU, UGT1A5, CMPK2, UGT1A2, UGT1A9, GUSB, MOCS1, UGT1A8, BCAT2</t>
  </si>
  <si>
    <t>2.652736534917059</t>
  </si>
  <si>
    <t>0.013944862915102663</t>
  </si>
  <si>
    <t>4.529897984331261E-4</t>
  </si>
  <si>
    <t>2.6202351085837693E-4</t>
  </si>
  <si>
    <t>mmu00980:Metabolism of xenobiotics by cytochrome P450</t>
  </si>
  <si>
    <t>5.181359340028063E-5</t>
  </si>
  <si>
    <t>CBR2, UGT1A10, UGT1A1, GSTO1, MGST3, EPHX1, MGST1, UGT1A6A, UGT1A6B, UGT1A7C, GSTA3, UGT1A5, UGT1A2, UGT1A9, UGT1A8</t>
  </si>
  <si>
    <t>3.602286658493684</t>
  </si>
  <si>
    <t>0.01573033565744464</t>
  </si>
  <si>
    <t>4.954674868901835E-4</t>
  </si>
  <si>
    <t>2.865939384953023E-4</t>
  </si>
  <si>
    <t>6.852479308852127E-5</t>
  </si>
  <si>
    <t>FCER1G, SPHK2, PIK3R2, GAB2, TNF, NFKB1, GNAI2, PLD2, PLCB3, SGPL1, GNAQ, GNA12, AKT3, S1PR1, RAC2, MAPK1, RAC1, PLCB2, MAPK3, NSMAF</t>
  </si>
  <si>
    <t>2.827601355591816</t>
  </si>
  <si>
    <t>0.020750977991898067</t>
  </si>
  <si>
    <t>6.354117177299245E-4</t>
  </si>
  <si>
    <t>3.675420720202505E-4</t>
  </si>
  <si>
    <t>mmu05417:Lipid and atherosclerosis</t>
  </si>
  <si>
    <t>9.164184546097215E-5</t>
  </si>
  <si>
    <t>CD40, NCF1, SRC, NCF4, PIK3R2, CXCL2, TNF, CASP7, IRAK1, CCL5, AKT3, NLRP3, MAPK1, RAC1, IKBKE, MAPK3, LYN, ABCA1, VAV3, EIF2AK3, CYBB, FOS, SOD2, NFKB1, PLCB3, IRF3, IRF7, PLCB2</t>
  </si>
  <si>
    <t>2.272553682086756</t>
  </si>
  <si>
    <t>0.027654115644662913</t>
  </si>
  <si>
    <t>8.247766091487493E-4</t>
  </si>
  <si>
    <t>4.7707666607623746E-4</t>
  </si>
  <si>
    <t>mmu04072:Phospholipase D signaling pathway</t>
  </si>
  <si>
    <t>1.0069534167097283E-4</t>
  </si>
  <si>
    <t>FCER1G, SPHK2, INSR, ADCY3, PIK3R2, GAB2, ADCY7, AGT, PLD2, PLCB3, ADCY9, LPAR6, GNA12, AKT3, GNAS, MAPK1, PTK2B, GRB2, PLCB2, CYTH1, DGKI, MAPK3</t>
  </si>
  <si>
    <t>2.5884887577364006</t>
  </si>
  <si>
    <t>0.03034440381082959</t>
  </si>
  <si>
    <t>8.803649871805052E-4</t>
  </si>
  <si>
    <t>5.092307278789198E-4</t>
  </si>
  <si>
    <t>mmu05169:Epstein-Barr virus infection</t>
  </si>
  <si>
    <t>1.1716637415499566E-4</t>
  </si>
  <si>
    <t>H2-T24, RB1, CD40, H2-K1, H2-Q4, TNFAIP3, PIK3R2, ITGAL, TNF, RELB, BCL2L11, IRAK1, AKT3, RIPK1, RAC1, IKBKE, LYN, ENTPD1, ISG15, TYK2, NFKB1, TAPBP, CXCL10, IRF3, OAS2, OAS3, IRF7, H2-D1, IFNAR1</t>
  </si>
  <si>
    <t>2.2008775919281756</t>
  </si>
  <si>
    <t>0.03521983417774266</t>
  </si>
  <si>
    <t>9.95914180317463E-4</t>
  </si>
  <si>
    <t>5.760680062620622E-4</t>
  </si>
  <si>
    <t>mmu04261:Adrenergic signaling in cardiomyocytes</t>
  </si>
  <si>
    <t>1.345015361146502E-4</t>
  </si>
  <si>
    <t>TPM4, CACNA2D1, ATP2B4, ADCY3, CACNA1D, ADCY7, AGT, SLC8A1, SLC8A2, GNAI2, PLCB3, ADCY9, RPS6KA5, CREB3L3, FXYD2, GNAQ, AKT3, GNAS, MAPK1, PRKACA, PLCB2, MAPK3</t>
  </si>
  <si>
    <t>2.5374001638337087</t>
  </si>
  <si>
    <t>0.04032465899446325</t>
  </si>
  <si>
    <t>0.0011123640554346747</t>
  </si>
  <si>
    <t>6.434262673592726E-4</t>
  </si>
  <si>
    <t>mmu04912:GnRH signaling pathway</t>
  </si>
  <si>
    <t>1.5142147867444654E-4</t>
  </si>
  <si>
    <t>SRC, ADCY3, CACNA1D, ADCY7, PLD2, MMP14, PLCB3, ADCY9, GNAQ, GNAS, MAPK1, PTK2B, GRB2, PRKACA, PLCB2, MAPK3</t>
  </si>
  <si>
    <t>0.04528124655341326</t>
  </si>
  <si>
    <t>0.0012193413809047538</t>
  </si>
  <si>
    <t>7.053053085625538E-4</t>
  </si>
  <si>
    <t>mmu04520:Adherens junction</t>
  </si>
  <si>
    <t>1.566135868180822E-4</t>
  </si>
  <si>
    <t>PTPN1, SRC, INSR, PTPRJ, TGFBR1, TGFBR2, CTNNA1, RAC2, CTNNB1, MAPK1, EP300, RAC1, MET, MAPK3</t>
  </si>
  <si>
    <t>3.456842220639009</t>
  </si>
  <si>
    <t>0.04679711843051271</t>
  </si>
  <si>
    <t>0.0012288142965726449</t>
  </si>
  <si>
    <t>7.107847401743732E-4</t>
  </si>
  <si>
    <t>mmu04923:Regulation of lipolysis in adipocytes</t>
  </si>
  <si>
    <t>3.089239387277263E-4</t>
  </si>
  <si>
    <t>FABP4, ADCY9, INSR, AKT3, GNAS, ADCY3, PIK3R2, PRKACA, ADCY7, PNPLA2, GNAI2, PTGS1</t>
  </si>
  <si>
    <t>3.6907638746672125</t>
  </si>
  <si>
    <t>0.0902135066215759</t>
  </si>
  <si>
    <t>0.002303570177433406</t>
  </si>
  <si>
    <t>0.001332457259495794</t>
  </si>
  <si>
    <t>mmu04935:Growth hormone synthesis, secretion and action</t>
  </si>
  <si>
    <t>3.146955011815297E-4</t>
  </si>
  <si>
    <t>ADCY3, CACNA1D, PIK3R2, FOS, ADCY7, GNAI2, PLCB3, ADCY9, CREB3L3, GNAQ, AKT3, GNAS, MAPK1, EP300, GRB2, PRKACA, PLCB2, MAPK3</t>
  </si>
  <si>
    <t>2.697096677641425</t>
  </si>
  <si>
    <t>0.09181936108406985</t>
  </si>
  <si>
    <t>mmu05164:Influenza A</t>
  </si>
  <si>
    <t>3.161762988634087E-4</t>
  </si>
  <si>
    <t>RNASEL, RSAD2, IFNGR1, IFNGR2, PIK3R2, TYK2, TNF, NFKB1, RAB11B, CXCL10, IL1A, IRF3, OAS2, OAS3, CCL5, AKT3, IRF7, MAPK1, EP300, NLRP3, IKBKE, IFNAR1, MAPK3</t>
  </si>
  <si>
    <t>2.3307280537999597</t>
  </si>
  <si>
    <t>0.09223091617965318</t>
  </si>
  <si>
    <t>mmu04713:Circadian entrainment</t>
  </si>
  <si>
    <t>3.9679224069969464E-4</t>
  </si>
  <si>
    <t>ADCY3, CACNA1D, FOS, ADCY7, GNAI2, PLCB3, GNG2, GNGT2, ADCY9, RPS6KA5, GNAQ, GNAS, MAPK1, PRKACA, PLCB2, MAPK3</t>
  </si>
  <si>
    <t>2.862225045660287</t>
  </si>
  <si>
    <t>0.11435804227592405</t>
  </si>
  <si>
    <t>0.0028236843175373618</t>
  </si>
  <si>
    <t>0.0016333075954382784</t>
  </si>
  <si>
    <t>mmu04140:Autophagy - animal</t>
  </si>
  <si>
    <t>4.200664416865187E-4</t>
  </si>
  <si>
    <t>SH3GLB1, RUBCN, GABARAPL1, DAPK1, MTMR14, EIF2AK3, PIK3R2, ZFYVE1, MAP1LC3A, LAMP2, AKT3, ATG2A, ATG4C, ULK2, MAPK1, ULK1, RAB7B, PRKACA, TRP53INP2, MAPK3</t>
  </si>
  <si>
    <t>2.4691730147421493</t>
  </si>
  <si>
    <t>0.12064565218302314</t>
  </si>
  <si>
    <t>0.00290295116452145</t>
  </si>
  <si>
    <t>0.0016791580265369172</t>
  </si>
  <si>
    <t>mmu04068:FoxO signaling pathway</t>
  </si>
  <si>
    <t>4.2690458301786026E-4</t>
  </si>
  <si>
    <t>GABARAPL1, INSR, PIK3R2, FOXO3, SOD2, TGFBR1, TGFBR2, RBL2, BCL2L11, CCNG2, CAT, AKT3, S1PR1, MAPK1, EP300, GRB2, SGK3, SGK1, MAPK3</t>
  </si>
  <si>
    <t>2.542682745715389</t>
  </si>
  <si>
    <t>0.12248453003946624</t>
  </si>
  <si>
    <t>mmu05166:Human T-cell leukemia virus 1 infection</t>
  </si>
  <si>
    <t>4.494264365465796E-4</t>
  </si>
  <si>
    <t>H2-T24, RB1, CD40, SPI1, H2-K1, H2-Q4, XIAP, ADCY3, PIK3R2, ITGAL, TNF, ADCY7, RELB, CREB3L3, AKT3, TSPO, MAPK1, EP300, PRKACA, MAPK3, IL15RA, FOS, NFKB1, TGFBR1, TGFBR2, ADCY9, ANAPC5, H2-D1, ANAPC2</t>
  </si>
  <si>
    <t>2.033610894941634</t>
  </si>
  <si>
    <t>0.12851393377416054</t>
  </si>
  <si>
    <t>0.0029896628170272468</t>
  </si>
  <si>
    <t>0.0017293147667118392</t>
  </si>
  <si>
    <t>mmu04915:Estrogen signaling pathway</t>
  </si>
  <si>
    <t>5.635390708200747E-4</t>
  </si>
  <si>
    <t>2.485757012602358</t>
  </si>
  <si>
    <t>0.1584346110191568</t>
  </si>
  <si>
    <t>0.0035564535762325064</t>
  </si>
  <si>
    <t>0.002057164323507038</t>
  </si>
  <si>
    <t>mmu04725:Cholinergic synapse</t>
  </si>
  <si>
    <t>5.682678984327042E-4</t>
  </si>
  <si>
    <t>ADCY3, CACNA1D, PIK3R2, FOS, ADCY7, GNAI2, PLCB3, GNG2, GNGT2, ADCY9, CREB3L3, GNAQ, AKT3, MAPK1, PRKACA, PLCB2, MAPK3</t>
  </si>
  <si>
    <t>2.6609748471372985</t>
  </si>
  <si>
    <t>0.15965218190938135</t>
  </si>
  <si>
    <t>mmu04961:Endocrine and other factor-regulated calcium reabsorption</t>
  </si>
  <si>
    <t>5.694974680895189E-4</t>
  </si>
  <si>
    <t>PLCB3, ADCY9, FXYD2, GNAQ, GNAS, AP2S1, ATP2B4, PRKACA, PLCB2, SLC8A1, AP2M1, SLC8A2</t>
  </si>
  <si>
    <t>3.4487465714103465</t>
  </si>
  <si>
    <t>0.15996848179009615</t>
  </si>
  <si>
    <t>mmu00982:Drug metabolism - cytochrome P450</t>
  </si>
  <si>
    <t>1.218369259606373</t>
  </si>
  <si>
    <t>5.98852854245123E-4</t>
  </si>
  <si>
    <t>UGT1A10, UGT1A1, GSTO1, MGST3, MGST1, UGT1A6A, UGT1A6B, UGT1A7C, GSTA3, UGT1A5, UGT1A2, UGT1A9, UGT1A8</t>
  </si>
  <si>
    <t>0.1674848548328921</t>
  </si>
  <si>
    <t>0.0036649794679801525</t>
  </si>
  <si>
    <t>0.0021199391040277356</t>
  </si>
  <si>
    <t>mmu04724:Glutamatergic synapse</t>
  </si>
  <si>
    <t>6.280883424304431E-4</t>
  </si>
  <si>
    <t>ADCY3, CACNA1D, ADCY7, GNAI2, PLD2, PLCB3, GNG2, GRK2, GNGT2, ADCY9, GNAQ, GNAS, MAPK1, PRKACA, PLCB2, GLUL, MAPK3</t>
  </si>
  <si>
    <t>2.637426397162632</t>
  </si>
  <si>
    <t>0.1749039010032586</t>
  </si>
  <si>
    <t>0.0037685300545826587</t>
  </si>
  <si>
    <t>0.0021798360119644794</t>
  </si>
  <si>
    <t>mmu00983:Drug metabolism - other enzymes</t>
  </si>
  <si>
    <t>6.52459102385021E-4</t>
  </si>
  <si>
    <t>UGT1A10, UGT1A1, GSTO1, MGST3, MGST1, UGT1A6A, UGT1A6B, UGT1A7C, GSTA3, UGT1A5, TK1, UGT1A2, UGT1A9, GUSB, UGT1A8</t>
  </si>
  <si>
    <t>2.8583361529352054</t>
  </si>
  <si>
    <t>0.1810380425560083</t>
  </si>
  <si>
    <t>0.003839470871727239</t>
  </si>
  <si>
    <t>0.002220870406195168</t>
  </si>
  <si>
    <t>mmu04210:Apoptosis</t>
  </si>
  <si>
    <t>6.742710964763362E-4</t>
  </si>
  <si>
    <t>EIF2AK3, XIAP, PIK3R2, FOS, TRAF1, TNF, NFKB1, CTSO, CASP7, BCL2L11, AKT3, CAPN2, CTSH, MAPK1, RIPK1, BCL2A1D, CTSF, BCL2A1B, MAPK3</t>
  </si>
  <si>
    <t>2.449201762417029</t>
  </si>
  <si>
    <t>0.18648958276811478</t>
  </si>
  <si>
    <t>0.003866616375578447</t>
  </si>
  <si>
    <t>0.002236572217246357</t>
  </si>
  <si>
    <t>mmu04927:Cortisol synthesis and secretion</t>
  </si>
  <si>
    <t>6.823440662785495E-4</t>
  </si>
  <si>
    <t>3.1653426286208393</t>
  </si>
  <si>
    <t>0.18849810146854107</t>
  </si>
  <si>
    <t>mmu04371:Apelin signaling pathway</t>
  </si>
  <si>
    <t>7.363226263018342E-4</t>
  </si>
  <si>
    <t>NOS2, SPHK2, ADCY3, ADCY7, TGFBR1, SLC8A1, SLC8A2, GNAI2, PLCB3, GNG2, MAP1LC3A, GNGT2, ADCY9, GNAQ, AKT3, MAPK1, PRKACA, PLCB2, MAPK3</t>
  </si>
  <si>
    <t>2.4313243772898976</t>
  </si>
  <si>
    <t>0.20180130121468087</t>
  </si>
  <si>
    <t>0.004096631339061113</t>
  </si>
  <si>
    <t>0.0023696200882804483</t>
  </si>
  <si>
    <t>mmu05208:Chemical carcinogenesis - reactive oxygen species</t>
  </si>
  <si>
    <t>2.436738519212746</t>
  </si>
  <si>
    <t>8.171829141761493E-4</t>
  </si>
  <si>
    <t>NCF1, SRC, MGST3, MGST1, PTPRJ, PIK3R2, AHR, FOXO3, PLD2, AKT3, ABL1, MAPK1, RAC1, MAPK3, PTPN1, GSTO1, HGF, EPHX1, AKR1A1, FOS, SOD2, NFKB1, GSTA3, CAT, GRB2, MET</t>
  </si>
  <si>
    <t>2.0531952185648685</t>
  </si>
  <si>
    <t>0.221323970030593</t>
  </si>
  <si>
    <t>0.004465320923891102</t>
  </si>
  <si>
    <t>0.0025828817108781866</t>
  </si>
  <si>
    <t>mmu04934:Cushing syndrome</t>
  </si>
  <si>
    <t>8.555079349106205E-4</t>
  </si>
  <si>
    <t>RB1, SCARB1, USP8, ADCY3, CACNA1D, AHR, AXIN2, ADCY7, AGT, GNAI2, PLCB3, ADCY9, CREB3L3, GNAQ, GNAS, CTNNB1, MAPK1, ORAI1, PRKACA, PLCB2, MAPK3</t>
  </si>
  <si>
    <t>0.2304100756256574</t>
  </si>
  <si>
    <t>0.0045197177426806135</t>
  </si>
  <si>
    <t>0.0026143465374329046</t>
  </si>
  <si>
    <t>mmu05204:Chemical carcinogenesis - DNA adducts</t>
  </si>
  <si>
    <t>8.566785263904432E-4</t>
  </si>
  <si>
    <t>UGT1A10, UGT1A1, GSTO1, MGST3, EPHX1, MGST1, UGT1A6A, UGT1A6B, UGT1A7C, GSTA3, UGT1A5, UGT1A2, UGT1A9, UGT1A8</t>
  </si>
  <si>
    <t>2.9218547341115437</t>
  </si>
  <si>
    <t>0.23068593024926964</t>
  </si>
  <si>
    <t>mmu05161:Hepatitis B</t>
  </si>
  <si>
    <t>9.248276517513859E-4</t>
  </si>
  <si>
    <t>RB1, SRC, PIK3R2, TYK2, FOS, TNF, NFKB1, TGFBR1, TGFBR2, CREB3L3, IRF3, IRAK1, AKT3, IRF7, MAPK1, EP300, PTK2B, GRB2, IKBKE, IFNAR1, MAPK3</t>
  </si>
  <si>
    <t>2.2586116349573895</t>
  </si>
  <si>
    <t>0.24657681021503264</t>
  </si>
  <si>
    <t>0.004796563753151256</t>
  </si>
  <si>
    <t>0.002774482955254158</t>
  </si>
  <si>
    <t>mmu04540:Gap junction</t>
  </si>
  <si>
    <t>0.0010738251664178418</t>
  </si>
  <si>
    <t>2.853904624015926</t>
  </si>
  <si>
    <t>0.28018932410809894</t>
  </si>
  <si>
    <t>0.00538672952334196</t>
  </si>
  <si>
    <t>0.0031158533517370167</t>
  </si>
  <si>
    <t>mmu04146:Peroxisome</t>
  </si>
  <si>
    <t>ABCD2, PHYH, NOS2, IDH2, HSD17B4, ACAA1A, SOD2, DHRS4, CAT, PXMP4, ACOX3, CRAT, ABCD1, NUDT12</t>
  </si>
  <si>
    <t>mmu04010:MAPK signaling pathway</t>
  </si>
  <si>
    <t>0.0013350649415288427</t>
  </si>
  <si>
    <t>CSF1R, CACNA1D, TNF, RELB, RPS6KA3, RPS6KA5, IRAK1, GNA12, AKT3, RAC2, KDR, MAPK1, MAP3K8, RAC1, PRKACA, MAP4K4, MAPK3, DUSP1, HGF, CACNA2D1, INSR, FOS, NFKB1, TGFBR1, TGFBR2, IL1A, MAPKAPK3, RAPGEF2, GRB2, MET, MAP3K11</t>
  </si>
  <si>
    <t>1.8485203419889356</t>
  </si>
  <si>
    <t>0.3355547666291916</t>
  </si>
  <si>
    <t>0.006589191485610095</t>
  </si>
  <si>
    <t>0.0038113950750097614</t>
  </si>
  <si>
    <t>mmu04211:Longevity regulating pathway</t>
  </si>
  <si>
    <t>0.0016473322563055834</t>
  </si>
  <si>
    <t>INSR, ADCY3, PIK3R2, FOXO3, SOD2, ADCY7, NFKB1, ADCY9, CREB3L3, SESN1, CAT, AKT3, ULK1, PRKACA</t>
  </si>
  <si>
    <t>0.3961921879290129</t>
  </si>
  <si>
    <t>0.007942164660969994</t>
  </si>
  <si>
    <t>0.004593997205855194</t>
  </si>
  <si>
    <t>mmu04933:AGE-RAGE signaling pathway in diabetic complications</t>
  </si>
  <si>
    <t>0.0016611063343205217</t>
  </si>
  <si>
    <t>2.603632931386524</t>
  </si>
  <si>
    <t>0.3987360014116802</t>
  </si>
  <si>
    <t>mmu05221:Acute myeloid leukemia</t>
  </si>
  <si>
    <t>0.0018553672511270084</t>
  </si>
  <si>
    <t>CSF1R, CEBPA, SPI1, AKT3, MAPK1, GRB2, PIK3R2, BCL2A1D, BCL2A1B, NFKB1, MAPK3, RUNX1</t>
  </si>
  <si>
    <t>3.005336297943302</t>
  </si>
  <si>
    <t>0.4334951949323834</t>
  </si>
  <si>
    <t>0.00873449813607484</t>
  </si>
  <si>
    <t>0.005052307745376624</t>
  </si>
  <si>
    <t>mmu01522:Endocrine resistance</t>
  </si>
  <si>
    <t>0.0022270624193632786</t>
  </si>
  <si>
    <t>RB1, NOTCH1, SRC, ADCY3, PIK3R2, FOS, ADCY7, ADCY9, AKT3, GNAS, MAPK1, GRB2, PRKACA, MAPK3</t>
  </si>
  <si>
    <t>2.6390945985523615</t>
  </si>
  <si>
    <t>0.4945171052413785</t>
  </si>
  <si>
    <t>0.01032547121704793</t>
  </si>
  <si>
    <t>0.005972576488292429</t>
  </si>
  <si>
    <t>mmu04064:NF-kappa B signaling pathway</t>
  </si>
  <si>
    <t>0.002412566825303204</t>
  </si>
  <si>
    <t>LYN, CD40, TNFAIP3, XIAP, TRAF1, TNF, CXCL2, NFKB1, RELB, IRAK1, CCL4, RIPK1, BCL2A1D, BCL2A1B, CARD11</t>
  </si>
  <si>
    <t>2.5044469149527515</t>
  </si>
  <si>
    <t>0.5224743564303053</t>
  </si>
  <si>
    <t>0.011018588784220604</t>
  </si>
  <si>
    <t>0.006373497434009957</t>
  </si>
  <si>
    <t>mmu05414:Dilated cardiomyopathy</t>
  </si>
  <si>
    <t>0.002454013359431659</t>
  </si>
  <si>
    <t>ITGB5, TPM4, CACNA2D1, ADCY3, CACNA1D, TNF, ADCY7, AGT, SLC8A1, SLC8A2, ADCY9, GNAS, ITGA6, PRKACA</t>
  </si>
  <si>
    <t>2.6110191240996774</t>
  </si>
  <si>
    <t>0.5285069852422979</t>
  </si>
  <si>
    <t>0.011043060117442466</t>
  </si>
  <si>
    <t>0.006387652420873584</t>
  </si>
  <si>
    <t>mmu04936:Alcoholic liver disease</t>
  </si>
  <si>
    <t>0.0026349760862359613</t>
  </si>
  <si>
    <t>C1QB, ACADVL, FOXO3, TNF, CXCL2, NFKB1, C3, ALDH3A2, IRF3, IRAK1, ALDH2, AKT3, CTNNB1, RIPK1, ACOX3, LPIN2, IKBKE, C1QC</t>
  </si>
  <si>
    <t>2.238016392085438</t>
  </si>
  <si>
    <t>0.5539690105511601</t>
  </si>
  <si>
    <t>0.011685546121568177</t>
  </si>
  <si>
    <t>0.006759286482083553</t>
  </si>
  <si>
    <t>mmu04024:cAMP signaling pathway</t>
  </si>
  <si>
    <t>0.003433908844745594</t>
  </si>
  <si>
    <t>VAV3, ATP2B4, ARAP3, ADCY3, CACNA1D, PIK3R2, FOS, ADCY7, NFKB1, GNAI2, PLD2, ADCY9, CREB3L3, FXYD2, AKT3, RAC2, GNAS, MAPK1, ORAI1, EP300, ACOX3, RAC1, PRKACA, MAPK3</t>
  </si>
  <si>
    <t>1.9124867350548285</t>
  </si>
  <si>
    <t>0.6509654560915092</t>
  </si>
  <si>
    <t>0.015011087235602167</t>
  </si>
  <si>
    <t>0.008682883793142433</t>
  </si>
  <si>
    <t>mmu05220:Chronic myeloid leukemia</t>
  </si>
  <si>
    <t>0.003611126895073407</t>
  </si>
  <si>
    <t>RB1, AKT3, ABL1, MAPK1, GRB2, PIK3R2, GAB2, NFKB1, TGFBR1, MAPK3, TGFBR2, RUNX1</t>
  </si>
  <si>
    <t>2.7680729060004094</t>
  </si>
  <si>
    <t>0.669452464982013</t>
  </si>
  <si>
    <t>0.015563448308344541</t>
  </si>
  <si>
    <t>0.009002386766591453</t>
  </si>
  <si>
    <t>mmu05210:Colorectal cancer</t>
  </si>
  <si>
    <t>0.0039941103419353615</t>
  </si>
  <si>
    <t>PIK3R2, AXIN2, FOS, TGFBR1, TGFBR2, BCL2L11, AKT3, RAC2, CTNNB1, MAPK1, GRB2, RAC1, MAPK3</t>
  </si>
  <si>
    <t>2.589825787053414</t>
  </si>
  <si>
    <t>0.7061380206116367</t>
  </si>
  <si>
    <t>0.016974968953225287</t>
  </si>
  <si>
    <t>0.009818854590591099</t>
  </si>
  <si>
    <t>mmu05418:Fluid shear stress and atherosclerosis</t>
  </si>
  <si>
    <t>0.004076627944918494</t>
  </si>
  <si>
    <t>NCF1, SRC, DUSP1, GSTO1, MGST3, MGST1, PIK3R2, FOS, TNF, NFKB1, THBD, IL1A, GSTA3, AKT3, RAC2, KDR, CTNNB1, RAC1</t>
  </si>
  <si>
    <t>2.1466687842452155</t>
  </si>
  <si>
    <t>0.7134945653056177</t>
  </si>
  <si>
    <t>0.01708833083760355</t>
  </si>
  <si>
    <t>0.009884426660966762</t>
  </si>
  <si>
    <t>mmu04916:Melanogenesis</t>
  </si>
  <si>
    <t>0.004247208070986632</t>
  </si>
  <si>
    <t>ADCY3, ADCY7, GNAI2, PLCB3, ADCY9, CREB3L3, GNAQ, GNAS, CTNNB1, MAPK1, EP300, PRKACA, PLCB2, MAPK3</t>
  </si>
  <si>
    <t>2.4543579766536965</t>
  </si>
  <si>
    <t>0.7281251536153112</t>
  </si>
  <si>
    <t>0.017562779320566345</t>
  </si>
  <si>
    <t>0.010158862548170729</t>
  </si>
  <si>
    <t>mmu00280:Valine, leucine and isoleucine degradation</t>
  </si>
  <si>
    <t>0.937207122774133</t>
  </si>
  <si>
    <t>0.004557866611293655</t>
  </si>
  <si>
    <t>ALDH3A2, BCKDHA, ECHS1, ALDH2, AUH, MMUT, ACAA1A, ACADS, ACSF3, BCAT2</t>
  </si>
  <si>
    <t>3.075636562222677</t>
  </si>
  <si>
    <t>0.7528834815062915</t>
  </si>
  <si>
    <t>0.018596095774078114</t>
  </si>
  <si>
    <t>0.010756565202653027</t>
  </si>
  <si>
    <t>mmu04137:Mitophagy - animal</t>
  </si>
  <si>
    <t>1.0309278350515463</t>
  </si>
  <si>
    <t>0.004826167227890454</t>
  </si>
  <si>
    <t>BNIP3L, USP8, GABARAPL1, PINK1, MAP1LC3A, SRC, NBR1, EIF2AK3, ULK1, FOXO3, RAB7B</t>
  </si>
  <si>
    <t>2.8359178301670864</t>
  </si>
  <si>
    <t>0.7724493296234923</t>
  </si>
  <si>
    <t>0.019145331617623766</t>
  </si>
  <si>
    <t>0.011074260445488258</t>
  </si>
  <si>
    <t>mmu05132:Salmonella infection</t>
  </si>
  <si>
    <t>0.004995632281532665</t>
  </si>
  <si>
    <t>RAB5B, NOD1, NLRC4, TNF, MYL12B, KLC4, CASP7, IRAK1, CASP4, AKT3, NLRP3, MAPK1, RIPK1, RAC1, CYTH1, VPS39, MAPK3, GSDMD, FOS, NFKB1, NAIP5, TUBB2A, NAIP6, ELMO2, CTNNB1, RAB7B</t>
  </si>
  <si>
    <t>1.801617938819766</t>
  </si>
  <si>
    <t>0.7840038213547217</t>
  </si>
  <si>
    <t>mmu04925:Aldosterone synthesis and secretion</t>
  </si>
  <si>
    <t>0.00503846497386008</t>
  </si>
  <si>
    <t>2.4062333104448004</t>
  </si>
  <si>
    <t>0.7868304575205094</t>
  </si>
  <si>
    <t>mmu04020:Calcium signaling pathway</t>
  </si>
  <si>
    <t>0.005075302050887473</t>
  </si>
  <si>
    <t>PDE1C, PTAFR, ADCY3, CACNA1D, ADCY7, SLC8A1, SLC8A2, KDR, CD38, PTK2B, PRKACA, NOS2, SPHK2, HGF, ATP2B4, PHKB, MCOLN2, PLCB3, P2RX4, ADCY9, GNAQ, GNAS, ORAI1, MET, PLCB2</t>
  </si>
  <si>
    <t>1.8261592088197147</t>
  </si>
  <si>
    <t>0.7892319191770388</t>
  </si>
  <si>
    <t>mmu05170:Human immunodeficiency virus 1 infection</t>
  </si>
  <si>
    <t>H2-T24, H2-K1, H2-Q4, PIK3R2, TNF, GNAI2, GNG2, GNGT2, IRAK1, AKT3, RAC2, AP1S2, PTK2B, MAPK1, RIPK1, RAC1, MAPK3, AP1B1, FOS, TNFRSF1B, NFKB1, TAPBP, IRF3, GNAQ, H2-D1</t>
  </si>
  <si>
    <t>mmu04370:VEGF signaling pathway</t>
  </si>
  <si>
    <t>0.00513044834197761</t>
  </si>
  <si>
    <t>MAPKAPK3, SPHK2, SRC, AKT3, RAC2, KDR, MAPK1, PIK3R2, RAC1, MAPK3</t>
  </si>
  <si>
    <t>3.0226083456326314</t>
  </si>
  <si>
    <t>0.7927766764602182</t>
  </si>
  <si>
    <t>mmu05213:Endometrial cancer</t>
  </si>
  <si>
    <t>AKT3, CTNNA1, CTNNB1, ILK, MAPK1, GRB2, PIK3R2, AXIN2, FOXO3, MAPK3</t>
  </si>
  <si>
    <t>mmu04014:Ras signaling pathway</t>
  </si>
  <si>
    <t>0.007649195059431818</t>
  </si>
  <si>
    <t>CSF1R, RAB5B, HGF, INSR, RALGAPA2, PIK3R2, GAB2, KSR2, NFKB1, PLD2, GNG2, GNGT2, RASA3, RASA4, AKT3, ABL1, RAC2, KDR, MAPK1, GRB2, RAC1, PRKACA, MET, MAPK3</t>
  </si>
  <si>
    <t>1.79041311366835</t>
  </si>
  <si>
    <t>0.904597611170471</t>
  </si>
  <si>
    <t>0.0282006468456161</t>
  </si>
  <si>
    <t>0.016312138861679905</t>
  </si>
  <si>
    <t>mmu01212:Fatty acid metabolism</t>
  </si>
  <si>
    <t>0.007995974389909465</t>
  </si>
  <si>
    <t>ACADVL, ECHS1, TECR, HSD17B4, ACAA1A, ELOVL7, ACOX3, ACADS, ACSF3, HACD4</t>
  </si>
  <si>
    <t>0.9142743133738425</t>
  </si>
  <si>
    <t>0.028785507803674077</t>
  </si>
  <si>
    <t>0.016650440788399713</t>
  </si>
  <si>
    <t>mmu04213:Longevity regulating pathway - multiple species</t>
  </si>
  <si>
    <t>ADCY9, INSR, AKT3, CAT, ADCY3, PIK3R2, SOD2, FOXO3, PRKACA, ADCY7</t>
  </si>
  <si>
    <t>mmu00410:beta-Alanine metabolism</t>
  </si>
  <si>
    <t>0.6560449859418931</t>
  </si>
  <si>
    <t>0.008438135366092545</t>
  </si>
  <si>
    <t>ALDH3A2, ECHS1, ALDH2, SMOX, ACOX3, CSAD, ACADS</t>
  </si>
  <si>
    <t>3.8349343385214008</t>
  </si>
  <si>
    <t>0.9252065542195117</t>
  </si>
  <si>
    <t>0.029893295794553694</t>
  </si>
  <si>
    <t>0.01729122011645753</t>
  </si>
  <si>
    <t>mmu04970:Salivary secretion</t>
  </si>
  <si>
    <t>0.008499074294529972</t>
  </si>
  <si>
    <t>CST3, PLCB3, ADCY9, FXYD2, GNAQ, GNAS, ATP2B4, CD38, ADCY3, PRKACA, ADCY7, PLCB2</t>
  </si>
  <si>
    <t>2.4749828336003663</t>
  </si>
  <si>
    <t>0.926600018740205</t>
  </si>
  <si>
    <t>mmu04060:Cytokine-cytokine receptor interaction</t>
  </si>
  <si>
    <t>0.008841400887221684</t>
  </si>
  <si>
    <t>ACVRL1, CSF1R, CD40, CSF3, CSF3R, EBI3, IL4RA, CXCL2, TNF, CSF2RA, IL1RL1, CCL5, CCL4, TNFRSF8, TNFRSF14, IL12RB2, IL15RA, IL10RB, IFNGR1, IL10RA, IFNGR2, TNFRSF1B, TGFBR1, TGFBR2, CXCL10, IL1A, IFNAR1, CRLF2</t>
  </si>
  <si>
    <t>1.6810671072970524</t>
  </si>
  <si>
    <t>0.933960333153588</t>
  </si>
  <si>
    <t>0.030743962176020854</t>
  </si>
  <si>
    <t>0.01778327223907089</t>
  </si>
  <si>
    <t>mmu01100:Metabolic pathways</t>
  </si>
  <si>
    <t>10.684161199625116</t>
  </si>
  <si>
    <t>0.009519034253306986</t>
  </si>
  <si>
    <t>UGT1A10, PGAP1, XYLT2, XYLT1, ENO3, NAGLU, NAMPT, LIPG, MMUT, GLUL, NUDT12, ENTPD1, ST6GAL1, TALDO1, KMO, PISD, INPP4A, ALDH3A2, INPP4B, DPM3, ADCY9, CMPK2, DGKI, H6PD, PDE1C, MGST3, MGST1, PLD4, UGT1A7C, PLD2, HACD4, SGPL1, FUT7, MAN2A2, INPP5D, CHST10, INPP5K, B4GALNT1, ST3GAL1, MPST, B3GALNT1, SRD5A3, IDH2, MTHFS, ACSF3, TBXAS1, PI4KA, ACADVL, ALAS1, MTMR14, TECR, CSAD, GGTA1, SGSH, ALDH2, AUH, KYNU, IDS, CD38, ACP2, TK1, GUSB, ACADS, BCKDHA, CBR2, HGSNAT, UGT1A1, GSTO1, SPHK2, AKR1A1, CTPS2, ELOVL7, UGT1A6A, UGT1A6B, UGDH, PLCB3, CAT, B3GNT3, BLVRB, ACOX3, PLCB2, MOCS1, BCAT2, ECHS1, HSD17B4, ADCY3, ACAA1A, LTC4S, ADCY7, PTS, PTGS1, SELENBP2, MGAT5, MAN1C1, UGT1A5, UGT1A2, UGT1A9, UGT1A8, HSD3B7, NOS2, SMOX, IDH3G, GALNT1, SQOR, NAGA, DHRS3, DHRS4, GALC, GATM, GSTA3, LPCAT2, PDE7B, LPIN2, PNPLA2</t>
  </si>
  <si>
    <t>1.232910942709621</t>
  </si>
  <si>
    <t>0.9464305711774506</t>
  </si>
  <si>
    <t>0.03272836496080829</t>
  </si>
  <si>
    <t>0.018931113065565584</t>
  </si>
  <si>
    <t>mmu04510:Focal adhesion</t>
  </si>
  <si>
    <t>0.010430947068874465</t>
  </si>
  <si>
    <t>VAV3, ITGB5, SRC, HGF, ILK, XIAP, PIK3R2, MYL12B, AKT3, ZYX, CAPN2, RAC2, KDR, CTNNB1, MAPK1, GRB2, ITGA6, RAC1, DOCK1, MET, MAPK3</t>
  </si>
  <si>
    <t>1.8316104303385794</t>
  </si>
  <si>
    <t>0.959588205447634</t>
  </si>
  <si>
    <t>0.03546522003417318</t>
  </si>
  <si>
    <t>0.020514195902119784</t>
  </si>
  <si>
    <t>mmu05212:Pancreatic cancer</t>
  </si>
  <si>
    <t>0.010571380437046978</t>
  </si>
  <si>
    <t>RB1, AKT3, RAC2, MAPK1, PIK3R2, RAC1, NFKB1, TGFBR1, MAPK3, TGFBR2, PLD2</t>
  </si>
  <si>
    <t>0.9613056720575842</t>
  </si>
  <si>
    <t>0.035547718832267865</t>
  </si>
  <si>
    <t>0.020561915795135336</t>
  </si>
  <si>
    <t>mmu04625:C-type lectin receptor signaling pathway</t>
  </si>
  <si>
    <t>0.010936059318573187</t>
  </si>
  <si>
    <t>FCER1G, SRC, PIK3R2, LSP1, TNF, NFKB1, RELB, CLEC7A, BCL3, AKT3, MAPK1, NLRP3, IKBKE, MAPK3</t>
  </si>
  <si>
    <t>2.1913910505836576</t>
  </si>
  <si>
    <t>0.9654333890689564</t>
  </si>
  <si>
    <t>0.0363742842552543</t>
  </si>
  <si>
    <t>0.02104002716725494</t>
  </si>
  <si>
    <t>mmu04921:Oxytocin signaling pathway</t>
  </si>
  <si>
    <t>0.013390840856781626</t>
  </si>
  <si>
    <t>SRC, CACNA2D1, ADCY3, CACNA1D, FOS, ADCY7, GNAI2, PLCB3, MYL6, ADCY9, GNAQ, GNAS, MAPK1, CD38, PRKACA, PLCB2, MAPK3</t>
  </si>
  <si>
    <t>1.9479031560743625</t>
  </si>
  <si>
    <t>0.9838410280516047</t>
  </si>
  <si>
    <t>0.04406018604489438</t>
  </si>
  <si>
    <t>0.025485793888713422</t>
  </si>
  <si>
    <t>mmu01521:EGFR tyrosine kinase inhibitor resistance</t>
  </si>
  <si>
    <t>0.013716931790861333</t>
  </si>
  <si>
    <t>BCL2L11, SRC, HGF, AKT3, KDR, MAPK1, GRB2, PIK3R2, FOXO3, MET, MAPK3</t>
  </si>
  <si>
    <t>2.4410431955868592</t>
  </si>
  <si>
    <t>0.9853956334072841</t>
  </si>
  <si>
    <t>0.04442332128163462</t>
  </si>
  <si>
    <t>0.025695842702121992</t>
  </si>
  <si>
    <t>mmu04660:T cell receptor signaling pathway</t>
  </si>
  <si>
    <t>0.013791553992664345</t>
  </si>
  <si>
    <t>VAV3, PIK3R2, FOS, TNF, NFKB1, TEC, AKT3, MAPK1, GRB2, MAP3K8, LCP2, CARD11, MAPK3</t>
  </si>
  <si>
    <t>2.21266669185146</t>
  </si>
  <si>
    <t>0.9857298816925716</t>
  </si>
  <si>
    <t>mmu05171:Coronavirus disease - COVID-19</t>
  </si>
  <si>
    <t>0.014301059982839752</t>
  </si>
  <si>
    <t>C1QB, CSF3, F13A1, CYBB, ISG15, PIK3R2, TYK2, FOS, TNF, NFKB1, C3, CXCL10, FCGR3, IRF3, IRAK1, OAS2, OAS3, MAPK1, TLR8, NLRP3, IKBKE, C1QC, IFNAR1, MAPK3</t>
  </si>
  <si>
    <t>1.6965608133550898</t>
  </si>
  <si>
    <t>0.9878170462218008</t>
  </si>
  <si>
    <t>0.04539494737741644</t>
  </si>
  <si>
    <t>0.026257861718309516</t>
  </si>
  <si>
    <t>mmu05211:Renal cell carcinoma</t>
  </si>
  <si>
    <t>0.014389901619638545</t>
  </si>
  <si>
    <t>HGF, AKT3, EP300, MAPK1, GRB2, PIK3R2, RAC1, VHL, MET, MAPK3</t>
  </si>
  <si>
    <t>2.578107118333715</t>
  </si>
  <si>
    <t>0.9881484751709676</t>
  </si>
  <si>
    <t>mmu04613:Neutrophil extracellular trap formation</t>
  </si>
  <si>
    <t>0.014818341610699828</t>
  </si>
  <si>
    <t>GSDMD, H2AZ2, NCF1, SRC, NCF4, CYBB, PIK3R2, ITGAL, NFKB1, C3, PLCB3, FCGR3, CLEC7A, CASP4, AKT3, RAC2, MAPK1, TLR8, RAC1, PLCB2, MAPK3</t>
  </si>
  <si>
    <t>1.769969694702185</t>
  </si>
  <si>
    <t>0.989624877403124</t>
  </si>
  <si>
    <t>0.045921187706295566</t>
  </si>
  <si>
    <t>0.026562255634033714</t>
  </si>
  <si>
    <t>mmu01524:Platinum drug resistance</t>
  </si>
  <si>
    <t>0.014907168649766458</t>
  </si>
  <si>
    <t>ABCC2, GSTO1, GSTA3, MGST3, AKT3, MGST1, XIAP, MAPK1, PIK3R2, ATP7A, MAPK3</t>
  </si>
  <si>
    <t>2.4105301556420233</t>
  </si>
  <si>
    <t>0.9899072259412868</t>
  </si>
  <si>
    <t>0.015006924087024694</t>
  </si>
  <si>
    <t>RPS6KA3, ADCY9, AKT3, MAPK1, ADCY3, ANAPC5, PIK3R2, PRKACA, ADCY7, ANAPC2, MAPK3, GNAI2</t>
  </si>
  <si>
    <t>2.286668922348164</t>
  </si>
  <si>
    <t>0.990215191152738</t>
  </si>
  <si>
    <t>mmu04145:Phagosome</t>
  </si>
  <si>
    <t>0.01550806075122683</t>
  </si>
  <si>
    <t>H2-T24, SCARB1, RAB5B, ITGB5, NCF1, STX7, NCF4, H2-K1, H2-Q4, CYBB, C3, FCGR3, TUBB2A, CLEC7A, LAMP2, MRC1, RAC1, RAB7B, H2-D1</t>
  </si>
  <si>
    <t>1.8301727455423953</t>
  </si>
  <si>
    <t>0.9916262041482876</t>
  </si>
  <si>
    <t>0.04698481772153871</t>
  </si>
  <si>
    <t>0.02717749260363514</t>
  </si>
  <si>
    <t>mmu04659:Th17 cell differentiation</t>
  </si>
  <si>
    <t>0.015895457992674424</t>
  </si>
  <si>
    <t>IFNGR1, IFNGR2, EBI3, IL4RA, TYK2, AHR, FOS, NFKB1, TGFBR1, RUNX1, TGFBR2, MAPK1, MAPK3</t>
  </si>
  <si>
    <t>2.1705206596257183</t>
  </si>
  <si>
    <t>0.9925763362952261</t>
  </si>
  <si>
    <t>0.04768637397802327</t>
  </si>
  <si>
    <t>0.027583294751993857</t>
  </si>
  <si>
    <t>mmu04270:Vascular smooth muscle contraction</t>
  </si>
  <si>
    <t>0.016862175711917532</t>
  </si>
  <si>
    <t>CALCRL, ADCY3, CACNA1D, ADCY7, AGT, PLCB3, MYL6, ADCY9, GNAQ, GNA12, GNAS, MAPK1, PRKACA, MYH10, PLCB2, MAPK3</t>
  </si>
  <si>
    <t>0.9945044907358757</t>
  </si>
  <si>
    <t>0.05009539580433752</t>
  </si>
  <si>
    <t>0.02897674855348936</t>
  </si>
  <si>
    <t>mmu04630:JAK-STAT signaling pathway</t>
  </si>
  <si>
    <t>0.017510000926163845</t>
  </si>
  <si>
    <t>IL15RA, CSF3, CSF3R, IFNGR1, IL10RB, IFNGR2, IL10RA, IL4RA, PIK3R2, TYK2, CSF2RA, PIAS1, AKT3, EP300, GRB2, IL12RB2, IFNAR1, CRLF2</t>
  </si>
  <si>
    <t>1.8453819373336067</t>
  </si>
  <si>
    <t>0.9955083043184976</t>
  </si>
  <si>
    <t>0.0515198104173667</t>
  </si>
  <si>
    <t>0.0298006746531827</t>
  </si>
  <si>
    <t>3.0927835051546393</t>
  </si>
  <si>
    <t>0.01863860693606989</t>
  </si>
  <si>
    <t>RTN3, APP, CACNA1D, PIK3R2, TNF, LRP6, KLC4, CASP7, APH1C, AKT3, CAPN2, MAPK1, APOE, SLC39A2, SLC39A3, MAPK3, NOS2, INSR, SLC11A2, EIF2AK3, CYBB, AXIN2, NFKB1, IL1A, PLCB3, TUBB2A, GNAQ, ATG2A, CTNNB1, ULK2, ULK1, PLCB2, CDK5R1</t>
  </si>
  <si>
    <t>1.510514980036777</t>
  </si>
  <si>
    <t>0.9968401647500895</t>
  </si>
  <si>
    <t>0.05399966741442985</t>
  </si>
  <si>
    <t>0.03123510173971923</t>
  </si>
  <si>
    <t>mmu04919:Thyroid hormone signaling pathway</t>
  </si>
  <si>
    <t>0.01870576714356067</t>
  </si>
  <si>
    <t>NCOA1, NOTCH1, SRC, PIK3R2, SLC16A10, PLCB3, FXYD2, AKT3, CTNNB1, MAPK1, EP300, PRKACA, PLCB2, MAPK3</t>
  </si>
  <si>
    <t>2.0452983138780807</t>
  </si>
  <si>
    <t>0.9969056501092451</t>
  </si>
  <si>
    <t>mmu04960:Aldosterone-regulated sodium reabsorption</t>
  </si>
  <si>
    <t>0.01929078177155011</t>
  </si>
  <si>
    <t>FXYD2, INSR, NEDD4L, MAPK1, PIK3R2, SGK1, MAPK3</t>
  </si>
  <si>
    <t>3.229418390333811</t>
  </si>
  <si>
    <t>0.9974217870056226</t>
  </si>
  <si>
    <t>0.05502365822919977</t>
  </si>
  <si>
    <t>0.03182741015218418</t>
  </si>
  <si>
    <t>mmu04022:cGMP-PKG signaling pathway</t>
  </si>
  <si>
    <t>0.01942011466912933</t>
  </si>
  <si>
    <t>INSR, ATP2B4, ADCY3, CACNA1D, ADCY7, SLC8A1, SLC8A2, GNAI2, PLCB3, ADCY9, CREB3L3, FXYD2, GNAQ, GNA12, AKT3, MAPK1, PLCB2, MAPK3</t>
  </si>
  <si>
    <t>1.8240480421043161</t>
  </si>
  <si>
    <t>0.9975237643432711</t>
  </si>
  <si>
    <t>mmu04730:Long-term depression</t>
  </si>
  <si>
    <t>0.8434864104967198</t>
  </si>
  <si>
    <t>0.019648637605062736</t>
  </si>
  <si>
    <t>LYN, PLCB3, GNAQ, GNA12, GNAS, MAPK1, PLCB2, MAPK3, GNAI2</t>
  </si>
  <si>
    <t>2.629669260700389</t>
  </si>
  <si>
    <t>0.9976942216644402</t>
  </si>
  <si>
    <t>0.055160395478433</t>
  </si>
  <si>
    <t>0.03190650326693674</t>
  </si>
  <si>
    <t>mmu05225:Hepatocellular carcinoma</t>
  </si>
  <si>
    <t>0.02043324889274198</t>
  </si>
  <si>
    <t>RB1, GSTO1, HGF, MGST3, MGST1, PIK3R2, AXIN2, SMARCA2, TGFBR1, LRP6, TGFBR2, GSTA3, AKT3, CTNNB1, MAPK1, GRB2, MET, MAPK3</t>
  </si>
  <si>
    <t>1.8135650073795786</t>
  </si>
  <si>
    <t>0.998195258854621</t>
  </si>
  <si>
    <t>0.056841583283445865</t>
  </si>
  <si>
    <t>0.03287895503650301</t>
  </si>
  <si>
    <t>mmu05203:Viral carcinogenesis</t>
  </si>
  <si>
    <t>0.02068250392233239</t>
  </si>
  <si>
    <t>H2-T24, LYN, RB1, SRC, H2-K1, H2-Q4, PIK3R2, TRAF1, NFKB1, RBL2, C3, CREB3L3, IRF3, IRF7, MAPK1, EP300, GRB2, RAC1, PRKACA, H2-D1, YWHAH, MAPK3</t>
  </si>
  <si>
    <t>1.6842132091821997</t>
  </si>
  <si>
    <t>0.9983304665269276</t>
  </si>
  <si>
    <t>0.05701663243453793</t>
  </si>
  <si>
    <t>0.032980208957232734</t>
  </si>
  <si>
    <t>mmu01523:Antifolate resistance</t>
  </si>
  <si>
    <t>0.5623242736644799</t>
  </si>
  <si>
    <t>0.02238484412370732</t>
  </si>
  <si>
    <t>ABCC3, ABCC2, ABCC5, FOLR1, TNF, NFKB1</t>
  </si>
  <si>
    <t>3.6271300147591576</t>
  </si>
  <si>
    <t>0.9990196406665195</t>
  </si>
  <si>
    <t>0.06115859198084322</t>
  </si>
  <si>
    <t>0.035376048302644604</t>
  </si>
  <si>
    <t>mmu05231:Choline metabolism in cancer</t>
  </si>
  <si>
    <t>0.023094414349895738</t>
  </si>
  <si>
    <t>SLC22A4, AKT3, RAC2, MAPK1, GRB2, PIK3R2, RAC1, FOS, GPCPD1, DGKI, MAPK3, PLD2</t>
  </si>
  <si>
    <t>0.9992149571020758</t>
  </si>
  <si>
    <t>0.06253885655812474</t>
  </si>
  <si>
    <t>0.036174436636562356</t>
  </si>
  <si>
    <t>mmu04911:Insulin secretion</t>
  </si>
  <si>
    <t>0.023722583288318215</t>
  </si>
  <si>
    <t>PLCB3, ADCY9, CREB3L3, FXYD2, GNAQ, GNAS, ADCY3, CACNA1D, PRKACA, ADCY7, PLCB2</t>
  </si>
  <si>
    <t>2.2423536331553704</t>
  </si>
  <si>
    <t>0.9993552186713818</t>
  </si>
  <si>
    <t>0.06367640777390679</t>
  </si>
  <si>
    <t>0.03683243194765197</t>
  </si>
  <si>
    <t>mmu04918:Thyroid hormone synthesis</t>
  </si>
  <si>
    <t>0.023944719719220485</t>
  </si>
  <si>
    <t>PLCB3, ADCY9, CREB3L3, FXYD2, GNAQ, GNAS, ADCY3, PRKACA, ADCY7, PLCB2</t>
  </si>
  <si>
    <t>2.3690714060363867</t>
  </si>
  <si>
    <t>0.9993985894165629</t>
  </si>
  <si>
    <t>0.06371377594853452</t>
  </si>
  <si>
    <t>0.036854046872191536</t>
  </si>
  <si>
    <t>mmu05165:Human papillomavirus infection</t>
  </si>
  <si>
    <t>0.024610496435723488</t>
  </si>
  <si>
    <t>H2-T24, RB1, NOTCH1, MAML2, ITGB5, H2-K1, H2-Q4, PIK3R2, TNF, CREB3L3, HEY1, AKT3, MAPK1, EP300, PRKACA, IKBKE, OASL2, MAPK3, HES6, ISG15, TYK2, AXIN2, NFKB1, RBL2, IRF3, GNAS, CTNNB1, GRB2, ITGA6, H2-D1, IFNAR1</t>
  </si>
  <si>
    <t>1.5012844766429478</t>
  </si>
  <si>
    <t>0.9995119191349903</t>
  </si>
  <si>
    <t>0.0649207923218223</t>
  </si>
  <si>
    <t>0.037552223009681536</t>
  </si>
  <si>
    <t>mmu04623:Cytosolic DNA-sensing pathway</t>
  </si>
  <si>
    <t>0.02566731518608008</t>
  </si>
  <si>
    <t>CXCL10, IRF3, POLR3GL, CCL5, CCL4, IRF7, RIPK1, IKBKE, NFKB1</t>
  </si>
  <si>
    <t>0.9996497121285175</t>
  </si>
  <si>
    <t>0.06712990125590175</t>
  </si>
  <si>
    <t>0.03883004092253141</t>
  </si>
  <si>
    <t>mmu02010:ABC transporters</t>
  </si>
  <si>
    <t>0.7497656982193065</t>
  </si>
  <si>
    <t>0.026934054359617873</t>
  </si>
  <si>
    <t>0.9997647466629758</t>
  </si>
  <si>
    <t>0.06984593757663618</t>
  </si>
  <si>
    <t>0.040401081539426814</t>
  </si>
  <si>
    <t>mmu04658:Th1 and Th2 cell differentiation</t>
  </si>
  <si>
    <t>0.027359912962833226</t>
  </si>
  <si>
    <t>NOTCH1, MAML2, IFNGR1, IFNGR2, IL4RA, MAPK1, TYK2, FOS, NFKB1, MAPK3, IL12RB2</t>
  </si>
  <si>
    <t>2.191391050583658</t>
  </si>
  <si>
    <t>0.9997942392849692</t>
  </si>
  <si>
    <t>0.0703540619044283</t>
  </si>
  <si>
    <t>0.04069499659177716</t>
  </si>
  <si>
    <t>mmu04924:Renin secretion</t>
  </si>
  <si>
    <t>0.02795140231122209</t>
  </si>
  <si>
    <t>2.306727421667008</t>
  </si>
  <si>
    <t>0.9998291868542287</t>
  </si>
  <si>
    <t>0.07127607589361633</t>
  </si>
  <si>
    <t>0.04122831840905259</t>
  </si>
  <si>
    <t>mmu04066:HIF-1 signaling pathway</t>
  </si>
  <si>
    <t>0.028469444632458287</t>
  </si>
  <si>
    <t>NOS2, IFNGR1, IFNGR2, INSR, CYBB, PIK3R2, ENO3, NFKB1, AKT3, MAPK1, EP300, VHL, MAPK3</t>
  </si>
  <si>
    <t>1.99916376544474</t>
  </si>
  <si>
    <t>0.9998548964639484</t>
  </si>
  <si>
    <t>0.07139127175932941</t>
  </si>
  <si>
    <t>0.041294951311768975</t>
  </si>
  <si>
    <t>mmu00531:Glycosaminoglycan degradation</t>
  </si>
  <si>
    <t>0.4686035613870665</t>
  </si>
  <si>
    <t>0.028683472646115454</t>
  </si>
  <si>
    <t>4.1740781915879195</t>
  </si>
  <si>
    <t>0.9998643567393896</t>
  </si>
  <si>
    <t>mmu04360:Axon guidance</t>
  </si>
  <si>
    <t>0.02869649158953437</t>
  </si>
  <si>
    <t>1.743427134166004</t>
  </si>
  <si>
    <t>0.9998649119365048</t>
  </si>
  <si>
    <t>mmu04727:GABAergic synapse</t>
  </si>
  <si>
    <t>0.02932047967411348</t>
  </si>
  <si>
    <t>2.166768679228785</t>
  </si>
  <si>
    <t>0.9998890275289728</t>
  </si>
  <si>
    <t>0.0723553772603123</t>
  </si>
  <si>
    <t>0.041852620179984576</t>
  </si>
  <si>
    <t>mmu05032:Morphine addiction</t>
  </si>
  <si>
    <t>0.033536550885083394</t>
  </si>
  <si>
    <t>GRK2, GNGT2, ADCY9, GNG2, PDE1C, GNAS, ADCY3, PDE7B, PRKACA, ADCY7, GNAI2</t>
  </si>
  <si>
    <t>2.119147389575405</t>
  </si>
  <si>
    <t>0.9999707084196076</t>
  </si>
  <si>
    <t>0.08209747656668415</t>
  </si>
  <si>
    <t>0.04748775605327809</t>
  </si>
  <si>
    <t>mmu04726:Serotonergic synapse</t>
  </si>
  <si>
    <t>0.03538619592508521</t>
  </si>
  <si>
    <t>APP, DUSP1, CACNA1D, GNAI2, PTGS1, PLCB3, GNG2, GNGT2, GNAQ, GNAS, MAPK1, PRKACA, PLCB2, MAPK3</t>
  </si>
  <si>
    <t>1.8735557073692342</t>
  </si>
  <si>
    <t>0.9999837009379987</t>
  </si>
  <si>
    <t>0.08593790438949266</t>
  </si>
  <si>
    <t>0.04970917999000066</t>
  </si>
  <si>
    <t>mmu04670:Leukocyte transendothelial migration</t>
  </si>
  <si>
    <t>0.03591613106159605</t>
  </si>
  <si>
    <t>VAV3, NCF1, NCF4, CYBB, PIK3R2, ITGAL, MYL12B, GNAI2, CTNNA1, RAC2, CTNNB1, PTK2B, RAC1</t>
  </si>
  <si>
    <t>1.9313955022093252</t>
  </si>
  <si>
    <t>0.999986223662037</t>
  </si>
  <si>
    <t>0.08653807956573538</t>
  </si>
  <si>
    <t>0.050056340140964585</t>
  </si>
  <si>
    <t>mmu04962:Vasopressin-regulated water reabsorption</t>
  </si>
  <si>
    <t>0.037105351915243154</t>
  </si>
  <si>
    <t>2.789043155288292</t>
  </si>
  <si>
    <t>0.9999905571196177</t>
  </si>
  <si>
    <t>0.08870498192237816</t>
  </si>
  <si>
    <t>0.05130974444529718</t>
  </si>
  <si>
    <t>mmu04657:IL-17 signaling pathway</t>
  </si>
  <si>
    <t>0.03815974248362317</t>
  </si>
  <si>
    <t>CXCL10, CSF3, TNFAIP3, MAPK1, ANAPC5, FOS, TNF, CXCL2, IKBKE, NFKB1, MAPK3</t>
  </si>
  <si>
    <t>2.0735743274339984</t>
  </si>
  <si>
    <t>0.9999932469056927</t>
  </si>
  <si>
    <t>0.09005023939567561</t>
  </si>
  <si>
    <t>0.05208788357200845</t>
  </si>
  <si>
    <t>mmu05162:Measles</t>
  </si>
  <si>
    <t>0.03825663765175761</t>
  </si>
  <si>
    <t>EIF2AK3, TNFAIP3, PIK3R2, TYK2, FOS, NFKB1, IL1A, IRF3, IRAK1, OAS2, OAS3, AKT3, IRF7, IKBKE, IFNAR1</t>
  </si>
  <si>
    <t>1.801143329246842</t>
  </si>
  <si>
    <t>0.9999934519125151</t>
  </si>
  <si>
    <t>mmu04120:Ubiquitin mediated proteolysis</t>
  </si>
  <si>
    <t>0.04017904305769858</t>
  </si>
  <si>
    <t>UBE2H, UBA7, MGRN1, NEDD4L, WWP1, XIAP, UBE2L3, PIAS1, ITCH, HERC2, HERC1, ANAPC5, NHLRC1, VHL, ANAPC2</t>
  </si>
  <si>
    <t>1.7888906535376796</t>
  </si>
  <si>
    <t>0.9999964501514607</t>
  </si>
  <si>
    <t>0.0934769348076366</t>
  </si>
  <si>
    <t>0.05406999170245647</t>
  </si>
  <si>
    <t>mmu05146:Amoebiasis</t>
  </si>
  <si>
    <t>0.04060712156034464</t>
  </si>
  <si>
    <t>RAB5B, PLCB3, NOS2, GNAQ, GNAS, PIK3R2, RAB7B, PRKACA, TNF, CXCL2, PLCB2, NFKB1</t>
  </si>
  <si>
    <t>1.9661078584675806</t>
  </si>
  <si>
    <t>0.9999969031080282</t>
  </si>
  <si>
    <t>mmu04640:Hematopoietic cell lineage</t>
  </si>
  <si>
    <t>0.04062886382161983</t>
  </si>
  <si>
    <t>CSF1R, IL1A, CSF3, CSF3R, IL4RA, CD38, ITGA6, CSF2RA, TNF, CD22, CD33</t>
  </si>
  <si>
    <t>2.051515026078318</t>
  </si>
  <si>
    <t>0.9999969245100904</t>
  </si>
  <si>
    <t>mmu01040:Biosynthesis of unsaturated fatty acids</t>
  </si>
  <si>
    <t>0.041628606998474135</t>
  </si>
  <si>
    <t>3.093728542000458</t>
  </si>
  <si>
    <t>0.9999977645983479</t>
  </si>
  <si>
    <t>0.09506234135472452</t>
  </si>
  <si>
    <t>0.054987040587536735</t>
  </si>
  <si>
    <t>mmu04722:Neurotrophin signaling pathway</t>
  </si>
  <si>
    <t>0.04234066140416582</t>
  </si>
  <si>
    <t>1.8835096633115735</t>
  </si>
  <si>
    <t>0.9999982193412468</t>
  </si>
  <si>
    <t>0.09597216584944253</t>
  </si>
  <si>
    <t>0.0555133116187952</t>
  </si>
  <si>
    <t>mmu04622:RIG-I-like receptor signaling pathway</t>
  </si>
  <si>
    <t>0.04444402575926243</t>
  </si>
  <si>
    <t>CXCL10, IRF3, DHX58, IRF7, ISG15, RIPK1, TNF, IKBKE, NFKB1</t>
  </si>
  <si>
    <t>2.2540022234574764</t>
  </si>
  <si>
    <t>0.9999990913922835</t>
  </si>
  <si>
    <t>0.09999905795834046</t>
  </si>
  <si>
    <t>0.05784259234845185</t>
  </si>
  <si>
    <t>mmu04340:Hedgehog signaling pathway</t>
  </si>
  <si>
    <t>0.045345542562519485</t>
  </si>
  <si>
    <t>GRK2, SMO, MGRN1, KIF3A, SPOPL, MEGF8, PRKACA, CSNK1G2</t>
  </si>
  <si>
    <t>2.418086676506105</t>
  </si>
  <si>
    <t>0.9999993193268258</t>
  </si>
  <si>
    <t>0.10128274470168587</t>
  </si>
  <si>
    <t>0.05858511703332811</t>
  </si>
  <si>
    <t>mmu04931:Insulin resistance</t>
  </si>
  <si>
    <t>0.048077597755935154</t>
  </si>
  <si>
    <t>0.9999997168128569</t>
  </si>
  <si>
    <t>0.10660684719794317</t>
  </si>
  <si>
    <t>0.06166474494782988</t>
  </si>
  <si>
    <t>mmu00830:Retinol metabolism</t>
  </si>
  <si>
    <t>0.04868720941752887</t>
  </si>
  <si>
    <t>UGT1A10, UGT1A1, UGT1A5, UGT1A2, UGT1A9, UGT1A8, UGT1A6A, DHRS3, UGT1A6B, UGT1A7C, DHRS4</t>
  </si>
  <si>
    <t>1.9880661077459987</t>
  </si>
  <si>
    <t>0.9999997672226052</t>
  </si>
  <si>
    <t>0.10718191425729377</t>
  </si>
  <si>
    <t>0.06199738177627778</t>
  </si>
  <si>
    <t>mmu05223:Non-small cell lung cancer</t>
  </si>
  <si>
    <t>0.05112761358406197</t>
  </si>
  <si>
    <t>RB1, HGF, AKT3, MAPK1, GRB2, PIK3R2, FOXO3, MET, MAPK3</t>
  </si>
  <si>
    <t>0.9999998939307954</t>
  </si>
  <si>
    <t>0.11175035540516401</t>
  </si>
  <si>
    <t>0.06463991145984978</t>
  </si>
  <si>
    <t>mmu05134:Legionellosis</t>
  </si>
  <si>
    <t>0.056993526991143614</t>
  </si>
  <si>
    <t>C3, CASP7, NAIP5, NAIP6, NLRC4, TNF, CXCL2, NFKB1</t>
  </si>
  <si>
    <t>2.299164380940231</t>
  </si>
  <si>
    <t>0.9999999840965922</t>
  </si>
  <si>
    <t>0.12368807985312018</t>
  </si>
  <si>
    <t>0.07154506579739306</t>
  </si>
  <si>
    <t>mmu04917:Prolactin signaling pathway</t>
  </si>
  <si>
    <t>0.058427773321120494</t>
  </si>
  <si>
    <t>SRC, AKT3, MAPK1, GRB2, PIK3R2, FOS, FOXO3, NFKB1, MAPK3</t>
  </si>
  <si>
    <t>2.132164265432748</t>
  </si>
  <si>
    <t>0.9999999900180874</t>
  </si>
  <si>
    <t>0.12590773687509063</t>
  </si>
  <si>
    <t>0.0728289850551995</t>
  </si>
  <si>
    <t>mmu04218:Cellular senescence</t>
  </si>
  <si>
    <t>0.059613820603910635</t>
  </si>
  <si>
    <t>H2-T24, RB1, H2-K1, H2-Q4, CACNA1D, PIK3R2, FOXO3, NFKB1, TGFBR1, TGFBR2, RBL2, IL1A, AKT3, CAPN2, MAPK1, H2-D1, MAPK3</t>
  </si>
  <si>
    <t>1.6197238199966164</t>
  </si>
  <si>
    <t>0.9999999932125169</t>
  </si>
  <si>
    <t>0.1275652384950815</t>
  </si>
  <si>
    <t>0.07378773599225304</t>
  </si>
  <si>
    <t>mmu04932:Non-alcoholic fatty liver disease</t>
  </si>
  <si>
    <t>0.060645672838320286</t>
  </si>
  <si>
    <t>CEBPA, INSR, EIF2AK3, NR1H3, PIK3R2, FOS, TNF, NFKB1, IL1A, ITCH, CASP7, BCL2L11, AKT3, RAC1, MAP3K11</t>
  </si>
  <si>
    <t>1.6856854235258907</t>
  </si>
  <si>
    <t>0.9999999951492518</t>
  </si>
  <si>
    <t>0.1288720547814306</t>
  </si>
  <si>
    <t>0.07454363953043537</t>
  </si>
  <si>
    <t>mmu05321:Inflammatory bowel disease</t>
  </si>
  <si>
    <t>0.06125192530512185</t>
  </si>
  <si>
    <t>2.262081084473453</t>
  </si>
  <si>
    <t>0.999999996018817</t>
  </si>
  <si>
    <t>0.1292626837473606</t>
  </si>
  <si>
    <t>0.07476959157935566</t>
  </si>
  <si>
    <t>mmu04971:Gastric acid secretion</t>
  </si>
  <si>
    <t>0.06231249349880683</t>
  </si>
  <si>
    <t>PLCB3, ADCY9, GNAQ, GNAS, ADCY3, PRKACA, ADCY7, PLCB2, GNAI2</t>
  </si>
  <si>
    <t>2.1037354085603113</t>
  </si>
  <si>
    <t>0.9999999971829947</t>
  </si>
  <si>
    <t>0.13056508274223222</t>
  </si>
  <si>
    <t>0.07552294001756571</t>
  </si>
  <si>
    <t>mmu04979:Cholesterol metabolism</t>
  </si>
  <si>
    <t>0.06299449333408899</t>
  </si>
  <si>
    <t>ABCA1, SCARB1, APOC2, LIPG, TSPO, APOE, LIPA</t>
  </si>
  <si>
    <t>0.9999999977452634</t>
  </si>
  <si>
    <t>mmu04150:mTOR signaling pathway</t>
  </si>
  <si>
    <t>0.0632872143506539</t>
  </si>
  <si>
    <t>INSR, PIK3R2, TNF, LRP6, RPS6KA3, AKT3, ULK2, MAPK1, GRB2, ULK1, LAMTOR2, SGK1, DEPDC5, LPIN2, MAPK3</t>
  </si>
  <si>
    <t>1.6749485736945153</t>
  </si>
  <si>
    <t>0.9999999979508529</t>
  </si>
  <si>
    <t>0.06357580826337451</t>
  </si>
  <si>
    <t>APP, UBA7, HTT, CACNA1D, ZFYVE1, TNF, LRP6, UBE2L3, KLC4, CASP7, MAP1LC3A, ATXN1L, CAPN2, MAPK1, RAC1, MAPK3, TRAP1, NOS2, DNAH17, EIF2AK3, CYBB, AXIN2, TNFRSF1B, NFKB1, IL1A, PINK1, PLCB3, TUBB2A, GNAQ, CAT, ATG2A, CTNNB1, ULK2, ULK1, PLCB2, CDK5R1</t>
  </si>
  <si>
    <t>1.3399588589556124</t>
  </si>
  <si>
    <t>0.999999998135239</t>
  </si>
  <si>
    <t>0.06570000156986003</t>
  </si>
  <si>
    <t>PLCB3, GNAQ, AKT3, MAPK1, CACNA1D, PIK3R2, PLCB2, MAPK3</t>
  </si>
  <si>
    <t>2.226175035513557</t>
  </si>
  <si>
    <t>0.9999999990692725</t>
  </si>
  <si>
    <t>0.13402800320251446</t>
  </si>
  <si>
    <t>0.07752600185243484</t>
  </si>
  <si>
    <t>mmu05100:Bacterial invasion of epithelial cells</t>
  </si>
  <si>
    <t>0.06635497481611959</t>
  </si>
  <si>
    <t>SRC, CTNNA1, ELMO2, CTNNB1, ILK, PIK3R2, RAC1, DOCK1, MET</t>
  </si>
  <si>
    <t>2.076054679500307</t>
  </si>
  <si>
    <t>0.9999999992490224</t>
  </si>
  <si>
    <t>0.13446769730948738</t>
  </si>
  <si>
    <t>0.07778033471823291</t>
  </si>
  <si>
    <t>mmu00071:Fatty acid degradation</t>
  </si>
  <si>
    <t>0.07350566611897329</t>
  </si>
  <si>
    <t>ALDH3A2, ACADVL, ECHS1, ALDH2, ACAA1A, ACOX3, ACADS</t>
  </si>
  <si>
    <t>2.3599595929362467</t>
  </si>
  <si>
    <t>0.9999999999285689</t>
  </si>
  <si>
    <t>0.1479785120553015</t>
  </si>
  <si>
    <t>0.0855954138359097</t>
  </si>
  <si>
    <t>mmu04723:Retrograde endocannabinoid signaling</t>
  </si>
  <si>
    <t>0.07866694464256042</t>
  </si>
  <si>
    <t>ADCY3, CACNA1D, ADCY7, GNAI2, PLCB3, GNG2, GNGT2, ADCY9, GNAQ, NAPEPLD, MAPK1, PRKACA, PLCB2, MAPK3</t>
  </si>
  <si>
    <t>1.6583499842254708</t>
  </si>
  <si>
    <t>0.999999999987073</t>
  </si>
  <si>
    <t>0.15733388928512085</t>
  </si>
  <si>
    <t>0.09100685752766795</t>
  </si>
  <si>
    <t>mmu05219:Bladder cancer</t>
  </si>
  <si>
    <t>0.08142434672173454</t>
  </si>
  <si>
    <t>RB1, RPS6KA5, DAPK1, SRC, MAPK1, MAPK3</t>
  </si>
  <si>
    <t>2.56553098604916</t>
  </si>
  <si>
    <t>0.9999999999948338</t>
  </si>
  <si>
    <t>0.1615867011872609</t>
  </si>
  <si>
    <t>0.09346681735341562</t>
  </si>
  <si>
    <t>mmu00140:Steroid hormone biosynthesis</t>
  </si>
  <si>
    <t>0.08184947282361255</t>
  </si>
  <si>
    <t>UGT1A10, UGT1A1, SRD5A3, UGT1A5, UGT1A2, UGT1A9, UGT1A8, UGT1A6A, UGT1A6B, UGT1A7C</t>
  </si>
  <si>
    <t>1.885067570394544</t>
  </si>
  <si>
    <t>0.9999999999955161</t>
  </si>
  <si>
    <t>0.08489379771980744</t>
  </si>
  <si>
    <t>CSF1R, CSF3, CSF3R, ITGB5, IL4RA, PIK3R2, FOXO3, BCL2L11, GNG2, GNGT2, CREB3L3, AKT3, KDR, MAPK1, RAC1, YWHAH, MAPK3, HGF, INSR, NFKB1, RBL2, LPAR6, GRB2, SGK3, ITGA6, SGK1, MET, IFNAR1</t>
  </si>
  <si>
    <t>1.3673303491106945</t>
  </si>
  <si>
    <t>0.9999999999983772</t>
  </si>
  <si>
    <t>0.16434343789653874</t>
  </si>
  <si>
    <t>0.09506140035191948</t>
  </si>
  <si>
    <t>mmu04978:Mineral absorption</t>
  </si>
  <si>
    <t>0.08495712808510761</t>
  </si>
  <si>
    <t>FXYD2, SLC11A2, SLC40A1, ATP2B4, ATP7A, SLC8A1, SLC8A2</t>
  </si>
  <si>
    <t>0.9999999999984112</t>
  </si>
  <si>
    <t>mmu05226:Gastric cancer</t>
  </si>
  <si>
    <t>0.08533716090680245</t>
  </si>
  <si>
    <t>RB1, HGF, PIK3R2, AXIN2, TGFBR1, LRP6, TGFBR2, AKT3, CTNNA1, CTNNB1, MAPK1, GRB2, MET, MAPK3</t>
  </si>
  <si>
    <t>1.6362386511024642</t>
  </si>
  <si>
    <t>0.9999999999986008</t>
  </si>
  <si>
    <t>mmu04720:Long-term potentiation</t>
  </si>
  <si>
    <t>0.0853941392991819</t>
  </si>
  <si>
    <t>RPS6KA3, PLCB3, GNAQ, EP300, MAPK1, PRKACA, PLCB2, MAPK3</t>
  </si>
  <si>
    <t>2.0932690632440907</t>
  </si>
  <si>
    <t>0.9999999999986272</t>
  </si>
  <si>
    <t>mmu04061:Viral protein interaction with cytokine and cytokine receptor</t>
  </si>
  <si>
    <t>0.09071490942995063</t>
  </si>
  <si>
    <t>CSF1R, CXCL10, IL10RB, CCL5, IL10RA, CCL4, TNFRSF14, TNFRSF1B, TNF, CXCL2</t>
  </si>
  <si>
    <t>1.8453819373336064</t>
  </si>
  <si>
    <t>0.9999999999997697</t>
  </si>
  <si>
    <t>0.1734922642847806</t>
  </si>
  <si>
    <t>0.1003533685568829</t>
  </si>
  <si>
    <t>mmu00640:Propanoate metabolism</t>
  </si>
  <si>
    <t>0.09699958173270495</t>
  </si>
  <si>
    <t>BCKDHA, ECHS1, MMUT, ACOX3, ACADS</t>
  </si>
  <si>
    <t>0.9999999999999725</t>
  </si>
  <si>
    <t>0.18435945347955104</t>
  </si>
  <si>
    <t>0.10663929171856384</t>
  </si>
  <si>
    <t>Key TF</t>
  </si>
  <si>
    <t># of overlapped genes</t>
  </si>
  <si>
    <t>P value</t>
  </si>
  <si>
    <t>Q value</t>
  </si>
  <si>
    <t>List of overlapped genes</t>
  </si>
  <si>
    <t>NFKB1</t>
  </si>
  <si>
    <t>nuclear factor of kappa light polypeptide gene enhancer in B-cells 1</t>
  </si>
  <si>
    <t>1.81e-09</t>
  </si>
  <si>
    <t>1.38e-07</t>
  </si>
  <si>
    <t>CD38,NOS2,LTC4S,TNFAIP3,EBI3,PSMB9,CCL5,CXCL10,CD74,REPS2,IL1A,AGT,CD40,PTAFR,NOD2,CD83,CCND2,MMP14,TNF,BCL3,IRF7,CCL4,OLFM4,TRAF1,CXCL2,HES1</t>
  </si>
  <si>
    <t>RELA</t>
  </si>
  <si>
    <t>v-rel reticuloendotheliosis viral oncogene homolog A (avian)</t>
  </si>
  <si>
    <t>7.27e-09</t>
  </si>
  <si>
    <t>2.76e-07</t>
  </si>
  <si>
    <t>CCL4,TRAF1,CXCL10,IRF7,REPS2,CD40,MMP14,PSMB9,HES1,LTC4S,TNFAIP3,CD38,NOS2,CXCL2,OLFM4,CD74,BCL3,CD83,CCND2,PTAFR,TNF,CCL5,AGT,IL1A,EBI3</t>
  </si>
  <si>
    <t>SPI1</t>
  </si>
  <si>
    <t>spleen focus forming virus (SFFV) proviral integration oncogene spi1</t>
  </si>
  <si>
    <t>6.15e-06</t>
  </si>
  <si>
    <t>0.000156</t>
  </si>
  <si>
    <t>CD40,CYBB,IFIT3,CSF2RA,CSF3R,CCL5,CD22,TNF,HCK</t>
  </si>
  <si>
    <t>IRF1</t>
  </si>
  <si>
    <t>interferon regulatory factor 1</t>
  </si>
  <si>
    <t>1.13e-05</t>
  </si>
  <si>
    <t>0.000214</t>
  </si>
  <si>
    <t>CXCL10,IFIT3,CCL5,CASP7,PSMB9,CD40,CYBB,DDX58</t>
  </si>
  <si>
    <t>NFKBIA</t>
  </si>
  <si>
    <t>nuclear factor of kappa light polypeptide gene enhancer in B-cells inhibitor, alpha</t>
  </si>
  <si>
    <t>3.88e-05</t>
  </si>
  <si>
    <t>0.00059</t>
  </si>
  <si>
    <t>TRAF1,NOS2,EBI3,CD40,CCL5</t>
  </si>
  <si>
    <t>STAT1</t>
  </si>
  <si>
    <t>signal transducer and activator of transcription 1, 91kDa</t>
  </si>
  <si>
    <t>7.39e-05</t>
  </si>
  <si>
    <t>0.000936</t>
  </si>
  <si>
    <t>XAF1,IFIT3,CD22,FCGRT,NOS2,IRF7,CXCL10,CD40,PSMB9</t>
  </si>
  <si>
    <t>NR1I2</t>
  </si>
  <si>
    <t>nuclear receptor subfamily 1, group I, member 2</t>
  </si>
  <si>
    <t>0.000194</t>
  </si>
  <si>
    <t>0.00197</t>
  </si>
  <si>
    <t>NOD1,FOSL1,UGT1A1,NOD2,PTAFR</t>
  </si>
  <si>
    <t>IRF3</t>
  </si>
  <si>
    <t>interferon regulatory factor 3</t>
  </si>
  <si>
    <t>0.00023</t>
  </si>
  <si>
    <t>ABCC2,IRF7,CXCL10,CCL5</t>
  </si>
  <si>
    <t>STAT3</t>
  </si>
  <si>
    <t>signal transducer and activator of transcription 3 (acute-phase response factor)</t>
  </si>
  <si>
    <t>0.000234</t>
  </si>
  <si>
    <t>FOS,CCND2,PRDM1,HGF,VDR,KLF11,FAAH,S100A11,S1PR1,LGALS3BP,MMP14</t>
  </si>
  <si>
    <t>JUND</t>
  </si>
  <si>
    <t>jun D proto-oncogene</t>
  </si>
  <si>
    <t>0.000715</t>
  </si>
  <si>
    <t>0.00543</t>
  </si>
  <si>
    <t>SOX4,CLU,NOS2,CCL5,FOSL1</t>
  </si>
  <si>
    <t>ETV4</t>
  </si>
  <si>
    <t>ets variant 4</t>
  </si>
  <si>
    <t>0.00109</t>
  </si>
  <si>
    <t>0.00756</t>
  </si>
  <si>
    <t>MMP14,TIMP2,TNF,CCND2</t>
  </si>
  <si>
    <t>SP1</t>
  </si>
  <si>
    <t>Sp1 transcription factor</t>
  </si>
  <si>
    <t>0.00125</t>
  </si>
  <si>
    <t>0.00792</t>
  </si>
  <si>
    <t>CD83,VDR,TIMP2,AGT,EZR,MET,TNF,LSP1,CCND2,SRC,HGF,TCN2,FOLR1,LTC4S,APOE,AHR,SIGIRR,CCL5,MMP14,SPP1,FOS</t>
  </si>
  <si>
    <t>HNF1A</t>
  </si>
  <si>
    <t>HNF1 homeobox A</t>
  </si>
  <si>
    <t>0.00209</t>
  </si>
  <si>
    <t>0.0122</t>
  </si>
  <si>
    <t>UGT1A9,UGT1A1,UGT1A8,UGT1A10</t>
  </si>
  <si>
    <t>FOSL2</t>
  </si>
  <si>
    <t>FOS-like antigen 2</t>
  </si>
  <si>
    <t>0.00361</t>
  </si>
  <si>
    <t>0.0196</t>
  </si>
  <si>
    <t>FOSL1,NOS2,CLU</t>
  </si>
  <si>
    <t>CDX2</t>
  </si>
  <si>
    <t>caudal type homeobox 2</t>
  </si>
  <si>
    <t>0.00455</t>
  </si>
  <si>
    <t>0.0231</t>
  </si>
  <si>
    <t>VDR,AXIN2,UGT1A8,UGT1A10</t>
  </si>
  <si>
    <t>PML</t>
  </si>
  <si>
    <t>promyelocytic leukemia</t>
  </si>
  <si>
    <t>0.00721</t>
  </si>
  <si>
    <t>0.0323</t>
  </si>
  <si>
    <t>HCK,UBA7,TNFAIP3</t>
  </si>
  <si>
    <t>FOS</t>
  </si>
  <si>
    <t>FBJ murine osteosarcoma viral oncogene homolog</t>
  </si>
  <si>
    <t>0.00722</t>
  </si>
  <si>
    <t>CLU,EZR,FOS,NOS2,IL1A</t>
  </si>
  <si>
    <t>AHR</t>
  </si>
  <si>
    <t>aryl hydrocarbon receptor</t>
  </si>
  <si>
    <t>0.0109</t>
  </si>
  <si>
    <t>0.0421</t>
  </si>
  <si>
    <t>FOS,CCNG2,UGT1A1</t>
  </si>
  <si>
    <t>REL</t>
  </si>
  <si>
    <t>v-rel reticuloendotheliosis viral oncogene homolog (avian)</t>
  </si>
  <si>
    <t>EPHB2,TNFAIP3,CCL5</t>
  </si>
  <si>
    <t>IRF9</t>
  </si>
  <si>
    <t>interferon regulatory factor 9</t>
  </si>
  <si>
    <t>0.0116</t>
  </si>
  <si>
    <t>IFIT3,CCND2</t>
  </si>
  <si>
    <t>RBMX</t>
  </si>
  <si>
    <t>RNA binding motif protein, X-linked</t>
  </si>
  <si>
    <t>FOS,FOSL1</t>
  </si>
  <si>
    <t>JUN</t>
  </si>
  <si>
    <t>jun proto-oncogene</t>
  </si>
  <si>
    <t>0.0146</t>
  </si>
  <si>
    <t>0.0494</t>
  </si>
  <si>
    <t>FOSL1,VDR,CCL5,EZR,IL1A,TIMP2,NOS2,TNF</t>
  </si>
  <si>
    <t>CREM</t>
  </si>
  <si>
    <t>cAMP responsive element modulator</t>
  </si>
  <si>
    <t>0.0156</t>
  </si>
  <si>
    <t>DUSP1,FOS,CCL4</t>
  </si>
  <si>
    <t>SRF</t>
  </si>
  <si>
    <t>serum response factor (c-fos serum response element-binding transcription factor)</t>
  </si>
  <si>
    <t>MMP14,FOS,FOSL1</t>
  </si>
  <si>
    <t>STAT2</t>
  </si>
  <si>
    <t>signal transducer and activator of transcription 2, 113kDa</t>
  </si>
  <si>
    <t>0.0219</t>
  </si>
  <si>
    <t>0.0667</t>
  </si>
  <si>
    <t>NOS2,IFIT3</t>
  </si>
  <si>
    <t>YBX1</t>
  </si>
  <si>
    <t>Y box binding protein 1</t>
  </si>
  <si>
    <t>0.0255</t>
  </si>
  <si>
    <t>0.073</t>
  </si>
  <si>
    <t>MET,AGT,ERBB3</t>
  </si>
  <si>
    <t>IRF7</t>
  </si>
  <si>
    <t>interferon regulatory factor 7</t>
  </si>
  <si>
    <t>0.0259</t>
  </si>
  <si>
    <t>CCL5,CXCL10</t>
  </si>
  <si>
    <t>SMAD3</t>
  </si>
  <si>
    <t>SMAD family member 3</t>
  </si>
  <si>
    <t>0.0277</t>
  </si>
  <si>
    <t>0.0753</t>
  </si>
  <si>
    <t>AHR,VDR,CCND2</t>
  </si>
  <si>
    <t>NFYC</t>
  </si>
  <si>
    <t>nuclear transcription factor Y, gamma</t>
  </si>
  <si>
    <t>0.0302</t>
  </si>
  <si>
    <t>0.0793</t>
  </si>
  <si>
    <t>FOS,CCND2</t>
  </si>
  <si>
    <t>GATA1</t>
  </si>
  <si>
    <t>GATA binding protein 1 (globin transcription factor 1)</t>
  </si>
  <si>
    <t>0.0331</t>
  </si>
  <si>
    <t>0.0838</t>
  </si>
  <si>
    <t>IL1RL1,F13A1,CYBB,CEBPA</t>
  </si>
  <si>
    <t>NFYB</t>
  </si>
  <si>
    <t>nuclear transcription factor Y, beta</t>
  </si>
  <si>
    <t>0.0348</t>
  </si>
  <si>
    <t>0.0853</t>
  </si>
  <si>
    <t>CCND2,FOS</t>
  </si>
  <si>
    <t>CEBPB</t>
  </si>
  <si>
    <t>CCAAT/enhancer binding protein (C/EBP), beta</t>
  </si>
  <si>
    <t>0.0389</t>
  </si>
  <si>
    <t>0.0912</t>
  </si>
  <si>
    <t>CSF3R,TNF,PRDM1,DAPK1</t>
  </si>
  <si>
    <t>NR4A1</t>
  </si>
  <si>
    <t>nuclear receptor subfamily 4, group A, member 1</t>
  </si>
  <si>
    <t>0.0396</t>
  </si>
  <si>
    <t>TIMP2,TNF</t>
  </si>
  <si>
    <t>STAT6</t>
  </si>
  <si>
    <t>signal transducer and activator of transcription 6, interleukin-4 induced</t>
  </si>
  <si>
    <t>0.0408</t>
  </si>
  <si>
    <t>CD40,FOS,DUSP1</t>
  </si>
  <si>
    <t>PITX1</t>
  </si>
  <si>
    <t>paired-like homeodomain 1</t>
  </si>
  <si>
    <t>0.0446</t>
  </si>
  <si>
    <t>0.0969</t>
  </si>
  <si>
    <t>HES1,IRF7</t>
  </si>
  <si>
    <t>CEBPD</t>
  </si>
  <si>
    <t>CCAAT/enhancer binding protein (C/EBP), delta</t>
  </si>
  <si>
    <t>0.0499</t>
  </si>
  <si>
    <t>0.105</t>
  </si>
  <si>
    <t>C3,TNF</t>
  </si>
  <si>
    <t>PPARG</t>
  </si>
  <si>
    <t>peroxisome proliferator-activated receptor gamma</t>
  </si>
  <si>
    <t>0.0521</t>
  </si>
  <si>
    <t>0.106</t>
  </si>
  <si>
    <t>UGT1A9,CEBPA,FABP4,CD83</t>
  </si>
  <si>
    <t>RUNX1</t>
  </si>
  <si>
    <t>runt-related transcription factor 1</t>
  </si>
  <si>
    <t>0.0531</t>
  </si>
  <si>
    <t>SLC22A4,CCND2,MYH10</t>
  </si>
  <si>
    <t>DDIT3</t>
  </si>
  <si>
    <t>DNA-damage-inducible transcript 3</t>
  </si>
  <si>
    <t>0.0553</t>
  </si>
  <si>
    <t>0.108</t>
  </si>
  <si>
    <t>ATF5,CEBPA</t>
  </si>
  <si>
    <t>GATA2</t>
  </si>
  <si>
    <t>GATA binding protein 2</t>
  </si>
  <si>
    <t>0.061</t>
  </si>
  <si>
    <t>0.116</t>
  </si>
  <si>
    <t>IL1RL1,CYBB</t>
  </si>
  <si>
    <t>ARNT</t>
  </si>
  <si>
    <t>aryl hydrocarbon receptor nuclear translocator</t>
  </si>
  <si>
    <t>0.0668</t>
  </si>
  <si>
    <t>FOS,AHR</t>
  </si>
  <si>
    <t>ELK1</t>
  </si>
  <si>
    <t>ELK1, member of ETS oncogene family</t>
  </si>
  <si>
    <t>FOSL1,FOS</t>
  </si>
  <si>
    <t>KLF6</t>
  </si>
  <si>
    <t>Kruppel-like factor 6</t>
  </si>
  <si>
    <t>LTC4S,NOS2</t>
  </si>
  <si>
    <t>E2F1</t>
  </si>
  <si>
    <t>E2F transcription factor 1</t>
  </si>
  <si>
    <t>0.0671</t>
  </si>
  <si>
    <t>MAP1LC3A,TNF,ETV4,MYH10,DUSP1,CASP7</t>
  </si>
  <si>
    <t>PAX5</t>
  </si>
  <si>
    <t>paired box 5</t>
  </si>
  <si>
    <t>0.0729</t>
  </si>
  <si>
    <t>0.123</t>
  </si>
  <si>
    <t>PRDM1,MET</t>
  </si>
  <si>
    <t>CTNNB1</t>
  </si>
  <si>
    <t>catenin (cadherin-associated protein), beta 1, 88kDa</t>
  </si>
  <si>
    <t>0.0791</t>
  </si>
  <si>
    <t>0.131</t>
  </si>
  <si>
    <t>NRCAM,MMP14</t>
  </si>
  <si>
    <t>ETS1</t>
  </si>
  <si>
    <t>v-ets erythroblastosis virus E26 oncogene homolog 1 (avian)</t>
  </si>
  <si>
    <t>0.0881</t>
  </si>
  <si>
    <t>0.141</t>
  </si>
  <si>
    <t>TBXAS1,F13A1,CSF3R,TMEM158</t>
  </si>
  <si>
    <t>HDAC3</t>
  </si>
  <si>
    <t>histone deacetylase 3</t>
  </si>
  <si>
    <t>0.0919</t>
  </si>
  <si>
    <t>TNF,PRAM1</t>
  </si>
  <si>
    <t>POU5F1</t>
  </si>
  <si>
    <t>POU class 5 homeobox 1</t>
  </si>
  <si>
    <t>SPP1,ITGA6</t>
  </si>
  <si>
    <t>SP3</t>
  </si>
  <si>
    <t>Sp3 transcription factor</t>
  </si>
  <si>
    <t>0.0939</t>
  </si>
  <si>
    <t>TIMP2,HGF,LTC4S,CD83,TCN2</t>
  </si>
  <si>
    <t>CEBPA</t>
  </si>
  <si>
    <t>CCAAT/enhancer binding protein (C/EBP), alpha</t>
  </si>
  <si>
    <t>0.0946</t>
  </si>
  <si>
    <t>SPP1,CSF3R,CSF2RA</t>
  </si>
  <si>
    <t>TWIST2</t>
  </si>
  <si>
    <t>twist basic helix-loop-helix transcription factor 2</t>
  </si>
  <si>
    <t>0.0985</t>
  </si>
  <si>
    <t>0.144</t>
  </si>
  <si>
    <t>FOS,ERBB3</t>
  </si>
  <si>
    <t>MITF</t>
  </si>
  <si>
    <t>microphthalmia-associated transcription factor</t>
  </si>
  <si>
    <t>0.151</t>
  </si>
  <si>
    <t>FOS,MET</t>
  </si>
  <si>
    <t>ERG</t>
  </si>
  <si>
    <t>v-ets erythroblastosis virus E26 oncogene homolog (avian)</t>
  </si>
  <si>
    <t>0.112</t>
  </si>
  <si>
    <t>0.158</t>
  </si>
  <si>
    <t>SPP1,SOX4</t>
  </si>
  <si>
    <t>EGR1</t>
  </si>
  <si>
    <t>early growth response 1</t>
  </si>
  <si>
    <t>0.118</t>
  </si>
  <si>
    <t>0.164</t>
  </si>
  <si>
    <t>CCND2,MMP14,TNF,BCAR1</t>
  </si>
  <si>
    <t>BRCA1</t>
  </si>
  <si>
    <t>breast cancer 1, early onset</t>
  </si>
  <si>
    <t>0.121</t>
  </si>
  <si>
    <t>0.165</t>
  </si>
  <si>
    <t>RNASEL,IRF7,FOS</t>
  </si>
  <si>
    <t>LEF1</t>
  </si>
  <si>
    <t>lymphoid enhancer-binding factor 1</t>
  </si>
  <si>
    <t>0.126</t>
  </si>
  <si>
    <t>0.168</t>
  </si>
  <si>
    <t>NRCAM,CEBPA</t>
  </si>
  <si>
    <t>RUNX3</t>
  </si>
  <si>
    <t>runt-related transcription factor 3</t>
  </si>
  <si>
    <t>0.134</t>
  </si>
  <si>
    <t>0.175</t>
  </si>
  <si>
    <t>HES1,CASP7</t>
  </si>
  <si>
    <t>ATF2</t>
  </si>
  <si>
    <t>activating transcription factor 2</t>
  </si>
  <si>
    <t>0.148</t>
  </si>
  <si>
    <t>0.191</t>
  </si>
  <si>
    <t>DUSP1,TNF</t>
  </si>
  <si>
    <t>USF1</t>
  </si>
  <si>
    <t>upstream transcription factor 1</t>
  </si>
  <si>
    <t>0.161</t>
  </si>
  <si>
    <t>0.204</t>
  </si>
  <si>
    <t>TCN2,AGT,CD2</t>
  </si>
  <si>
    <t>MYC</t>
  </si>
  <si>
    <t>v-myc myelocytomatosis viral oncogene homolog (avian)</t>
  </si>
  <si>
    <t>0.205</t>
  </si>
  <si>
    <t>AXIN2,CEBPA,CCND2,CD38</t>
  </si>
  <si>
    <t>ATF4</t>
  </si>
  <si>
    <t>activating transcription factor 4 (tax-responsive enhancer element B67)</t>
  </si>
  <si>
    <t>0.171</t>
  </si>
  <si>
    <t>0.206</t>
  </si>
  <si>
    <t>IRF7,APOE</t>
  </si>
  <si>
    <t>TWIST1</t>
  </si>
  <si>
    <t>twist basic helix-loop-helix transcription factor 1</t>
  </si>
  <si>
    <t>ERBB3,FOS</t>
  </si>
  <si>
    <t>MYB</t>
  </si>
  <si>
    <t>v-myb myeloblastosis viral oncogene homolog (avian)</t>
  </si>
  <si>
    <t>0.186</t>
  </si>
  <si>
    <t>0.22</t>
  </si>
  <si>
    <t>CSF3R,CEBPA</t>
  </si>
  <si>
    <t>HDAC1</t>
  </si>
  <si>
    <t>histone deacetylase 1</t>
  </si>
  <si>
    <t>0.193</t>
  </si>
  <si>
    <t>SPP1,CCND2,FOS</t>
  </si>
  <si>
    <t>TFAP2A</t>
  </si>
  <si>
    <t>transcription factor AP-2 alpha (activating enhancer binding protein 2 alpha)</t>
  </si>
  <si>
    <t>HGF,ECM1,TIMP2</t>
  </si>
  <si>
    <t>NR3C1</t>
  </si>
  <si>
    <t>nuclear receptor subfamily 3, group C, member 1 (glucocorticoid receptor)</t>
  </si>
  <si>
    <t>0.194</t>
  </si>
  <si>
    <t>SPP1,UGT1A1</t>
  </si>
  <si>
    <t>PPARA</t>
  </si>
  <si>
    <t>peroxisome proliferator-activated receptor alpha</t>
  </si>
  <si>
    <t>0.202</t>
  </si>
  <si>
    <t>0.225</t>
  </si>
  <si>
    <t>UGT1A9,FABP4</t>
  </si>
  <si>
    <t>USF2</t>
  </si>
  <si>
    <t>upstream transcription factor 2, c-fos interacting</t>
  </si>
  <si>
    <t>0.265</t>
  </si>
  <si>
    <t>0.292</t>
  </si>
  <si>
    <t>TCN2,CD2</t>
  </si>
  <si>
    <t>TP53</t>
  </si>
  <si>
    <t>tumor protein p53</t>
  </si>
  <si>
    <t>0.272</t>
  </si>
  <si>
    <t>TBXAS1,NLRC4,MET,BCL3,DUSP1</t>
  </si>
  <si>
    <t>SIRT1</t>
  </si>
  <si>
    <t>sirtuin 1</t>
  </si>
  <si>
    <t>0.273</t>
  </si>
  <si>
    <t>NOTCH1,TNF</t>
  </si>
  <si>
    <t>EP300</t>
  </si>
  <si>
    <t>E1A binding protein p300</t>
  </si>
  <si>
    <t>0.336</t>
  </si>
  <si>
    <t>0.354</t>
  </si>
  <si>
    <t>TBXAS1,CYBB</t>
  </si>
  <si>
    <t>ESR1</t>
  </si>
  <si>
    <t>estrogen receptor 1</t>
  </si>
  <si>
    <t>0.484</t>
  </si>
  <si>
    <t>0.504</t>
  </si>
  <si>
    <t>AHR,FOS</t>
  </si>
  <si>
    <t>HIF1A</t>
  </si>
  <si>
    <t>hypoxia inducible factor 1, alpha subunit (basic helix-loop-helix transcription factor)</t>
  </si>
  <si>
    <t>0.531</t>
  </si>
  <si>
    <t>0.545</t>
  </si>
  <si>
    <t>TIMP2,MET</t>
  </si>
  <si>
    <t>CREB1</t>
  </si>
  <si>
    <t>cAMP responsive element binding protein 1</t>
  </si>
  <si>
    <t>0.575</t>
  </si>
  <si>
    <t>0.581</t>
  </si>
  <si>
    <t>FOS,CCL5</t>
  </si>
  <si>
    <t>YY1</t>
  </si>
  <si>
    <t>YY1 transcription factor</t>
  </si>
  <si>
    <t>IRF7,NOS2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</si>
</sst>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/>
    <xf numFmtId="11" fontId="2" fillId="0" borderId="0" xfId="0" applyNumberFormat="1" applyFont="1"/>
    <xf numFmtId="11" fontId="2" fillId="0" borderId="3" xfId="0" applyNumberFormat="1" applyFont="1" applyBorder="1"/>
    <xf numFmtId="0" fontId="3" fillId="0" borderId="0" xfId="0" applyFont="1"/>
    <xf numFmtId="0" fontId="2" fillId="0" borderId="3" xfId="0" applyFont="1" applyBorder="1"/>
    <xf numFmtId="0" fontId="1" fillId="0" borderId="0" xfId="0" applyFont="1"/>
    <xf numFmtId="0" fontId="4" fillId="3" borderId="4" xfId="0" applyFont="1" applyFill="1" applyBorder="1"/>
  </cellXfs>
  <cellStyles count="1">
    <cellStyle name="Normal" xfId="0" builtinId="0"/>
  </cellStyles>
  <dxfs count="19">
    <dxf>
      <fill>
        <patternFill>
          <bgColor theme="5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425823</xdr:colOff>
      <xdr:row>1</xdr:row>
      <xdr:rowOff>112059</xdr:rowOff>
    </xdr:from>
    <xdr:ext cx="5222584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B4EA3F-34E2-4FFB-BFFA-EDCE4A263F8A}"/>
            </a:ext>
          </a:extLst>
        </xdr:cNvPr>
        <xdr:cNvSpPr txBox="1"/>
      </xdr:nvSpPr>
      <xdr:spPr>
        <a:xfrm>
          <a:off x="425823" y="268941"/>
          <a:ext cx="5222584" cy="31149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400" b="1"/>
            <a:t>List of all significant DEGs</a:t>
          </a:r>
          <a:r>
            <a:rPr lang="sv-SE" sz="1400" b="1" baseline="0"/>
            <a:t> in Aged BV-2 </a:t>
          </a:r>
          <a:r>
            <a:rPr lang="sv-SE" sz="1400" b="1" i="1" baseline="0"/>
            <a:t>vs.</a:t>
          </a:r>
          <a:r>
            <a:rPr lang="sv-SE" sz="1400" b="1" i="0" baseline="0"/>
            <a:t> Control BV-2 comparison</a:t>
          </a:r>
          <a:r>
            <a:rPr lang="sv-SE" sz="1400" b="1" baseline="0"/>
            <a:t> </a:t>
          </a:r>
          <a:endParaRPr lang="sv-SE" sz="1400" b="1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BA318ED9-2FB4-460A-8671-1600F15E1FA6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Term" tableColumnId="2"/>
      <queryTableField id="3" name="Count" tableColumnId="3"/>
      <queryTableField id="4" name="%" tableColumnId="4"/>
      <queryTableField id="5" name="PValue" tableColumnId="5"/>
      <queryTableField id="6" name="Genes" tableColumnId="6"/>
      <queryTableField id="7" name="List Total" tableColumnId="7"/>
      <queryTableField id="8" name="Pop Hits" tableColumnId="8"/>
      <queryTableField id="9" name="Pop Total" tableColumnId="9"/>
      <queryTableField id="10" name="Fold Enrichment" tableColumnId="10"/>
      <queryTableField id="11" name="Bonferroni" tableColumnId="11"/>
      <queryTableField id="12" name="Benjamini" tableColumnId="12"/>
      <queryTableField id="13" name="FDR" tableColumnId="1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A7720073-8835-4C24-8CC7-CFCC8E51FFC4}" autoFormatId="16" applyNumberFormats="0" applyBorderFormats="0" applyFontFormats="0" applyPatternFormats="0" applyAlignmentFormats="0" applyWidthHeightFormats="0">
  <queryTableRefresh nextId="14">
    <queryTableFields count="13">
      <queryTableField id="1" name="Category" tableColumnId="1"/>
      <queryTableField id="2" name="Term" tableColumnId="2"/>
      <queryTableField id="3" name="Count" tableColumnId="3"/>
      <queryTableField id="4" name="%" tableColumnId="4"/>
      <queryTableField id="5" name="PValue" tableColumnId="5"/>
      <queryTableField id="6" name="Genes" tableColumnId="6"/>
      <queryTableField id="7" name="List Total" tableColumnId="7"/>
      <queryTableField id="8" name="Pop Hits" tableColumnId="8"/>
      <queryTableField id="9" name="Pop Total" tableColumnId="9"/>
      <queryTableField id="10" name="Fold Enrichment" tableColumnId="10"/>
      <queryTableField id="11" name="Bonferroni" tableColumnId="11"/>
      <queryTableField id="12" name="Benjamini" tableColumnId="12"/>
      <queryTableField id="13" name="FDR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4E5B3BB-6BCA-4F99-B11E-36E757282AA0}" name="UPREGULATED" displayName="UPREGULATED" ref="A1:M26" tableType="queryTable" totalsRowShown="0">
  <autoFilter ref="A1:M26" xr:uid="{C4E5B3BB-6BCA-4F99-B11E-36E757282AA0}"/>
  <tableColumns count="13">
    <tableColumn id="1" xr3:uid="{ADCC5C61-B938-4D1B-A1ED-A78EA9EAA3FB}" uniqueName="1" name="Category" queryTableFieldId="1" dataDxfId="18"/>
    <tableColumn id="2" xr3:uid="{C6B4A50E-8467-4BCF-8791-EDDEBD327438}" uniqueName="2" name="Term" queryTableFieldId="2" dataDxfId="17"/>
    <tableColumn id="3" xr3:uid="{12561CA3-8456-40B0-9FD4-034AAAC8BC1E}" uniqueName="3" name="Count" queryTableFieldId="3"/>
    <tableColumn id="4" xr3:uid="{B5F9AD43-B507-4891-9933-3FC52E9C521B}" uniqueName="4" name="%" queryTableFieldId="4" dataDxfId="16"/>
    <tableColumn id="5" xr3:uid="{1C416F57-86BF-4554-898B-12881F884C51}" uniqueName="5" name="PValue" queryTableFieldId="5" dataDxfId="15"/>
    <tableColumn id="6" xr3:uid="{58D2A82C-B680-4398-B3B1-3FCAF9832606}" uniqueName="6" name="Genes" queryTableFieldId="6" dataDxfId="14"/>
    <tableColumn id="7" xr3:uid="{C22304C0-1066-43CE-B520-83B8AD1532B7}" uniqueName="7" name="List Total" queryTableFieldId="7"/>
    <tableColumn id="8" xr3:uid="{2C8F4219-0A80-42B1-88CE-3155C84CC0E7}" uniqueName="8" name="Pop Hits" queryTableFieldId="8"/>
    <tableColumn id="9" xr3:uid="{DA73BD01-BC17-4AE7-B029-8CCD1FB8734C}" uniqueName="9" name="Pop Total" queryTableFieldId="9"/>
    <tableColumn id="10" xr3:uid="{4D2FA1F1-3334-4D3A-9FDB-A142DCF348BA}" uniqueName="10" name="Fold Enrichment" queryTableFieldId="10" dataDxfId="13"/>
    <tableColumn id="11" xr3:uid="{087D3D62-3602-4C37-BBD4-49B8CD21CBB1}" uniqueName="11" name="Bonferroni" queryTableFieldId="11" dataDxfId="12"/>
    <tableColumn id="12" xr3:uid="{96A49229-E781-4454-9E26-2D562A63FA62}" uniqueName="12" name="Benjamini" queryTableFieldId="12" dataDxfId="11"/>
    <tableColumn id="13" xr3:uid="{5765CE9F-9595-4367-B1BF-2DE7A1FAE95E}" uniqueName="13" name="FDR" queryTableFieldId="13" dataDxfId="1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33664D2-4EE7-48C2-95DB-5D8142F7AA41}" name="DOWNREGULATED" displayName="DOWNREGULATED" ref="A1:M162" tableType="queryTable" totalsRowShown="0">
  <autoFilter ref="A1:M162" xr:uid="{B33664D2-4EE7-48C2-95DB-5D8142F7AA41}"/>
  <tableColumns count="13">
    <tableColumn id="1" xr3:uid="{F4B93F39-AFC4-4E06-B693-586D642CF4D8}" uniqueName="1" name="Category" queryTableFieldId="1" dataDxfId="9"/>
    <tableColumn id="2" xr3:uid="{EB32AC84-B168-4A1E-954B-DF8C6592C5B1}" uniqueName="2" name="Term" queryTableFieldId="2" dataDxfId="8"/>
    <tableColumn id="3" xr3:uid="{48034C50-2C03-40F9-A17B-9F0D61314AA3}" uniqueName="3" name="Count" queryTableFieldId="3"/>
    <tableColumn id="4" xr3:uid="{E0CCB7B6-4C1D-4F66-9FBD-CBFFB1268C00}" uniqueName="4" name="%" queryTableFieldId="4" dataDxfId="7"/>
    <tableColumn id="5" xr3:uid="{6506B443-2EED-443A-8244-0C490B3E3366}" uniqueName="5" name="PValue" queryTableFieldId="5" dataDxfId="6"/>
    <tableColumn id="6" xr3:uid="{EF4A0CAE-84F4-471D-BD47-3529CECE7977}" uniqueName="6" name="Genes" queryTableFieldId="6" dataDxfId="5"/>
    <tableColumn id="7" xr3:uid="{5D21F0D4-B64F-4557-B4F7-20D050070A25}" uniqueName="7" name="List Total" queryTableFieldId="7"/>
    <tableColumn id="8" xr3:uid="{2A6693AC-79E0-46B5-8218-1FB3199A6DDF}" uniqueName="8" name="Pop Hits" queryTableFieldId="8"/>
    <tableColumn id="9" xr3:uid="{791AC712-62DF-4EAB-AD79-F49F02E7F8CE}" uniqueName="9" name="Pop Total" queryTableFieldId="9"/>
    <tableColumn id="10" xr3:uid="{620C413B-0592-41AB-90A0-4C9DD804779D}" uniqueName="10" name="Fold Enrichment" queryTableFieldId="10" dataDxfId="4"/>
    <tableColumn id="11" xr3:uid="{4AD89B72-7997-4C84-B290-EF58F97D7F4F}" uniqueName="11" name="Bonferroni" queryTableFieldId="11" dataDxfId="3"/>
    <tableColumn id="12" xr3:uid="{E838CA65-3879-48D7-9CA5-49FFD86B0301}" uniqueName="12" name="Benjamini" queryTableFieldId="12" dataDxfId="2"/>
    <tableColumn id="13" xr3:uid="{B4D419A6-420A-42BB-967F-DA761F62B441}" uniqueName="13" name="FDR" queryTableFieldId="13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766C0-962F-41F2-84A2-CE3B3253D192}">
  <dimension ref="A4:J14743"/>
  <sheetViews>
    <sheetView zoomScale="85" zoomScaleNormal="85" workbookViewId="0">
      <selection activeCell="J53" sqref="J53:J54"/>
    </sheetView>
  </sheetViews>
  <sheetFormatPr defaultRowHeight="12.75" x14ac:dyDescent="0.2"/>
  <cols>
    <col min="1" max="23" width="8.7109375" style="1" customWidth="1"/>
    <col min="24" max="24" width="21.42578125" style="1" customWidth="1"/>
    <col min="25" max="25" width="12.85546875" style="1" customWidth="1"/>
    <col min="26" max="26" width="33.140625" style="1" customWidth="1"/>
    <col min="27" max="27" width="5.7109375" style="1" customWidth="1"/>
    <col min="28" max="29" width="10" style="1" bestFit="1" customWidth="1"/>
    <col min="30" max="30" width="6.7109375" style="1" customWidth="1"/>
    <col min="31" max="31" width="10" style="1" bestFit="1" customWidth="1"/>
    <col min="32" max="32" width="21" style="1" customWidth="1"/>
    <col min="33" max="33" width="13.5703125" style="1" customWidth="1"/>
    <col min="34" max="34" width="21.28515625" style="1" customWidth="1"/>
    <col min="35" max="16384" width="9.140625" style="1"/>
  </cols>
  <sheetData>
    <row r="4" spans="1:10" ht="15.75" x14ac:dyDescent="0.25">
      <c r="A4" s="8"/>
      <c r="B4" s="8"/>
      <c r="C4" s="8"/>
      <c r="D4" s="8"/>
    </row>
    <row r="7" spans="1:10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</row>
    <row r="8" spans="1:10" x14ac:dyDescent="0.2">
      <c r="A8" s="3">
        <v>294.32701636180798</v>
      </c>
      <c r="B8" s="1">
        <v>-2.6039883611309498</v>
      </c>
      <c r="C8" s="4">
        <v>2.75014213498888E-69</v>
      </c>
      <c r="D8" s="5">
        <v>4.0526094501196102E-65</v>
      </c>
      <c r="E8" s="1" t="s">
        <v>17</v>
      </c>
      <c r="F8" s="1" t="s">
        <v>18</v>
      </c>
      <c r="G8" s="1">
        <v>18617</v>
      </c>
      <c r="H8" s="6" t="str">
        <f>HYPERLINK("http://www.ensembl.org/Mus_musculus/Gene/Summary?db=core;g=ENSMUSG00000095180","ENSMUSG00000095180")</f>
        <v>ENSMUSG00000095180</v>
      </c>
      <c r="I8" s="6" t="str">
        <f>HYPERLINK("http://www.informatics.jax.org/marker/MGI:97538","MGI:97538")</f>
        <v>MGI:97538</v>
      </c>
      <c r="J8" s="7" t="s">
        <v>12</v>
      </c>
    </row>
    <row r="9" spans="1:10" x14ac:dyDescent="0.2">
      <c r="A9" s="3">
        <v>1840.15341863551</v>
      </c>
      <c r="B9" s="1">
        <v>1.2864731256675399</v>
      </c>
      <c r="C9" s="4">
        <v>7.6520538005633201E-56</v>
      </c>
      <c r="D9" s="5">
        <v>5.6380332402550501E-52</v>
      </c>
      <c r="E9" s="1" t="s">
        <v>3341</v>
      </c>
      <c r="F9" s="1" t="s">
        <v>3342</v>
      </c>
      <c r="G9" s="1">
        <v>171166</v>
      </c>
      <c r="H9" s="6" t="str">
        <f>HYPERLINK("http://www.ensembl.org/Mus_musculus/Gene/Summary?db=core;g=ENSMUSG00000036853","ENSMUSG00000036853")</f>
        <v>ENSMUSG00000036853</v>
      </c>
      <c r="I9" s="6" t="str">
        <f>HYPERLINK("http://www.informatics.jax.org/marker/MGI:1890500","MGI:1890500")</f>
        <v>MGI:1890500</v>
      </c>
      <c r="J9" s="7" t="s">
        <v>12</v>
      </c>
    </row>
    <row r="10" spans="1:10" x14ac:dyDescent="0.2">
      <c r="A10" s="3">
        <v>83.874180067906593</v>
      </c>
      <c r="B10" s="1">
        <v>2.9547972477701201</v>
      </c>
      <c r="C10" s="4">
        <v>1.6939324258538302E-55</v>
      </c>
      <c r="D10" s="5">
        <v>8.3205960757940006E-52</v>
      </c>
      <c r="E10" s="1" t="s">
        <v>3375</v>
      </c>
      <c r="F10" s="1" t="s">
        <v>3376</v>
      </c>
      <c r="G10" s="1">
        <v>21350</v>
      </c>
      <c r="H10" s="6" t="str">
        <f>HYPERLINK("http://www.ensembl.org/Mus_musculus/Gene/Summary?db=core;g=ENSMUSG00000028417","ENSMUSG00000028417")</f>
        <v>ENSMUSG00000028417</v>
      </c>
      <c r="I10" s="6" t="str">
        <f>HYPERLINK("http://www.informatics.jax.org/marker/MGI:99540","MGI:99540")</f>
        <v>MGI:99540</v>
      </c>
      <c r="J10" s="7" t="s">
        <v>12</v>
      </c>
    </row>
    <row r="11" spans="1:10" x14ac:dyDescent="0.2">
      <c r="A11" s="3">
        <v>65.706087429541597</v>
      </c>
      <c r="B11" s="1">
        <v>3.0146003420540102</v>
      </c>
      <c r="C11" s="4">
        <v>1.7839941402040999E-48</v>
      </c>
      <c r="D11" s="5">
        <v>6.5722344125118997E-45</v>
      </c>
      <c r="E11" s="1" t="s">
        <v>3377</v>
      </c>
      <c r="F11" s="1" t="s">
        <v>3378</v>
      </c>
      <c r="G11" s="1">
        <v>225997</v>
      </c>
      <c r="H11" s="6" t="str">
        <f>HYPERLINK("http://www.ensembl.org/Mus_musculus/Gene/Summary?db=core;g=ENSMUSG00000024727","ENSMUSG00000024727")</f>
        <v>ENSMUSG00000024727</v>
      </c>
      <c r="I11" s="6" t="str">
        <f>HYPERLINK("http://www.informatics.jax.org/marker/MGI:2675603","MGI:2675603")</f>
        <v>MGI:2675603</v>
      </c>
      <c r="J11" s="7" t="s">
        <v>12</v>
      </c>
    </row>
    <row r="12" spans="1:10" x14ac:dyDescent="0.2">
      <c r="A12" s="3">
        <v>187.860725256672</v>
      </c>
      <c r="B12" s="1">
        <v>-2.5393172098270602</v>
      </c>
      <c r="C12" s="4">
        <v>9.1538325837338291E-44</v>
      </c>
      <c r="D12" s="5">
        <v>2.69781753907803E-40</v>
      </c>
      <c r="E12" s="1" t="s">
        <v>21</v>
      </c>
      <c r="F12" s="1" t="s">
        <v>22</v>
      </c>
      <c r="G12" s="1">
        <v>19038</v>
      </c>
      <c r="H12" s="6" t="str">
        <f>HYPERLINK("http://www.ensembl.org/Mus_musculus/Gene/Summary?db=core;g=ENSMUSG00000024538","ENSMUSG00000024538")</f>
        <v>ENSMUSG00000024538</v>
      </c>
      <c r="I12" s="6" t="str">
        <f>HYPERLINK("http://www.informatics.jax.org/marker/MGI:97751","MGI:97751")</f>
        <v>MGI:97751</v>
      </c>
      <c r="J12" s="7" t="s">
        <v>12</v>
      </c>
    </row>
    <row r="13" spans="1:10" x14ac:dyDescent="0.2">
      <c r="A13" s="3">
        <v>534.17409528238295</v>
      </c>
      <c r="B13" s="1">
        <v>1.42987896080752</v>
      </c>
      <c r="C13" s="4">
        <v>9.7305028549691607E-43</v>
      </c>
      <c r="D13" s="5">
        <v>2.38981150118042E-39</v>
      </c>
      <c r="E13" s="1" t="s">
        <v>3345</v>
      </c>
      <c r="F13" s="1" t="s">
        <v>3346</v>
      </c>
      <c r="G13" s="1">
        <v>72088</v>
      </c>
      <c r="H13" s="6" t="str">
        <f>HYPERLINK("http://www.ensembl.org/Mus_musculus/Gene/Summary?db=core;g=ENSMUSG00000030838","ENSMUSG00000030838")</f>
        <v>ENSMUSG00000030838</v>
      </c>
      <c r="I13" s="6" t="str">
        <f>HYPERLINK("http://www.informatics.jax.org/marker/MGI:1919338","MGI:1919338")</f>
        <v>MGI:1919338</v>
      </c>
      <c r="J13" s="7" t="s">
        <v>12</v>
      </c>
    </row>
    <row r="14" spans="1:10" x14ac:dyDescent="0.2">
      <c r="A14" s="3">
        <v>967.03723423881797</v>
      </c>
      <c r="B14" s="1">
        <v>0.89916673050223495</v>
      </c>
      <c r="C14" s="4">
        <v>2.3154296130127302E-37</v>
      </c>
      <c r="D14" s="5">
        <v>4.8743101110507901E-34</v>
      </c>
      <c r="E14" s="1" t="s">
        <v>3304</v>
      </c>
      <c r="F14" s="1" t="s">
        <v>3305</v>
      </c>
      <c r="G14" s="1">
        <v>69601</v>
      </c>
      <c r="H14" s="6" t="str">
        <f>HYPERLINK("http://www.ensembl.org/Mus_musculus/Gene/Summary?db=core;g=ENSMUSG00000026883","ENSMUSG00000026883")</f>
        <v>ENSMUSG00000026883</v>
      </c>
      <c r="I14" s="6" t="str">
        <f>HYPERLINK("http://www.informatics.jax.org/marker/MGI:1916851","MGI:1916851")</f>
        <v>MGI:1916851</v>
      </c>
      <c r="J14" s="7" t="s">
        <v>12</v>
      </c>
    </row>
    <row r="15" spans="1:10" x14ac:dyDescent="0.2">
      <c r="A15" s="3">
        <v>446.89594239945501</v>
      </c>
      <c r="B15" s="1">
        <v>0.77776730763984203</v>
      </c>
      <c r="C15" s="4">
        <v>2.9629665603699902E-37</v>
      </c>
      <c r="D15" s="5">
        <v>5.45778440420153E-34</v>
      </c>
      <c r="E15" s="1" t="s">
        <v>3278</v>
      </c>
      <c r="F15" s="1" t="s">
        <v>3279</v>
      </c>
      <c r="G15" s="1">
        <v>217149</v>
      </c>
      <c r="H15" s="6" t="str">
        <f>HYPERLINK("http://www.ensembl.org/Mus_musculus/Gene/Summary?db=core;g=ENSMUSG00000078695","ENSMUSG00000078695")</f>
        <v>ENSMUSG00000078695</v>
      </c>
      <c r="I15" s="6" t="str">
        <f>HYPERLINK("http://www.informatics.jax.org/marker/MGI:101788","MGI:101788")</f>
        <v>MGI:101788</v>
      </c>
      <c r="J15" s="7" t="s">
        <v>12</v>
      </c>
    </row>
    <row r="16" spans="1:10" x14ac:dyDescent="0.2">
      <c r="A16" s="3">
        <v>136.310379588784</v>
      </c>
      <c r="B16" s="1">
        <v>1.60214378679523</v>
      </c>
      <c r="C16" s="4">
        <v>8.5183789719376903E-37</v>
      </c>
      <c r="D16" s="5">
        <v>1.39474258367193E-33</v>
      </c>
      <c r="E16" s="1" t="s">
        <v>3357</v>
      </c>
      <c r="F16" s="1" t="s">
        <v>3358</v>
      </c>
      <c r="G16" s="1">
        <v>13844</v>
      </c>
      <c r="H16" s="6" t="str">
        <f>HYPERLINK("http://www.ensembl.org/Mus_musculus/Gene/Summary?db=core;g=ENSMUSG00000028664","ENSMUSG00000028664")</f>
        <v>ENSMUSG00000028664</v>
      </c>
      <c r="I16" s="6" t="str">
        <f>HYPERLINK("http://www.informatics.jax.org/marker/MGI:99611","MGI:99611")</f>
        <v>MGI:99611</v>
      </c>
      <c r="J16" s="7" t="s">
        <v>12</v>
      </c>
    </row>
    <row r="17" spans="1:10" x14ac:dyDescent="0.2">
      <c r="A17" s="3">
        <v>385.51346259939999</v>
      </c>
      <c r="B17" s="1">
        <v>-1.63038188268614</v>
      </c>
      <c r="C17" s="4">
        <v>1.6780064535387201E-36</v>
      </c>
      <c r="D17" s="5">
        <v>2.4727103099346501E-33</v>
      </c>
      <c r="E17" s="1" t="s">
        <v>102</v>
      </c>
      <c r="F17" s="1" t="s">
        <v>103</v>
      </c>
      <c r="G17" s="1">
        <v>15162</v>
      </c>
      <c r="H17" s="6" t="str">
        <f>HYPERLINK("http://www.ensembl.org/Mus_musculus/Gene/Summary?db=core;g=ENSMUSG00000003283","ENSMUSG00000003283")</f>
        <v>ENSMUSG00000003283</v>
      </c>
      <c r="I17" s="6" t="str">
        <f>HYPERLINK("http://www.informatics.jax.org/marker/MGI:96052","MGI:96052")</f>
        <v>MGI:96052</v>
      </c>
      <c r="J17" s="7" t="s">
        <v>12</v>
      </c>
    </row>
    <row r="18" spans="1:10" x14ac:dyDescent="0.2">
      <c r="A18" s="3">
        <v>661.412071564244</v>
      </c>
      <c r="B18" s="1">
        <v>0.67021788207835498</v>
      </c>
      <c r="C18" s="4">
        <v>3.9029154342224302E-30</v>
      </c>
      <c r="D18" s="5">
        <v>5.2284874398819797E-27</v>
      </c>
      <c r="E18" s="1" t="s">
        <v>3256</v>
      </c>
      <c r="F18" s="1" t="s">
        <v>3257</v>
      </c>
      <c r="G18" s="1">
        <v>26411</v>
      </c>
      <c r="H18" s="6" t="str">
        <f>HYPERLINK("http://www.ensembl.org/Mus_musculus/Gene/Summary?db=core;g=ENSMUSG00000037337","ENSMUSG00000037337")</f>
        <v>ENSMUSG00000037337</v>
      </c>
      <c r="I18" s="6" t="str">
        <f>HYPERLINK("http://www.informatics.jax.org/marker/MGI:1346882","MGI:1346882")</f>
        <v>MGI:1346882</v>
      </c>
      <c r="J18" s="7" t="s">
        <v>12</v>
      </c>
    </row>
    <row r="19" spans="1:10" x14ac:dyDescent="0.2">
      <c r="A19" s="3">
        <v>92.196854184365804</v>
      </c>
      <c r="B19" s="1">
        <v>1.6786702485889</v>
      </c>
      <c r="C19" s="4">
        <v>1.3814327938158299E-26</v>
      </c>
      <c r="D19" s="5">
        <v>1.69639947080584E-23</v>
      </c>
      <c r="E19" s="1" t="s">
        <v>3363</v>
      </c>
      <c r="F19" s="1" t="s">
        <v>3364</v>
      </c>
      <c r="G19" s="1">
        <v>110895</v>
      </c>
      <c r="H19" s="6" t="str">
        <f>HYPERLINK("http://www.ensembl.org/Mus_musculus/Gene/Summary?db=core;g=ENSMUSG00000026065","ENSMUSG00000026065")</f>
        <v>ENSMUSG00000026065</v>
      </c>
      <c r="I19" s="6" t="str">
        <f>HYPERLINK("http://www.informatics.jax.org/marker/MGI:105074","MGI:105074")</f>
        <v>MGI:105074</v>
      </c>
      <c r="J19" s="7" t="s">
        <v>12</v>
      </c>
    </row>
    <row r="20" spans="1:10" x14ac:dyDescent="0.2">
      <c r="A20" s="3">
        <v>736.09947574438297</v>
      </c>
      <c r="B20" s="1">
        <v>0.800963537020283</v>
      </c>
      <c r="C20" s="4">
        <v>5.7776740293006506E-26</v>
      </c>
      <c r="D20" s="5">
        <v>6.5492157304441798E-23</v>
      </c>
      <c r="E20" s="1" t="s">
        <v>3284</v>
      </c>
      <c r="F20" s="1" t="s">
        <v>3285</v>
      </c>
      <c r="G20" s="1">
        <v>99010</v>
      </c>
      <c r="H20" s="6" t="str">
        <f>HYPERLINK("http://www.ensembl.org/Mus_musculus/Gene/Summary?db=core;g=ENSMUSG00000027134","ENSMUSG00000027134")</f>
        <v>ENSMUSG00000027134</v>
      </c>
      <c r="I20" s="6" t="str">
        <f>HYPERLINK("http://www.informatics.jax.org/marker/MGI:2138993","MGI:2138993")</f>
        <v>MGI:2138993</v>
      </c>
      <c r="J20" s="7" t="s">
        <v>12</v>
      </c>
    </row>
    <row r="21" spans="1:10" x14ac:dyDescent="0.2">
      <c r="A21" s="3">
        <v>221.18993898280101</v>
      </c>
      <c r="B21" s="1">
        <v>-1.3345372022292801</v>
      </c>
      <c r="C21" s="4">
        <v>1.1008929168188501E-25</v>
      </c>
      <c r="D21" s="5">
        <v>1.1587684301601899E-22</v>
      </c>
      <c r="E21" s="1" t="s">
        <v>172</v>
      </c>
      <c r="F21" s="1" t="s">
        <v>173</v>
      </c>
      <c r="G21" s="1">
        <v>21426</v>
      </c>
      <c r="H21" s="6" t="str">
        <f>HYPERLINK("http://www.ensembl.org/Mus_musculus/Gene/Summary?db=core;g=ENSMUSG00000029553","ENSMUSG00000029553")</f>
        <v>ENSMUSG00000029553</v>
      </c>
      <c r="I21" s="6" t="str">
        <f>HYPERLINK("http://www.informatics.jax.org/marker/MGI:1333760","MGI:1333760")</f>
        <v>MGI:1333760</v>
      </c>
      <c r="J21" s="7" t="s">
        <v>12</v>
      </c>
    </row>
    <row r="22" spans="1:10" x14ac:dyDescent="0.2">
      <c r="A22" s="3">
        <v>3525.13790786767</v>
      </c>
      <c r="B22" s="1">
        <v>-1.1077387520648301</v>
      </c>
      <c r="C22" s="4">
        <v>3.8924756606305799E-25</v>
      </c>
      <c r="D22" s="5">
        <v>3.8239680890034801E-22</v>
      </c>
      <c r="E22" s="1" t="s">
        <v>261</v>
      </c>
      <c r="F22" s="1" t="s">
        <v>262</v>
      </c>
      <c r="G22" s="1">
        <v>14972</v>
      </c>
      <c r="H22" s="6" t="str">
        <f>HYPERLINK("http://www.ensembl.org/Mus_musculus/Gene/Summary?db=core;g=ENSMUSG00000061232","ENSMUSG00000061232")</f>
        <v>ENSMUSG00000061232</v>
      </c>
      <c r="I22" s="6" t="str">
        <f>HYPERLINK("http://www.informatics.jax.org/marker/MGI:95904","MGI:95904")</f>
        <v>MGI:95904</v>
      </c>
      <c r="J22" s="7" t="s">
        <v>12</v>
      </c>
    </row>
    <row r="23" spans="1:10" x14ac:dyDescent="0.2">
      <c r="A23" s="3">
        <v>778.162408338776</v>
      </c>
      <c r="B23" s="1">
        <v>-0.83472896729466395</v>
      </c>
      <c r="C23" s="4">
        <v>7.9208685078643997E-25</v>
      </c>
      <c r="D23" s="5">
        <v>7.2951198957431102E-22</v>
      </c>
      <c r="E23" s="1" t="s">
        <v>452</v>
      </c>
      <c r="F23" s="1" t="s">
        <v>453</v>
      </c>
      <c r="G23" s="1">
        <v>67092</v>
      </c>
      <c r="H23" s="6" t="str">
        <f>HYPERLINK("http://www.ensembl.org/Mus_musculus/Gene/Summary?db=core;g=ENSMUSG00000027199","ENSMUSG00000027199")</f>
        <v>ENSMUSG00000027199</v>
      </c>
      <c r="I23" s="6" t="str">
        <f>HYPERLINK("http://www.informatics.jax.org/marker/MGI:1914342","MGI:1914342")</f>
        <v>MGI:1914342</v>
      </c>
      <c r="J23" s="7" t="s">
        <v>12</v>
      </c>
    </row>
    <row r="24" spans="1:10" x14ac:dyDescent="0.2">
      <c r="A24" s="3">
        <v>98.886415780002594</v>
      </c>
      <c r="B24" s="1">
        <v>-1.89866890186806</v>
      </c>
      <c r="C24" s="4">
        <v>1.3488889964615899E-23</v>
      </c>
      <c r="D24" s="5">
        <v>1.1692487206975299E-20</v>
      </c>
      <c r="E24" s="1" t="s">
        <v>67</v>
      </c>
      <c r="F24" s="1" t="s">
        <v>68</v>
      </c>
      <c r="G24" s="1">
        <v>56746</v>
      </c>
      <c r="H24" s="6" t="str">
        <f>HYPERLINK("http://www.ensembl.org/Mus_musculus/Gene/Summary?db=core;g=ENSMUSG00000062773","ENSMUSG00000062773")</f>
        <v>ENSMUSG00000062773</v>
      </c>
      <c r="I24" s="6" t="str">
        <f>HYPERLINK("http://www.informatics.jax.org/marker/MGI:1930791","MGI:1930791")</f>
        <v>MGI:1930791</v>
      </c>
      <c r="J24" s="7" t="s">
        <v>12</v>
      </c>
    </row>
    <row r="25" spans="1:10" x14ac:dyDescent="0.2">
      <c r="A25" s="3">
        <v>515.58002009403594</v>
      </c>
      <c r="B25" s="1">
        <v>-1.69771925875097</v>
      </c>
      <c r="C25" s="4">
        <v>2.7666316660230301E-23</v>
      </c>
      <c r="D25" s="5">
        <v>2.2649491239175199E-20</v>
      </c>
      <c r="E25" s="1" t="s">
        <v>89</v>
      </c>
      <c r="F25" s="1" t="s">
        <v>90</v>
      </c>
      <c r="G25" s="1">
        <v>19039</v>
      </c>
      <c r="H25" s="6" t="str">
        <f>HYPERLINK("http://www.ensembl.org/Mus_musculus/Gene/Summary?db=core;g=ENSMUSG00000033880","ENSMUSG00000033880")</f>
        <v>ENSMUSG00000033880</v>
      </c>
      <c r="I25" s="6" t="str">
        <f>HYPERLINK("http://www.informatics.jax.org/marker/MGI:99554","MGI:99554")</f>
        <v>MGI:99554</v>
      </c>
      <c r="J25" s="7" t="s">
        <v>12</v>
      </c>
    </row>
    <row r="26" spans="1:10" x14ac:dyDescent="0.2">
      <c r="A26" s="3">
        <v>1014.01141842323</v>
      </c>
      <c r="B26" s="1">
        <v>0.68564448981708903</v>
      </c>
      <c r="C26" s="4">
        <v>3.9337148228616899E-23</v>
      </c>
      <c r="D26" s="5">
        <v>3.0509064015626201E-20</v>
      </c>
      <c r="E26" s="1" t="s">
        <v>3260</v>
      </c>
      <c r="F26" s="1" t="s">
        <v>3261</v>
      </c>
      <c r="G26" s="1">
        <v>22350</v>
      </c>
      <c r="H26" s="6" t="str">
        <f>HYPERLINK("http://www.ensembl.org/Mus_musculus/Gene/Summary?db=core;g=ENSMUSG00000052397","ENSMUSG00000052397")</f>
        <v>ENSMUSG00000052397</v>
      </c>
      <c r="I26" s="6" t="str">
        <f>HYPERLINK("http://www.informatics.jax.org/marker/MGI:98931","MGI:98931")</f>
        <v>MGI:98931</v>
      </c>
      <c r="J26" s="7" t="s">
        <v>12</v>
      </c>
    </row>
    <row r="27" spans="1:10" x14ac:dyDescent="0.2">
      <c r="A27" s="3">
        <v>24.5661555375193</v>
      </c>
      <c r="B27" s="1">
        <v>-3.5019672491148701</v>
      </c>
      <c r="C27" s="4">
        <v>7.1025111426676599E-22</v>
      </c>
      <c r="D27" s="5">
        <v>5.2331302099175302E-19</v>
      </c>
      <c r="E27" s="1" t="s">
        <v>10</v>
      </c>
      <c r="F27" s="1" t="s">
        <v>11</v>
      </c>
      <c r="G27" s="1">
        <v>19672</v>
      </c>
      <c r="H27" s="6" t="str">
        <f>HYPERLINK("http://www.ensembl.org/Mus_musculus/Gene/Summary?db=core;g=ENSMUSG00000005973","ENSMUSG00000005973")</f>
        <v>ENSMUSG00000005973</v>
      </c>
      <c r="I27" s="6" t="str">
        <f>HYPERLINK("http://www.informatics.jax.org/marker/MGI:104559","MGI:104559")</f>
        <v>MGI:104559</v>
      </c>
      <c r="J27" s="7" t="s">
        <v>12</v>
      </c>
    </row>
    <row r="28" spans="1:10" x14ac:dyDescent="0.2">
      <c r="A28" s="3">
        <v>99.186691327155899</v>
      </c>
      <c r="B28" s="1">
        <v>1.1659746293811499</v>
      </c>
      <c r="C28" s="4">
        <v>3.8374403983302602E-21</v>
      </c>
      <c r="D28" s="5">
        <v>2.69278674808546E-18</v>
      </c>
      <c r="E28" s="1" t="s">
        <v>3333</v>
      </c>
      <c r="F28" s="1" t="s">
        <v>3334</v>
      </c>
      <c r="G28" s="1">
        <v>18230</v>
      </c>
      <c r="H28" s="6" t="str">
        <f>HYPERLINK("http://www.ensembl.org/Mus_musculus/Gene/Summary?db=core;g=ENSMUSG00000020844","ENSMUSG00000020844")</f>
        <v>ENSMUSG00000020844</v>
      </c>
      <c r="I28" s="6" t="str">
        <f>HYPERLINK("http://www.informatics.jax.org/marker/MGI:109331","MGI:109331")</f>
        <v>MGI:109331</v>
      </c>
      <c r="J28" s="7" t="s">
        <v>12</v>
      </c>
    </row>
    <row r="29" spans="1:10" x14ac:dyDescent="0.2">
      <c r="A29" s="3">
        <v>256.72915312724302</v>
      </c>
      <c r="B29" s="1">
        <v>-1.0607201669297699</v>
      </c>
      <c r="C29" s="4">
        <v>4.3192062506745703E-21</v>
      </c>
      <c r="D29" s="5">
        <v>2.8930828777245701E-18</v>
      </c>
      <c r="E29" s="1" t="s">
        <v>293</v>
      </c>
      <c r="F29" s="1" t="s">
        <v>294</v>
      </c>
      <c r="G29" s="1">
        <v>59010</v>
      </c>
      <c r="H29" s="6" t="str">
        <f>HYPERLINK("http://www.ensembl.org/Mus_musculus/Gene/Summary?db=core;g=ENSMUSG00000005803","ENSMUSG00000005803")</f>
        <v>ENSMUSG00000005803</v>
      </c>
      <c r="I29" s="6" t="str">
        <f>HYPERLINK("http://www.informatics.jax.org/marker/MGI:1929899","MGI:1929899")</f>
        <v>MGI:1929899</v>
      </c>
      <c r="J29" s="7" t="s">
        <v>12</v>
      </c>
    </row>
    <row r="30" spans="1:10" x14ac:dyDescent="0.2">
      <c r="A30" s="3">
        <v>2724.0846691068</v>
      </c>
      <c r="B30" s="1">
        <v>-0.64347614798238295</v>
      </c>
      <c r="C30" s="4">
        <v>1.24098519590899E-20</v>
      </c>
      <c r="D30" s="5">
        <v>7.9509381943108497E-18</v>
      </c>
      <c r="E30" s="1" t="s">
        <v>610</v>
      </c>
      <c r="F30" s="1" t="s">
        <v>611</v>
      </c>
      <c r="G30" s="1">
        <v>23880</v>
      </c>
      <c r="H30" s="6" t="str">
        <f>HYPERLINK("http://www.ensembl.org/Mus_musculus/Gene/Summary?db=core;g=ENSMUSG00000022148","ENSMUSG00000022148")</f>
        <v>ENSMUSG00000022148</v>
      </c>
      <c r="I30" s="6" t="str">
        <f>HYPERLINK("http://www.informatics.jax.org/marker/MGI:1346327","MGI:1346327")</f>
        <v>MGI:1346327</v>
      </c>
      <c r="J30" s="7" t="s">
        <v>12</v>
      </c>
    </row>
    <row r="31" spans="1:10" x14ac:dyDescent="0.2">
      <c r="A31" s="3">
        <v>16456.8371422532</v>
      </c>
      <c r="B31" s="1">
        <v>-0.846128292790161</v>
      </c>
      <c r="C31" s="4">
        <v>1.3758848922892399E-20</v>
      </c>
      <c r="D31" s="5">
        <v>8.4479332386559004E-18</v>
      </c>
      <c r="E31" s="1" t="s">
        <v>442</v>
      </c>
      <c r="F31" s="1" t="s">
        <v>443</v>
      </c>
      <c r="G31" s="1">
        <v>13058</v>
      </c>
      <c r="H31" s="6" t="str">
        <f>HYPERLINK("http://www.ensembl.org/Mus_musculus/Gene/Summary?db=core;g=ENSMUSG00000015340","ENSMUSG00000015340")</f>
        <v>ENSMUSG00000015340</v>
      </c>
      <c r="I31" s="6" t="str">
        <f>HYPERLINK("http://www.informatics.jax.org/marker/MGI:88574","MGI:88574")</f>
        <v>MGI:88574</v>
      </c>
      <c r="J31" s="7" t="s">
        <v>12</v>
      </c>
    </row>
    <row r="32" spans="1:10" x14ac:dyDescent="0.2">
      <c r="A32" s="3">
        <v>22.150601740753501</v>
      </c>
      <c r="B32" s="1">
        <v>-2.4694056560074</v>
      </c>
      <c r="C32" s="4">
        <v>1.6479847836418201E-19</v>
      </c>
      <c r="D32" s="5">
        <v>9.7138815086983504E-17</v>
      </c>
      <c r="E32" s="1" t="s">
        <v>23</v>
      </c>
      <c r="F32" s="1" t="s">
        <v>24</v>
      </c>
      <c r="G32" s="1">
        <v>30794</v>
      </c>
      <c r="H32" s="6" t="str">
        <f>HYPERLINK("http://www.ensembl.org/Mus_musculus/Gene/Summary?db=core;g=ENSMUSG00000020388","ENSMUSG00000020388")</f>
        <v>ENSMUSG00000020388</v>
      </c>
      <c r="I32" s="6" t="str">
        <f>HYPERLINK("http://www.informatics.jax.org/marker/MGI:1353470","MGI:1353470")</f>
        <v>MGI:1353470</v>
      </c>
      <c r="J32" s="7" t="s">
        <v>12</v>
      </c>
    </row>
    <row r="33" spans="1:10" x14ac:dyDescent="0.2">
      <c r="A33" s="3">
        <v>111.66734610417799</v>
      </c>
      <c r="B33" s="1">
        <v>-2.3250786351226602</v>
      </c>
      <c r="C33" s="4">
        <v>2.0713507647239599E-19</v>
      </c>
      <c r="D33" s="5">
        <v>1.1739778795758599E-16</v>
      </c>
      <c r="E33" s="1" t="s">
        <v>31</v>
      </c>
      <c r="F33" s="1" t="s">
        <v>32</v>
      </c>
      <c r="G33" s="1">
        <v>17295</v>
      </c>
      <c r="H33" s="6" t="str">
        <f>HYPERLINK("http://www.ensembl.org/Mus_musculus/Gene/Summary?db=core;g=ENSMUSG00000009376","ENSMUSG00000009376")</f>
        <v>ENSMUSG00000009376</v>
      </c>
      <c r="I33" s="6" t="str">
        <f>HYPERLINK("http://www.informatics.jax.org/marker/MGI:96969","MGI:96969")</f>
        <v>MGI:96969</v>
      </c>
      <c r="J33" s="7" t="s">
        <v>12</v>
      </c>
    </row>
    <row r="34" spans="1:10" x14ac:dyDescent="0.2">
      <c r="A34" s="3">
        <v>213.133121637785</v>
      </c>
      <c r="B34" s="1">
        <v>-1.59824615031203</v>
      </c>
      <c r="C34" s="4">
        <v>1.35212567783696E-18</v>
      </c>
      <c r="D34" s="5">
        <v>7.3796014772612702E-16</v>
      </c>
      <c r="E34" s="1" t="s">
        <v>110</v>
      </c>
      <c r="F34" s="1" t="s">
        <v>111</v>
      </c>
      <c r="G34" s="1">
        <v>50498</v>
      </c>
      <c r="H34" s="6" t="str">
        <f>HYPERLINK("http://www.ensembl.org/Mus_musculus/Gene/Summary?db=core;g=ENSMUSG00000003206","ENSMUSG00000003206")</f>
        <v>ENSMUSG00000003206</v>
      </c>
      <c r="I34" s="6" t="str">
        <f>HYPERLINK("http://www.informatics.jax.org/marker/MGI:1354171","MGI:1354171")</f>
        <v>MGI:1354171</v>
      </c>
      <c r="J34" s="7" t="s">
        <v>12</v>
      </c>
    </row>
    <row r="35" spans="1:10" x14ac:dyDescent="0.2">
      <c r="A35" s="3">
        <v>68.866888756442606</v>
      </c>
      <c r="B35" s="1">
        <v>-1.81755266593154</v>
      </c>
      <c r="C35" s="4">
        <v>1.7445760704945599E-17</v>
      </c>
      <c r="D35" s="5">
        <v>9.1814546338599407E-15</v>
      </c>
      <c r="E35" s="1" t="s">
        <v>73</v>
      </c>
      <c r="F35" s="1" t="s">
        <v>74</v>
      </c>
      <c r="G35" s="1">
        <v>330812</v>
      </c>
      <c r="H35" s="6" t="str">
        <f>HYPERLINK("http://www.ensembl.org/Mus_musculus/Gene/Summary?db=core;g=ENSMUSG00000047747","ENSMUSG00000047747")</f>
        <v>ENSMUSG00000047747</v>
      </c>
      <c r="I35" s="6" t="str">
        <f>HYPERLINK("http://www.informatics.jax.org/marker/MGI:2443860","MGI:2443860")</f>
        <v>MGI:2443860</v>
      </c>
      <c r="J35" s="7" t="s">
        <v>12</v>
      </c>
    </row>
    <row r="36" spans="1:10" x14ac:dyDescent="0.2">
      <c r="A36" s="3">
        <v>2805.2618048764598</v>
      </c>
      <c r="B36" s="1">
        <v>0.61387273327567904</v>
      </c>
      <c r="C36" s="4">
        <v>2.7317885285105999E-17</v>
      </c>
      <c r="D36" s="5">
        <v>1.38812537090111E-14</v>
      </c>
      <c r="E36" s="1" t="s">
        <v>3246</v>
      </c>
      <c r="F36" s="1" t="s">
        <v>3247</v>
      </c>
      <c r="G36" s="1">
        <v>12444</v>
      </c>
      <c r="H36" s="6" t="str">
        <f>HYPERLINK("http://www.ensembl.org/Mus_musculus/Gene/Summary?db=core;g=ENSMUSG00000000184","ENSMUSG00000000184")</f>
        <v>ENSMUSG00000000184</v>
      </c>
      <c r="I36" s="6" t="str">
        <f>HYPERLINK("http://www.informatics.jax.org/marker/MGI:88314","MGI:88314")</f>
        <v>MGI:88314</v>
      </c>
      <c r="J36" s="7" t="s">
        <v>12</v>
      </c>
    </row>
    <row r="37" spans="1:10" x14ac:dyDescent="0.2">
      <c r="A37" s="3">
        <v>50.226831197714503</v>
      </c>
      <c r="B37" s="1">
        <v>-1.348468150303</v>
      </c>
      <c r="C37" s="4">
        <v>6.08190674779834E-17</v>
      </c>
      <c r="D37" s="5">
        <v>2.7158478131986701E-14</v>
      </c>
      <c r="E37" s="1" t="s">
        <v>166</v>
      </c>
      <c r="F37" s="1" t="s">
        <v>167</v>
      </c>
      <c r="G37" s="1">
        <v>78255</v>
      </c>
      <c r="H37" s="6" t="str">
        <f>HYPERLINK("http://www.ensembl.org/Mus_musculus/Gene/Summary?db=core;g=ENSMUSG00000026594","ENSMUSG00000026594")</f>
        <v>ENSMUSG00000026594</v>
      </c>
      <c r="I37" s="6" t="str">
        <f>HYPERLINK("http://www.informatics.jax.org/marker/MGI:1925505","MGI:1925505")</f>
        <v>MGI:1925505</v>
      </c>
      <c r="J37" s="7" t="s">
        <v>12</v>
      </c>
    </row>
    <row r="38" spans="1:10" x14ac:dyDescent="0.2">
      <c r="A38" s="3">
        <v>1210.0055088708</v>
      </c>
      <c r="B38" s="1">
        <v>-1.08407398561851</v>
      </c>
      <c r="C38" s="4">
        <v>5.6450929940180101E-17</v>
      </c>
      <c r="D38" s="5">
        <v>2.7158478131986701E-14</v>
      </c>
      <c r="E38" s="1" t="s">
        <v>273</v>
      </c>
      <c r="F38" s="1" t="s">
        <v>274</v>
      </c>
      <c r="G38" s="1">
        <v>80910</v>
      </c>
      <c r="H38" s="6" t="str">
        <f>HYPERLINK("http://www.ensembl.org/Mus_musculus/Gene/Summary?db=core;g=ENSMUSG00000063234","ENSMUSG00000063234")</f>
        <v>ENSMUSG00000063234</v>
      </c>
      <c r="I38" s="6" t="str">
        <f>HYPERLINK("http://www.informatics.jax.org/marker/MGI:1934129","MGI:1934129")</f>
        <v>MGI:1934129</v>
      </c>
      <c r="J38" s="7" t="s">
        <v>12</v>
      </c>
    </row>
    <row r="39" spans="1:10" x14ac:dyDescent="0.2">
      <c r="A39" s="3">
        <v>384.83268372294202</v>
      </c>
      <c r="B39" s="1">
        <v>-0.85397472280665099</v>
      </c>
      <c r="C39" s="4">
        <v>5.8149503393110904E-17</v>
      </c>
      <c r="D39" s="5">
        <v>2.7158478131986701E-14</v>
      </c>
      <c r="E39" s="1" t="s">
        <v>432</v>
      </c>
      <c r="F39" s="1" t="s">
        <v>433</v>
      </c>
      <c r="G39" s="1">
        <v>52668</v>
      </c>
      <c r="H39" s="6" t="str">
        <f>HYPERLINK("http://www.ensembl.org/Mus_musculus/Gene/Summary?db=core;g=ENSMUSG00000064215","ENSMUSG00000064215")</f>
        <v>ENSMUSG00000064215</v>
      </c>
      <c r="I39" s="6" t="str">
        <f>HYPERLINK("http://www.informatics.jax.org/marker/MGI:1277180","MGI:1277180")</f>
        <v>MGI:1277180</v>
      </c>
      <c r="J39" s="7" t="s">
        <v>12</v>
      </c>
    </row>
    <row r="40" spans="1:10" x14ac:dyDescent="0.2">
      <c r="A40" s="3">
        <v>3112.8562646926798</v>
      </c>
      <c r="B40" s="1">
        <v>-0.37948701815064101</v>
      </c>
      <c r="C40" s="4">
        <v>5.9697505794466299E-17</v>
      </c>
      <c r="D40" s="5">
        <v>2.7158478131986701E-14</v>
      </c>
      <c r="E40" s="1" t="s">
        <v>1140</v>
      </c>
      <c r="F40" s="1" t="s">
        <v>1141</v>
      </c>
      <c r="G40" s="1">
        <v>20778</v>
      </c>
      <c r="H40" s="6" t="str">
        <f>HYPERLINK("http://www.ensembl.org/Mus_musculus/Gene/Summary?db=core;g=ENSMUSG00000037936","ENSMUSG00000037936")</f>
        <v>ENSMUSG00000037936</v>
      </c>
      <c r="I40" s="6" t="str">
        <f>HYPERLINK("http://www.informatics.jax.org/marker/MGI:893578","MGI:893578")</f>
        <v>MGI:893578</v>
      </c>
      <c r="J40" s="7" t="s">
        <v>12</v>
      </c>
    </row>
    <row r="41" spans="1:10" x14ac:dyDescent="0.2">
      <c r="A41" s="3">
        <v>200.30240391051601</v>
      </c>
      <c r="B41" s="1">
        <v>-1.03005724166368</v>
      </c>
      <c r="C41" s="4">
        <v>1.7210339865189199E-16</v>
      </c>
      <c r="D41" s="5">
        <v>7.4591637721596594E-14</v>
      </c>
      <c r="E41" s="1" t="s">
        <v>324</v>
      </c>
      <c r="F41" s="1" t="s">
        <v>325</v>
      </c>
      <c r="G41" s="1">
        <v>12986</v>
      </c>
      <c r="H41" s="6" t="str">
        <f>HYPERLINK("http://www.ensembl.org/Mus_musculus/Gene/Summary?db=core;g=ENSMUSG00000028859","ENSMUSG00000028859")</f>
        <v>ENSMUSG00000028859</v>
      </c>
      <c r="I41" s="6" t="str">
        <f>HYPERLINK("http://www.informatics.jax.org/marker/MGI:1339755","MGI:1339755")</f>
        <v>MGI:1339755</v>
      </c>
      <c r="J41" s="7" t="s">
        <v>12</v>
      </c>
    </row>
    <row r="42" spans="1:10" x14ac:dyDescent="0.2">
      <c r="A42" s="3">
        <v>55.751800669460799</v>
      </c>
      <c r="B42" s="1">
        <v>-1.3777833512036299</v>
      </c>
      <c r="C42" s="4">
        <v>2.0202369448216099E-16</v>
      </c>
      <c r="D42" s="5">
        <v>8.5057747482546595E-14</v>
      </c>
      <c r="E42" s="1" t="s">
        <v>154</v>
      </c>
      <c r="F42" s="1" t="s">
        <v>155</v>
      </c>
      <c r="G42" s="1">
        <v>108899</v>
      </c>
      <c r="H42" s="6" t="str">
        <f>HYPERLINK("http://www.ensembl.org/Mus_musculus/Gene/Summary?db=core;g=ENSMUSG00000053080","ENSMUSG00000053080")</f>
        <v>ENSMUSG00000053080</v>
      </c>
      <c r="I42" s="6" t="str">
        <f>HYPERLINK("http://www.informatics.jax.org/marker/MGI:1919667","MGI:1919667")</f>
        <v>MGI:1919667</v>
      </c>
      <c r="J42" s="7" t="s">
        <v>12</v>
      </c>
    </row>
    <row r="43" spans="1:10" x14ac:dyDescent="0.2">
      <c r="A43" s="3">
        <v>417.18146440434703</v>
      </c>
      <c r="B43" s="1">
        <v>-0.77191671216268398</v>
      </c>
      <c r="C43" s="4">
        <v>3.2476528365555398E-16</v>
      </c>
      <c r="D43" s="5">
        <v>1.32937256109673E-13</v>
      </c>
      <c r="E43" s="1" t="s">
        <v>498</v>
      </c>
      <c r="F43" s="1" t="s">
        <v>499</v>
      </c>
      <c r="G43" s="1">
        <v>21897</v>
      </c>
      <c r="H43" s="6" t="str">
        <f>HYPERLINK("http://www.ensembl.org/Mus_musculus/Gene/Summary?db=core;g=ENSMUSG00000044827","ENSMUSG00000044827")</f>
        <v>ENSMUSG00000044827</v>
      </c>
      <c r="I43" s="6" t="str">
        <f>HYPERLINK("http://www.informatics.jax.org/marker/MGI:1341295","MGI:1341295")</f>
        <v>MGI:1341295</v>
      </c>
      <c r="J43" s="7" t="s">
        <v>12</v>
      </c>
    </row>
    <row r="44" spans="1:10" x14ac:dyDescent="0.2">
      <c r="A44" s="3">
        <v>385.41171816361498</v>
      </c>
      <c r="B44" s="1">
        <v>-0.97064200468543504</v>
      </c>
      <c r="C44" s="4">
        <v>4.7673356598738999E-16</v>
      </c>
      <c r="D44" s="5">
        <v>1.8986880617270801E-13</v>
      </c>
      <c r="E44" s="1" t="s">
        <v>357</v>
      </c>
      <c r="F44" s="1" t="s">
        <v>358</v>
      </c>
      <c r="G44" s="1">
        <v>11936</v>
      </c>
      <c r="H44" s="6" t="str">
        <f>HYPERLINK("http://www.ensembl.org/Mus_musculus/Gene/Summary?db=core;g=ENSMUSG00000059412","ENSMUSG00000059412")</f>
        <v>ENSMUSG00000059412</v>
      </c>
      <c r="I44" s="6" t="str">
        <f>HYPERLINK("http://www.informatics.jax.org/marker/MGI:1195260","MGI:1195260")</f>
        <v>MGI:1195260</v>
      </c>
      <c r="J44" s="7" t="s">
        <v>12</v>
      </c>
    </row>
    <row r="45" spans="1:10" x14ac:dyDescent="0.2">
      <c r="A45" s="3">
        <v>29.4141474192134</v>
      </c>
      <c r="B45" s="1">
        <v>1.6738103507945601</v>
      </c>
      <c r="C45" s="4">
        <v>5.04883047004654E-16</v>
      </c>
      <c r="D45" s="5">
        <v>1.95788331070015E-13</v>
      </c>
      <c r="E45" s="1" t="s">
        <v>3361</v>
      </c>
      <c r="F45" s="1" t="s">
        <v>3362</v>
      </c>
      <c r="G45" s="1">
        <v>269389</v>
      </c>
      <c r="H45" s="6" t="str">
        <f>HYPERLINK("http://www.ensembl.org/Mus_musculus/Gene/Summary?db=core;g=ENSMUSG00000074607","ENSMUSG00000074607")</f>
        <v>ENSMUSG00000074607</v>
      </c>
      <c r="I45" s="6" t="str">
        <f>HYPERLINK("http://www.informatics.jax.org/marker/MGI:3611233","MGI:3611233")</f>
        <v>MGI:3611233</v>
      </c>
      <c r="J45" s="7" t="s">
        <v>12</v>
      </c>
    </row>
    <row r="46" spans="1:10" x14ac:dyDescent="0.2">
      <c r="A46" s="3">
        <v>597.76774717542503</v>
      </c>
      <c r="B46" s="1">
        <v>-0.61136530655572696</v>
      </c>
      <c r="C46" s="4">
        <v>6.8508155366045304E-16</v>
      </c>
      <c r="D46" s="5">
        <v>2.5885543012155001E-13</v>
      </c>
      <c r="E46" s="1" t="s">
        <v>660</v>
      </c>
      <c r="F46" s="1" t="s">
        <v>661</v>
      </c>
      <c r="G46" s="1">
        <v>12039</v>
      </c>
      <c r="H46" s="6" t="str">
        <f>HYPERLINK("http://www.ensembl.org/Mus_musculus/Gene/Summary?db=core;g=ENSMUSG00000060376","ENSMUSG00000060376")</f>
        <v>ENSMUSG00000060376</v>
      </c>
      <c r="I46" s="6" t="str">
        <f>HYPERLINK("http://www.informatics.jax.org/marker/MGI:107701","MGI:107701")</f>
        <v>MGI:107701</v>
      </c>
      <c r="J46" s="7" t="s">
        <v>12</v>
      </c>
    </row>
    <row r="47" spans="1:10" x14ac:dyDescent="0.2">
      <c r="A47" s="3">
        <v>11.3863032497157</v>
      </c>
      <c r="B47" s="1">
        <v>-2.4147946259186202</v>
      </c>
      <c r="C47" s="4">
        <v>2.35387332679339E-15</v>
      </c>
      <c r="D47" s="5">
        <v>8.6716693359068402E-13</v>
      </c>
      <c r="E47" s="1" t="s">
        <v>27</v>
      </c>
      <c r="F47" s="1" t="s">
        <v>28</v>
      </c>
      <c r="G47" s="1">
        <v>170744</v>
      </c>
      <c r="H47" s="6" t="str">
        <f>HYPERLINK("http://www.ensembl.org/Mus_musculus/Gene/Summary?db=core;g=ENSMUSG00000040522","ENSMUSG00000040522")</f>
        <v>ENSMUSG00000040522</v>
      </c>
      <c r="I47" s="6" t="str">
        <f>HYPERLINK("http://www.informatics.jax.org/marker/MGI:2176887","MGI:2176887")</f>
        <v>MGI:2176887</v>
      </c>
      <c r="J47" s="7" t="s">
        <v>12</v>
      </c>
    </row>
    <row r="48" spans="1:10" x14ac:dyDescent="0.2">
      <c r="A48" s="3">
        <v>1363.4602557360099</v>
      </c>
      <c r="B48" s="1">
        <v>-0.61232887393867796</v>
      </c>
      <c r="C48" s="4">
        <v>4.3656784684248797E-15</v>
      </c>
      <c r="D48" s="5">
        <v>1.56908872952949E-12</v>
      </c>
      <c r="E48" s="1" t="s">
        <v>656</v>
      </c>
      <c r="F48" s="1" t="s">
        <v>657</v>
      </c>
      <c r="G48" s="1">
        <v>16403</v>
      </c>
      <c r="H48" s="6" t="str">
        <f>HYPERLINK("http://www.ensembl.org/Mus_musculus/Gene/Summary?db=core;g=ENSMUSG00000027111","ENSMUSG00000027111")</f>
        <v>ENSMUSG00000027111</v>
      </c>
      <c r="I48" s="6" t="str">
        <f>HYPERLINK("http://www.informatics.jax.org/marker/MGI:96605","MGI:96605")</f>
        <v>MGI:96605</v>
      </c>
      <c r="J48" s="7" t="s">
        <v>12</v>
      </c>
    </row>
    <row r="49" spans="1:10" x14ac:dyDescent="0.2">
      <c r="A49" s="3">
        <v>447.22965959260102</v>
      </c>
      <c r="B49" s="1">
        <v>-0.58226737853062305</v>
      </c>
      <c r="C49" s="4">
        <v>7.8848050475739606E-15</v>
      </c>
      <c r="D49" s="5">
        <v>2.7664401709773801E-12</v>
      </c>
      <c r="E49" s="1" t="s">
        <v>703</v>
      </c>
      <c r="F49" s="1" t="s">
        <v>704</v>
      </c>
      <c r="G49" s="1">
        <v>17085</v>
      </c>
      <c r="H49" s="6" t="str">
        <f>HYPERLINK("http://www.ensembl.org/Mus_musculus/Gene/Summary?db=core;g=ENSMUSG00000004707","ENSMUSG00000004707")</f>
        <v>ENSMUSG00000004707</v>
      </c>
      <c r="I49" s="6" t="str">
        <f>HYPERLINK("http://www.informatics.jax.org/marker/MGI:96885","MGI:96885")</f>
        <v>MGI:96885</v>
      </c>
      <c r="J49" s="7" t="s">
        <v>12</v>
      </c>
    </row>
    <row r="50" spans="1:10" x14ac:dyDescent="0.2">
      <c r="A50" s="3">
        <v>101.33948812298399</v>
      </c>
      <c r="B50" s="1">
        <v>-1.07693725038516</v>
      </c>
      <c r="C50" s="4">
        <v>8.1591466158266993E-15</v>
      </c>
      <c r="D50" s="5">
        <v>2.79612057048424E-12</v>
      </c>
      <c r="E50" s="1" t="s">
        <v>279</v>
      </c>
      <c r="F50" s="1" t="s">
        <v>280</v>
      </c>
      <c r="G50" s="1">
        <v>66775</v>
      </c>
      <c r="H50" s="6" t="str">
        <f>HYPERLINK("http://www.ensembl.org/Mus_musculus/Gene/Summary?db=core;g=ENSMUSG00000028497","ENSMUSG00000028497")</f>
        <v>ENSMUSG00000028497</v>
      </c>
      <c r="I50" s="6" t="str">
        <f>HYPERLINK("http://www.informatics.jax.org/marker/MGI:1914025","MGI:1914025")</f>
        <v>MGI:1914025</v>
      </c>
      <c r="J50" s="7" t="s">
        <v>12</v>
      </c>
    </row>
    <row r="51" spans="1:10" x14ac:dyDescent="0.2">
      <c r="A51" s="3">
        <v>533.99606792970201</v>
      </c>
      <c r="B51" s="1">
        <v>-0.46190255159242999</v>
      </c>
      <c r="C51" s="4">
        <v>1.8943832155767001E-14</v>
      </c>
      <c r="D51" s="5">
        <v>6.3444616056223203E-12</v>
      </c>
      <c r="E51" s="1" t="s">
        <v>907</v>
      </c>
      <c r="F51" s="1" t="s">
        <v>908</v>
      </c>
      <c r="G51" s="1">
        <v>78334</v>
      </c>
      <c r="H51" s="6" t="str">
        <f>HYPERLINK("http://www.ensembl.org/Mus_musculus/Gene/Summary?db=core;g=ENSMUSG00000038481","ENSMUSG00000038481")</f>
        <v>ENSMUSG00000038481</v>
      </c>
      <c r="I51" s="6" t="str">
        <f>HYPERLINK("http://www.informatics.jax.org/marker/MGI:1925584","MGI:1925584")</f>
        <v>MGI:1925584</v>
      </c>
      <c r="J51" s="7" t="s">
        <v>12</v>
      </c>
    </row>
    <row r="52" spans="1:10" x14ac:dyDescent="0.2">
      <c r="A52" s="3">
        <v>15.915306833753</v>
      </c>
      <c r="B52" s="1">
        <v>-2.1829359061189302</v>
      </c>
      <c r="C52" s="4">
        <v>5.0079489344417003E-14</v>
      </c>
      <c r="D52" s="5">
        <v>1.63993634439851E-11</v>
      </c>
      <c r="E52" s="1" t="s">
        <v>41</v>
      </c>
      <c r="F52" s="1" t="s">
        <v>42</v>
      </c>
      <c r="G52" s="1">
        <v>101543</v>
      </c>
      <c r="H52" s="6" t="str">
        <f>HYPERLINK("http://www.ensembl.org/Mus_musculus/Gene/Summary?db=core;g=ENSMUSG00000036459","ENSMUSG00000036459")</f>
        <v>ENSMUSG00000036459</v>
      </c>
      <c r="I52" s="6" t="str">
        <f>HYPERLINK("http://www.informatics.jax.org/marker/MGI:2141920","MGI:2141920")</f>
        <v>MGI:2141920</v>
      </c>
      <c r="J52" s="7" t="s">
        <v>12</v>
      </c>
    </row>
    <row r="53" spans="1:10" x14ac:dyDescent="0.2">
      <c r="A53" s="3">
        <v>9504.6640412745492</v>
      </c>
      <c r="B53" s="1">
        <v>-0.50013200529198698</v>
      </c>
      <c r="C53" s="4">
        <v>9.8996445346756998E-14</v>
      </c>
      <c r="D53" s="5">
        <v>3.1713296057169802E-11</v>
      </c>
      <c r="E53" s="1" t="s">
        <v>831</v>
      </c>
      <c r="F53" s="1" t="s">
        <v>832</v>
      </c>
      <c r="G53" s="1">
        <v>26943</v>
      </c>
      <c r="H53" s="6" t="str">
        <f>HYPERLINK("http://www.ensembl.org/Mus_musculus/Gene/Summary?db=core;g=ENSMUSG00000017707","ENSMUSG00000017707")</f>
        <v>ENSMUSG00000017707</v>
      </c>
      <c r="I53" s="6" t="str">
        <f>HYPERLINK("http://www.informatics.jax.org/marker/MGI:1349457","MGI:1349457")</f>
        <v>MGI:1349457</v>
      </c>
      <c r="J53" s="7" t="s">
        <v>12</v>
      </c>
    </row>
    <row r="54" spans="1:10" x14ac:dyDescent="0.2">
      <c r="A54" s="3">
        <v>1890.62294266751</v>
      </c>
      <c r="B54" s="1">
        <v>-0.91192245019533902</v>
      </c>
      <c r="C54" s="4">
        <v>1.4430642053807299E-13</v>
      </c>
      <c r="D54" s="5">
        <v>4.5244668362745501E-11</v>
      </c>
      <c r="E54" s="1" t="s">
        <v>397</v>
      </c>
      <c r="F54" s="1" t="s">
        <v>398</v>
      </c>
      <c r="G54" s="1">
        <v>16408</v>
      </c>
      <c r="H54" s="6" t="str">
        <f>HYPERLINK("http://www.ensembl.org/Mus_musculus/Gene/Summary?db=core;g=ENSMUSG00000030830","ENSMUSG00000030830")</f>
        <v>ENSMUSG00000030830</v>
      </c>
      <c r="I54" s="6" t="str">
        <f>HYPERLINK("http://www.informatics.jax.org/marker/MGI:96606","MGI:96606")</f>
        <v>MGI:96606</v>
      </c>
      <c r="J54" s="7" t="s">
        <v>12</v>
      </c>
    </row>
    <row r="55" spans="1:10" x14ac:dyDescent="0.2">
      <c r="A55" s="3">
        <v>1607.89096720312</v>
      </c>
      <c r="B55" s="1">
        <v>-0.73258859690318401</v>
      </c>
      <c r="C55" s="4">
        <v>1.6215353199478399E-13</v>
      </c>
      <c r="D55" s="5">
        <v>4.9781134322398597E-11</v>
      </c>
      <c r="E55" s="1" t="s">
        <v>536</v>
      </c>
      <c r="F55" s="1" t="s">
        <v>537</v>
      </c>
      <c r="G55" s="1">
        <v>13036</v>
      </c>
      <c r="H55" s="6" t="str">
        <f>HYPERLINK("http://www.ensembl.org/Mus_musculus/Gene/Summary?db=core;g=ENSMUSG00000032359","ENSMUSG00000032359")</f>
        <v>ENSMUSG00000032359</v>
      </c>
      <c r="I55" s="6" t="str">
        <f>HYPERLINK("http://www.informatics.jax.org/marker/MGI:107285","MGI:107285")</f>
        <v>MGI:107285</v>
      </c>
      <c r="J55" s="7" t="s">
        <v>12</v>
      </c>
    </row>
    <row r="56" spans="1:10" x14ac:dyDescent="0.2">
      <c r="A56" s="3">
        <v>13.926727447557999</v>
      </c>
      <c r="B56" s="1">
        <v>-2.5679565861476399</v>
      </c>
      <c r="C56" s="4">
        <v>1.9113181995412999E-13</v>
      </c>
      <c r="D56" s="5">
        <v>5.74799693641645E-11</v>
      </c>
      <c r="E56" s="1" t="s">
        <v>19</v>
      </c>
      <c r="F56" s="1" t="s">
        <v>20</v>
      </c>
      <c r="G56" s="1">
        <v>15931</v>
      </c>
      <c r="H56" s="6" t="str">
        <f>HYPERLINK("http://www.ensembl.org/Mus_musculus/Gene/Summary?db=core;g=ENSMUSG00000035847","ENSMUSG00000035847")</f>
        <v>ENSMUSG00000035847</v>
      </c>
      <c r="I56" s="6" t="str">
        <f>HYPERLINK("http://www.informatics.jax.org/marker/MGI:96417","MGI:96417")</f>
        <v>MGI:96417</v>
      </c>
      <c r="J56" s="7" t="s">
        <v>12</v>
      </c>
    </row>
    <row r="57" spans="1:10" x14ac:dyDescent="0.2">
      <c r="A57" s="3">
        <v>974.76671925967401</v>
      </c>
      <c r="B57" s="1">
        <v>-1.2395230628156</v>
      </c>
      <c r="C57" s="4">
        <v>2.6458326984408201E-13</v>
      </c>
      <c r="D57" s="5">
        <v>7.7977981288447899E-11</v>
      </c>
      <c r="E57" s="1" t="s">
        <v>213</v>
      </c>
      <c r="F57" s="1" t="s">
        <v>214</v>
      </c>
      <c r="G57" s="1" t="s">
        <v>45</v>
      </c>
      <c r="H57" s="6" t="str">
        <f>HYPERLINK("http://www.ensembl.org/Mus_musculus/Gene/Summary?db=core;g=ENSMUSG00000063286","ENSMUSG00000063286")</f>
        <v>ENSMUSG00000063286</v>
      </c>
      <c r="I57" s="6" t="str">
        <f>HYPERLINK("http://www.informatics.jax.org/marker/MGI:3644223","MGI:3644223")</f>
        <v>MGI:3644223</v>
      </c>
      <c r="J57" s="7" t="s">
        <v>215</v>
      </c>
    </row>
    <row r="58" spans="1:10" x14ac:dyDescent="0.2">
      <c r="A58" s="3">
        <v>30.347027752979301</v>
      </c>
      <c r="B58" s="1">
        <v>-1.4989609567379001</v>
      </c>
      <c r="C58" s="4">
        <v>3.0290662119420202E-13</v>
      </c>
      <c r="D58" s="5">
        <v>8.7522195488583501E-11</v>
      </c>
      <c r="E58" s="1" t="s">
        <v>128</v>
      </c>
      <c r="F58" s="1" t="s">
        <v>129</v>
      </c>
      <c r="G58" s="1">
        <v>379043</v>
      </c>
      <c r="H58" s="6" t="str">
        <f>HYPERLINK("http://www.ensembl.org/Mus_musculus/Gene/Summary?db=core;g=ENSMUSG00000053219","ENSMUSG00000053219")</f>
        <v>ENSMUSG00000053219</v>
      </c>
      <c r="I58" s="6" t="str">
        <f>HYPERLINK("http://www.informatics.jax.org/marker/MGI:2675273","MGI:2675273")</f>
        <v>MGI:2675273</v>
      </c>
      <c r="J58" s="7" t="s">
        <v>12</v>
      </c>
    </row>
    <row r="59" spans="1:10" x14ac:dyDescent="0.2">
      <c r="A59" s="3">
        <v>296.68715709870997</v>
      </c>
      <c r="B59" s="1">
        <v>-1.2315888302617</v>
      </c>
      <c r="C59" s="4">
        <v>4.21914359821886E-13</v>
      </c>
      <c r="D59" s="5">
        <v>1.19564038583371E-10</v>
      </c>
      <c r="E59" s="1" t="s">
        <v>218</v>
      </c>
      <c r="F59" s="1" t="s">
        <v>219</v>
      </c>
      <c r="G59" s="1">
        <v>20195</v>
      </c>
      <c r="H59" s="6" t="str">
        <f>HYPERLINK("http://www.ensembl.org/Mus_musculus/Gene/Summary?db=core;g=ENSMUSG00000027907","ENSMUSG00000027907")</f>
        <v>ENSMUSG00000027907</v>
      </c>
      <c r="I59" s="6" t="str">
        <f>HYPERLINK("http://www.informatics.jax.org/marker/MGI:1338798","MGI:1338798")</f>
        <v>MGI:1338798</v>
      </c>
      <c r="J59" s="7" t="s">
        <v>12</v>
      </c>
    </row>
    <row r="60" spans="1:10" x14ac:dyDescent="0.2">
      <c r="A60" s="3">
        <v>341.34767489984102</v>
      </c>
      <c r="B60" s="1">
        <v>-1.1233656324616801</v>
      </c>
      <c r="C60" s="4">
        <v>5.2714218333636404E-13</v>
      </c>
      <c r="D60" s="5">
        <v>1.46565419125371E-10</v>
      </c>
      <c r="E60" s="1" t="s">
        <v>253</v>
      </c>
      <c r="F60" s="1" t="s">
        <v>254</v>
      </c>
      <c r="G60" s="1">
        <v>214854</v>
      </c>
      <c r="H60" s="6" t="str">
        <f>HYPERLINK("http://www.ensembl.org/Mus_musculus/Gene/Summary?db=core;g=ENSMUSG00000047180","ENSMUSG00000047180")</f>
        <v>ENSMUSG00000047180</v>
      </c>
      <c r="I60" s="6" t="str">
        <f>HYPERLINK("http://www.informatics.jax.org/marker/MGI:2429944","MGI:2429944")</f>
        <v>MGI:2429944</v>
      </c>
      <c r="J60" s="7" t="s">
        <v>12</v>
      </c>
    </row>
    <row r="61" spans="1:10" x14ac:dyDescent="0.2">
      <c r="A61" s="3">
        <v>1851.59753478937</v>
      </c>
      <c r="B61" s="1">
        <v>-0.97573720805014297</v>
      </c>
      <c r="C61" s="4">
        <v>5.5726919151639399E-13</v>
      </c>
      <c r="D61" s="5">
        <v>1.5089968942279601E-10</v>
      </c>
      <c r="E61" s="1" t="s">
        <v>353</v>
      </c>
      <c r="F61" s="1" t="s">
        <v>354</v>
      </c>
      <c r="G61" s="1">
        <v>20556</v>
      </c>
      <c r="H61" s="6" t="str">
        <f>HYPERLINK("http://www.ensembl.org/Mus_musculus/Gene/Summary?db=core;g=ENSMUSG00000072620","ENSMUSG00000072620")</f>
        <v>ENSMUSG00000072620</v>
      </c>
      <c r="I61" s="6" t="str">
        <f>HYPERLINK("http://www.informatics.jax.org/marker/MGI:1313258","MGI:1313258")</f>
        <v>MGI:1313258</v>
      </c>
      <c r="J61" s="7" t="s">
        <v>12</v>
      </c>
    </row>
    <row r="62" spans="1:10" x14ac:dyDescent="0.2">
      <c r="A62" s="3">
        <v>249.611902788104</v>
      </c>
      <c r="B62" s="1">
        <v>-0.88619162949909203</v>
      </c>
      <c r="C62" s="4">
        <v>5.6321138153187903E-13</v>
      </c>
      <c r="D62" s="5">
        <v>1.5089968942279601E-10</v>
      </c>
      <c r="E62" s="1" t="s">
        <v>417</v>
      </c>
      <c r="F62" s="1" t="s">
        <v>418</v>
      </c>
      <c r="G62" s="1">
        <v>16154</v>
      </c>
      <c r="H62" s="6" t="str">
        <f>HYPERLINK("http://www.ensembl.org/Mus_musculus/Gene/Summary?db=core;g=ENSMUSG00000032089","ENSMUSG00000032089")</f>
        <v>ENSMUSG00000032089</v>
      </c>
      <c r="I62" s="6" t="str">
        <f>HYPERLINK("http://www.informatics.jax.org/marker/MGI:96538","MGI:96538")</f>
        <v>MGI:96538</v>
      </c>
      <c r="J62" s="7" t="s">
        <v>12</v>
      </c>
    </row>
    <row r="63" spans="1:10" x14ac:dyDescent="0.2">
      <c r="A63" s="3">
        <v>5.8592017054992596</v>
      </c>
      <c r="B63" s="1">
        <v>-3.08304942651215</v>
      </c>
      <c r="C63" s="4">
        <v>6.7614769799331899E-13</v>
      </c>
      <c r="D63" s="5">
        <v>1.7792343710052799E-10</v>
      </c>
      <c r="E63" s="1" t="s">
        <v>13</v>
      </c>
      <c r="F63" s="1" t="s">
        <v>14</v>
      </c>
      <c r="G63" s="1">
        <v>18201</v>
      </c>
      <c r="H63" s="6" t="str">
        <f>HYPERLINK("http://www.ensembl.org/Mus_musculus/Gene/Summary?db=core;g=ENSMUSG00000028245","ENSMUSG00000028245")</f>
        <v>ENSMUSG00000028245</v>
      </c>
      <c r="I63" s="6" t="str">
        <f>HYPERLINK("http://www.informatics.jax.org/marker/MGI:1341864","MGI:1341864")</f>
        <v>MGI:1341864</v>
      </c>
      <c r="J63" s="7" t="s">
        <v>12</v>
      </c>
    </row>
    <row r="64" spans="1:10" x14ac:dyDescent="0.2">
      <c r="A64" s="3">
        <v>38.674921995302</v>
      </c>
      <c r="B64" s="1">
        <v>-1.2271274538183901</v>
      </c>
      <c r="C64" s="4">
        <v>6.97548644452343E-13</v>
      </c>
      <c r="D64" s="5">
        <v>1.8033468113420599E-10</v>
      </c>
      <c r="E64" s="1" t="s">
        <v>222</v>
      </c>
      <c r="F64" s="1" t="s">
        <v>223</v>
      </c>
      <c r="G64" s="1" t="s">
        <v>45</v>
      </c>
      <c r="H64" s="6" t="str">
        <f>HYPERLINK("http://www.ensembl.org/Mus_musculus/Gene/Summary?db=core;g=ENSMUSG00000059277","ENSMUSG00000059277")</f>
        <v>ENSMUSG00000059277</v>
      </c>
      <c r="I64" s="6" t="str">
        <f>HYPERLINK("http://www.informatics.jax.org/marker/MGI:2142382","MGI:2142382")</f>
        <v>MGI:2142382</v>
      </c>
      <c r="J64" s="7" t="s">
        <v>190</v>
      </c>
    </row>
    <row r="65" spans="1:10" x14ac:dyDescent="0.2">
      <c r="A65" s="3">
        <v>1050.8812375525399</v>
      </c>
      <c r="B65" s="1">
        <v>0.33416446090791002</v>
      </c>
      <c r="C65" s="4">
        <v>1.67137422932234E-12</v>
      </c>
      <c r="D65" s="5">
        <v>4.2464432143610301E-10</v>
      </c>
      <c r="E65" s="1" t="s">
        <v>3062</v>
      </c>
      <c r="F65" s="1" t="s">
        <v>3063</v>
      </c>
      <c r="G65" s="1">
        <v>53975</v>
      </c>
      <c r="H65" s="6" t="str">
        <f>HYPERLINK("http://www.ensembl.org/Mus_musculus/Gene/Summary?db=core;g=ENSMUSG00000027905","ENSMUSG00000027905")</f>
        <v>ENSMUSG00000027905</v>
      </c>
      <c r="I65" s="6" t="str">
        <f>HYPERLINK("http://www.informatics.jax.org/marker/MGI:1858415","MGI:1858415")</f>
        <v>MGI:1858415</v>
      </c>
      <c r="J65" s="7" t="s">
        <v>12</v>
      </c>
    </row>
    <row r="66" spans="1:10" x14ac:dyDescent="0.2">
      <c r="A66" s="3">
        <v>194.390191440416</v>
      </c>
      <c r="B66" s="1">
        <v>0.75310393959025101</v>
      </c>
      <c r="C66" s="4">
        <v>1.7136866212271701E-12</v>
      </c>
      <c r="D66" s="5">
        <v>4.2801501780344999E-10</v>
      </c>
      <c r="E66" s="1" t="s">
        <v>3274</v>
      </c>
      <c r="F66" s="1" t="s">
        <v>3275</v>
      </c>
      <c r="G66" s="1">
        <v>69863</v>
      </c>
      <c r="H66" s="6" t="str">
        <f>HYPERLINK("http://www.ensembl.org/Mus_musculus/Gene/Summary?db=core;g=ENSMUSG00000038172","ENSMUSG00000038172")</f>
        <v>ENSMUSG00000038172</v>
      </c>
      <c r="I66" s="6" t="str">
        <f>HYPERLINK("http://www.informatics.jax.org/marker/MGI:1917113","MGI:1917113")</f>
        <v>MGI:1917113</v>
      </c>
      <c r="J66" s="7" t="s">
        <v>12</v>
      </c>
    </row>
    <row r="67" spans="1:10" x14ac:dyDescent="0.2">
      <c r="A67" s="3">
        <v>136.136298082454</v>
      </c>
      <c r="B67" s="1">
        <v>-0.84382624354430003</v>
      </c>
      <c r="C67" s="4">
        <v>2.4442897596462501E-12</v>
      </c>
      <c r="D67" s="5">
        <v>6.0031756496911903E-10</v>
      </c>
      <c r="E67" s="1" t="s">
        <v>444</v>
      </c>
      <c r="F67" s="1" t="s">
        <v>445</v>
      </c>
      <c r="G67" s="1">
        <v>11515</v>
      </c>
      <c r="H67" s="6" t="str">
        <f>HYPERLINK("http://www.ensembl.org/Mus_musculus/Gene/Summary?db=core;g=ENSMUSG00000005580","ENSMUSG00000005580")</f>
        <v>ENSMUSG00000005580</v>
      </c>
      <c r="I67" s="6" t="str">
        <f>HYPERLINK("http://www.informatics.jax.org/marker/MGI:108450","MGI:108450")</f>
        <v>MGI:108450</v>
      </c>
      <c r="J67" s="7" t="s">
        <v>12</v>
      </c>
    </row>
    <row r="68" spans="1:10" x14ac:dyDescent="0.2">
      <c r="A68" s="3">
        <v>189.49596562294499</v>
      </c>
      <c r="B68" s="1">
        <v>-0.95381777335381002</v>
      </c>
      <c r="C68" s="4">
        <v>3.8054828182204003E-12</v>
      </c>
      <c r="D68" s="5">
        <v>9.1930483293927601E-10</v>
      </c>
      <c r="E68" s="1" t="s">
        <v>365</v>
      </c>
      <c r="F68" s="1" t="s">
        <v>366</v>
      </c>
      <c r="G68" s="1" t="s">
        <v>45</v>
      </c>
      <c r="H68" s="6" t="str">
        <f>HYPERLINK("http://www.ensembl.org/Mus_musculus/Gene/Summary?db=core;g=ENSMUSG00000085006","ENSMUSG00000085006")</f>
        <v>ENSMUSG00000085006</v>
      </c>
      <c r="I68" s="6" t="str">
        <f>HYPERLINK("http://www.informatics.jax.org/marker/MGI:3615512","MGI:3615512")</f>
        <v>MGI:3615512</v>
      </c>
      <c r="J68" s="7" t="s">
        <v>215</v>
      </c>
    </row>
    <row r="69" spans="1:10" x14ac:dyDescent="0.2">
      <c r="A69" s="3">
        <v>46.601252615390699</v>
      </c>
      <c r="B69" s="1">
        <v>-1.6257580041338</v>
      </c>
      <c r="C69" s="4">
        <v>4.7177741481624501E-12</v>
      </c>
      <c r="D69" s="5">
        <v>1.12130838463422E-9</v>
      </c>
      <c r="E69" s="1" t="s">
        <v>104</v>
      </c>
      <c r="F69" s="1" t="s">
        <v>105</v>
      </c>
      <c r="G69" s="1">
        <v>68235</v>
      </c>
      <c r="H69" s="6" t="str">
        <f>HYPERLINK("http://www.ensembl.org/Mus_musculus/Gene/Summary?db=core;g=ENSMUSG00000038065","ENSMUSG00000038065")</f>
        <v>ENSMUSG00000038065</v>
      </c>
      <c r="I69" s="6" t="str">
        <f>HYPERLINK("http://www.informatics.jax.org/marker/MGI:1915485","MGI:1915485")</f>
        <v>MGI:1915485</v>
      </c>
      <c r="J69" s="7" t="s">
        <v>12</v>
      </c>
    </row>
    <row r="70" spans="1:10" x14ac:dyDescent="0.2">
      <c r="A70" s="3">
        <v>1382.5013361259</v>
      </c>
      <c r="B70" s="1">
        <v>-0.43631698385630602</v>
      </c>
      <c r="C70" s="4">
        <v>5.5346991448908399E-12</v>
      </c>
      <c r="D70" s="5">
        <v>1.29459248570018E-9</v>
      </c>
      <c r="E70" s="1" t="s">
        <v>975</v>
      </c>
      <c r="F70" s="1" t="s">
        <v>976</v>
      </c>
      <c r="G70" s="1">
        <v>17972</v>
      </c>
      <c r="H70" s="6" t="str">
        <f>HYPERLINK("http://www.ensembl.org/Mus_musculus/Gene/Summary?db=core;g=ENSMUSG00000071715","ENSMUSG00000071715")</f>
        <v>ENSMUSG00000071715</v>
      </c>
      <c r="I70" s="6" t="str">
        <f>HYPERLINK("http://www.informatics.jax.org/marker/MGI:109186","MGI:109186")</f>
        <v>MGI:109186</v>
      </c>
      <c r="J70" s="7" t="s">
        <v>12</v>
      </c>
    </row>
    <row r="71" spans="1:10" x14ac:dyDescent="0.2">
      <c r="A71" s="3">
        <v>1429.40129772606</v>
      </c>
      <c r="B71" s="1">
        <v>-0.57650087675646999</v>
      </c>
      <c r="C71" s="4">
        <v>7.2403110935924499E-12</v>
      </c>
      <c r="D71" s="5">
        <v>1.6670816292996599E-9</v>
      </c>
      <c r="E71" s="1" t="s">
        <v>717</v>
      </c>
      <c r="F71" s="1" t="s">
        <v>718</v>
      </c>
      <c r="G71" s="1">
        <v>70097</v>
      </c>
      <c r="H71" s="6" t="str">
        <f>HYPERLINK("http://www.ensembl.org/Mus_musculus/Gene/Summary?db=core;g=ENSMUSG00000015305","ENSMUSG00000015305")</f>
        <v>ENSMUSG00000015305</v>
      </c>
      <c r="I71" s="6" t="str">
        <f>HYPERLINK("http://www.informatics.jax.org/marker/MGI:1917347","MGI:1917347")</f>
        <v>MGI:1917347</v>
      </c>
      <c r="J71" s="7" t="s">
        <v>12</v>
      </c>
    </row>
    <row r="72" spans="1:10" x14ac:dyDescent="0.2">
      <c r="A72" s="3">
        <v>50.202473571762297</v>
      </c>
      <c r="B72" s="1">
        <v>-1.66878662920664</v>
      </c>
      <c r="C72" s="4">
        <v>9.9429804120840198E-12</v>
      </c>
      <c r="D72" s="5">
        <v>2.2541501438841601E-9</v>
      </c>
      <c r="E72" s="1" t="s">
        <v>96</v>
      </c>
      <c r="F72" s="1" t="s">
        <v>97</v>
      </c>
      <c r="G72" s="1">
        <v>229445</v>
      </c>
      <c r="H72" s="6" t="str">
        <f>HYPERLINK("http://www.ensembl.org/Mus_musculus/Gene/Summary?db=core;g=ENSMUSG00000028015","ENSMUSG00000028015")</f>
        <v>ENSMUSG00000028015</v>
      </c>
      <c r="I72" s="6" t="str">
        <f>HYPERLINK("http://www.informatics.jax.org/marker/MGI:2139628","MGI:2139628")</f>
        <v>MGI:2139628</v>
      </c>
      <c r="J72" s="7" t="s">
        <v>12</v>
      </c>
    </row>
    <row r="73" spans="1:10" x14ac:dyDescent="0.2">
      <c r="A73" s="3">
        <v>195.89239006811201</v>
      </c>
      <c r="B73" s="1">
        <v>-0.94996948907921996</v>
      </c>
      <c r="C73" s="4">
        <v>1.1078533768649001E-11</v>
      </c>
      <c r="D73" s="5">
        <v>2.4735344487092699E-9</v>
      </c>
      <c r="E73" s="1" t="s">
        <v>371</v>
      </c>
      <c r="F73" s="1" t="s">
        <v>372</v>
      </c>
      <c r="G73" s="1">
        <v>12142</v>
      </c>
      <c r="H73" s="6" t="str">
        <f>HYPERLINK("http://www.ensembl.org/Mus_musculus/Gene/Summary?db=core;g=ENSMUSG00000038151","ENSMUSG00000038151")</f>
        <v>ENSMUSG00000038151</v>
      </c>
      <c r="I73" s="6" t="str">
        <f>HYPERLINK("http://www.informatics.jax.org/marker/MGI:99655","MGI:99655")</f>
        <v>MGI:99655</v>
      </c>
      <c r="J73" s="7" t="s">
        <v>12</v>
      </c>
    </row>
    <row r="74" spans="1:10" x14ac:dyDescent="0.2">
      <c r="A74" s="3">
        <v>471.304287516957</v>
      </c>
      <c r="B74" s="1">
        <v>-0.36481977612486</v>
      </c>
      <c r="C74" s="4">
        <v>1.2345147227997399E-11</v>
      </c>
      <c r="D74" s="5">
        <v>2.71519536644432E-9</v>
      </c>
      <c r="E74" s="1" t="s">
        <v>1188</v>
      </c>
      <c r="F74" s="1" t="s">
        <v>1189</v>
      </c>
      <c r="G74" s="1">
        <v>100502698</v>
      </c>
      <c r="H74" s="6" t="str">
        <f>HYPERLINK("http://www.ensembl.org/Mus_musculus/Gene/Summary?db=core;g=ENSMUSG00000035629","ENSMUSG00000035629")</f>
        <v>ENSMUSG00000035629</v>
      </c>
      <c r="I74" s="6" t="str">
        <f>HYPERLINK("http://www.informatics.jax.org/marker/MGI:1915160","MGI:1915160")</f>
        <v>MGI:1915160</v>
      </c>
      <c r="J74" s="7" t="s">
        <v>12</v>
      </c>
    </row>
    <row r="75" spans="1:10" x14ac:dyDescent="0.2">
      <c r="A75" s="3">
        <v>743.86200056534994</v>
      </c>
      <c r="B75" s="1">
        <v>-1.0250403223786899</v>
      </c>
      <c r="C75" s="4">
        <v>1.34575316733947E-11</v>
      </c>
      <c r="D75" s="5">
        <v>2.9163262755756499E-9</v>
      </c>
      <c r="E75" s="1" t="s">
        <v>326</v>
      </c>
      <c r="F75" s="1" t="s">
        <v>327</v>
      </c>
      <c r="G75" s="1">
        <v>17533</v>
      </c>
      <c r="H75" s="6" t="str">
        <f>HYPERLINK("http://www.ensembl.org/Mus_musculus/Gene/Summary?db=core;g=ENSMUSG00000026712","ENSMUSG00000026712")</f>
        <v>ENSMUSG00000026712</v>
      </c>
      <c r="I75" s="6" t="str">
        <f>HYPERLINK("http://www.informatics.jax.org/marker/MGI:97142","MGI:97142")</f>
        <v>MGI:97142</v>
      </c>
      <c r="J75" s="7" t="s">
        <v>12</v>
      </c>
    </row>
    <row r="76" spans="1:10" x14ac:dyDescent="0.2">
      <c r="A76" s="3">
        <v>69.982932582392905</v>
      </c>
      <c r="B76" s="1">
        <v>-1.3592725704164601</v>
      </c>
      <c r="C76" s="4">
        <v>2.1106997427717899E-11</v>
      </c>
      <c r="D76" s="5">
        <v>4.5077204941282799E-9</v>
      </c>
      <c r="E76" s="1" t="s">
        <v>164</v>
      </c>
      <c r="F76" s="1" t="s">
        <v>165</v>
      </c>
      <c r="G76" s="1">
        <v>381217</v>
      </c>
      <c r="H76" s="6" t="str">
        <f>HYPERLINK("http://www.ensembl.org/Mus_musculus/Gene/Summary?db=core;g=ENSMUSG00000071604","ENSMUSG00000071604")</f>
        <v>ENSMUSG00000071604</v>
      </c>
      <c r="I76" s="6" t="str">
        <f>HYPERLINK("http://www.informatics.jax.org/marker/MGI:2685813","MGI:2685813")</f>
        <v>MGI:2685813</v>
      </c>
      <c r="J76" s="7" t="s">
        <v>12</v>
      </c>
    </row>
    <row r="77" spans="1:10" x14ac:dyDescent="0.2">
      <c r="A77" s="3">
        <v>113.086392369728</v>
      </c>
      <c r="B77" s="1">
        <v>0.80171349270859005</v>
      </c>
      <c r="C77" s="4">
        <v>2.29243181742396E-11</v>
      </c>
      <c r="D77" s="5">
        <v>4.8258964659370702E-9</v>
      </c>
      <c r="E77" s="1" t="s">
        <v>3286</v>
      </c>
      <c r="F77" s="1" t="s">
        <v>3287</v>
      </c>
      <c r="G77" s="1">
        <v>14570</v>
      </c>
      <c r="H77" s="6" t="str">
        <f>HYPERLINK("http://www.ensembl.org/Mus_musculus/Gene/Summary?db=core;g=ENSMUSG00000073433","ENSMUSG00000073433")</f>
        <v>ENSMUSG00000073433</v>
      </c>
      <c r="I77" s="6" t="str">
        <f>HYPERLINK("http://www.informatics.jax.org/marker/MGI:108430","MGI:108430")</f>
        <v>MGI:108430</v>
      </c>
      <c r="J77" s="7" t="s">
        <v>12</v>
      </c>
    </row>
    <row r="78" spans="1:10" x14ac:dyDescent="0.2">
      <c r="A78" s="3">
        <v>2976.9289402069198</v>
      </c>
      <c r="B78" s="1">
        <v>0.26035549158980897</v>
      </c>
      <c r="C78" s="4">
        <v>2.3992368172954199E-11</v>
      </c>
      <c r="D78" s="5">
        <v>4.9795991182627303E-9</v>
      </c>
      <c r="E78" s="1" t="s">
        <v>2908</v>
      </c>
      <c r="F78" s="1" t="s">
        <v>2909</v>
      </c>
      <c r="G78" s="1">
        <v>27374</v>
      </c>
      <c r="H78" s="6" t="str">
        <f>HYPERLINK("http://www.ensembl.org/Mus_musculus/Gene/Summary?db=core;g=ENSMUSG00000023110","ENSMUSG00000023110")</f>
        <v>ENSMUSG00000023110</v>
      </c>
      <c r="I78" s="6" t="str">
        <f>HYPERLINK("http://www.informatics.jax.org/marker/MGI:1351645","MGI:1351645")</f>
        <v>MGI:1351645</v>
      </c>
      <c r="J78" s="7" t="s">
        <v>12</v>
      </c>
    </row>
    <row r="79" spans="1:10" x14ac:dyDescent="0.2">
      <c r="A79" s="3">
        <v>3135.4785469184799</v>
      </c>
      <c r="B79" s="1">
        <v>-0.43993707377903102</v>
      </c>
      <c r="C79" s="4">
        <v>2.7019933735148201E-11</v>
      </c>
      <c r="D79" s="5">
        <v>5.5300797711269997E-9</v>
      </c>
      <c r="E79" s="1" t="s">
        <v>963</v>
      </c>
      <c r="F79" s="1" t="s">
        <v>964</v>
      </c>
      <c r="G79" s="1">
        <v>19271</v>
      </c>
      <c r="H79" s="6" t="str">
        <f>HYPERLINK("http://www.ensembl.org/Mus_musculus/Gene/Summary?db=core;g=ENSMUSG00000025314","ENSMUSG00000025314")</f>
        <v>ENSMUSG00000025314</v>
      </c>
      <c r="I79" s="6" t="str">
        <f>HYPERLINK("http://www.informatics.jax.org/marker/MGI:104574","MGI:104574")</f>
        <v>MGI:104574</v>
      </c>
      <c r="J79" s="7" t="s">
        <v>12</v>
      </c>
    </row>
    <row r="80" spans="1:10" x14ac:dyDescent="0.2">
      <c r="A80" s="3">
        <v>43.4908075273569</v>
      </c>
      <c r="B80" s="1">
        <v>-1.61431653541718</v>
      </c>
      <c r="C80" s="4">
        <v>3.0425469118729602E-11</v>
      </c>
      <c r="D80" s="5">
        <v>6.0587799045080996E-9</v>
      </c>
      <c r="E80" s="1" t="s">
        <v>108</v>
      </c>
      <c r="F80" s="1" t="s">
        <v>109</v>
      </c>
      <c r="G80" s="1">
        <v>69635</v>
      </c>
      <c r="H80" s="6" t="str">
        <f>HYPERLINK("http://www.ensembl.org/Mus_musculus/Gene/Summary?db=core;g=ENSMUSG00000021559","ENSMUSG00000021559")</f>
        <v>ENSMUSG00000021559</v>
      </c>
      <c r="I80" s="6" t="str">
        <f>HYPERLINK("http://www.informatics.jax.org/marker/MGI:1916885","MGI:1916885")</f>
        <v>MGI:1916885</v>
      </c>
      <c r="J80" s="7" t="s">
        <v>12</v>
      </c>
    </row>
    <row r="81" spans="1:10" x14ac:dyDescent="0.2">
      <c r="A81" s="3">
        <v>967.15726042209405</v>
      </c>
      <c r="B81" s="1">
        <v>-0.72457542694631005</v>
      </c>
      <c r="C81" s="4">
        <v>3.0359381849776198E-11</v>
      </c>
      <c r="D81" s="5">
        <v>6.0587799045080996E-9</v>
      </c>
      <c r="E81" s="1" t="s">
        <v>540</v>
      </c>
      <c r="F81" s="1" t="s">
        <v>541</v>
      </c>
      <c r="G81" s="1">
        <v>211228</v>
      </c>
      <c r="H81" s="6" t="str">
        <f>HYPERLINK("http://www.ensembl.org/Mus_musculus/Gene/Summary?db=core;g=ENSMUSG00000049988","ENSMUSG00000049988")</f>
        <v>ENSMUSG00000049988</v>
      </c>
      <c r="I81" s="6" t="str">
        <f>HYPERLINK("http://www.informatics.jax.org/marker/MGI:2445284","MGI:2445284")</f>
        <v>MGI:2445284</v>
      </c>
      <c r="J81" s="7" t="s">
        <v>12</v>
      </c>
    </row>
    <row r="82" spans="1:10" x14ac:dyDescent="0.2">
      <c r="A82" s="3">
        <v>966.80176675616894</v>
      </c>
      <c r="B82" s="1">
        <v>-0.46618831028681101</v>
      </c>
      <c r="C82" s="4">
        <v>4.6566567121920402E-11</v>
      </c>
      <c r="D82" s="5">
        <v>9.1493991081149193E-9</v>
      </c>
      <c r="E82" s="1" t="s">
        <v>895</v>
      </c>
      <c r="F82" s="1" t="s">
        <v>896</v>
      </c>
      <c r="G82" s="1">
        <v>338523</v>
      </c>
      <c r="H82" s="6" t="str">
        <f>HYPERLINK("http://www.ensembl.org/Mus_musculus/Gene/Summary?db=core;g=ENSMUSG00000042599","ENSMUSG00000042599")</f>
        <v>ENSMUSG00000042599</v>
      </c>
      <c r="I82" s="6" t="str">
        <f>HYPERLINK("http://www.informatics.jax.org/marker/MGI:2443388","MGI:2443388")</f>
        <v>MGI:2443388</v>
      </c>
      <c r="J82" s="7" t="s">
        <v>12</v>
      </c>
    </row>
    <row r="83" spans="1:10" x14ac:dyDescent="0.2">
      <c r="A83" s="3">
        <v>903.156153481616</v>
      </c>
      <c r="B83" s="1">
        <v>-0.40630663593448901</v>
      </c>
      <c r="C83" s="4">
        <v>5.3519842637082603E-11</v>
      </c>
      <c r="D83" s="5">
        <v>1.0377215803947999E-8</v>
      </c>
      <c r="E83" s="1" t="s">
        <v>1083</v>
      </c>
      <c r="F83" s="1" t="s">
        <v>1084</v>
      </c>
      <c r="G83" s="1">
        <v>78885</v>
      </c>
      <c r="H83" s="6" t="str">
        <f>HYPERLINK("http://www.ensembl.org/Mus_musculus/Gene/Summary?db=core;g=ENSMUSG00000039637","ENSMUSG00000039637")</f>
        <v>ENSMUSG00000039637</v>
      </c>
      <c r="I83" s="6" t="str">
        <f>HYPERLINK("http://www.informatics.jax.org/marker/MGI:1926135","MGI:1926135")</f>
        <v>MGI:1926135</v>
      </c>
      <c r="J83" s="7" t="s">
        <v>12</v>
      </c>
    </row>
    <row r="84" spans="1:10" x14ac:dyDescent="0.2">
      <c r="A84" s="3">
        <v>4.4388613549105704</v>
      </c>
      <c r="B84" s="1">
        <v>-2.9310615815902299</v>
      </c>
      <c r="C84" s="4">
        <v>5.6341855393636597E-11</v>
      </c>
      <c r="D84" s="5">
        <v>1.07825140400082E-8</v>
      </c>
      <c r="E84" s="1" t="s">
        <v>15</v>
      </c>
      <c r="F84" s="1" t="s">
        <v>16</v>
      </c>
      <c r="G84" s="1">
        <v>18575</v>
      </c>
      <c r="H84" s="6" t="str">
        <f>HYPERLINK("http://www.ensembl.org/Mus_musculus/Gene/Summary?db=core;g=ENSMUSG00000004347","ENSMUSG00000004347")</f>
        <v>ENSMUSG00000004347</v>
      </c>
      <c r="I84" s="6" t="str">
        <f>HYPERLINK("http://www.informatics.jax.org/marker/MGI:108413","MGI:108413")</f>
        <v>MGI:108413</v>
      </c>
      <c r="J84" s="7" t="s">
        <v>12</v>
      </c>
    </row>
    <row r="85" spans="1:10" x14ac:dyDescent="0.2">
      <c r="A85" s="3">
        <v>131.16206232650501</v>
      </c>
      <c r="B85" s="1">
        <v>-0.91734119675117098</v>
      </c>
      <c r="C85" s="4">
        <v>7.09021498031912E-11</v>
      </c>
      <c r="D85" s="5">
        <v>1.33607378996344E-8</v>
      </c>
      <c r="E85" s="1" t="s">
        <v>393</v>
      </c>
      <c r="F85" s="1" t="s">
        <v>394</v>
      </c>
      <c r="G85" s="1">
        <v>18128</v>
      </c>
      <c r="H85" s="6" t="str">
        <f>HYPERLINK("http://www.ensembl.org/Mus_musculus/Gene/Summary?db=core;g=ENSMUSG00000026923","ENSMUSG00000026923")</f>
        <v>ENSMUSG00000026923</v>
      </c>
      <c r="I85" s="6" t="str">
        <f>HYPERLINK("http://www.informatics.jax.org/marker/MGI:97363","MGI:97363")</f>
        <v>MGI:97363</v>
      </c>
      <c r="J85" s="7" t="s">
        <v>12</v>
      </c>
    </row>
    <row r="86" spans="1:10" x14ac:dyDescent="0.2">
      <c r="A86" s="3">
        <v>1304.58122921724</v>
      </c>
      <c r="B86" s="1">
        <v>-0.44229668555884999</v>
      </c>
      <c r="C86" s="4">
        <v>7.1627191508626305E-11</v>
      </c>
      <c r="D86" s="5">
        <v>1.33607378996344E-8</v>
      </c>
      <c r="E86" s="1" t="s">
        <v>955</v>
      </c>
      <c r="F86" s="1" t="s">
        <v>956</v>
      </c>
      <c r="G86" s="1">
        <v>16542</v>
      </c>
      <c r="H86" s="6" t="str">
        <f>HYPERLINK("http://www.ensembl.org/Mus_musculus/Gene/Summary?db=core;g=ENSMUSG00000062960","ENSMUSG00000062960")</f>
        <v>ENSMUSG00000062960</v>
      </c>
      <c r="I86" s="6" t="str">
        <f>HYPERLINK("http://www.informatics.jax.org/marker/MGI:96683","MGI:96683")</f>
        <v>MGI:96683</v>
      </c>
      <c r="J86" s="7" t="s">
        <v>12</v>
      </c>
    </row>
    <row r="87" spans="1:10" x14ac:dyDescent="0.2">
      <c r="A87" s="3">
        <v>87.905853101701894</v>
      </c>
      <c r="B87" s="1">
        <v>-1.1285003207531901</v>
      </c>
      <c r="C87" s="4">
        <v>8.7328431806736795E-11</v>
      </c>
      <c r="D87" s="5">
        <v>1.60858971388009E-8</v>
      </c>
      <c r="E87" s="1" t="s">
        <v>245</v>
      </c>
      <c r="F87" s="1" t="s">
        <v>246</v>
      </c>
      <c r="G87" s="1">
        <v>17122</v>
      </c>
      <c r="H87" s="6" t="str">
        <f>HYPERLINK("http://www.ensembl.org/Mus_musculus/Gene/Summary?db=core;g=ENSMUSG00000037235","ENSMUSG00000037235")</f>
        <v>ENSMUSG00000037235</v>
      </c>
      <c r="I87" s="6" t="str">
        <f>HYPERLINK("http://www.informatics.jax.org/marker/MGI:104991","MGI:104991")</f>
        <v>MGI:104991</v>
      </c>
      <c r="J87" s="7" t="s">
        <v>12</v>
      </c>
    </row>
    <row r="88" spans="1:10" x14ac:dyDescent="0.2">
      <c r="A88" s="3">
        <v>492.01093764563899</v>
      </c>
      <c r="B88" s="1">
        <v>-2.2797580081552402</v>
      </c>
      <c r="C88" s="4">
        <v>1.00542108642583E-10</v>
      </c>
      <c r="D88" s="5">
        <v>1.8291216209347E-8</v>
      </c>
      <c r="E88" s="1" t="s">
        <v>35</v>
      </c>
      <c r="F88" s="1" t="s">
        <v>36</v>
      </c>
      <c r="G88" s="1">
        <v>12985</v>
      </c>
      <c r="H88" s="6" t="str">
        <f>HYPERLINK("http://www.ensembl.org/Mus_musculus/Gene/Summary?db=core;g=ENSMUSG00000038067","ENSMUSG00000038067")</f>
        <v>ENSMUSG00000038067</v>
      </c>
      <c r="I88" s="6" t="str">
        <f>HYPERLINK("http://www.informatics.jax.org/marker/MGI:1339751","MGI:1339751")</f>
        <v>MGI:1339751</v>
      </c>
      <c r="J88" s="7" t="s">
        <v>12</v>
      </c>
    </row>
    <row r="89" spans="1:10" x14ac:dyDescent="0.2">
      <c r="A89" s="3">
        <v>1680.1845554121301</v>
      </c>
      <c r="B89" s="1">
        <v>-0.59030680098196597</v>
      </c>
      <c r="C89" s="4">
        <v>1.1862414978967801E-10</v>
      </c>
      <c r="D89" s="5">
        <v>2.13176276987889E-8</v>
      </c>
      <c r="E89" s="1" t="s">
        <v>691</v>
      </c>
      <c r="F89" s="1" t="s">
        <v>692</v>
      </c>
      <c r="G89" s="1">
        <v>74645</v>
      </c>
      <c r="H89" s="6" t="str">
        <f>HYPERLINK("http://www.ensembl.org/Mus_musculus/Gene/Summary?db=core;g=ENSMUSG00000044468","ENSMUSG00000044468")</f>
        <v>ENSMUSG00000044468</v>
      </c>
      <c r="I89" s="6" t="str">
        <f>HYPERLINK("http://www.informatics.jax.org/marker/MGI:1921895","MGI:1921895")</f>
        <v>MGI:1921895</v>
      </c>
      <c r="J89" s="7" t="s">
        <v>12</v>
      </c>
    </row>
    <row r="90" spans="1:10" x14ac:dyDescent="0.2">
      <c r="A90" s="3">
        <v>430.105438381608</v>
      </c>
      <c r="B90" s="1">
        <v>-0.72262323833768805</v>
      </c>
      <c r="C90" s="4">
        <v>1.2841866064540499E-10</v>
      </c>
      <c r="D90" s="5">
        <v>2.2799727509285301E-8</v>
      </c>
      <c r="E90" s="1" t="s">
        <v>544</v>
      </c>
      <c r="F90" s="1" t="s">
        <v>545</v>
      </c>
      <c r="G90" s="1">
        <v>56615</v>
      </c>
      <c r="H90" s="6" t="str">
        <f>HYPERLINK("http://www.ensembl.org/Mus_musculus/Gene/Summary?db=core;g=ENSMUSG00000008540","ENSMUSG00000008540")</f>
        <v>ENSMUSG00000008540</v>
      </c>
      <c r="I90" s="6" t="str">
        <f>HYPERLINK("http://www.informatics.jax.org/marker/MGI:1913850","MGI:1913850")</f>
        <v>MGI:1913850</v>
      </c>
      <c r="J90" s="7" t="s">
        <v>12</v>
      </c>
    </row>
    <row r="91" spans="1:10" x14ac:dyDescent="0.2">
      <c r="A91" s="3">
        <v>1527.8613186684299</v>
      </c>
      <c r="B91" s="1">
        <v>-1.23443150393589</v>
      </c>
      <c r="C91" s="4">
        <v>1.3870701516320299E-10</v>
      </c>
      <c r="D91" s="5">
        <v>2.43331735172019E-8</v>
      </c>
      <c r="E91" s="1" t="s">
        <v>216</v>
      </c>
      <c r="F91" s="1" t="s">
        <v>217</v>
      </c>
      <c r="G91" s="1">
        <v>20363</v>
      </c>
      <c r="H91" s="6" t="str">
        <f>HYPERLINK("http://www.ensembl.org/Mus_musculus/Gene/Summary?db=core;g=ENSMUSG00000064373","ENSMUSG00000064373")</f>
        <v>ENSMUSG00000064373</v>
      </c>
      <c r="I91" s="6" t="str">
        <f>HYPERLINK("http://www.informatics.jax.org/marker/MGI:894288","MGI:894288")</f>
        <v>MGI:894288</v>
      </c>
      <c r="J91" s="7" t="s">
        <v>12</v>
      </c>
    </row>
    <row r="92" spans="1:10" x14ac:dyDescent="0.2">
      <c r="A92" s="3">
        <v>290.65512840949702</v>
      </c>
      <c r="B92" s="1">
        <v>-0.55751456142762401</v>
      </c>
      <c r="C92" s="4">
        <v>1.4987000607646901E-10</v>
      </c>
      <c r="D92" s="5">
        <v>2.5982169524033399E-8</v>
      </c>
      <c r="E92" s="1" t="s">
        <v>749</v>
      </c>
      <c r="F92" s="1" t="s">
        <v>750</v>
      </c>
      <c r="G92" s="1">
        <v>24100</v>
      </c>
      <c r="H92" s="6" t="str">
        <f>HYPERLINK("http://www.ensembl.org/Mus_musculus/Gene/Summary?db=core;g=ENSMUSG00000002871","ENSMUSG00000002871")</f>
        <v>ENSMUSG00000002871</v>
      </c>
      <c r="I92" s="6" t="str">
        <f>HYPERLINK("http://www.informatics.jax.org/marker/MGI:1345190","MGI:1345190")</f>
        <v>MGI:1345190</v>
      </c>
      <c r="J92" s="7" t="s">
        <v>12</v>
      </c>
    </row>
    <row r="93" spans="1:10" x14ac:dyDescent="0.2">
      <c r="A93" s="3">
        <v>2085.7563870590202</v>
      </c>
      <c r="B93" s="1">
        <v>-0.52920256141174205</v>
      </c>
      <c r="C93" s="4">
        <v>1.61666270920092E-10</v>
      </c>
      <c r="D93" s="5">
        <v>2.7701327538121801E-8</v>
      </c>
      <c r="E93" s="1" t="s">
        <v>795</v>
      </c>
      <c r="F93" s="1" t="s">
        <v>796</v>
      </c>
      <c r="G93" s="1">
        <v>544963</v>
      </c>
      <c r="H93" s="6" t="str">
        <f>HYPERLINK("http://www.ensembl.org/Mus_musculus/Gene/Summary?db=core;g=ENSMUSG00000021676","ENSMUSG00000021676")</f>
        <v>ENSMUSG00000021676</v>
      </c>
      <c r="I93" s="6" t="str">
        <f>HYPERLINK("http://www.informatics.jax.org/marker/MGI:2449975","MGI:2449975")</f>
        <v>MGI:2449975</v>
      </c>
      <c r="J93" s="7" t="s">
        <v>12</v>
      </c>
    </row>
    <row r="94" spans="1:10" x14ac:dyDescent="0.2">
      <c r="A94" s="3">
        <v>23.571874621319498</v>
      </c>
      <c r="B94" s="1">
        <v>-1.6377047161409699</v>
      </c>
      <c r="C94" s="4">
        <v>1.8701183388984601E-10</v>
      </c>
      <c r="D94" s="5">
        <v>3.1239375236309397E-8</v>
      </c>
      <c r="E94" s="1" t="s">
        <v>100</v>
      </c>
      <c r="F94" s="1" t="s">
        <v>101</v>
      </c>
      <c r="G94" s="1">
        <v>319899</v>
      </c>
      <c r="H94" s="6" t="str">
        <f>HYPERLINK("http://www.ensembl.org/Mus_musculus/Gene/Summary?db=core;g=ENSMUSG00000032198","ENSMUSG00000032198")</f>
        <v>ENSMUSG00000032198</v>
      </c>
      <c r="I94" s="6" t="str">
        <f>HYPERLINK("http://www.informatics.jax.org/marker/MGI:1914789","MGI:1914789")</f>
        <v>MGI:1914789</v>
      </c>
      <c r="J94" s="7" t="s">
        <v>12</v>
      </c>
    </row>
    <row r="95" spans="1:10" x14ac:dyDescent="0.2">
      <c r="A95" s="3">
        <v>140.700775253513</v>
      </c>
      <c r="B95" s="1">
        <v>-1.41663466203287</v>
      </c>
      <c r="C95" s="4">
        <v>1.90794229863453E-10</v>
      </c>
      <c r="D95" s="5">
        <v>3.1239375236309397E-8</v>
      </c>
      <c r="E95" s="1" t="s">
        <v>144</v>
      </c>
      <c r="F95" s="1" t="s">
        <v>145</v>
      </c>
      <c r="G95" s="1">
        <v>71306</v>
      </c>
      <c r="H95" s="6" t="str">
        <f>HYPERLINK("http://www.ensembl.org/Mus_musculus/Gene/Summary?db=core;g=ENSMUSG00000031647","ENSMUSG00000031647")</f>
        <v>ENSMUSG00000031647</v>
      </c>
      <c r="I95" s="6" t="str">
        <f>HYPERLINK("http://www.informatics.jax.org/marker/MGI:1918556","MGI:1918556")</f>
        <v>MGI:1918556</v>
      </c>
      <c r="J95" s="7" t="s">
        <v>12</v>
      </c>
    </row>
    <row r="96" spans="1:10" x14ac:dyDescent="0.2">
      <c r="A96" s="3">
        <v>110.04387357950699</v>
      </c>
      <c r="B96" s="1">
        <v>0.99796249269654103</v>
      </c>
      <c r="C96" s="4">
        <v>1.9072714915617201E-10</v>
      </c>
      <c r="D96" s="5">
        <v>3.1239375236309397E-8</v>
      </c>
      <c r="E96" s="1" t="s">
        <v>3318</v>
      </c>
      <c r="F96" s="1" t="s">
        <v>3319</v>
      </c>
      <c r="G96" s="1">
        <v>14077</v>
      </c>
      <c r="H96" s="6" t="str">
        <f>HYPERLINK("http://www.ensembl.org/Mus_musculus/Gene/Summary?db=core;g=ENSMUSG00000028773","ENSMUSG00000028773")</f>
        <v>ENSMUSG00000028773</v>
      </c>
      <c r="I96" s="6" t="str">
        <f>HYPERLINK("http://www.informatics.jax.org/marker/MGI:95476","MGI:95476")</f>
        <v>MGI:95476</v>
      </c>
      <c r="J96" s="7" t="s">
        <v>12</v>
      </c>
    </row>
    <row r="97" spans="1:10" x14ac:dyDescent="0.2">
      <c r="A97" s="3">
        <v>32.3589025225059</v>
      </c>
      <c r="B97" s="1">
        <v>1.4739714972737299</v>
      </c>
      <c r="C97" s="4">
        <v>1.87470136437387E-10</v>
      </c>
      <c r="D97" s="5">
        <v>3.1239375236309397E-8</v>
      </c>
      <c r="E97" s="1" t="s">
        <v>3351</v>
      </c>
      <c r="F97" s="1" t="s">
        <v>3352</v>
      </c>
      <c r="G97" s="1">
        <v>21827</v>
      </c>
      <c r="H97" s="6" t="str">
        <f>HYPERLINK("http://www.ensembl.org/Mus_musculus/Gene/Summary?db=core;g=ENSMUSG00000028047","ENSMUSG00000028047")</f>
        <v>ENSMUSG00000028047</v>
      </c>
      <c r="I97" s="6" t="str">
        <f>HYPERLINK("http://www.informatics.jax.org/marker/MGI:98739","MGI:98739")</f>
        <v>MGI:98739</v>
      </c>
      <c r="J97" s="7" t="s">
        <v>12</v>
      </c>
    </row>
    <row r="98" spans="1:10" x14ac:dyDescent="0.2">
      <c r="A98" s="3">
        <v>165.53277977414399</v>
      </c>
      <c r="B98" s="1">
        <v>-0.62193170081649896</v>
      </c>
      <c r="C98" s="4">
        <v>2.3199807682793301E-10</v>
      </c>
      <c r="D98" s="5">
        <v>3.7568391869630997E-8</v>
      </c>
      <c r="E98" s="1" t="s">
        <v>644</v>
      </c>
      <c r="F98" s="1" t="s">
        <v>645</v>
      </c>
      <c r="G98" s="1">
        <v>29869</v>
      </c>
      <c r="H98" s="6" t="str">
        <f>HYPERLINK("http://www.ensembl.org/Mus_musculus/Gene/Summary?db=core;g=ENSMUSG00000004798","ENSMUSG00000004798")</f>
        <v>ENSMUSG00000004798</v>
      </c>
      <c r="I98" s="6" t="str">
        <f>HYPERLINK("http://www.informatics.jax.org/marker/MGI:1352758","MGI:1352758")</f>
        <v>MGI:1352758</v>
      </c>
      <c r="J98" s="7" t="s">
        <v>12</v>
      </c>
    </row>
    <row r="99" spans="1:10" x14ac:dyDescent="0.2">
      <c r="A99" s="3">
        <v>562.28574752866905</v>
      </c>
      <c r="B99" s="1">
        <v>-1.07425131744048</v>
      </c>
      <c r="C99" s="4">
        <v>3.0301254024746702E-10</v>
      </c>
      <c r="D99" s="5">
        <v>4.8534704272681203E-8</v>
      </c>
      <c r="E99" s="1" t="s">
        <v>281</v>
      </c>
      <c r="F99" s="1" t="s">
        <v>282</v>
      </c>
      <c r="G99" s="1">
        <v>56464</v>
      </c>
      <c r="H99" s="6" t="str">
        <f>HYPERLINK("http://www.ensembl.org/Mus_musculus/Gene/Summary?db=core;g=ENSMUSG00000083282","ENSMUSG00000083282")</f>
        <v>ENSMUSG00000083282</v>
      </c>
      <c r="I99" s="6" t="str">
        <f>HYPERLINK("http://www.informatics.jax.org/marker/MGI:1861434","MGI:1861434")</f>
        <v>MGI:1861434</v>
      </c>
      <c r="J99" s="7" t="s">
        <v>12</v>
      </c>
    </row>
    <row r="100" spans="1:10" x14ac:dyDescent="0.2">
      <c r="A100" s="3">
        <v>208.41542417956401</v>
      </c>
      <c r="B100" s="1">
        <v>-0.69307289973392205</v>
      </c>
      <c r="C100" s="4">
        <v>3.62485083351322E-10</v>
      </c>
      <c r="D100" s="5">
        <v>5.7436346110377198E-8</v>
      </c>
      <c r="E100" s="1" t="s">
        <v>568</v>
      </c>
      <c r="F100" s="1" t="s">
        <v>569</v>
      </c>
      <c r="G100" s="1">
        <v>72194</v>
      </c>
      <c r="H100" s="6" t="str">
        <f>HYPERLINK("http://www.ensembl.org/Mus_musculus/Gene/Summary?db=core;g=ENSMUSG00000020883","ENSMUSG00000020883")</f>
        <v>ENSMUSG00000020883</v>
      </c>
      <c r="I100" s="6" t="str">
        <f>HYPERLINK("http://www.informatics.jax.org/marker/MGI:1919444","MGI:1919444")</f>
        <v>MGI:1919444</v>
      </c>
      <c r="J100" s="7" t="s">
        <v>12</v>
      </c>
    </row>
    <row r="101" spans="1:10" x14ac:dyDescent="0.2">
      <c r="A101" s="3">
        <v>133.502541941403</v>
      </c>
      <c r="B101" s="1">
        <v>-1.10164641306071</v>
      </c>
      <c r="C101" s="4">
        <v>4.15121448508873E-10</v>
      </c>
      <c r="D101" s="5">
        <v>6.5076911332199495E-8</v>
      </c>
      <c r="E101" s="1" t="s">
        <v>267</v>
      </c>
      <c r="F101" s="1" t="s">
        <v>268</v>
      </c>
      <c r="G101" s="1">
        <v>11629</v>
      </c>
      <c r="H101" s="6" t="str">
        <f>HYPERLINK("http://www.ensembl.org/Mus_musculus/Gene/Summary?db=core;g=ENSMUSG00000024397","ENSMUSG00000024397")</f>
        <v>ENSMUSG00000024397</v>
      </c>
      <c r="I101" s="6" t="str">
        <f>HYPERLINK("http://www.informatics.jax.org/marker/MGI:1343098","MGI:1343098")</f>
        <v>MGI:1343098</v>
      </c>
      <c r="J101" s="7" t="s">
        <v>12</v>
      </c>
    </row>
    <row r="102" spans="1:10" x14ac:dyDescent="0.2">
      <c r="A102" s="3">
        <v>1648.47329779137</v>
      </c>
      <c r="B102" s="1">
        <v>-0.376455252233658</v>
      </c>
      <c r="C102" s="4">
        <v>4.3532561039021901E-10</v>
      </c>
      <c r="D102" s="5">
        <v>6.7525875733792294E-8</v>
      </c>
      <c r="E102" s="1" t="s">
        <v>1146</v>
      </c>
      <c r="F102" s="1" t="s">
        <v>1147</v>
      </c>
      <c r="G102" s="1">
        <v>16443</v>
      </c>
      <c r="H102" s="6" t="str">
        <f>HYPERLINK("http://www.ensembl.org/Mus_musculus/Gene/Summary?db=core;g=ENSMUSG00000022957","ENSMUSG00000022957")</f>
        <v>ENSMUSG00000022957</v>
      </c>
      <c r="I102" s="6" t="str">
        <f>HYPERLINK("http://www.informatics.jax.org/marker/MGI:1338069","MGI:1338069")</f>
        <v>MGI:1338069</v>
      </c>
      <c r="J102" s="7" t="s">
        <v>12</v>
      </c>
    </row>
    <row r="103" spans="1:10" x14ac:dyDescent="0.2">
      <c r="A103" s="3">
        <v>263.73586164579598</v>
      </c>
      <c r="B103" s="1">
        <v>-0.55729060535252095</v>
      </c>
      <c r="C103" s="4">
        <v>5.0579411283175902E-10</v>
      </c>
      <c r="D103" s="5">
        <v>7.7639396319675004E-8</v>
      </c>
      <c r="E103" s="1" t="s">
        <v>751</v>
      </c>
      <c r="F103" s="1" t="s">
        <v>752</v>
      </c>
      <c r="G103" s="1">
        <v>55951</v>
      </c>
      <c r="H103" s="6" t="str">
        <f>HYPERLINK("http://www.ensembl.org/Mus_musculus/Gene/Summary?db=core;g=ENSMUSG00000023861","ENSMUSG00000023861")</f>
        <v>ENSMUSG00000023861</v>
      </c>
      <c r="I103" s="6" t="str">
        <f>HYPERLINK("http://www.informatics.jax.org/marker/MGI:1915240","MGI:1915240")</f>
        <v>MGI:1915240</v>
      </c>
      <c r="J103" s="7" t="s">
        <v>12</v>
      </c>
    </row>
    <row r="104" spans="1:10" x14ac:dyDescent="0.2">
      <c r="A104" s="3">
        <v>35.922215338156903</v>
      </c>
      <c r="B104" s="1">
        <v>-1.2691412817157699</v>
      </c>
      <c r="C104" s="4">
        <v>6.10363728867381E-10</v>
      </c>
      <c r="D104" s="5">
        <v>9.2724947511234303E-8</v>
      </c>
      <c r="E104" s="1" t="s">
        <v>201</v>
      </c>
      <c r="F104" s="1" t="s">
        <v>202</v>
      </c>
      <c r="G104" s="1">
        <v>17001</v>
      </c>
      <c r="H104" s="6" t="str">
        <f>HYPERLINK("http://www.ensembl.org/Mus_musculus/Gene/Summary?db=core;g=ENSMUSG00000020377","ENSMUSG00000020377")</f>
        <v>ENSMUSG00000020377</v>
      </c>
      <c r="I104" s="6" t="str">
        <f>HYPERLINK("http://www.informatics.jax.org/marker/MGI:107498","MGI:107498")</f>
        <v>MGI:107498</v>
      </c>
      <c r="J104" s="7" t="s">
        <v>12</v>
      </c>
    </row>
    <row r="105" spans="1:10" x14ac:dyDescent="0.2">
      <c r="A105" s="3">
        <v>44.808772605381101</v>
      </c>
      <c r="B105" s="1">
        <v>-1.27604697909303</v>
      </c>
      <c r="C105" s="4">
        <v>6.6311017277486797E-10</v>
      </c>
      <c r="D105" s="5">
        <v>9.9710117408269998E-8</v>
      </c>
      <c r="E105" s="1" t="s">
        <v>195</v>
      </c>
      <c r="F105" s="1" t="s">
        <v>196</v>
      </c>
      <c r="G105" s="1">
        <v>114644</v>
      </c>
      <c r="H105" s="6" t="str">
        <f>HYPERLINK("http://www.ensembl.org/Mus_musculus/Gene/Summary?db=core;g=ENSMUSG00000018459","ENSMUSG00000018459")</f>
        <v>ENSMUSG00000018459</v>
      </c>
      <c r="I105" s="6" t="str">
        <f>HYPERLINK("http://www.informatics.jax.org/marker/MGI:2149635","MGI:2149635")</f>
        <v>MGI:2149635</v>
      </c>
      <c r="J105" s="7" t="s">
        <v>12</v>
      </c>
    </row>
    <row r="106" spans="1:10" x14ac:dyDescent="0.2">
      <c r="A106" s="3">
        <v>56.199531175983502</v>
      </c>
      <c r="B106" s="1">
        <v>-0.83849523550072003</v>
      </c>
      <c r="C106" s="4">
        <v>7.5632235651466198E-10</v>
      </c>
      <c r="D106" s="5">
        <v>1.1257743682424301E-7</v>
      </c>
      <c r="E106" s="1" t="s">
        <v>448</v>
      </c>
      <c r="F106" s="1" t="s">
        <v>449</v>
      </c>
      <c r="G106" s="1">
        <v>110891</v>
      </c>
      <c r="H106" s="6" t="str">
        <f>HYPERLINK("http://www.ensembl.org/Mus_musculus/Gene/Summary?db=core;g=ENSMUSG00000030376","ENSMUSG00000030376")</f>
        <v>ENSMUSG00000030376</v>
      </c>
      <c r="I106" s="6" t="str">
        <f>HYPERLINK("http://www.informatics.jax.org/marker/MGI:107996","MGI:107996")</f>
        <v>MGI:107996</v>
      </c>
      <c r="J106" s="7" t="s">
        <v>12</v>
      </c>
    </row>
    <row r="107" spans="1:10" x14ac:dyDescent="0.2">
      <c r="A107" s="3">
        <v>457.44506282617999</v>
      </c>
      <c r="B107" s="1">
        <v>-0.60956980089103197</v>
      </c>
      <c r="C107" s="4">
        <v>7.6991528551127905E-10</v>
      </c>
      <c r="D107" s="5">
        <v>1.1345471647294201E-7</v>
      </c>
      <c r="E107" s="1" t="s">
        <v>662</v>
      </c>
      <c r="F107" s="1" t="s">
        <v>663</v>
      </c>
      <c r="G107" s="1">
        <v>14710</v>
      </c>
      <c r="H107" s="6" t="str">
        <f>HYPERLINK("http://www.ensembl.org/Mus_musculus/Gene/Summary?db=core;g=ENSMUSG00000038811","ENSMUSG00000038811")</f>
        <v>ENSMUSG00000038811</v>
      </c>
      <c r="I107" s="6" t="str">
        <f>HYPERLINK("http://www.informatics.jax.org/marker/MGI:893584","MGI:893584")</f>
        <v>MGI:893584</v>
      </c>
      <c r="J107" s="7" t="s">
        <v>12</v>
      </c>
    </row>
    <row r="108" spans="1:10" x14ac:dyDescent="0.2">
      <c r="A108" s="3">
        <v>703.12601450607303</v>
      </c>
      <c r="B108" s="1">
        <v>0.46232927381458</v>
      </c>
      <c r="C108" s="4">
        <v>8.4301029301594995E-10</v>
      </c>
      <c r="D108" s="5">
        <v>1.2299603641468401E-7</v>
      </c>
      <c r="E108" s="1" t="s">
        <v>3180</v>
      </c>
      <c r="F108" s="1" t="s">
        <v>3181</v>
      </c>
      <c r="G108" s="1">
        <v>50884</v>
      </c>
      <c r="H108" s="6" t="str">
        <f>HYPERLINK("http://www.ensembl.org/Mus_musculus/Gene/Summary?db=core;g=ENSMUSG00000027002","ENSMUSG00000027002")</f>
        <v>ENSMUSG00000027002</v>
      </c>
      <c r="I108" s="6" t="str">
        <f>HYPERLINK("http://www.informatics.jax.org/marker/MGI:1355333","MGI:1355333")</f>
        <v>MGI:1355333</v>
      </c>
      <c r="J108" s="7" t="s">
        <v>12</v>
      </c>
    </row>
    <row r="109" spans="1:10" x14ac:dyDescent="0.2">
      <c r="A109" s="3">
        <v>13023.230639006</v>
      </c>
      <c r="B109" s="1">
        <v>-0.28445289623651498</v>
      </c>
      <c r="C109" s="4">
        <v>8.9631343744788797E-10</v>
      </c>
      <c r="D109" s="5">
        <v>1.2949092955129501E-7</v>
      </c>
      <c r="E109" s="1" t="s">
        <v>1522</v>
      </c>
      <c r="F109" s="1" t="s">
        <v>1523</v>
      </c>
      <c r="G109" s="1">
        <v>19261</v>
      </c>
      <c r="H109" s="6" t="str">
        <f>HYPERLINK("http://www.ensembl.org/Mus_musculus/Gene/Summary?db=core;g=ENSMUSG00000037902","ENSMUSG00000037902")</f>
        <v>ENSMUSG00000037902</v>
      </c>
      <c r="I109" s="6" t="str">
        <f>HYPERLINK("http://www.informatics.jax.org/marker/MGI:108563","MGI:108563")</f>
        <v>MGI:108563</v>
      </c>
      <c r="J109" s="7" t="s">
        <v>12</v>
      </c>
    </row>
    <row r="110" spans="1:10" x14ac:dyDescent="0.2">
      <c r="A110" s="3">
        <v>16.4751793591957</v>
      </c>
      <c r="B110" s="1">
        <v>-1.77782096778985</v>
      </c>
      <c r="C110" s="4">
        <v>9.6141988056813707E-10</v>
      </c>
      <c r="D110" s="5">
        <v>1.3754838213642799E-7</v>
      </c>
      <c r="E110" s="1" t="s">
        <v>79</v>
      </c>
      <c r="F110" s="1" t="s">
        <v>80</v>
      </c>
      <c r="G110" s="1">
        <v>17394</v>
      </c>
      <c r="H110" s="6" t="str">
        <f>HYPERLINK("http://www.ensembl.org/Mus_musculus/Gene/Summary?db=core;g=ENSMUSG00000005800","ENSMUSG00000005800")</f>
        <v>ENSMUSG00000005800</v>
      </c>
      <c r="I110" s="6" t="str">
        <f>HYPERLINK("http://www.informatics.jax.org/marker/MGI:1202395","MGI:1202395")</f>
        <v>MGI:1202395</v>
      </c>
      <c r="J110" s="7" t="s">
        <v>12</v>
      </c>
    </row>
    <row r="111" spans="1:10" x14ac:dyDescent="0.2">
      <c r="A111" s="3">
        <v>12.168562223234</v>
      </c>
      <c r="B111" s="1">
        <v>-2.1977938671872601</v>
      </c>
      <c r="C111" s="4">
        <v>1.0899163477421001E-9</v>
      </c>
      <c r="D111" s="5">
        <v>1.5443276250315001E-7</v>
      </c>
      <c r="E111" s="1" t="s">
        <v>39</v>
      </c>
      <c r="F111" s="1" t="s">
        <v>40</v>
      </c>
      <c r="G111" s="1">
        <v>75605</v>
      </c>
      <c r="H111" s="6" t="str">
        <f>HYPERLINK("http://www.ensembl.org/Mus_musculus/Gene/Summary?db=core;g=ENSMUSG00000042207","ENSMUSG00000042207")</f>
        <v>ENSMUSG00000042207</v>
      </c>
      <c r="I111" s="6" t="str">
        <f>HYPERLINK("http://www.informatics.jax.org/marker/MGI:1922855","MGI:1922855")</f>
        <v>MGI:1922855</v>
      </c>
      <c r="J111" s="7" t="s">
        <v>12</v>
      </c>
    </row>
    <row r="112" spans="1:10" x14ac:dyDescent="0.2">
      <c r="A112" s="3">
        <v>63.973286825994599</v>
      </c>
      <c r="B112" s="1">
        <v>-1.06693445685379</v>
      </c>
      <c r="C112" s="4">
        <v>1.2009294280555801E-9</v>
      </c>
      <c r="D112" s="5">
        <v>1.6854186716025799E-7</v>
      </c>
      <c r="E112" s="1" t="s">
        <v>287</v>
      </c>
      <c r="F112" s="1" t="s">
        <v>288</v>
      </c>
      <c r="G112" s="1">
        <v>12369</v>
      </c>
      <c r="H112" s="6" t="str">
        <f>HYPERLINK("http://www.ensembl.org/Mus_musculus/Gene/Summary?db=core;g=ENSMUSG00000025076","ENSMUSG00000025076")</f>
        <v>ENSMUSG00000025076</v>
      </c>
      <c r="I112" s="6" t="str">
        <f>HYPERLINK("http://www.informatics.jax.org/marker/MGI:109383","MGI:109383")</f>
        <v>MGI:109383</v>
      </c>
      <c r="J112" s="7" t="s">
        <v>12</v>
      </c>
    </row>
    <row r="113" spans="1:10" x14ac:dyDescent="0.2">
      <c r="A113" s="3">
        <v>1867.93896810003</v>
      </c>
      <c r="B113" s="1">
        <v>-1.10471838080866</v>
      </c>
      <c r="C113" s="4">
        <v>1.21646847397721E-9</v>
      </c>
      <c r="D113" s="5">
        <v>1.6911207011819101E-7</v>
      </c>
      <c r="E113" s="1" t="s">
        <v>265</v>
      </c>
      <c r="F113" s="1" t="s">
        <v>266</v>
      </c>
      <c r="G113" s="1">
        <v>12260</v>
      </c>
      <c r="H113" s="6" t="str">
        <f>HYPERLINK("http://www.ensembl.org/Mus_musculus/Gene/Summary?db=core;g=ENSMUSG00000036905","ENSMUSG00000036905")</f>
        <v>ENSMUSG00000036905</v>
      </c>
      <c r="I113" s="6" t="str">
        <f>HYPERLINK("http://www.informatics.jax.org/marker/MGI:88224","MGI:88224")</f>
        <v>MGI:88224</v>
      </c>
      <c r="J113" s="7" t="s">
        <v>12</v>
      </c>
    </row>
    <row r="114" spans="1:10" x14ac:dyDescent="0.2">
      <c r="A114" s="3">
        <v>2083.1514658454298</v>
      </c>
      <c r="B114" s="1">
        <v>-0.256282363670577</v>
      </c>
      <c r="C114" s="4">
        <v>1.27398612455736E-9</v>
      </c>
      <c r="D114" s="5">
        <v>1.7545289281754501E-7</v>
      </c>
      <c r="E114" s="1" t="s">
        <v>1636</v>
      </c>
      <c r="F114" s="1" t="s">
        <v>1637</v>
      </c>
      <c r="G114" s="1">
        <v>105239</v>
      </c>
      <c r="H114" s="6" t="str">
        <f>HYPERLINK("http://www.ensembl.org/Mus_musculus/Gene/Summary?db=core;g=ENSMUSG00000034928","ENSMUSG00000034928")</f>
        <v>ENSMUSG00000034928</v>
      </c>
      <c r="I114" s="6" t="str">
        <f>HYPERLINK("http://www.informatics.jax.org/marker/MGI:2145310","MGI:2145310")</f>
        <v>MGI:2145310</v>
      </c>
      <c r="J114" s="7" t="s">
        <v>12</v>
      </c>
    </row>
    <row r="115" spans="1:10" x14ac:dyDescent="0.2">
      <c r="A115" s="3">
        <v>926.64222353318996</v>
      </c>
      <c r="B115" s="1">
        <v>-0.782038681189693</v>
      </c>
      <c r="C115" s="4">
        <v>1.36997093079357E-9</v>
      </c>
      <c r="D115" s="5">
        <v>1.8692492255716699E-7</v>
      </c>
      <c r="E115" s="1" t="s">
        <v>490</v>
      </c>
      <c r="F115" s="1" t="s">
        <v>491</v>
      </c>
      <c r="G115" s="1">
        <v>56644</v>
      </c>
      <c r="H115" s="6" t="str">
        <f>HYPERLINK("http://www.ensembl.org/Mus_musculus/Gene/Summary?db=core;g=ENSMUSG00000079293","ENSMUSG00000079293")</f>
        <v>ENSMUSG00000079293</v>
      </c>
      <c r="I115" s="6" t="str">
        <f>HYPERLINK("http://www.informatics.jax.org/marker/MGI:1861431","MGI:1861431")</f>
        <v>MGI:1861431</v>
      </c>
      <c r="J115" s="7" t="s">
        <v>427</v>
      </c>
    </row>
    <row r="116" spans="1:10" x14ac:dyDescent="0.2">
      <c r="A116" s="3">
        <v>11.212244499396601</v>
      </c>
      <c r="B116" s="1">
        <v>-1.9884007170304401</v>
      </c>
      <c r="C116" s="4">
        <v>1.42388810505006E-9</v>
      </c>
      <c r="D116" s="5">
        <v>1.9238289201018101E-7</v>
      </c>
      <c r="E116" s="1" t="s">
        <v>55</v>
      </c>
      <c r="F116" s="1" t="s">
        <v>56</v>
      </c>
      <c r="G116" s="1">
        <v>15234</v>
      </c>
      <c r="H116" s="6" t="str">
        <f>HYPERLINK("http://www.ensembl.org/Mus_musculus/Gene/Summary?db=core;g=ENSMUSG00000028864","ENSMUSG00000028864")</f>
        <v>ENSMUSG00000028864</v>
      </c>
      <c r="I116" s="6" t="str">
        <f>HYPERLINK("http://www.informatics.jax.org/marker/MGI:96079","MGI:96079")</f>
        <v>MGI:96079</v>
      </c>
      <c r="J116" s="7" t="s">
        <v>12</v>
      </c>
    </row>
    <row r="117" spans="1:10" x14ac:dyDescent="0.2">
      <c r="A117" s="3">
        <v>317.028318708038</v>
      </c>
      <c r="B117" s="1">
        <v>-0.69318610383763501</v>
      </c>
      <c r="C117" s="4">
        <v>1.4449625580407001E-9</v>
      </c>
      <c r="D117" s="5">
        <v>1.9238289201018101E-7</v>
      </c>
      <c r="E117" s="1" t="s">
        <v>566</v>
      </c>
      <c r="F117" s="1" t="s">
        <v>567</v>
      </c>
      <c r="G117" s="1">
        <v>270084</v>
      </c>
      <c r="H117" s="6" t="str">
        <f>HYPERLINK("http://www.ensembl.org/Mus_musculus/Gene/Summary?db=core;g=ENSMUSG00000033192","ENSMUSG00000033192")</f>
        <v>ENSMUSG00000033192</v>
      </c>
      <c r="I117" s="6" t="str">
        <f>HYPERLINK("http://www.informatics.jax.org/marker/MGI:3606214","MGI:3606214")</f>
        <v>MGI:3606214</v>
      </c>
      <c r="J117" s="7" t="s">
        <v>12</v>
      </c>
    </row>
    <row r="118" spans="1:10" x14ac:dyDescent="0.2">
      <c r="A118" s="3">
        <v>666.78242142238503</v>
      </c>
      <c r="B118" s="1">
        <v>0.32712065797825901</v>
      </c>
      <c r="C118" s="4">
        <v>1.44913823379004E-9</v>
      </c>
      <c r="D118" s="5">
        <v>1.9238289201018101E-7</v>
      </c>
      <c r="E118" s="1" t="s">
        <v>3044</v>
      </c>
      <c r="F118" s="1" t="s">
        <v>3045</v>
      </c>
      <c r="G118" s="1">
        <v>381101</v>
      </c>
      <c r="H118" s="6" t="str">
        <f>HYPERLINK("http://www.ensembl.org/Mus_musculus/Gene/Summary?db=core;g=ENSMUSG00000040658","ENSMUSG00000040658")</f>
        <v>ENSMUSG00000040658</v>
      </c>
      <c r="I118" s="6" t="str">
        <f>HYPERLINK("http://www.informatics.jax.org/marker/MGI:3039376","MGI:3039376")</f>
        <v>MGI:3039376</v>
      </c>
      <c r="J118" s="7" t="s">
        <v>12</v>
      </c>
    </row>
    <row r="119" spans="1:10" x14ac:dyDescent="0.2">
      <c r="A119" s="3">
        <v>87.778367243404901</v>
      </c>
      <c r="B119" s="1">
        <v>-1.1714718935877</v>
      </c>
      <c r="C119" s="4">
        <v>1.6386393330649401E-9</v>
      </c>
      <c r="D119" s="5">
        <v>2.1559811796468701E-7</v>
      </c>
      <c r="E119" s="1" t="s">
        <v>237</v>
      </c>
      <c r="F119" s="1" t="s">
        <v>238</v>
      </c>
      <c r="G119" s="1">
        <v>319352</v>
      </c>
      <c r="H119" s="6" t="str">
        <f>HYPERLINK("http://www.ensembl.org/Mus_musculus/Gene/Summary?db=core;g=ENSMUSG00000030329","ENSMUSG00000030329")</f>
        <v>ENSMUSG00000030329</v>
      </c>
      <c r="I119" s="6" t="str">
        <f>HYPERLINK("http://www.informatics.jax.org/marker/MGI:2441908","MGI:2441908")</f>
        <v>MGI:2441908</v>
      </c>
      <c r="J119" s="7" t="s">
        <v>12</v>
      </c>
    </row>
    <row r="120" spans="1:10" x14ac:dyDescent="0.2">
      <c r="A120" s="3">
        <v>78.5515157304784</v>
      </c>
      <c r="B120" s="1">
        <v>-0.82438929229371405</v>
      </c>
      <c r="C120" s="4">
        <v>1.81988159532576E-9</v>
      </c>
      <c r="D120" s="5">
        <v>2.3732544414796801E-7</v>
      </c>
      <c r="E120" s="1" t="s">
        <v>464</v>
      </c>
      <c r="F120" s="1" t="s">
        <v>465</v>
      </c>
      <c r="G120" s="1">
        <v>27384</v>
      </c>
      <c r="H120" s="6" t="str">
        <f>HYPERLINK("http://www.ensembl.org/Mus_musculus/Gene/Summary?db=core;g=ENSMUSG00000021213","ENSMUSG00000021213")</f>
        <v>ENSMUSG00000021213</v>
      </c>
      <c r="I120" s="6" t="str">
        <f>HYPERLINK("http://www.informatics.jax.org/marker/MGI:1351662","MGI:1351662")</f>
        <v>MGI:1351662</v>
      </c>
      <c r="J120" s="7" t="s">
        <v>12</v>
      </c>
    </row>
    <row r="121" spans="1:10" x14ac:dyDescent="0.2">
      <c r="A121" s="3">
        <v>1302.8428619163701</v>
      </c>
      <c r="B121" s="1">
        <v>0.36262337945282902</v>
      </c>
      <c r="C121" s="4">
        <v>2.23766960824514E-9</v>
      </c>
      <c r="D121" s="5">
        <v>2.8924823988684597E-7</v>
      </c>
      <c r="E121" s="1" t="s">
        <v>3110</v>
      </c>
      <c r="F121" s="1" t="s">
        <v>3111</v>
      </c>
      <c r="G121" s="1">
        <v>50527</v>
      </c>
      <c r="H121" s="6" t="str">
        <f>HYPERLINK("http://www.ensembl.org/Mus_musculus/Gene/Summary?db=core;g=ENSMUSG00000021831","ENSMUSG00000021831")</f>
        <v>ENSMUSG00000021831</v>
      </c>
      <c r="I121" s="6" t="str">
        <f>HYPERLINK("http://www.informatics.jax.org/marker/MGI:1354385","MGI:1354385")</f>
        <v>MGI:1354385</v>
      </c>
      <c r="J121" s="7" t="s">
        <v>12</v>
      </c>
    </row>
    <row r="122" spans="1:10" x14ac:dyDescent="0.2">
      <c r="A122" s="3">
        <v>289.86292664740898</v>
      </c>
      <c r="B122" s="1">
        <v>-0.75877995416681698</v>
      </c>
      <c r="C122" s="4">
        <v>2.28825921614684E-9</v>
      </c>
      <c r="D122" s="5">
        <v>2.9321554616643299E-7</v>
      </c>
      <c r="E122" s="1" t="s">
        <v>516</v>
      </c>
      <c r="F122" s="1" t="s">
        <v>517</v>
      </c>
      <c r="G122" s="1">
        <v>75329</v>
      </c>
      <c r="H122" s="6" t="str">
        <f>HYPERLINK("http://www.ensembl.org/Mus_musculus/Gene/Summary?db=core;g=ENSMUSG00000039200","ENSMUSG00000039200")</f>
        <v>ENSMUSG00000039200</v>
      </c>
      <c r="I122" s="6" t="str">
        <f>HYPERLINK("http://www.informatics.jax.org/marker/MGI:1922579","MGI:1922579")</f>
        <v>MGI:1922579</v>
      </c>
      <c r="J122" s="7" t="s">
        <v>12</v>
      </c>
    </row>
    <row r="123" spans="1:10" x14ac:dyDescent="0.2">
      <c r="A123" s="3">
        <v>710.90472680589198</v>
      </c>
      <c r="B123" s="1">
        <v>0.421173646494446</v>
      </c>
      <c r="C123" s="4">
        <v>2.35605738304937E-9</v>
      </c>
      <c r="D123" s="5">
        <v>2.9930053100530598E-7</v>
      </c>
      <c r="E123" s="1" t="s">
        <v>3154</v>
      </c>
      <c r="F123" s="1" t="s">
        <v>3155</v>
      </c>
      <c r="G123" s="1">
        <v>57266</v>
      </c>
      <c r="H123" s="6" t="str">
        <f>HYPERLINK("http://www.ensembl.org/Mus_musculus/Gene/Summary?db=core;g=ENSMUSG00000021508","ENSMUSG00000021508")</f>
        <v>ENSMUSG00000021508</v>
      </c>
      <c r="I123" s="6" t="str">
        <f>HYPERLINK("http://www.informatics.jax.org/marker/MGI:1888514","MGI:1888514")</f>
        <v>MGI:1888514</v>
      </c>
      <c r="J123" s="7" t="s">
        <v>12</v>
      </c>
    </row>
    <row r="124" spans="1:10" x14ac:dyDescent="0.2">
      <c r="A124" s="3">
        <v>714.21622126293698</v>
      </c>
      <c r="B124" s="1">
        <v>-0.47549651838426299</v>
      </c>
      <c r="C124" s="4">
        <v>2.7810300034275799E-9</v>
      </c>
      <c r="D124" s="5">
        <v>3.5026716350862201E-7</v>
      </c>
      <c r="E124" s="1" t="s">
        <v>885</v>
      </c>
      <c r="F124" s="1" t="s">
        <v>886</v>
      </c>
      <c r="G124" s="1">
        <v>26417</v>
      </c>
      <c r="H124" s="6" t="str">
        <f>HYPERLINK("http://www.ensembl.org/Mus_musculus/Gene/Summary?db=core;g=ENSMUSG00000063065","ENSMUSG00000063065")</f>
        <v>ENSMUSG00000063065</v>
      </c>
      <c r="I124" s="6" t="str">
        <f>HYPERLINK("http://www.informatics.jax.org/marker/MGI:1346859","MGI:1346859")</f>
        <v>MGI:1346859</v>
      </c>
      <c r="J124" s="7" t="s">
        <v>12</v>
      </c>
    </row>
    <row r="125" spans="1:10" x14ac:dyDescent="0.2">
      <c r="A125" s="3">
        <v>1289.05391605369</v>
      </c>
      <c r="B125" s="1">
        <v>-0.235807333874619</v>
      </c>
      <c r="C125" s="4">
        <v>2.9196411886850601E-9</v>
      </c>
      <c r="D125" s="5">
        <v>3.6460875047850098E-7</v>
      </c>
      <c r="E125" s="1" t="s">
        <v>1730</v>
      </c>
      <c r="F125" s="1" t="s">
        <v>1731</v>
      </c>
      <c r="G125" s="1">
        <v>76332</v>
      </c>
      <c r="H125" s="6" t="str">
        <f>HYPERLINK("http://www.ensembl.org/Mus_musculus/Gene/Summary?db=core;g=ENSMUSG00000031979","ENSMUSG00000031979")</f>
        <v>ENSMUSG00000031979</v>
      </c>
      <c r="I125" s="6" t="str">
        <f>HYPERLINK("http://www.informatics.jax.org/marker/MGI:1923582","MGI:1923582")</f>
        <v>MGI:1923582</v>
      </c>
      <c r="J125" s="7" t="s">
        <v>12</v>
      </c>
    </row>
    <row r="126" spans="1:10" x14ac:dyDescent="0.2">
      <c r="A126" s="3">
        <v>6811.4072469694402</v>
      </c>
      <c r="B126" s="1">
        <v>-0.25695640596990599</v>
      </c>
      <c r="C126" s="4">
        <v>2.9466007902339599E-9</v>
      </c>
      <c r="D126" s="5">
        <v>3.6488327096544198E-7</v>
      </c>
      <c r="E126" s="1" t="s">
        <v>1634</v>
      </c>
      <c r="F126" s="1" t="s">
        <v>1635</v>
      </c>
      <c r="G126" s="1">
        <v>58810</v>
      </c>
      <c r="H126" s="6" t="str">
        <f>HYPERLINK("http://www.ensembl.org/Mus_musculus/Gene/Summary?db=core;g=ENSMUSG00000028692","ENSMUSG00000028692")</f>
        <v>ENSMUSG00000028692</v>
      </c>
      <c r="I126" s="6" t="str">
        <f>HYPERLINK("http://www.informatics.jax.org/marker/MGI:1929955","MGI:1929955")</f>
        <v>MGI:1929955</v>
      </c>
      <c r="J126" s="7" t="s">
        <v>12</v>
      </c>
    </row>
    <row r="127" spans="1:10" x14ac:dyDescent="0.2">
      <c r="A127" s="3">
        <v>148.536738977233</v>
      </c>
      <c r="B127" s="1">
        <v>-0.78609707560675501</v>
      </c>
      <c r="C127" s="4">
        <v>3.6162351656947599E-9</v>
      </c>
      <c r="D127" s="5">
        <v>4.44073678347317E-7</v>
      </c>
      <c r="E127" s="1" t="s">
        <v>486</v>
      </c>
      <c r="F127" s="1" t="s">
        <v>487</v>
      </c>
      <c r="G127" s="1">
        <v>194590</v>
      </c>
      <c r="H127" s="6" t="str">
        <f>HYPERLINK("http://www.ensembl.org/Mus_musculus/Gene/Summary?db=core;g=ENSMUSG00000040855","ENSMUSG00000040855")</f>
        <v>ENSMUSG00000040855</v>
      </c>
      <c r="I127" s="6" t="str">
        <f>HYPERLINK("http://www.informatics.jax.org/marker/MGI:2663511","MGI:2663511")</f>
        <v>MGI:2663511</v>
      </c>
      <c r="J127" s="7" t="s">
        <v>12</v>
      </c>
    </row>
    <row r="128" spans="1:10" x14ac:dyDescent="0.2">
      <c r="A128" s="3">
        <v>893.98898573699796</v>
      </c>
      <c r="B128" s="1">
        <v>-2.2792329078436899</v>
      </c>
      <c r="C128" s="4">
        <v>4.0858454946426296E-9</v>
      </c>
      <c r="D128" s="5">
        <v>4.9759520007482505E-7</v>
      </c>
      <c r="E128" s="1" t="s">
        <v>37</v>
      </c>
      <c r="F128" s="1" t="s">
        <v>38</v>
      </c>
      <c r="G128" s="1">
        <v>22029</v>
      </c>
      <c r="H128" s="6" t="str">
        <f>HYPERLINK("http://www.ensembl.org/Mus_musculus/Gene/Summary?db=core;g=ENSMUSG00000026875","ENSMUSG00000026875")</f>
        <v>ENSMUSG00000026875</v>
      </c>
      <c r="I128" s="6" t="str">
        <f>HYPERLINK("http://www.informatics.jax.org/marker/MGI:101836","MGI:101836")</f>
        <v>MGI:101836</v>
      </c>
      <c r="J128" s="7" t="s">
        <v>12</v>
      </c>
    </row>
    <row r="129" spans="1:10" x14ac:dyDescent="0.2">
      <c r="A129" s="3">
        <v>1111.2411254799999</v>
      </c>
      <c r="B129" s="1">
        <v>-1.9103319532290199</v>
      </c>
      <c r="C129" s="4">
        <v>4.14548942826515E-9</v>
      </c>
      <c r="D129" s="5">
        <v>5.0072075585996104E-7</v>
      </c>
      <c r="E129" s="1" t="s">
        <v>65</v>
      </c>
      <c r="F129" s="1" t="s">
        <v>66</v>
      </c>
      <c r="G129" s="1">
        <v>100038882</v>
      </c>
      <c r="H129" s="6" t="str">
        <f>HYPERLINK("http://www.ensembl.org/Mus_musculus/Gene/Summary?db=core;g=ENSMUSG00000035692","ENSMUSG00000035692")</f>
        <v>ENSMUSG00000035692</v>
      </c>
      <c r="I129" s="6" t="str">
        <f>HYPERLINK("http://www.informatics.jax.org/marker/MGI:1855694","MGI:1855694")</f>
        <v>MGI:1855694</v>
      </c>
      <c r="J129" s="7" t="s">
        <v>12</v>
      </c>
    </row>
    <row r="130" spans="1:10" x14ac:dyDescent="0.2">
      <c r="A130" s="3">
        <v>217.60360647533099</v>
      </c>
      <c r="B130" s="1">
        <v>-0.58741155293390102</v>
      </c>
      <c r="C130" s="4">
        <v>4.20302183648225E-9</v>
      </c>
      <c r="D130" s="5">
        <v>5.03542518556118E-7</v>
      </c>
      <c r="E130" s="1" t="s">
        <v>695</v>
      </c>
      <c r="F130" s="1" t="s">
        <v>696</v>
      </c>
      <c r="G130" s="1">
        <v>12520</v>
      </c>
      <c r="H130" s="6" t="str">
        <f>HYPERLINK("http://www.ensembl.org/Mus_musculus/Gene/Summary?db=core;g=ENSMUSG00000037706","ENSMUSG00000037706")</f>
        <v>ENSMUSG00000037706</v>
      </c>
      <c r="I130" s="6" t="str">
        <f>HYPERLINK("http://www.informatics.jax.org/marker/MGI:1096398","MGI:1096398")</f>
        <v>MGI:1096398</v>
      </c>
      <c r="J130" s="7" t="s">
        <v>12</v>
      </c>
    </row>
    <row r="131" spans="1:10" x14ac:dyDescent="0.2">
      <c r="A131" s="3">
        <v>1795.9028056760001</v>
      </c>
      <c r="B131" s="1">
        <v>-0.84294671531562904</v>
      </c>
      <c r="C131" s="4">
        <v>4.74360290806953E-9</v>
      </c>
      <c r="D131" s="5">
        <v>5.6372364881703699E-7</v>
      </c>
      <c r="E131" s="1" t="s">
        <v>446</v>
      </c>
      <c r="F131" s="1" t="s">
        <v>447</v>
      </c>
      <c r="G131" s="1">
        <v>12262</v>
      </c>
      <c r="H131" s="6" t="str">
        <f>HYPERLINK("http://www.ensembl.org/Mus_musculus/Gene/Summary?db=core;g=ENSMUSG00000036896","ENSMUSG00000036896")</f>
        <v>ENSMUSG00000036896</v>
      </c>
      <c r="I131" s="6" t="str">
        <f>HYPERLINK("http://www.informatics.jax.org/marker/MGI:88225","MGI:88225")</f>
        <v>MGI:88225</v>
      </c>
      <c r="J131" s="7" t="s">
        <v>12</v>
      </c>
    </row>
    <row r="132" spans="1:10" x14ac:dyDescent="0.2">
      <c r="A132" s="3">
        <v>717.99246048505404</v>
      </c>
      <c r="B132" s="1">
        <v>-0.57887604706743601</v>
      </c>
      <c r="C132" s="4">
        <v>5.0522543337626501E-9</v>
      </c>
      <c r="D132" s="5">
        <v>5.9560015889861101E-7</v>
      </c>
      <c r="E132" s="1" t="s">
        <v>707</v>
      </c>
      <c r="F132" s="1" t="s">
        <v>708</v>
      </c>
      <c r="G132" s="1">
        <v>105670</v>
      </c>
      <c r="H132" s="6" t="str">
        <f>HYPERLINK("http://www.ensembl.org/Mus_musculus/Gene/Summary?db=core;g=ENSMUSG00000022106","ENSMUSG00000022106")</f>
        <v>ENSMUSG00000022106</v>
      </c>
      <c r="I132" s="6" t="str">
        <f>HYPERLINK("http://www.informatics.jax.org/marker/MGI:1917200","MGI:1917200")</f>
        <v>MGI:1917200</v>
      </c>
      <c r="J132" s="7" t="s">
        <v>12</v>
      </c>
    </row>
    <row r="133" spans="1:10" x14ac:dyDescent="0.2">
      <c r="A133" s="3">
        <v>838.49494658861397</v>
      </c>
      <c r="B133" s="1">
        <v>-0.33608035415688398</v>
      </c>
      <c r="C133" s="4">
        <v>5.8100359806723603E-9</v>
      </c>
      <c r="D133" s="5">
        <v>6.7949754135863395E-7</v>
      </c>
      <c r="E133" s="1" t="s">
        <v>1282</v>
      </c>
      <c r="F133" s="1" t="s">
        <v>1283</v>
      </c>
      <c r="G133" s="1">
        <v>11980</v>
      </c>
      <c r="H133" s="6" t="str">
        <f>HYPERLINK("http://www.ensembl.org/Mus_musculus/Gene/Summary?db=core;g=ENSMUSG00000037685","ENSMUSG00000037685")</f>
        <v>ENSMUSG00000037685</v>
      </c>
      <c r="I133" s="6" t="str">
        <f>HYPERLINK("http://www.informatics.jax.org/marker/MGI:1330848","MGI:1330848")</f>
        <v>MGI:1330848</v>
      </c>
      <c r="J133" s="7" t="s">
        <v>12</v>
      </c>
    </row>
    <row r="134" spans="1:10" x14ac:dyDescent="0.2">
      <c r="A134" s="3">
        <v>179.25565324801701</v>
      </c>
      <c r="B134" s="1">
        <v>-0.52029173289761899</v>
      </c>
      <c r="C134" s="4">
        <v>6.6473272813447197E-9</v>
      </c>
      <c r="D134" s="5">
        <v>7.7129932927477E-7</v>
      </c>
      <c r="E134" s="1" t="s">
        <v>809</v>
      </c>
      <c r="F134" s="1" t="s">
        <v>810</v>
      </c>
      <c r="G134" s="1">
        <v>77605</v>
      </c>
      <c r="H134" s="6" t="str">
        <f>HYPERLINK("http://www.ensembl.org/Mus_musculus/Gene/Summary?db=core;g=ENSMUSG00000041126","ENSMUSG00000041126")</f>
        <v>ENSMUSG00000041126</v>
      </c>
      <c r="I134" s="6" t="str">
        <f>HYPERLINK("http://www.informatics.jax.org/marker/MGI:1924855","MGI:1924855")</f>
        <v>MGI:1924855</v>
      </c>
      <c r="J134" s="7" t="s">
        <v>12</v>
      </c>
    </row>
    <row r="135" spans="1:10" x14ac:dyDescent="0.2">
      <c r="A135" s="3">
        <v>1167.81318776743</v>
      </c>
      <c r="B135" s="1">
        <v>-0.44677261384632899</v>
      </c>
      <c r="C135" s="4">
        <v>6.7646295094271498E-9</v>
      </c>
      <c r="D135" s="5">
        <v>7.7877797227279998E-7</v>
      </c>
      <c r="E135" s="1" t="s">
        <v>937</v>
      </c>
      <c r="F135" s="1" t="s">
        <v>938</v>
      </c>
      <c r="G135" s="1">
        <v>69219</v>
      </c>
      <c r="H135" s="6" t="str">
        <f>HYPERLINK("http://www.ensembl.org/Mus_musculus/Gene/Summary?db=core;g=ENSMUSG00000028194","ENSMUSG00000028194")</f>
        <v>ENSMUSG00000028194</v>
      </c>
      <c r="I135" s="6" t="str">
        <f>HYPERLINK("http://www.informatics.jax.org/marker/MGI:1916469","MGI:1916469")</f>
        <v>MGI:1916469</v>
      </c>
      <c r="J135" s="7" t="s">
        <v>12</v>
      </c>
    </row>
    <row r="136" spans="1:10" x14ac:dyDescent="0.2">
      <c r="A136" s="3">
        <v>127.801618850084</v>
      </c>
      <c r="B136" s="1">
        <v>-0.68284146441923799</v>
      </c>
      <c r="C136" s="4">
        <v>7.0629721968984304E-9</v>
      </c>
      <c r="D136" s="5">
        <v>8.0682138212011796E-7</v>
      </c>
      <c r="E136" s="1" t="s">
        <v>574</v>
      </c>
      <c r="F136" s="1" t="s">
        <v>575</v>
      </c>
      <c r="G136" s="1">
        <v>20166</v>
      </c>
      <c r="H136" s="6" t="str">
        <f>HYPERLINK("http://www.ensembl.org/Mus_musculus/Gene/Summary?db=core;g=ENSMUSG00000034930","ENSMUSG00000034930")</f>
        <v>ENSMUSG00000034930</v>
      </c>
      <c r="I136" s="6" t="str">
        <f>HYPERLINK("http://www.informatics.jax.org/marker/MGI:107371","MGI:107371")</f>
        <v>MGI:107371</v>
      </c>
      <c r="J136" s="7" t="s">
        <v>12</v>
      </c>
    </row>
    <row r="137" spans="1:10" x14ac:dyDescent="0.2">
      <c r="A137" s="3">
        <v>8.9244927615044602</v>
      </c>
      <c r="B137" s="1">
        <v>-2.2835720359438501</v>
      </c>
      <c r="C137" s="4">
        <v>7.5370474646771497E-9</v>
      </c>
      <c r="D137" s="5">
        <v>8.5106718737812204E-7</v>
      </c>
      <c r="E137" s="1" t="s">
        <v>33</v>
      </c>
      <c r="F137" s="1" t="s">
        <v>34</v>
      </c>
      <c r="G137" s="1">
        <v>380924</v>
      </c>
      <c r="H137" s="6" t="str">
        <f>HYPERLINK("http://www.ensembl.org/Mus_musculus/Gene/Summary?db=core;g=ENSMUSG00000022026","ENSMUSG00000022026")</f>
        <v>ENSMUSG00000022026</v>
      </c>
      <c r="I137" s="6" t="str">
        <f>HYPERLINK("http://www.informatics.jax.org/marker/MGI:2685142","MGI:2685142")</f>
        <v>MGI:2685142</v>
      </c>
      <c r="J137" s="7" t="s">
        <v>12</v>
      </c>
    </row>
    <row r="138" spans="1:10" x14ac:dyDescent="0.2">
      <c r="A138" s="3">
        <v>3195.0045703634801</v>
      </c>
      <c r="B138" s="1">
        <v>-0.59811099362187103</v>
      </c>
      <c r="C138" s="4">
        <v>7.5658117227561002E-9</v>
      </c>
      <c r="D138" s="5">
        <v>8.5106718737812204E-7</v>
      </c>
      <c r="E138" s="1" t="s">
        <v>677</v>
      </c>
      <c r="F138" s="1" t="s">
        <v>678</v>
      </c>
      <c r="G138" s="1">
        <v>239217</v>
      </c>
      <c r="H138" s="6" t="str">
        <f>HYPERLINK("http://www.ensembl.org/Mus_musculus/Gene/Summary?db=core;g=ENSMUSG00000098557","ENSMUSG00000098557")</f>
        <v>ENSMUSG00000098557</v>
      </c>
      <c r="I138" s="6" t="str">
        <f>HYPERLINK("http://www.informatics.jax.org/marker/MGI:2145823","MGI:2145823")</f>
        <v>MGI:2145823</v>
      </c>
      <c r="J138" s="7" t="s">
        <v>12</v>
      </c>
    </row>
    <row r="139" spans="1:10" x14ac:dyDescent="0.2">
      <c r="A139" s="3">
        <v>13.842715264172</v>
      </c>
      <c r="B139" s="1">
        <v>-1.5806403342445801</v>
      </c>
      <c r="C139" s="4">
        <v>8.0319500122366095E-9</v>
      </c>
      <c r="D139" s="5">
        <v>8.9665769227514201E-7</v>
      </c>
      <c r="E139" s="1" t="s">
        <v>118</v>
      </c>
      <c r="F139" s="1" t="s">
        <v>119</v>
      </c>
      <c r="G139" s="1">
        <v>68054</v>
      </c>
      <c r="H139" s="6" t="str">
        <f>HYPERLINK("http://www.ensembl.org/Mus_musculus/Gene/Summary?db=core;g=ENSMUSG00000041567","ENSMUSG00000041567")</f>
        <v>ENSMUSG00000041567</v>
      </c>
      <c r="I139" s="6" t="str">
        <f>HYPERLINK("http://www.informatics.jax.org/marker/MGI:1915304","MGI:1915304")</f>
        <v>MGI:1915304</v>
      </c>
      <c r="J139" s="7" t="s">
        <v>12</v>
      </c>
    </row>
    <row r="140" spans="1:10" x14ac:dyDescent="0.2">
      <c r="A140" s="3">
        <v>412.55447536705998</v>
      </c>
      <c r="B140" s="1">
        <v>0.47658274741548601</v>
      </c>
      <c r="C140" s="4">
        <v>8.3120692084859094E-9</v>
      </c>
      <c r="D140" s="5">
        <v>9.2095226959585202E-7</v>
      </c>
      <c r="E140" s="1" t="s">
        <v>3186</v>
      </c>
      <c r="F140" s="1" t="s">
        <v>3187</v>
      </c>
      <c r="G140" s="1">
        <v>26432</v>
      </c>
      <c r="H140" s="6" t="str">
        <f>HYPERLINK("http://www.ensembl.org/Mus_musculus/Gene/Summary?db=core;g=ENSMUSG00000032374","ENSMUSG00000032374")</f>
        <v>ENSMUSG00000032374</v>
      </c>
      <c r="I140" s="6" t="str">
        <f>HYPERLINK("http://www.informatics.jax.org/marker/MGI:1347007","MGI:1347007")</f>
        <v>MGI:1347007</v>
      </c>
      <c r="J140" s="7" t="s">
        <v>12</v>
      </c>
    </row>
    <row r="141" spans="1:10" x14ac:dyDescent="0.2">
      <c r="A141" s="3">
        <v>498.94070274734298</v>
      </c>
      <c r="B141" s="1">
        <v>-0.73523477485348199</v>
      </c>
      <c r="C141" s="4">
        <v>8.7693920257840004E-9</v>
      </c>
      <c r="D141" s="5">
        <v>9.6437134993994798E-7</v>
      </c>
      <c r="E141" s="1" t="s">
        <v>532</v>
      </c>
      <c r="F141" s="1" t="s">
        <v>533</v>
      </c>
      <c r="G141" s="1">
        <v>15015</v>
      </c>
      <c r="H141" s="6" t="str">
        <f>HYPERLINK("http://www.ensembl.org/Mus_musculus/Gene/Summary?db=core;g=ENSMUSG00000035929","ENSMUSG00000035929")</f>
        <v>ENSMUSG00000035929</v>
      </c>
      <c r="I141" s="6" t="str">
        <f>HYPERLINK("http://www.informatics.jax.org/marker/MGI:95933","MGI:95933")</f>
        <v>MGI:95933</v>
      </c>
      <c r="J141" s="7" t="s">
        <v>12</v>
      </c>
    </row>
    <row r="142" spans="1:10" x14ac:dyDescent="0.2">
      <c r="A142" s="3">
        <v>1761.8785125059601</v>
      </c>
      <c r="B142" s="1">
        <v>0.30203149517028999</v>
      </c>
      <c r="C142" s="4">
        <v>9.2149773565276201E-9</v>
      </c>
      <c r="D142" s="5">
        <v>1.0058659727836399E-6</v>
      </c>
      <c r="E142" s="1" t="s">
        <v>3004</v>
      </c>
      <c r="F142" s="1" t="s">
        <v>3005</v>
      </c>
      <c r="G142" s="1">
        <v>78891</v>
      </c>
      <c r="H142" s="6" t="str">
        <f>HYPERLINK("http://www.ensembl.org/Mus_musculus/Gene/Summary?db=core;g=ENSMUSG00000024941","ENSMUSG00000024941")</f>
        <v>ENSMUSG00000024941</v>
      </c>
      <c r="I142" s="6" t="str">
        <f>HYPERLINK("http://www.informatics.jax.org/marker/MGI:1931787","MGI:1931787")</f>
        <v>MGI:1931787</v>
      </c>
      <c r="J142" s="7" t="s">
        <v>12</v>
      </c>
    </row>
    <row r="143" spans="1:10" x14ac:dyDescent="0.2">
      <c r="A143" s="3">
        <v>30.094729031216001</v>
      </c>
      <c r="B143" s="1">
        <v>-1.7434588253154899</v>
      </c>
      <c r="C143" s="4">
        <v>9.7228878430476299E-9</v>
      </c>
      <c r="D143" s="5">
        <v>1.0535034945231601E-6</v>
      </c>
      <c r="E143" s="1" t="s">
        <v>85</v>
      </c>
      <c r="F143" s="1" t="s">
        <v>86</v>
      </c>
      <c r="G143" s="1">
        <v>14026</v>
      </c>
      <c r="H143" s="6" t="str">
        <f>HYPERLINK("http://www.ensembl.org/Mus_musculus/Gene/Summary?db=core;g=ENSMUSG00000021262","ENSMUSG00000021262")</f>
        <v>ENSMUSG00000021262</v>
      </c>
      <c r="I143" s="6" t="str">
        <f>HYPERLINK("http://www.informatics.jax.org/marker/MGI:1194884","MGI:1194884")</f>
        <v>MGI:1194884</v>
      </c>
      <c r="J143" s="7" t="s">
        <v>12</v>
      </c>
    </row>
    <row r="144" spans="1:10" x14ac:dyDescent="0.2">
      <c r="A144" s="3">
        <v>7945.74200935715</v>
      </c>
      <c r="B144" s="1">
        <v>-0.61520839941109395</v>
      </c>
      <c r="C144" s="4">
        <v>1.04976961684016E-8</v>
      </c>
      <c r="D144" s="5">
        <v>1.12097138215628E-6</v>
      </c>
      <c r="E144" s="1" t="s">
        <v>650</v>
      </c>
      <c r="F144" s="1" t="s">
        <v>651</v>
      </c>
      <c r="G144" s="1">
        <v>229003</v>
      </c>
      <c r="H144" s="6" t="str">
        <f>HYPERLINK("http://www.ensembl.org/Mus_musculus/Gene/Summary?db=core;g=ENSMUSG00000027580","ENSMUSG00000027580")</f>
        <v>ENSMUSG00000027580</v>
      </c>
      <c r="I144" s="6" t="str">
        <f>HYPERLINK("http://www.informatics.jax.org/marker/MGI:2385169","MGI:2385169")</f>
        <v>MGI:2385169</v>
      </c>
      <c r="J144" s="7" t="s">
        <v>12</v>
      </c>
    </row>
    <row r="145" spans="1:10" x14ac:dyDescent="0.2">
      <c r="A145" s="3">
        <v>342.96753254524202</v>
      </c>
      <c r="B145" s="1">
        <v>0.579495689569406</v>
      </c>
      <c r="C145" s="4">
        <v>1.04612277098512E-8</v>
      </c>
      <c r="D145" s="5">
        <v>1.12097138215628E-6</v>
      </c>
      <c r="E145" s="1" t="s">
        <v>3234</v>
      </c>
      <c r="F145" s="1" t="s">
        <v>3235</v>
      </c>
      <c r="G145" s="1">
        <v>104383</v>
      </c>
      <c r="H145" s="6" t="str">
        <f>HYPERLINK("http://www.ensembl.org/Mus_musculus/Gene/Summary?db=core;g=ENSMUSG00000024968","ENSMUSG00000024968")</f>
        <v>ENSMUSG00000024968</v>
      </c>
      <c r="I145" s="6" t="str">
        <f>HYPERLINK("http://www.informatics.jax.org/marker/MGI:1859854","MGI:1859854")</f>
        <v>MGI:1859854</v>
      </c>
      <c r="J145" s="7" t="s">
        <v>12</v>
      </c>
    </row>
    <row r="146" spans="1:10" x14ac:dyDescent="0.2">
      <c r="A146" s="3">
        <v>217.54408244527701</v>
      </c>
      <c r="B146" s="1">
        <v>-0.85021955117374604</v>
      </c>
      <c r="C146" s="4">
        <v>1.17321972803156E-8</v>
      </c>
      <c r="D146" s="5">
        <v>1.2437817203074201E-6</v>
      </c>
      <c r="E146" s="1" t="s">
        <v>438</v>
      </c>
      <c r="F146" s="1" t="s">
        <v>439</v>
      </c>
      <c r="G146" s="1">
        <v>26874</v>
      </c>
      <c r="H146" s="6" t="str">
        <f>HYPERLINK("http://www.ensembl.org/Mus_musculus/Gene/Summary?db=core;g=ENSMUSG00000055782","ENSMUSG00000055782")</f>
        <v>ENSMUSG00000055782</v>
      </c>
      <c r="I146" s="6" t="str">
        <f>HYPERLINK("http://www.informatics.jax.org/marker/MGI:1349467","MGI:1349467")</f>
        <v>MGI:1349467</v>
      </c>
      <c r="J146" s="7" t="s">
        <v>12</v>
      </c>
    </row>
    <row r="147" spans="1:10" x14ac:dyDescent="0.2">
      <c r="A147" s="3">
        <v>5084.0993546383097</v>
      </c>
      <c r="B147" s="1">
        <v>-0.44991806994216199</v>
      </c>
      <c r="C147" s="4">
        <v>1.1986271149138799E-8</v>
      </c>
      <c r="D147" s="5">
        <v>1.26164065466935E-6</v>
      </c>
      <c r="E147" s="1" t="s">
        <v>929</v>
      </c>
      <c r="F147" s="1" t="s">
        <v>930</v>
      </c>
      <c r="G147" s="1">
        <v>213391</v>
      </c>
      <c r="H147" s="6" t="str">
        <f>HYPERLINK("http://www.ensembl.org/Mus_musculus/Gene/Summary?db=core;g=ENSMUSG00000042129","ENSMUSG00000042129")</f>
        <v>ENSMUSG00000042129</v>
      </c>
      <c r="I147" s="6" t="str">
        <f>HYPERLINK("http://www.informatics.jax.org/marker/MGI:2386853","MGI:2386853")</f>
        <v>MGI:2386853</v>
      </c>
      <c r="J147" s="7" t="s">
        <v>12</v>
      </c>
    </row>
    <row r="148" spans="1:10" x14ac:dyDescent="0.2">
      <c r="A148" s="3">
        <v>502.98129112050299</v>
      </c>
      <c r="B148" s="1">
        <v>-0.407373881890221</v>
      </c>
      <c r="C148" s="4">
        <v>1.26521601414395E-8</v>
      </c>
      <c r="D148" s="5">
        <v>1.3222853322287399E-6</v>
      </c>
      <c r="E148" s="1" t="s">
        <v>1079</v>
      </c>
      <c r="F148" s="1" t="s">
        <v>1080</v>
      </c>
      <c r="G148" s="1">
        <v>218215</v>
      </c>
      <c r="H148" s="6" t="str">
        <f>HYPERLINK("http://www.ensembl.org/Mus_musculus/Gene/Summary?db=core;g=ENSMUSG00000038068","ENSMUSG00000038068")</f>
        <v>ENSMUSG00000038068</v>
      </c>
      <c r="I148" s="6" t="str">
        <f>HYPERLINK("http://www.informatics.jax.org/marker/MGI:2384986","MGI:2384986")</f>
        <v>MGI:2384986</v>
      </c>
      <c r="J148" s="7" t="s">
        <v>12</v>
      </c>
    </row>
    <row r="149" spans="1:10" x14ac:dyDescent="0.2">
      <c r="A149" s="3">
        <v>4311.1992733896504</v>
      </c>
      <c r="B149" s="1">
        <v>-1.3376538755737</v>
      </c>
      <c r="C149" s="4">
        <v>1.321212667547E-8</v>
      </c>
      <c r="D149" s="5">
        <v>1.3710837935896199E-6</v>
      </c>
      <c r="E149" s="1" t="s">
        <v>170</v>
      </c>
      <c r="F149" s="1" t="s">
        <v>171</v>
      </c>
      <c r="G149" s="1">
        <v>547253</v>
      </c>
      <c r="H149" s="6" t="str">
        <f>HYPERLINK("http://www.ensembl.org/Mus_musculus/Gene/Summary?db=core;g=ENSMUSG00000034422","ENSMUSG00000034422")</f>
        <v>ENSMUSG00000034422</v>
      </c>
      <c r="I149" s="6" t="str">
        <f>HYPERLINK("http://www.informatics.jax.org/marker/MGI:1919489","MGI:1919489")</f>
        <v>MGI:1919489</v>
      </c>
      <c r="J149" s="7" t="s">
        <v>12</v>
      </c>
    </row>
    <row r="150" spans="1:10" x14ac:dyDescent="0.2">
      <c r="A150" s="3">
        <v>404.03481766201099</v>
      </c>
      <c r="B150" s="1">
        <v>-0.50501254301951903</v>
      </c>
      <c r="C150" s="4">
        <v>1.4007349641408101E-8</v>
      </c>
      <c r="D150" s="5">
        <v>1.44344268752301E-6</v>
      </c>
      <c r="E150" s="1" t="s">
        <v>823</v>
      </c>
      <c r="F150" s="1" t="s">
        <v>824</v>
      </c>
      <c r="G150" s="1">
        <v>19157</v>
      </c>
      <c r="H150" s="6" t="str">
        <f>HYPERLINK("http://www.ensembl.org/Mus_musculus/Gene/Summary?db=core;g=ENSMUSG00000017132","ENSMUSG00000017132")</f>
        <v>ENSMUSG00000017132</v>
      </c>
      <c r="I150" s="6" t="str">
        <f>HYPERLINK("http://www.informatics.jax.org/marker/MGI:1334257","MGI:1334257")</f>
        <v>MGI:1334257</v>
      </c>
      <c r="J150" s="7" t="s">
        <v>12</v>
      </c>
    </row>
    <row r="151" spans="1:10" x14ac:dyDescent="0.2">
      <c r="A151" s="3">
        <v>1152.3418920363699</v>
      </c>
      <c r="B151" s="1">
        <v>-0.68511997564017801</v>
      </c>
      <c r="C151" s="4">
        <v>1.52137428292267E-8</v>
      </c>
      <c r="D151" s="5">
        <v>1.54613596090679E-6</v>
      </c>
      <c r="E151" s="1" t="s">
        <v>572</v>
      </c>
      <c r="F151" s="1" t="s">
        <v>573</v>
      </c>
      <c r="G151" s="1">
        <v>17118</v>
      </c>
      <c r="H151" s="6" t="str">
        <f>HYPERLINK("http://www.ensembl.org/Mus_musculus/Gene/Summary?db=core;g=ENSMUSG00000069662","ENSMUSG00000069662")</f>
        <v>ENSMUSG00000069662</v>
      </c>
      <c r="I151" s="6" t="str">
        <f>HYPERLINK("http://www.informatics.jax.org/marker/MGI:96907","MGI:96907")</f>
        <v>MGI:96907</v>
      </c>
      <c r="J151" s="7" t="s">
        <v>12</v>
      </c>
    </row>
    <row r="152" spans="1:10" x14ac:dyDescent="0.2">
      <c r="A152" s="3">
        <v>985.52889231538302</v>
      </c>
      <c r="B152" s="1">
        <v>-0.65396086149783506</v>
      </c>
      <c r="C152" s="4">
        <v>1.5189192538951599E-8</v>
      </c>
      <c r="D152" s="5">
        <v>1.54613596090679E-6</v>
      </c>
      <c r="E152" s="1" t="s">
        <v>592</v>
      </c>
      <c r="F152" s="1" t="s">
        <v>593</v>
      </c>
      <c r="G152" s="1">
        <v>394432</v>
      </c>
      <c r="H152" s="6" t="str">
        <f>HYPERLINK("http://www.ensembl.org/Mus_musculus/Gene/Summary?db=core;g=ENSMUSG00000090124","ENSMUSG00000090124")</f>
        <v>ENSMUSG00000090124</v>
      </c>
      <c r="I152" s="6" t="str">
        <f>HYPERLINK("http://www.informatics.jax.org/marker/MGI:3032636","MGI:3032636")</f>
        <v>MGI:3032636</v>
      </c>
      <c r="J152" s="7" t="s">
        <v>12</v>
      </c>
    </row>
    <row r="153" spans="1:10" x14ac:dyDescent="0.2">
      <c r="A153" s="3">
        <v>8.1085897178641808</v>
      </c>
      <c r="B153" s="1">
        <v>-2.4562027050189701</v>
      </c>
      <c r="C153" s="4">
        <v>1.56460396391246E-8</v>
      </c>
      <c r="D153" s="5">
        <v>1.5791783570009599E-6</v>
      </c>
      <c r="E153" s="1" t="s">
        <v>25</v>
      </c>
      <c r="F153" s="1" t="s">
        <v>26</v>
      </c>
      <c r="G153" s="1">
        <v>666907</v>
      </c>
      <c r="H153" s="6" t="str">
        <f>HYPERLINK("http://www.ensembl.org/Mus_musculus/Gene/Summary?db=core;g=ENSMUSG00000101389","ENSMUSG00000101389")</f>
        <v>ENSMUSG00000101389</v>
      </c>
      <c r="I153" s="6" t="str">
        <f>HYPERLINK("http://www.informatics.jax.org/marker/MGI:3643932","MGI:3643932")</f>
        <v>MGI:3643932</v>
      </c>
      <c r="J153" s="7" t="s">
        <v>12</v>
      </c>
    </row>
    <row r="154" spans="1:10" x14ac:dyDescent="0.2">
      <c r="A154" s="3">
        <v>587.05969946083803</v>
      </c>
      <c r="B154" s="1">
        <v>0.53133008602855702</v>
      </c>
      <c r="C154" s="4">
        <v>1.5994766366627101E-8</v>
      </c>
      <c r="D154" s="5">
        <v>1.60339372230351E-6</v>
      </c>
      <c r="E154" s="1" t="s">
        <v>3210</v>
      </c>
      <c r="F154" s="1" t="s">
        <v>3211</v>
      </c>
      <c r="G154" s="1">
        <v>16534</v>
      </c>
      <c r="H154" s="6" t="str">
        <f>HYPERLINK("http://www.ensembl.org/Mus_musculus/Gene/Summary?db=core;g=ENSMUSG00000054342","ENSMUSG00000054342")</f>
        <v>ENSMUSG00000054342</v>
      </c>
      <c r="I154" s="6" t="str">
        <f>HYPERLINK("http://www.informatics.jax.org/marker/MGI:1277957","MGI:1277957")</f>
        <v>MGI:1277957</v>
      </c>
      <c r="J154" s="7" t="s">
        <v>12</v>
      </c>
    </row>
    <row r="155" spans="1:10" x14ac:dyDescent="0.2">
      <c r="A155" s="3">
        <v>283.15514167266599</v>
      </c>
      <c r="B155" s="1">
        <v>-0.49470830824051498</v>
      </c>
      <c r="C155" s="4">
        <v>1.6230948673757301E-8</v>
      </c>
      <c r="D155" s="5">
        <v>1.6160760787600599E-6</v>
      </c>
      <c r="E155" s="1" t="s">
        <v>845</v>
      </c>
      <c r="F155" s="1" t="s">
        <v>846</v>
      </c>
      <c r="G155" s="1">
        <v>23797</v>
      </c>
      <c r="H155" s="6" t="str">
        <f>HYPERLINK("http://www.ensembl.org/Mus_musculus/Gene/Summary?db=core;g=ENSMUSG00000019699","ENSMUSG00000019699")</f>
        <v>ENSMUSG00000019699</v>
      </c>
      <c r="I155" s="6" t="str">
        <f>HYPERLINK("http://www.informatics.jax.org/marker/MGI:1345147","MGI:1345147")</f>
        <v>MGI:1345147</v>
      </c>
      <c r="J155" s="7" t="s">
        <v>12</v>
      </c>
    </row>
    <row r="156" spans="1:10" x14ac:dyDescent="0.2">
      <c r="A156" s="3">
        <v>2206.9289650462101</v>
      </c>
      <c r="B156" s="1">
        <v>0.323915441707462</v>
      </c>
      <c r="C156" s="4">
        <v>1.7213444691787798E-8</v>
      </c>
      <c r="D156" s="5">
        <v>1.7023981273703699E-6</v>
      </c>
      <c r="E156" s="1" t="s">
        <v>3034</v>
      </c>
      <c r="F156" s="1" t="s">
        <v>3035</v>
      </c>
      <c r="G156" s="1">
        <v>67895</v>
      </c>
      <c r="H156" s="6" t="str">
        <f>HYPERLINK("http://www.ensembl.org/Mus_musculus/Gene/Summary?db=core;g=ENSMUSG00000020089","ENSMUSG00000020089")</f>
        <v>ENSMUSG00000020089</v>
      </c>
      <c r="I156" s="6" t="str">
        <f>HYPERLINK("http://www.informatics.jax.org/marker/MGI:97831","MGI:97831")</f>
        <v>MGI:97831</v>
      </c>
      <c r="J156" s="7" t="s">
        <v>12</v>
      </c>
    </row>
    <row r="157" spans="1:10" x14ac:dyDescent="0.2">
      <c r="A157" s="3">
        <v>77.553203389652793</v>
      </c>
      <c r="B157" s="1">
        <v>-0.90822126336294595</v>
      </c>
      <c r="C157" s="4">
        <v>1.8519574774675799E-8</v>
      </c>
      <c r="D157" s="5">
        <v>1.8193630258641499E-6</v>
      </c>
      <c r="E157" s="1" t="s">
        <v>405</v>
      </c>
      <c r="F157" s="1" t="s">
        <v>406</v>
      </c>
      <c r="G157" s="1">
        <v>319504</v>
      </c>
      <c r="H157" s="6" t="str">
        <f>HYPERLINK("http://www.ensembl.org/Mus_musculus/Gene/Summary?db=core;g=ENSMUSG00000020598","ENSMUSG00000020598")</f>
        <v>ENSMUSG00000020598</v>
      </c>
      <c r="I157" s="6" t="str">
        <f>HYPERLINK("http://www.informatics.jax.org/marker/MGI:104750","MGI:104750")</f>
        <v>MGI:104750</v>
      </c>
      <c r="J157" s="7" t="s">
        <v>12</v>
      </c>
    </row>
    <row r="158" spans="1:10" x14ac:dyDescent="0.2">
      <c r="A158" s="3">
        <v>1031.5189432908701</v>
      </c>
      <c r="B158" s="1">
        <v>-0.39566440817916199</v>
      </c>
      <c r="C158" s="4">
        <v>1.9089005163021299E-8</v>
      </c>
      <c r="D158" s="5">
        <v>1.8628846363065001E-6</v>
      </c>
      <c r="E158" s="1" t="s">
        <v>1113</v>
      </c>
      <c r="F158" s="1" t="s">
        <v>1114</v>
      </c>
      <c r="G158" s="1">
        <v>70604</v>
      </c>
      <c r="H158" s="6" t="str">
        <f>HYPERLINK("http://www.ensembl.org/Mus_musculus/Gene/Summary?db=core;g=ENSMUSG00000074212","ENSMUSG00000074212")</f>
        <v>ENSMUSG00000074212</v>
      </c>
      <c r="I158" s="6" t="str">
        <f>HYPERLINK("http://www.informatics.jax.org/marker/MGI:1917854","MGI:1917854")</f>
        <v>MGI:1917854</v>
      </c>
      <c r="J158" s="7" t="s">
        <v>12</v>
      </c>
    </row>
    <row r="159" spans="1:10" x14ac:dyDescent="0.2">
      <c r="A159" s="3">
        <v>37.898777832785697</v>
      </c>
      <c r="B159" s="1">
        <v>-1.0114874614293199</v>
      </c>
      <c r="C159" s="4">
        <v>1.9545602181479301E-8</v>
      </c>
      <c r="D159" s="5">
        <v>1.89489469569921E-6</v>
      </c>
      <c r="E159" s="1" t="s">
        <v>339</v>
      </c>
      <c r="F159" s="1" t="s">
        <v>340</v>
      </c>
      <c r="G159" s="1">
        <v>235493</v>
      </c>
      <c r="H159" s="6" t="str">
        <f>HYPERLINK("http://www.ensembl.org/Mus_musculus/Gene/Summary?db=core;g=ENSMUSG00000034858","ENSMUSG00000034858")</f>
        <v>ENSMUSG00000034858</v>
      </c>
      <c r="I159" s="6" t="str">
        <f>HYPERLINK("http://www.informatics.jax.org/marker/MGI:2387648","MGI:2387648")</f>
        <v>MGI:2387648</v>
      </c>
      <c r="J159" s="7" t="s">
        <v>12</v>
      </c>
    </row>
    <row r="160" spans="1:10" x14ac:dyDescent="0.2">
      <c r="A160" s="3">
        <v>5582.4392075640599</v>
      </c>
      <c r="B160" s="1">
        <v>-0.23534462225571101</v>
      </c>
      <c r="C160" s="4">
        <v>2.06495965035419E-8</v>
      </c>
      <c r="D160" s="5">
        <v>1.9759250264687899E-6</v>
      </c>
      <c r="E160" s="1" t="s">
        <v>1732</v>
      </c>
      <c r="F160" s="1" t="s">
        <v>1733</v>
      </c>
      <c r="G160" s="1">
        <v>14678</v>
      </c>
      <c r="H160" s="6" t="str">
        <f>HYPERLINK("http://www.ensembl.org/Mus_musculus/Gene/Summary?db=core;g=ENSMUSG00000032562","ENSMUSG00000032562")</f>
        <v>ENSMUSG00000032562</v>
      </c>
      <c r="I160" s="6" t="str">
        <f>HYPERLINK("http://www.informatics.jax.org/marker/MGI:95772","MGI:95772")</f>
        <v>MGI:95772</v>
      </c>
      <c r="J160" s="7" t="s">
        <v>12</v>
      </c>
    </row>
    <row r="161" spans="1:10" x14ac:dyDescent="0.2">
      <c r="A161" s="3">
        <v>355.34955911542198</v>
      </c>
      <c r="B161" s="1">
        <v>0.35940304514157301</v>
      </c>
      <c r="C161" s="4">
        <v>2.0559042357857599E-8</v>
      </c>
      <c r="D161" s="5">
        <v>1.9759250264687899E-6</v>
      </c>
      <c r="E161" s="1" t="s">
        <v>3106</v>
      </c>
      <c r="F161" s="1" t="s">
        <v>3107</v>
      </c>
      <c r="G161" s="1">
        <v>56401</v>
      </c>
      <c r="H161" s="6" t="str">
        <f>HYPERLINK("http://www.ensembl.org/Mus_musculus/Gene/Summary?db=core;g=ENSMUSG00000028641","ENSMUSG00000028641")</f>
        <v>ENSMUSG00000028641</v>
      </c>
      <c r="I161" s="6" t="str">
        <f>HYPERLINK("http://www.informatics.jax.org/marker/MGI:1888921","MGI:1888921")</f>
        <v>MGI:1888921</v>
      </c>
      <c r="J161" s="7" t="s">
        <v>12</v>
      </c>
    </row>
    <row r="162" spans="1:10" x14ac:dyDescent="0.2">
      <c r="A162" s="3">
        <v>2146.1531352597599</v>
      </c>
      <c r="B162" s="1">
        <v>-0.46281902529465901</v>
      </c>
      <c r="C162" s="4">
        <v>2.1181812791495499E-8</v>
      </c>
      <c r="D162" s="5">
        <v>2.0137754406159898E-6</v>
      </c>
      <c r="E162" s="1" t="s">
        <v>905</v>
      </c>
      <c r="F162" s="1" t="s">
        <v>906</v>
      </c>
      <c r="G162" s="1">
        <v>17916</v>
      </c>
      <c r="H162" s="6" t="str">
        <f>HYPERLINK("http://www.ensembl.org/Mus_musculus/Gene/Summary?db=core;g=ENSMUSG00000024300","ENSMUSG00000024300")</f>
        <v>ENSMUSG00000024300</v>
      </c>
      <c r="I162" s="6" t="str">
        <f>HYPERLINK("http://www.informatics.jax.org/marker/MGI:107711","MGI:107711")</f>
        <v>MGI:107711</v>
      </c>
      <c r="J162" s="7" t="s">
        <v>12</v>
      </c>
    </row>
    <row r="163" spans="1:10" x14ac:dyDescent="0.2">
      <c r="A163" s="3">
        <v>403.204087270819</v>
      </c>
      <c r="B163" s="1">
        <v>-0.33174041315386299</v>
      </c>
      <c r="C163" s="4">
        <v>2.2025325321999801E-8</v>
      </c>
      <c r="D163" s="5">
        <v>2.0805461150319801E-6</v>
      </c>
      <c r="E163" s="1" t="s">
        <v>1294</v>
      </c>
      <c r="F163" s="1" t="s">
        <v>1295</v>
      </c>
      <c r="G163" s="1">
        <v>19889</v>
      </c>
      <c r="H163" s="6" t="str">
        <f>HYPERLINK("http://www.ensembl.org/Mus_musculus/Gene/Summary?db=core;g=ENSMUSG00000060090","ENSMUSG00000060090")</f>
        <v>ENSMUSG00000060090</v>
      </c>
      <c r="I163" s="6" t="str">
        <f>HYPERLINK("http://www.informatics.jax.org/marker/MGI:1277953","MGI:1277953")</f>
        <v>MGI:1277953</v>
      </c>
      <c r="J163" s="7" t="s">
        <v>12</v>
      </c>
    </row>
    <row r="164" spans="1:10" x14ac:dyDescent="0.2">
      <c r="A164" s="3">
        <v>3373.1619928211499</v>
      </c>
      <c r="B164" s="1">
        <v>0.23396618334487801</v>
      </c>
      <c r="C164" s="4">
        <v>2.2260622448696499E-8</v>
      </c>
      <c r="D164" s="5">
        <v>2.0893791872865701E-6</v>
      </c>
      <c r="E164" s="1" t="s">
        <v>2812</v>
      </c>
      <c r="F164" s="1" t="s">
        <v>2813</v>
      </c>
      <c r="G164" s="1">
        <v>14884</v>
      </c>
      <c r="H164" s="6" t="str">
        <f>HYPERLINK("http://www.ensembl.org/Mus_musculus/Gene/Summary?db=core;g=ENSMUSG00000006599","ENSMUSG00000006599")</f>
        <v>ENSMUSG00000006599</v>
      </c>
      <c r="I164" s="6" t="str">
        <f>HYPERLINK("http://www.informatics.jax.org/marker/MGI:1277216","MGI:1277216")</f>
        <v>MGI:1277216</v>
      </c>
      <c r="J164" s="7" t="s">
        <v>12</v>
      </c>
    </row>
    <row r="165" spans="1:10" x14ac:dyDescent="0.2">
      <c r="A165" s="3">
        <v>1530.8777313852599</v>
      </c>
      <c r="B165" s="1">
        <v>-0.52959380353050101</v>
      </c>
      <c r="C165" s="4">
        <v>2.3567398910119501E-8</v>
      </c>
      <c r="D165" s="5">
        <v>2.1980328502501402E-6</v>
      </c>
      <c r="E165" s="1" t="s">
        <v>793</v>
      </c>
      <c r="F165" s="1" t="s">
        <v>794</v>
      </c>
      <c r="G165" s="1">
        <v>23943</v>
      </c>
      <c r="H165" s="6" t="str">
        <f>HYPERLINK("http://www.ensembl.org/Mus_musculus/Gene/Summary?db=core;g=ENSMUSG00000025366","ENSMUSG00000025366")</f>
        <v>ENSMUSG00000025366</v>
      </c>
      <c r="I165" s="6" t="str">
        <f>HYPERLINK("http://www.informatics.jax.org/marker/MGI:1344426","MGI:1344426")</f>
        <v>MGI:1344426</v>
      </c>
      <c r="J165" s="7" t="s">
        <v>12</v>
      </c>
    </row>
    <row r="166" spans="1:10" x14ac:dyDescent="0.2">
      <c r="A166" s="3">
        <v>413.180190521442</v>
      </c>
      <c r="B166" s="1">
        <v>-0.43320699664914603</v>
      </c>
      <c r="C166" s="4">
        <v>2.43999229568952E-8</v>
      </c>
      <c r="D166" s="5">
        <v>2.2613664446088501E-6</v>
      </c>
      <c r="E166" s="1" t="s">
        <v>993</v>
      </c>
      <c r="F166" s="1" t="s">
        <v>994</v>
      </c>
      <c r="G166" s="1">
        <v>209966</v>
      </c>
      <c r="H166" s="6" t="str">
        <f>HYPERLINK("http://www.ensembl.org/Mus_musculus/Gene/Summary?db=core;g=ENSMUSG00000050751","ENSMUSG00000050751")</f>
        <v>ENSMUSG00000050751</v>
      </c>
      <c r="I166" s="6" t="str">
        <f>HYPERLINK("http://www.informatics.jax.org/marker/MGI:2429955","MGI:2429955")</f>
        <v>MGI:2429955</v>
      </c>
      <c r="J166" s="7" t="s">
        <v>12</v>
      </c>
    </row>
    <row r="167" spans="1:10" x14ac:dyDescent="0.2">
      <c r="A167" s="3">
        <v>1064.26808953974</v>
      </c>
      <c r="B167" s="1">
        <v>0.31948480221076803</v>
      </c>
      <c r="C167" s="4">
        <v>2.4990092879025399E-8</v>
      </c>
      <c r="D167" s="5">
        <v>2.3015875541582398E-6</v>
      </c>
      <c r="E167" s="1" t="s">
        <v>3028</v>
      </c>
      <c r="F167" s="1" t="s">
        <v>3029</v>
      </c>
      <c r="G167" s="1">
        <v>67763</v>
      </c>
      <c r="H167" s="6" t="str">
        <f>HYPERLINK("http://www.ensembl.org/Mus_musculus/Gene/Summary?db=core;g=ENSMUSG00000015869","ENSMUSG00000015869")</f>
        <v>ENSMUSG00000015869</v>
      </c>
      <c r="I167" s="6" t="str">
        <f>HYPERLINK("http://www.informatics.jax.org/marker/MGI:1915013","MGI:1915013")</f>
        <v>MGI:1915013</v>
      </c>
      <c r="J167" s="7" t="s">
        <v>12</v>
      </c>
    </row>
    <row r="168" spans="1:10" x14ac:dyDescent="0.2">
      <c r="A168" s="3">
        <v>245.59309085770599</v>
      </c>
      <c r="B168" s="1">
        <v>0.587735273359689</v>
      </c>
      <c r="C168" s="4">
        <v>2.6575516541897101E-8</v>
      </c>
      <c r="D168" s="5">
        <v>2.4324025575242E-6</v>
      </c>
      <c r="E168" s="1" t="s">
        <v>3238</v>
      </c>
      <c r="F168" s="1" t="s">
        <v>3239</v>
      </c>
      <c r="G168" s="1">
        <v>24050</v>
      </c>
      <c r="H168" s="6" t="str">
        <f>HYPERLINK("http://www.ensembl.org/Mus_musculus/Gene/Summary?db=core;g=ENSMUSG00000022456","ENSMUSG00000022456")</f>
        <v>ENSMUSG00000022456</v>
      </c>
      <c r="I168" s="6" t="str">
        <f>HYPERLINK("http://www.informatics.jax.org/marker/MGI:1345148","MGI:1345148")</f>
        <v>MGI:1345148</v>
      </c>
      <c r="J168" s="7" t="s">
        <v>12</v>
      </c>
    </row>
    <row r="169" spans="1:10" x14ac:dyDescent="0.2">
      <c r="A169" s="3">
        <v>1369.39126385347</v>
      </c>
      <c r="B169" s="1">
        <v>0.49970160634955102</v>
      </c>
      <c r="C169" s="4">
        <v>2.7494302532918099E-8</v>
      </c>
      <c r="D169" s="5">
        <v>2.5009632229943299E-6</v>
      </c>
      <c r="E169" s="1" t="s">
        <v>3192</v>
      </c>
      <c r="F169" s="1" t="s">
        <v>3193</v>
      </c>
      <c r="G169" s="1">
        <v>76459</v>
      </c>
      <c r="H169" s="6" t="str">
        <f>HYPERLINK("http://www.ensembl.org/Mus_musculus/Gene/Summary?db=core;g=ENSMUSG00000032373","ENSMUSG00000032373")</f>
        <v>ENSMUSG00000032373</v>
      </c>
      <c r="I169" s="6" t="str">
        <f>HYPERLINK("http://www.informatics.jax.org/marker/MGI:1923709","MGI:1923709")</f>
        <v>MGI:1923709</v>
      </c>
      <c r="J169" s="7" t="s">
        <v>12</v>
      </c>
    </row>
    <row r="170" spans="1:10" x14ac:dyDescent="0.2">
      <c r="A170" s="3">
        <v>120.219955675294</v>
      </c>
      <c r="B170" s="1">
        <v>-0.72331110760730299</v>
      </c>
      <c r="C170" s="4">
        <v>2.8459616019866799E-8</v>
      </c>
      <c r="D170" s="5">
        <v>2.5728889672929898E-6</v>
      </c>
      <c r="E170" s="1" t="s">
        <v>542</v>
      </c>
      <c r="F170" s="1" t="s">
        <v>543</v>
      </c>
      <c r="G170" s="1">
        <v>12289</v>
      </c>
      <c r="H170" s="6" t="str">
        <f>HYPERLINK("http://www.ensembl.org/Mus_musculus/Gene/Summary?db=core;g=ENSMUSG00000015968","ENSMUSG00000015968")</f>
        <v>ENSMUSG00000015968</v>
      </c>
      <c r="I170" s="6" t="str">
        <f>HYPERLINK("http://www.informatics.jax.org/marker/MGI:88293","MGI:88293")</f>
        <v>MGI:88293</v>
      </c>
      <c r="J170" s="7" t="s">
        <v>12</v>
      </c>
    </row>
    <row r="171" spans="1:10" x14ac:dyDescent="0.2">
      <c r="A171" s="3">
        <v>3158.95245331674</v>
      </c>
      <c r="B171" s="1">
        <v>-0.40050617592774101</v>
      </c>
      <c r="C171" s="4">
        <v>2.8670991411324202E-8</v>
      </c>
      <c r="D171" s="5">
        <v>2.5761934721784902E-6</v>
      </c>
      <c r="E171" s="1" t="s">
        <v>1105</v>
      </c>
      <c r="F171" s="1" t="s">
        <v>1106</v>
      </c>
      <c r="G171" s="1">
        <v>75547</v>
      </c>
      <c r="H171" s="6" t="str">
        <f>HYPERLINK("http://www.ensembl.org/Mus_musculus/Gene/Summary?db=core;g=ENSMUSG00000066406","ENSMUSG00000066406")</f>
        <v>ENSMUSG00000066406</v>
      </c>
      <c r="I171" s="6" t="str">
        <f>HYPERLINK("http://www.informatics.jax.org/marker/MGI:2676556","MGI:2676556")</f>
        <v>MGI:2676556</v>
      </c>
      <c r="J171" s="7" t="s">
        <v>12</v>
      </c>
    </row>
    <row r="172" spans="1:10" x14ac:dyDescent="0.2">
      <c r="A172" s="3">
        <v>674.24882504067205</v>
      </c>
      <c r="B172" s="1">
        <v>-0.29760029520322201</v>
      </c>
      <c r="C172" s="4">
        <v>2.96112088655993E-8</v>
      </c>
      <c r="D172" s="5">
        <v>2.6445501445058799E-6</v>
      </c>
      <c r="E172" s="1" t="s">
        <v>1462</v>
      </c>
      <c r="F172" s="1" t="s">
        <v>1463</v>
      </c>
      <c r="G172" s="1">
        <v>21682</v>
      </c>
      <c r="H172" s="6" t="str">
        <f>HYPERLINK("http://www.ensembl.org/Mus_musculus/Gene/Summary?db=core;g=ENSMUSG00000029217","ENSMUSG00000029217")</f>
        <v>ENSMUSG00000029217</v>
      </c>
      <c r="I172" s="6" t="str">
        <f>HYPERLINK("http://www.informatics.jax.org/marker/MGI:98662","MGI:98662")</f>
        <v>MGI:98662</v>
      </c>
      <c r="J172" s="7" t="s">
        <v>12</v>
      </c>
    </row>
    <row r="173" spans="1:10" x14ac:dyDescent="0.2">
      <c r="A173" s="3">
        <v>13916.6494938345</v>
      </c>
      <c r="B173" s="1">
        <v>-0.22228110319979</v>
      </c>
      <c r="C173" s="4">
        <v>3.0780671819148001E-8</v>
      </c>
      <c r="D173" s="5">
        <v>2.72475004444799E-6</v>
      </c>
      <c r="E173" s="1" t="s">
        <v>1808</v>
      </c>
      <c r="F173" s="1" t="s">
        <v>1809</v>
      </c>
      <c r="G173" s="1">
        <v>16792</v>
      </c>
      <c r="H173" s="6" t="str">
        <f>HYPERLINK("http://www.ensembl.org/Mus_musculus/Gene/Summary?db=core;g=ENSMUSG00000028581","ENSMUSG00000028581")</f>
        <v>ENSMUSG00000028581</v>
      </c>
      <c r="I173" s="6" t="str">
        <f>HYPERLINK("http://www.informatics.jax.org/marker/MGI:108046","MGI:108046")</f>
        <v>MGI:108046</v>
      </c>
      <c r="J173" s="7" t="s">
        <v>12</v>
      </c>
    </row>
    <row r="174" spans="1:10" x14ac:dyDescent="0.2">
      <c r="A174" s="3">
        <v>2673.8207584010302</v>
      </c>
      <c r="B174" s="1">
        <v>0.18797095307332201</v>
      </c>
      <c r="C174" s="4">
        <v>3.0879021269192098E-8</v>
      </c>
      <c r="D174" s="5">
        <v>2.72475004444799E-6</v>
      </c>
      <c r="E174" s="1" t="s">
        <v>2518</v>
      </c>
      <c r="F174" s="1" t="s">
        <v>2519</v>
      </c>
      <c r="G174" s="1">
        <v>71978</v>
      </c>
      <c r="H174" s="6" t="str">
        <f>HYPERLINK("http://www.ensembl.org/Mus_musculus/Gene/Summary?db=core;g=ENSMUSG00000022052","ENSMUSG00000022052")</f>
        <v>ENSMUSG00000022052</v>
      </c>
      <c r="I174" s="6" t="str">
        <f>HYPERLINK("http://www.informatics.jax.org/marker/MGI:1919228","MGI:1919228")</f>
        <v>MGI:1919228</v>
      </c>
      <c r="J174" s="7" t="s">
        <v>12</v>
      </c>
    </row>
    <row r="175" spans="1:10" x14ac:dyDescent="0.2">
      <c r="A175" s="3">
        <v>18.325674363513802</v>
      </c>
      <c r="B175" s="1">
        <v>-1.59237830599709</v>
      </c>
      <c r="C175" s="4">
        <v>3.4571942399063997E-8</v>
      </c>
      <c r="D175" s="5">
        <v>3.0324532332893302E-6</v>
      </c>
      <c r="E175" s="1" t="s">
        <v>114</v>
      </c>
      <c r="F175" s="1" t="s">
        <v>115</v>
      </c>
      <c r="G175" s="1">
        <v>66109</v>
      </c>
      <c r="H175" s="6" t="str">
        <f>HYPERLINK("http://www.ensembl.org/Mus_musculus/Gene/Summary?db=core;g=ENSMUSG00000020577","ENSMUSG00000020577")</f>
        <v>ENSMUSG00000020577</v>
      </c>
      <c r="I175" s="6" t="str">
        <f>HYPERLINK("http://www.informatics.jax.org/marker/MGI:1913359","MGI:1913359")</f>
        <v>MGI:1913359</v>
      </c>
      <c r="J175" s="7" t="s">
        <v>12</v>
      </c>
    </row>
    <row r="176" spans="1:10" x14ac:dyDescent="0.2">
      <c r="A176" s="3">
        <v>1586.7808876316001</v>
      </c>
      <c r="B176" s="1">
        <v>0.355244506824688</v>
      </c>
      <c r="C176" s="4">
        <v>3.81249630544627E-8</v>
      </c>
      <c r="D176" s="5">
        <v>3.32431630515126E-6</v>
      </c>
      <c r="E176" s="1" t="s">
        <v>3104</v>
      </c>
      <c r="F176" s="1" t="s">
        <v>3105</v>
      </c>
      <c r="G176" s="1">
        <v>380684</v>
      </c>
      <c r="H176" s="6" t="str">
        <f>HYPERLINK("http://www.ensembl.org/Mus_musculus/Gene/Summary?db=core;g=ENSMUSG00000020396","ENSMUSG00000020396")</f>
        <v>ENSMUSG00000020396</v>
      </c>
      <c r="I176" s="6" t="str">
        <f>HYPERLINK("http://www.informatics.jax.org/marker/MGI:97309","MGI:97309")</f>
        <v>MGI:97309</v>
      </c>
      <c r="J176" s="7" t="s">
        <v>12</v>
      </c>
    </row>
    <row r="177" spans="1:10" x14ac:dyDescent="0.2">
      <c r="A177" s="3">
        <v>2394.6945268253298</v>
      </c>
      <c r="B177" s="1">
        <v>-0.32962474912075801</v>
      </c>
      <c r="C177" s="4">
        <v>4.0984873391914398E-8</v>
      </c>
      <c r="D177" s="5">
        <v>3.5526652606073498E-6</v>
      </c>
      <c r="E177" s="1" t="s">
        <v>1306</v>
      </c>
      <c r="F177" s="1" t="s">
        <v>1307</v>
      </c>
      <c r="G177" s="1">
        <v>20442</v>
      </c>
      <c r="H177" s="6" t="str">
        <f>HYPERLINK("http://www.ensembl.org/Mus_musculus/Gene/Summary?db=core;g=ENSMUSG00000013846","ENSMUSG00000013846")</f>
        <v>ENSMUSG00000013846</v>
      </c>
      <c r="I177" s="6" t="str">
        <f>HYPERLINK("http://www.informatics.jax.org/marker/MGI:98304","MGI:98304")</f>
        <v>MGI:98304</v>
      </c>
      <c r="J177" s="7" t="s">
        <v>12</v>
      </c>
    </row>
    <row r="178" spans="1:10" x14ac:dyDescent="0.2">
      <c r="A178" s="3">
        <v>153.28595900547899</v>
      </c>
      <c r="B178" s="1">
        <v>-0.66423570301544699</v>
      </c>
      <c r="C178" s="4">
        <v>4.23638988788143E-8</v>
      </c>
      <c r="D178" s="5">
        <v>3.6507275665392299E-6</v>
      </c>
      <c r="E178" s="1" t="s">
        <v>586</v>
      </c>
      <c r="F178" s="1" t="s">
        <v>587</v>
      </c>
      <c r="G178" s="1">
        <v>93706</v>
      </c>
      <c r="H178" s="6" t="str">
        <f>HYPERLINK("http://www.ensembl.org/Mus_musculus/Gene/Summary?db=core;g=ENSMUSG00000102918","ENSMUSG00000102918")</f>
        <v>ENSMUSG00000102918</v>
      </c>
      <c r="I178" s="6" t="str">
        <f>HYPERLINK("http://www.informatics.jax.org/marker/MGI:1935201","MGI:1935201")</f>
        <v>MGI:1935201</v>
      </c>
      <c r="J178" s="7" t="s">
        <v>12</v>
      </c>
    </row>
    <row r="179" spans="1:10" x14ac:dyDescent="0.2">
      <c r="A179" s="3">
        <v>82.074029573041301</v>
      </c>
      <c r="B179" s="1">
        <v>-0.90658903699446003</v>
      </c>
      <c r="C179" s="4">
        <v>4.45469258301751E-8</v>
      </c>
      <c r="D179" s="5">
        <v>3.8165319711247703E-6</v>
      </c>
      <c r="E179" s="1" t="s">
        <v>407</v>
      </c>
      <c r="F179" s="1" t="s">
        <v>408</v>
      </c>
      <c r="G179" s="1">
        <v>69707</v>
      </c>
      <c r="H179" s="6" t="str">
        <f>HYPERLINK("http://www.ensembl.org/Mus_musculus/Gene/Summary?db=core;g=ENSMUSG00000035578","ENSMUSG00000035578")</f>
        <v>ENSMUSG00000035578</v>
      </c>
      <c r="I179" s="6" t="str">
        <f>HYPERLINK("http://www.informatics.jax.org/marker/MGI:1916957","MGI:1916957")</f>
        <v>MGI:1916957</v>
      </c>
      <c r="J179" s="7" t="s">
        <v>12</v>
      </c>
    </row>
    <row r="180" spans="1:10" x14ac:dyDescent="0.2">
      <c r="A180" s="3">
        <v>194.41622037271699</v>
      </c>
      <c r="B180" s="1">
        <v>-1.3658399948359099</v>
      </c>
      <c r="C180" s="4">
        <v>4.5073880738933298E-8</v>
      </c>
      <c r="D180" s="5">
        <v>3.8393566853694804E-6</v>
      </c>
      <c r="E180" s="1" t="s">
        <v>160</v>
      </c>
      <c r="F180" s="1" t="s">
        <v>161</v>
      </c>
      <c r="G180" s="1">
        <v>12045</v>
      </c>
      <c r="H180" s="6" t="str">
        <f>HYPERLINK("http://www.ensembl.org/Mus_musculus/Gene/Summary?db=core;g=ENSMUSG00000089929","ENSMUSG00000089929")</f>
        <v>ENSMUSG00000089929</v>
      </c>
      <c r="I180" s="6" t="str">
        <f>HYPERLINK("http://www.informatics.jax.org/marker/MGI:1278326","MGI:1278326")</f>
        <v>MGI:1278326</v>
      </c>
      <c r="J180" s="7" t="s">
        <v>12</v>
      </c>
    </row>
    <row r="181" spans="1:10" x14ac:dyDescent="0.2">
      <c r="A181" s="3">
        <v>545.67610522212897</v>
      </c>
      <c r="B181" s="1">
        <v>-2.0258379938027899</v>
      </c>
      <c r="C181" s="4">
        <v>4.6611287124262098E-8</v>
      </c>
      <c r="D181" s="5">
        <v>3.9474938336961297E-6</v>
      </c>
      <c r="E181" s="1" t="s">
        <v>53</v>
      </c>
      <c r="F181" s="1" t="s">
        <v>54</v>
      </c>
      <c r="G181" s="1">
        <v>67775</v>
      </c>
      <c r="H181" s="6" t="str">
        <f>HYPERLINK("http://www.ensembl.org/Mus_musculus/Gene/Summary?db=core;g=ENSMUSG00000033355","ENSMUSG00000033355")</f>
        <v>ENSMUSG00000033355</v>
      </c>
      <c r="I181" s="6" t="str">
        <f>HYPERLINK("http://www.informatics.jax.org/marker/MGI:1915025","MGI:1915025")</f>
        <v>MGI:1915025</v>
      </c>
      <c r="J181" s="7" t="s">
        <v>12</v>
      </c>
    </row>
    <row r="182" spans="1:10" x14ac:dyDescent="0.2">
      <c r="A182" s="3">
        <v>2082.6633943534098</v>
      </c>
      <c r="B182" s="1">
        <v>0.27831489540783999</v>
      </c>
      <c r="C182" s="4">
        <v>4.7261552611786301E-8</v>
      </c>
      <c r="D182" s="5">
        <v>3.9796927959273304E-6</v>
      </c>
      <c r="E182" s="1" t="s">
        <v>2958</v>
      </c>
      <c r="F182" s="1" t="s">
        <v>2959</v>
      </c>
      <c r="G182" s="1">
        <v>73674</v>
      </c>
      <c r="H182" s="6" t="str">
        <f>HYPERLINK("http://www.ensembl.org/Mus_musculus/Gene/Summary?db=core;g=ENSMUSG00000025995","ENSMUSG00000025995")</f>
        <v>ENSMUSG00000025995</v>
      </c>
      <c r="I182" s="6" t="str">
        <f>HYPERLINK("http://www.informatics.jax.org/marker/MGI:1920924","MGI:1920924")</f>
        <v>MGI:1920924</v>
      </c>
      <c r="J182" s="7" t="s">
        <v>12</v>
      </c>
    </row>
    <row r="183" spans="1:10" x14ac:dyDescent="0.2">
      <c r="A183" s="3">
        <v>95.584220181326501</v>
      </c>
      <c r="B183" s="1">
        <v>-0.90967438693846603</v>
      </c>
      <c r="C183" s="4">
        <v>4.9309835955522098E-8</v>
      </c>
      <c r="D183" s="5">
        <v>4.12857808318508E-6</v>
      </c>
      <c r="E183" s="1" t="s">
        <v>403</v>
      </c>
      <c r="F183" s="1" t="s">
        <v>404</v>
      </c>
      <c r="G183" s="1">
        <v>53328</v>
      </c>
      <c r="H183" s="6" t="str">
        <f>HYPERLINK("http://www.ensembl.org/Mus_musculus/Gene/Summary?db=core;g=ENSMUSG00000006373","ENSMUSG00000006373")</f>
        <v>ENSMUSG00000006373</v>
      </c>
      <c r="I183" s="6" t="str">
        <f>HYPERLINK("http://www.informatics.jax.org/marker/MGI:1858305","MGI:1858305")</f>
        <v>MGI:1858305</v>
      </c>
      <c r="J183" s="7" t="s">
        <v>12</v>
      </c>
    </row>
    <row r="184" spans="1:10" x14ac:dyDescent="0.2">
      <c r="A184" s="3">
        <v>443.65098300691199</v>
      </c>
      <c r="B184" s="1">
        <v>-0.35020876988566502</v>
      </c>
      <c r="C184" s="4">
        <v>4.9743026695837598E-8</v>
      </c>
      <c r="D184" s="5">
        <v>4.1358512379940301E-6</v>
      </c>
      <c r="E184" s="1" t="s">
        <v>1246</v>
      </c>
      <c r="F184" s="1" t="s">
        <v>1247</v>
      </c>
      <c r="G184" s="1">
        <v>107375</v>
      </c>
      <c r="H184" s="6" t="str">
        <f>HYPERLINK("http://www.ensembl.org/Mus_musculus/Gene/Summary?db=core;g=ENSMUSG00000024818","ENSMUSG00000024818")</f>
        <v>ENSMUSG00000024818</v>
      </c>
      <c r="I184" s="6" t="str">
        <f>HYPERLINK("http://www.informatics.jax.org/marker/MGI:2147731","MGI:2147731")</f>
        <v>MGI:2147731</v>
      </c>
      <c r="J184" s="7" t="s">
        <v>12</v>
      </c>
    </row>
    <row r="185" spans="1:10" x14ac:dyDescent="0.2">
      <c r="A185" s="3">
        <v>2939.5549770518501</v>
      </c>
      <c r="B185" s="1">
        <v>0.25829524374835899</v>
      </c>
      <c r="C185" s="4">
        <v>4.9958029340590197E-8</v>
      </c>
      <c r="D185" s="5">
        <v>4.1358512379940301E-6</v>
      </c>
      <c r="E185" s="1" t="s">
        <v>2896</v>
      </c>
      <c r="F185" s="1" t="s">
        <v>2897</v>
      </c>
      <c r="G185" s="1">
        <v>22224</v>
      </c>
      <c r="H185" s="6" t="str">
        <f>HYPERLINK("http://www.ensembl.org/Mus_musculus/Gene/Summary?db=core;g=ENSMUSG00000031826","ENSMUSG00000031826")</f>
        <v>ENSMUSG00000031826</v>
      </c>
      <c r="I185" s="6" t="str">
        <f>HYPERLINK("http://www.informatics.jax.org/marker/MGI:894652","MGI:894652")</f>
        <v>MGI:894652</v>
      </c>
      <c r="J185" s="7" t="s">
        <v>12</v>
      </c>
    </row>
    <row r="186" spans="1:10" x14ac:dyDescent="0.2">
      <c r="A186" s="3">
        <v>3637.3655226058299</v>
      </c>
      <c r="B186" s="1">
        <v>-1.77773635918663</v>
      </c>
      <c r="C186" s="4">
        <v>5.09464288537492E-8</v>
      </c>
      <c r="D186" s="5">
        <v>4.1740326058241001E-6</v>
      </c>
      <c r="E186" s="1" t="s">
        <v>81</v>
      </c>
      <c r="F186" s="1" t="s">
        <v>82</v>
      </c>
      <c r="G186" s="1">
        <v>20210</v>
      </c>
      <c r="H186" s="6" t="str">
        <f>HYPERLINK("http://www.ensembl.org/Mus_musculus/Gene/Summary?db=core;g=ENSMUSG00000040026","ENSMUSG00000040026")</f>
        <v>ENSMUSG00000040026</v>
      </c>
      <c r="I186" s="6" t="str">
        <f>HYPERLINK("http://www.informatics.jax.org/marker/MGI:98223","MGI:98223")</f>
        <v>MGI:98223</v>
      </c>
      <c r="J186" s="7" t="s">
        <v>12</v>
      </c>
    </row>
    <row r="187" spans="1:10" x14ac:dyDescent="0.2">
      <c r="A187" s="3">
        <v>1225.16386674706</v>
      </c>
      <c r="B187" s="1">
        <v>-0.58974229778231702</v>
      </c>
      <c r="C187" s="4">
        <v>5.0985740299154303E-8</v>
      </c>
      <c r="D187" s="5">
        <v>4.1740326058241001E-6</v>
      </c>
      <c r="E187" s="1" t="s">
        <v>693</v>
      </c>
      <c r="F187" s="1" t="s">
        <v>694</v>
      </c>
      <c r="G187" s="1">
        <v>12982</v>
      </c>
      <c r="H187" s="6" t="str">
        <f>HYPERLINK("http://www.ensembl.org/Mus_musculus/Gene/Summary?db=core;g=ENSMUSG00000059326","ENSMUSG00000059326")</f>
        <v>ENSMUSG00000059326</v>
      </c>
      <c r="I187" s="6" t="str">
        <f>HYPERLINK("http://www.informatics.jax.org/marker/MGI:1339754","MGI:1339754")</f>
        <v>MGI:1339754</v>
      </c>
      <c r="J187" s="7" t="s">
        <v>12</v>
      </c>
    </row>
    <row r="188" spans="1:10" x14ac:dyDescent="0.2">
      <c r="A188" s="3">
        <v>3196.6942553696799</v>
      </c>
      <c r="B188" s="1">
        <v>-0.187274916957198</v>
      </c>
      <c r="C188" s="4">
        <v>5.1712032847506601E-8</v>
      </c>
      <c r="D188" s="5">
        <v>4.2101022985682704E-6</v>
      </c>
      <c r="E188" s="1" t="s">
        <v>1976</v>
      </c>
      <c r="F188" s="1" t="s">
        <v>1977</v>
      </c>
      <c r="G188" s="1">
        <v>14421</v>
      </c>
      <c r="H188" s="6" t="str">
        <f>HYPERLINK("http://www.ensembl.org/Mus_musculus/Gene/Summary?db=core;g=ENSMUSG00000006731","ENSMUSG00000006731")</f>
        <v>ENSMUSG00000006731</v>
      </c>
      <c r="I188" s="6" t="str">
        <f>HYPERLINK("http://www.informatics.jax.org/marker/MGI:1342057","MGI:1342057")</f>
        <v>MGI:1342057</v>
      </c>
      <c r="J188" s="7" t="s">
        <v>12</v>
      </c>
    </row>
    <row r="189" spans="1:10" x14ac:dyDescent="0.2">
      <c r="A189" s="3">
        <v>879.02066919865399</v>
      </c>
      <c r="B189" s="1">
        <v>-0.6821990224751</v>
      </c>
      <c r="C189" s="4">
        <v>5.3754862670564998E-8</v>
      </c>
      <c r="D189" s="5">
        <v>4.3523717379859602E-6</v>
      </c>
      <c r="E189" s="1" t="s">
        <v>576</v>
      </c>
      <c r="F189" s="1" t="s">
        <v>577</v>
      </c>
      <c r="G189" s="1">
        <v>233016</v>
      </c>
      <c r="H189" s="6" t="str">
        <f>HYPERLINK("http://www.ensembl.org/Mus_musculus/Gene/Summary?db=core;g=ENSMUSG00000040466","ENSMUSG00000040466")</f>
        <v>ENSMUSG00000040466</v>
      </c>
      <c r="I189" s="6" t="str">
        <f>HYPERLINK("http://www.informatics.jax.org/marker/MGI:2385271","MGI:2385271")</f>
        <v>MGI:2385271</v>
      </c>
      <c r="J189" s="7" t="s">
        <v>12</v>
      </c>
    </row>
    <row r="190" spans="1:10" x14ac:dyDescent="0.2">
      <c r="A190" s="3">
        <v>272.546136749813</v>
      </c>
      <c r="B190" s="1">
        <v>0.51623230846782497</v>
      </c>
      <c r="C190" s="4">
        <v>5.54064869963225E-8</v>
      </c>
      <c r="D190" s="5">
        <v>4.4615846578022303E-6</v>
      </c>
      <c r="E190" s="1" t="s">
        <v>3202</v>
      </c>
      <c r="F190" s="1" t="s">
        <v>3203</v>
      </c>
      <c r="G190" s="1">
        <v>214048</v>
      </c>
      <c r="H190" s="6" t="str">
        <f>HYPERLINK("http://www.ensembl.org/Mus_musculus/Gene/Summary?db=core;g=ENSMUSG00000025762","ENSMUSG00000025762")</f>
        <v>ENSMUSG00000025762</v>
      </c>
      <c r="I190" s="6" t="str">
        <f>HYPERLINK("http://www.informatics.jax.org/marker/MGI:1914604","MGI:1914604")</f>
        <v>MGI:1914604</v>
      </c>
      <c r="J190" s="7" t="s">
        <v>12</v>
      </c>
    </row>
    <row r="191" spans="1:10" x14ac:dyDescent="0.2">
      <c r="A191" s="3">
        <v>6304.2844633412396</v>
      </c>
      <c r="B191" s="1">
        <v>-0.179210058842519</v>
      </c>
      <c r="C191" s="4">
        <v>5.7964552161754599E-8</v>
      </c>
      <c r="D191" s="5">
        <v>4.6422045687805204E-6</v>
      </c>
      <c r="E191" s="1" t="s">
        <v>2012</v>
      </c>
      <c r="F191" s="1" t="s">
        <v>2013</v>
      </c>
      <c r="G191" s="1">
        <v>109934</v>
      </c>
      <c r="H191" s="6" t="str">
        <f>HYPERLINK("http://www.ensembl.org/Mus_musculus/Gene/Summary?db=core;g=ENSMUSG00000017631","ENSMUSG00000017631")</f>
        <v>ENSMUSG00000017631</v>
      </c>
      <c r="I191" s="6" t="str">
        <f>HYPERLINK("http://www.informatics.jax.org/marker/MGI:107771","MGI:107771")</f>
        <v>MGI:107771</v>
      </c>
      <c r="J191" s="7" t="s">
        <v>12</v>
      </c>
    </row>
    <row r="192" spans="1:10" x14ac:dyDescent="0.2">
      <c r="A192" s="3">
        <v>1100.5448036877699</v>
      </c>
      <c r="B192" s="1">
        <v>-0.6610314836058</v>
      </c>
      <c r="C192" s="4">
        <v>6.0803995252677897E-8</v>
      </c>
      <c r="D192" s="5">
        <v>4.84328472455925E-6</v>
      </c>
      <c r="E192" s="1" t="s">
        <v>590</v>
      </c>
      <c r="F192" s="1" t="s">
        <v>591</v>
      </c>
      <c r="G192" s="1">
        <v>27361</v>
      </c>
      <c r="H192" s="6" t="str">
        <f>HYPERLINK("http://www.ensembl.org/Mus_musculus/Gene/Summary?db=core;g=ENSMUSG00000075705","ENSMUSG00000075705")</f>
        <v>ENSMUSG00000075705</v>
      </c>
      <c r="I192" s="6" t="str">
        <f>HYPERLINK("http://www.informatics.jax.org/marker/MGI:1351642","MGI:1351642")</f>
        <v>MGI:1351642</v>
      </c>
      <c r="J192" s="7" t="s">
        <v>12</v>
      </c>
    </row>
    <row r="193" spans="1:10" x14ac:dyDescent="0.2">
      <c r="A193" s="3">
        <v>203.58294084569701</v>
      </c>
      <c r="B193" s="1">
        <v>-0.53503213422448304</v>
      </c>
      <c r="C193" s="4">
        <v>6.1481525370549894E-8</v>
      </c>
      <c r="D193" s="5">
        <v>4.8709234293571104E-6</v>
      </c>
      <c r="E193" s="1" t="s">
        <v>779</v>
      </c>
      <c r="F193" s="1" t="s">
        <v>780</v>
      </c>
      <c r="G193" s="1">
        <v>76850</v>
      </c>
      <c r="H193" s="6" t="str">
        <f>HYPERLINK("http://www.ensembl.org/Mus_musculus/Gene/Summary?db=core;g=ENSMUSG00000042500","ENSMUSG00000042500")</f>
        <v>ENSMUSG00000042500</v>
      </c>
      <c r="I193" s="6" t="str">
        <f>HYPERLINK("http://www.informatics.jax.org/marker/MGI:1924100","MGI:1924100")</f>
        <v>MGI:1924100</v>
      </c>
      <c r="J193" s="7" t="s">
        <v>12</v>
      </c>
    </row>
    <row r="194" spans="1:10" x14ac:dyDescent="0.2">
      <c r="A194" s="3">
        <v>51.370154634718602</v>
      </c>
      <c r="B194" s="1">
        <v>-1.11064615665796</v>
      </c>
      <c r="C194" s="4">
        <v>6.9306458916855904E-8</v>
      </c>
      <c r="D194" s="5">
        <v>5.4614972117582303E-6</v>
      </c>
      <c r="E194" s="1" t="s">
        <v>259</v>
      </c>
      <c r="F194" s="1" t="s">
        <v>260</v>
      </c>
      <c r="G194" s="1">
        <v>21391</v>
      </c>
      <c r="H194" s="6" t="str">
        <f>HYPERLINK("http://www.ensembl.org/Mus_musculus/Gene/Summary?db=core;g=ENSMUSG00000029925","ENSMUSG00000029925")</f>
        <v>ENSMUSG00000029925</v>
      </c>
      <c r="I194" s="6" t="str">
        <f>HYPERLINK("http://www.informatics.jax.org/marker/MGI:98497","MGI:98497")</f>
        <v>MGI:98497</v>
      </c>
      <c r="J194" s="7" t="s">
        <v>12</v>
      </c>
    </row>
    <row r="195" spans="1:10" x14ac:dyDescent="0.2">
      <c r="A195" s="3">
        <v>1813.2619251363899</v>
      </c>
      <c r="B195" s="1">
        <v>-0.40203997721463303</v>
      </c>
      <c r="C195" s="4">
        <v>9.1129159858505402E-8</v>
      </c>
      <c r="D195" s="5">
        <v>7.1429749982709296E-6</v>
      </c>
      <c r="E195" s="1" t="s">
        <v>1099</v>
      </c>
      <c r="F195" s="1" t="s">
        <v>1100</v>
      </c>
      <c r="G195" s="1">
        <v>80876</v>
      </c>
      <c r="H195" s="6" t="str">
        <f>HYPERLINK("http://www.ensembl.org/Mus_musculus/Gene/Summary?db=core;g=ENSMUSG00000060591","ENSMUSG00000060591")</f>
        <v>ENSMUSG00000060591</v>
      </c>
      <c r="I195" s="6" t="str">
        <f>HYPERLINK("http://www.informatics.jax.org/marker/MGI:1933382","MGI:1933382")</f>
        <v>MGI:1933382</v>
      </c>
      <c r="J195" s="7" t="s">
        <v>12</v>
      </c>
    </row>
    <row r="196" spans="1:10" x14ac:dyDescent="0.2">
      <c r="A196" s="3">
        <v>401.94375036328597</v>
      </c>
      <c r="B196" s="1">
        <v>-0.61255295406200005</v>
      </c>
      <c r="C196" s="4">
        <v>9.17967185348808E-8</v>
      </c>
      <c r="D196" s="5">
        <v>7.1572298641799104E-6</v>
      </c>
      <c r="E196" s="1" t="s">
        <v>654</v>
      </c>
      <c r="F196" s="1" t="s">
        <v>655</v>
      </c>
      <c r="G196" s="1">
        <v>66610</v>
      </c>
      <c r="H196" s="6" t="str">
        <f>HYPERLINK("http://www.ensembl.org/Mus_musculus/Gene/Summary?db=core;g=ENSMUSG00000018381","ENSMUSG00000018381")</f>
        <v>ENSMUSG00000018381</v>
      </c>
      <c r="I196" s="6" t="str">
        <f>HYPERLINK("http://www.informatics.jax.org/marker/MGI:1913860","MGI:1913860")</f>
        <v>MGI:1913860</v>
      </c>
      <c r="J196" s="7" t="s">
        <v>12</v>
      </c>
    </row>
    <row r="197" spans="1:10" x14ac:dyDescent="0.2">
      <c r="A197" s="3">
        <v>2656.4692612502899</v>
      </c>
      <c r="B197" s="1">
        <v>-0.20006535191201599</v>
      </c>
      <c r="C197" s="4">
        <v>9.4285100190840406E-8</v>
      </c>
      <c r="D197" s="5">
        <v>7.3125538758538098E-6</v>
      </c>
      <c r="E197" s="1" t="s">
        <v>1910</v>
      </c>
      <c r="F197" s="1" t="s">
        <v>1911</v>
      </c>
      <c r="G197" s="1">
        <v>19262</v>
      </c>
      <c r="H197" s="6" t="str">
        <f>HYPERLINK("http://www.ensembl.org/Mus_musculus/Gene/Summary?db=core;g=ENSMUSG00000027303","ENSMUSG00000027303")</f>
        <v>ENSMUSG00000027303</v>
      </c>
      <c r="I197" s="6" t="str">
        <f>HYPERLINK("http://www.informatics.jax.org/marker/MGI:97808","MGI:97808")</f>
        <v>MGI:97808</v>
      </c>
      <c r="J197" s="7" t="s">
        <v>12</v>
      </c>
    </row>
    <row r="198" spans="1:10" x14ac:dyDescent="0.2">
      <c r="A198" s="3">
        <v>4065.7183232074399</v>
      </c>
      <c r="B198" s="1">
        <v>0.17640255328927801</v>
      </c>
      <c r="C198" s="4">
        <v>9.5226373315274502E-8</v>
      </c>
      <c r="D198" s="5">
        <v>7.3468891998632801E-6</v>
      </c>
      <c r="E198" s="1" t="s">
        <v>2468</v>
      </c>
      <c r="F198" s="1" t="s">
        <v>2469</v>
      </c>
      <c r="G198" s="1">
        <v>22631</v>
      </c>
      <c r="H198" s="6" t="str">
        <f>HYPERLINK("http://www.ensembl.org/Mus_musculus/Gene/Summary?db=core;g=ENSMUSG00000022285","ENSMUSG00000022285")</f>
        <v>ENSMUSG00000022285</v>
      </c>
      <c r="I198" s="6" t="str">
        <f>HYPERLINK("http://www.informatics.jax.org/marker/MGI:109484","MGI:109484")</f>
        <v>MGI:109484</v>
      </c>
      <c r="J198" s="7" t="s">
        <v>12</v>
      </c>
    </row>
    <row r="199" spans="1:10" x14ac:dyDescent="0.2">
      <c r="A199" s="3">
        <v>758.75127558705503</v>
      </c>
      <c r="B199" s="1">
        <v>-0.29000926465230598</v>
      </c>
      <c r="C199" s="4">
        <v>1.0271884405267E-7</v>
      </c>
      <c r="D199" s="5">
        <v>7.88367128104246E-6</v>
      </c>
      <c r="E199" s="1" t="s">
        <v>1494</v>
      </c>
      <c r="F199" s="1" t="s">
        <v>1495</v>
      </c>
      <c r="G199" s="1">
        <v>241062</v>
      </c>
      <c r="H199" s="6" t="str">
        <f>HYPERLINK("http://www.ensembl.org/Mus_musculus/Gene/Summary?db=core;g=ENSMUSG00000073678","ENSMUSG00000073678")</f>
        <v>ENSMUSG00000073678</v>
      </c>
      <c r="I199" s="6" t="str">
        <f>HYPERLINK("http://www.informatics.jax.org/marker/MGI:2443342","MGI:2443342")</f>
        <v>MGI:2443342</v>
      </c>
      <c r="J199" s="7" t="s">
        <v>12</v>
      </c>
    </row>
    <row r="200" spans="1:10" x14ac:dyDescent="0.2">
      <c r="A200" s="3">
        <v>452.132258904504</v>
      </c>
      <c r="B200" s="1">
        <v>-0.29762707090185497</v>
      </c>
      <c r="C200" s="4">
        <v>1.05833458626154E-7</v>
      </c>
      <c r="D200" s="5">
        <v>8.0806313280570107E-6</v>
      </c>
      <c r="E200" s="1" t="s">
        <v>1460</v>
      </c>
      <c r="F200" s="1" t="s">
        <v>1461</v>
      </c>
      <c r="G200" s="1">
        <v>228983</v>
      </c>
      <c r="H200" s="6" t="str">
        <f>HYPERLINK("http://www.ensembl.org/Mus_musculus/Gene/Summary?db=core;g=ENSMUSG00000039050","ENSMUSG00000039050")</f>
        <v>ENSMUSG00000039050</v>
      </c>
      <c r="I200" s="6" t="str">
        <f>HYPERLINK("http://www.informatics.jax.org/marker/MGI:2442832","MGI:2442832")</f>
        <v>MGI:2442832</v>
      </c>
      <c r="J200" s="7" t="s">
        <v>12</v>
      </c>
    </row>
    <row r="201" spans="1:10" x14ac:dyDescent="0.2">
      <c r="A201" s="3">
        <v>3.7900633578509999</v>
      </c>
      <c r="B201" s="1">
        <v>-2.4130143452041901</v>
      </c>
      <c r="C201" s="4">
        <v>1.1309316914025E-7</v>
      </c>
      <c r="D201" s="5">
        <v>8.5904172188181393E-6</v>
      </c>
      <c r="E201" s="1" t="s">
        <v>29</v>
      </c>
      <c r="F201" s="1" t="s">
        <v>30</v>
      </c>
      <c r="G201" s="1">
        <v>73102</v>
      </c>
      <c r="H201" s="6" t="str">
        <f>HYPERLINK("http://www.ensembl.org/Mus_musculus/Gene/Summary?db=core;g=ENSMUSG00000038267","ENSMUSG00000038267")</f>
        <v>ENSMUSG00000038267</v>
      </c>
      <c r="I201" s="6" t="str">
        <f>HYPERLINK("http://www.informatics.jax.org/marker/MGI:1920352","MGI:1920352")</f>
        <v>MGI:1920352</v>
      </c>
      <c r="J201" s="7" t="s">
        <v>12</v>
      </c>
    </row>
    <row r="202" spans="1:10" x14ac:dyDescent="0.2">
      <c r="A202" s="3">
        <v>253.420345215195</v>
      </c>
      <c r="B202" s="1">
        <v>0.43702781613291702</v>
      </c>
      <c r="C202" s="4">
        <v>1.22763091841639E-7</v>
      </c>
      <c r="D202" s="5">
        <v>9.2771124173250804E-6</v>
      </c>
      <c r="E202" s="1" t="s">
        <v>3164</v>
      </c>
      <c r="F202" s="1" t="s">
        <v>3165</v>
      </c>
      <c r="G202" s="1">
        <v>240756</v>
      </c>
      <c r="H202" s="6" t="str">
        <f>HYPERLINK("http://www.ensembl.org/Mus_musculus/Gene/Summary?db=core;g=ENSMUSG00000026455","ENSMUSG00000026455")</f>
        <v>ENSMUSG00000026455</v>
      </c>
      <c r="I202" s="6" t="str">
        <f>HYPERLINK("http://www.informatics.jax.org/marker/MGI:2385619","MGI:2385619")</f>
        <v>MGI:2385619</v>
      </c>
      <c r="J202" s="7" t="s">
        <v>12</v>
      </c>
    </row>
    <row r="203" spans="1:10" x14ac:dyDescent="0.2">
      <c r="A203" s="3">
        <v>1306.2071220656201</v>
      </c>
      <c r="B203" s="1">
        <v>0.22957986272780501</v>
      </c>
      <c r="C203" s="4">
        <v>1.2391822964486399E-7</v>
      </c>
      <c r="D203" s="5">
        <v>9.3166277145240604E-6</v>
      </c>
      <c r="E203" s="1" t="s">
        <v>2786</v>
      </c>
      <c r="F203" s="1" t="s">
        <v>2787</v>
      </c>
      <c r="G203" s="1">
        <v>223723</v>
      </c>
      <c r="H203" s="6" t="str">
        <f>HYPERLINK("http://www.ensembl.org/Mus_musculus/Gene/Summary?db=core;g=ENSMUSG00000016757","ENSMUSG00000016757")</f>
        <v>ENSMUSG00000016757</v>
      </c>
      <c r="I203" s="6" t="str">
        <f>HYPERLINK("http://www.informatics.jax.org/marker/MGI:3039573","MGI:3039573")</f>
        <v>MGI:3039573</v>
      </c>
      <c r="J203" s="7" t="s">
        <v>12</v>
      </c>
    </row>
    <row r="204" spans="1:10" x14ac:dyDescent="0.2">
      <c r="A204" s="3">
        <v>199.954230046503</v>
      </c>
      <c r="B204" s="1">
        <v>0.92751957710995803</v>
      </c>
      <c r="C204" s="4">
        <v>1.25952090507532E-7</v>
      </c>
      <c r="D204" s="5">
        <v>9.4214721102486594E-6</v>
      </c>
      <c r="E204" s="1" t="s">
        <v>3312</v>
      </c>
      <c r="F204" s="1" t="s">
        <v>3313</v>
      </c>
      <c r="G204" s="1">
        <v>242702</v>
      </c>
      <c r="H204" s="6" t="str">
        <f>HYPERLINK("http://www.ensembl.org/Mus_musculus/Gene/Summary?db=core;g=ENSMUSG00000037139","ENSMUSG00000037139")</f>
        <v>ENSMUSG00000037139</v>
      </c>
      <c r="I204" s="6" t="str">
        <f>HYPERLINK("http://www.informatics.jax.org/marker/MGI:2685280","MGI:2685280")</f>
        <v>MGI:2685280</v>
      </c>
      <c r="J204" s="7" t="s">
        <v>12</v>
      </c>
    </row>
    <row r="205" spans="1:10" x14ac:dyDescent="0.2">
      <c r="A205" s="3">
        <v>2576.5427068715499</v>
      </c>
      <c r="B205" s="1">
        <v>-0.77106596419226303</v>
      </c>
      <c r="C205" s="4">
        <v>1.2924634658498401E-7</v>
      </c>
      <c r="D205" s="5">
        <v>9.5228708163816094E-6</v>
      </c>
      <c r="E205" s="1" t="s">
        <v>500</v>
      </c>
      <c r="F205" s="1" t="s">
        <v>501</v>
      </c>
      <c r="G205" s="1">
        <v>12266</v>
      </c>
      <c r="H205" s="6" t="str">
        <f>HYPERLINK("http://www.ensembl.org/Mus_musculus/Gene/Summary?db=core;g=ENSMUSG00000024164","ENSMUSG00000024164")</f>
        <v>ENSMUSG00000024164</v>
      </c>
      <c r="I205" s="6" t="str">
        <f>HYPERLINK("http://www.informatics.jax.org/marker/MGI:88227","MGI:88227")</f>
        <v>MGI:88227</v>
      </c>
      <c r="J205" s="7" t="s">
        <v>12</v>
      </c>
    </row>
    <row r="206" spans="1:10" x14ac:dyDescent="0.2">
      <c r="A206" s="3">
        <v>1279.7240827395101</v>
      </c>
      <c r="B206" s="1">
        <v>-0.40400756661423498</v>
      </c>
      <c r="C206" s="4">
        <v>1.2878570499975501E-7</v>
      </c>
      <c r="D206" s="5">
        <v>9.5228708163816094E-6</v>
      </c>
      <c r="E206" s="1" t="s">
        <v>1091</v>
      </c>
      <c r="F206" s="1" t="s">
        <v>1092</v>
      </c>
      <c r="G206" s="1">
        <v>20541</v>
      </c>
      <c r="H206" s="6" t="str">
        <f>HYPERLINK("http://www.ensembl.org/Mus_musculus/Gene/Summary?db=core;g=ENSMUSG00000054640","ENSMUSG00000054640")</f>
        <v>ENSMUSG00000054640</v>
      </c>
      <c r="I206" s="6" t="str">
        <f>HYPERLINK("http://www.informatics.jax.org/marker/MGI:107956","MGI:107956")</f>
        <v>MGI:107956</v>
      </c>
      <c r="J206" s="7" t="s">
        <v>12</v>
      </c>
    </row>
    <row r="207" spans="1:10" x14ac:dyDescent="0.2">
      <c r="A207" s="3">
        <v>912.62421772468997</v>
      </c>
      <c r="B207" s="1">
        <v>-0.335918302936971</v>
      </c>
      <c r="C207" s="4">
        <v>1.2896747152690299E-7</v>
      </c>
      <c r="D207" s="5">
        <v>9.5228708163816094E-6</v>
      </c>
      <c r="E207" s="1" t="s">
        <v>1284</v>
      </c>
      <c r="F207" s="1" t="s">
        <v>1285</v>
      </c>
      <c r="G207" s="1">
        <v>12394</v>
      </c>
      <c r="H207" s="6" t="str">
        <f>HYPERLINK("http://www.ensembl.org/Mus_musculus/Gene/Summary?db=core;g=ENSMUSG00000022952","ENSMUSG00000022952")</f>
        <v>ENSMUSG00000022952</v>
      </c>
      <c r="I207" s="6" t="str">
        <f>HYPERLINK("http://www.informatics.jax.org/marker/MGI:99852","MGI:99852")</f>
        <v>MGI:99852</v>
      </c>
      <c r="J207" s="7" t="s">
        <v>12</v>
      </c>
    </row>
    <row r="208" spans="1:10" x14ac:dyDescent="0.2">
      <c r="A208" s="3">
        <v>75.944791711493195</v>
      </c>
      <c r="B208" s="1">
        <v>-0.63038719789131903</v>
      </c>
      <c r="C208" s="4">
        <v>1.3116440256859299E-7</v>
      </c>
      <c r="D208" s="5">
        <v>9.6161126181630801E-6</v>
      </c>
      <c r="E208" s="1" t="s">
        <v>624</v>
      </c>
      <c r="F208" s="1" t="s">
        <v>625</v>
      </c>
      <c r="G208" s="1">
        <v>71862</v>
      </c>
      <c r="H208" s="6" t="str">
        <f>HYPERLINK("http://www.ensembl.org/Mus_musculus/Gene/Summary?db=core;g=ENSMUSG00000037661","ENSMUSG00000037661")</f>
        <v>ENSMUSG00000037661</v>
      </c>
      <c r="I208" s="6" t="str">
        <f>HYPERLINK("http://www.informatics.jax.org/marker/MGI:1919112","MGI:1919112")</f>
        <v>MGI:1919112</v>
      </c>
      <c r="J208" s="7" t="s">
        <v>12</v>
      </c>
    </row>
    <row r="209" spans="1:10" x14ac:dyDescent="0.2">
      <c r="A209" s="3">
        <v>612.03568112770995</v>
      </c>
      <c r="B209" s="1">
        <v>-0.62685233313722299</v>
      </c>
      <c r="C209" s="4">
        <v>1.3941496172751699E-7</v>
      </c>
      <c r="D209" s="5">
        <v>1.01703904753302E-5</v>
      </c>
      <c r="E209" s="1" t="s">
        <v>626</v>
      </c>
      <c r="F209" s="1" t="s">
        <v>627</v>
      </c>
      <c r="G209" s="1">
        <v>394436</v>
      </c>
      <c r="H209" s="6" t="str">
        <f>HYPERLINK("http://www.ensembl.org/Mus_musculus/Gene/Summary?db=core;g=ENSMUSG00000089960","ENSMUSG00000089960")</f>
        <v>ENSMUSG00000089960</v>
      </c>
      <c r="I209" s="6" t="str">
        <f>HYPERLINK("http://www.informatics.jax.org/marker/MGI:98898","MGI:98898")</f>
        <v>MGI:98898</v>
      </c>
      <c r="J209" s="7" t="s">
        <v>12</v>
      </c>
    </row>
    <row r="210" spans="1:10" x14ac:dyDescent="0.2">
      <c r="A210" s="3">
        <v>1806.4786753006099</v>
      </c>
      <c r="B210" s="1">
        <v>0.21500992085991399</v>
      </c>
      <c r="C210" s="4">
        <v>1.5259231271951001E-7</v>
      </c>
      <c r="D210" s="5">
        <v>1.10768488681512E-5</v>
      </c>
      <c r="E210" s="1" t="s">
        <v>2700</v>
      </c>
      <c r="F210" s="1" t="s">
        <v>2701</v>
      </c>
      <c r="G210" s="1">
        <v>68626</v>
      </c>
      <c r="H210" s="6" t="str">
        <f>HYPERLINK("http://www.ensembl.org/Mus_musculus/Gene/Summary?db=core;g=ENSMUSG00000020549","ENSMUSG00000020549")</f>
        <v>ENSMUSG00000020549</v>
      </c>
      <c r="I210" s="6" t="str">
        <f>HYPERLINK("http://www.informatics.jax.org/marker/MGI:1890496","MGI:1890496")</f>
        <v>MGI:1890496</v>
      </c>
      <c r="J210" s="7" t="s">
        <v>12</v>
      </c>
    </row>
    <row r="211" spans="1:10" x14ac:dyDescent="0.2">
      <c r="A211" s="3">
        <v>207.60093999519501</v>
      </c>
      <c r="B211" s="1">
        <v>0.46303020822691798</v>
      </c>
      <c r="C211" s="4">
        <v>1.55264133598225E-7</v>
      </c>
      <c r="D211" s="5">
        <v>1.12155503563895E-5</v>
      </c>
      <c r="E211" s="1" t="s">
        <v>3182</v>
      </c>
      <c r="F211" s="1" t="s">
        <v>3183</v>
      </c>
      <c r="G211" s="1">
        <v>14062</v>
      </c>
      <c r="H211" s="6" t="str">
        <f>HYPERLINK("http://www.ensembl.org/Mus_musculus/Gene/Summary?db=core;g=ENSMUSG00000048376","ENSMUSG00000048376")</f>
        <v>ENSMUSG00000048376</v>
      </c>
      <c r="I211" s="6" t="str">
        <f>HYPERLINK("http://www.informatics.jax.org/marker/MGI:101802","MGI:101802")</f>
        <v>MGI:101802</v>
      </c>
      <c r="J211" s="7" t="s">
        <v>12</v>
      </c>
    </row>
    <row r="212" spans="1:10" x14ac:dyDescent="0.2">
      <c r="A212" s="3">
        <v>610.77328961706303</v>
      </c>
      <c r="B212" s="1">
        <v>-0.62543883001321898</v>
      </c>
      <c r="C212" s="4">
        <v>1.6454071155484801E-7</v>
      </c>
      <c r="D212" s="5">
        <v>1.1816958473870599E-5</v>
      </c>
      <c r="E212" s="1" t="s">
        <v>634</v>
      </c>
      <c r="F212" s="1" t="s">
        <v>635</v>
      </c>
      <c r="G212" s="1" t="s">
        <v>45</v>
      </c>
      <c r="H212" s="6" t="str">
        <f>HYPERLINK("http://www.ensembl.org/Mus_musculus/Gene/Summary?db=core;g=ENSMUSG00000089675","ENSMUSG00000089675")</f>
        <v>ENSMUSG00000089675</v>
      </c>
      <c r="I212" s="6" t="str">
        <f>HYPERLINK("http://www.informatics.jax.org/marker/MGI:3576090","MGI:3576090")</f>
        <v>MGI:3576090</v>
      </c>
      <c r="J212" s="7" t="s">
        <v>12</v>
      </c>
    </row>
    <row r="213" spans="1:10" x14ac:dyDescent="0.2">
      <c r="A213" s="3">
        <v>431.09666108966798</v>
      </c>
      <c r="B213" s="1">
        <v>-0.42457398814644898</v>
      </c>
      <c r="C213" s="4">
        <v>1.65995548594681E-7</v>
      </c>
      <c r="D213" s="5">
        <v>1.1816958473870599E-5</v>
      </c>
      <c r="E213" s="1" t="s">
        <v>1043</v>
      </c>
      <c r="F213" s="1" t="s">
        <v>1044</v>
      </c>
      <c r="G213" s="1">
        <v>268301</v>
      </c>
      <c r="H213" s="6" t="str">
        <f>HYPERLINK("http://www.ensembl.org/Mus_musculus/Gene/Summary?db=core;g=ENSMUSG00000098188","ENSMUSG00000098188")</f>
        <v>ENSMUSG00000098188</v>
      </c>
      <c r="I213" s="6" t="str">
        <f>HYPERLINK("http://www.informatics.jax.org/marker/MGI:3606051","MGI:3606051")</f>
        <v>MGI:3606051</v>
      </c>
      <c r="J213" s="7" t="s">
        <v>12</v>
      </c>
    </row>
    <row r="214" spans="1:10" x14ac:dyDescent="0.2">
      <c r="A214" s="3">
        <v>715.515591021722</v>
      </c>
      <c r="B214" s="1">
        <v>-0.393235382975337</v>
      </c>
      <c r="C214" s="4">
        <v>1.6573336679134201E-7</v>
      </c>
      <c r="D214" s="5">
        <v>1.1816958473870599E-5</v>
      </c>
      <c r="E214" s="1" t="s">
        <v>1117</v>
      </c>
      <c r="F214" s="1" t="s">
        <v>1118</v>
      </c>
      <c r="G214" s="1">
        <v>12611</v>
      </c>
      <c r="H214" s="6" t="str">
        <f>HYPERLINK("http://www.ensembl.org/Mus_musculus/Gene/Summary?db=core;g=ENSMUSG00000056216","ENSMUSG00000056216")</f>
        <v>ENSMUSG00000056216</v>
      </c>
      <c r="I214" s="6" t="str">
        <f>HYPERLINK("http://www.informatics.jax.org/marker/MGI:104982","MGI:104982")</f>
        <v>MGI:104982</v>
      </c>
      <c r="J214" s="7" t="s">
        <v>12</v>
      </c>
    </row>
    <row r="215" spans="1:10" x14ac:dyDescent="0.2">
      <c r="A215" s="3">
        <v>611.005885625612</v>
      </c>
      <c r="B215" s="1">
        <v>-0.62641175128152005</v>
      </c>
      <c r="C215" s="4">
        <v>1.6799719250427699E-7</v>
      </c>
      <c r="D215" s="5">
        <v>1.18704959378693E-5</v>
      </c>
      <c r="E215" s="1" t="s">
        <v>630</v>
      </c>
      <c r="F215" s="1" t="s">
        <v>631</v>
      </c>
      <c r="G215" s="1">
        <v>22236</v>
      </c>
      <c r="H215" s="6" t="str">
        <f>HYPERLINK("http://www.ensembl.org/Mus_musculus/Gene/Summary?db=core;g=ENSMUSG00000090171","ENSMUSG00000090171")</f>
        <v>ENSMUSG00000090171</v>
      </c>
      <c r="I215" s="6" t="str">
        <f>HYPERLINK("http://www.informatics.jax.org/marker/MGI:3576049","MGI:3576049")</f>
        <v>MGI:3576049</v>
      </c>
      <c r="J215" s="7" t="s">
        <v>12</v>
      </c>
    </row>
    <row r="216" spans="1:10" x14ac:dyDescent="0.2">
      <c r="A216" s="3">
        <v>610.73203520027505</v>
      </c>
      <c r="B216" s="1">
        <v>-0.62508675949716097</v>
      </c>
      <c r="C216" s="4">
        <v>1.6835868967254899E-7</v>
      </c>
      <c r="D216" s="5">
        <v>1.18704959378693E-5</v>
      </c>
      <c r="E216" s="1" t="s">
        <v>638</v>
      </c>
      <c r="F216" s="1" t="s">
        <v>639</v>
      </c>
      <c r="G216" s="1">
        <v>394434</v>
      </c>
      <c r="H216" s="6" t="str">
        <f>HYPERLINK("http://www.ensembl.org/Mus_musculus/Gene/Summary?db=core;g=ENSMUSG00000090175","ENSMUSG00000090175")</f>
        <v>ENSMUSG00000090175</v>
      </c>
      <c r="I216" s="6" t="str">
        <f>HYPERLINK("http://www.informatics.jax.org/marker/MGI:3576092","MGI:3576092")</f>
        <v>MGI:3576092</v>
      </c>
      <c r="J216" s="7" t="s">
        <v>12</v>
      </c>
    </row>
    <row r="217" spans="1:10" x14ac:dyDescent="0.2">
      <c r="A217" s="3">
        <v>622.929325207028</v>
      </c>
      <c r="B217" s="1">
        <v>-0.62673807613641896</v>
      </c>
      <c r="C217" s="4">
        <v>1.69214661156854E-7</v>
      </c>
      <c r="D217" s="5">
        <v>1.18740345086066E-5</v>
      </c>
      <c r="E217" s="1" t="s">
        <v>628</v>
      </c>
      <c r="F217" s="1" t="s">
        <v>629</v>
      </c>
      <c r="G217" s="1">
        <v>394435</v>
      </c>
      <c r="H217" s="6" t="str">
        <f>HYPERLINK("http://www.ensembl.org/Mus_musculus/Gene/Summary?db=core;g=ENSMUSG00000090145","ENSMUSG00000090145")</f>
        <v>ENSMUSG00000090145</v>
      </c>
      <c r="I217" s="6" t="str">
        <f>HYPERLINK("http://www.informatics.jax.org/marker/MGI:3580629","MGI:3580629")</f>
        <v>MGI:3580629</v>
      </c>
      <c r="J217" s="7" t="s">
        <v>12</v>
      </c>
    </row>
    <row r="218" spans="1:10" x14ac:dyDescent="0.2">
      <c r="A218" s="3">
        <v>982.01183978873598</v>
      </c>
      <c r="B218" s="1">
        <v>-0.57754936463772699</v>
      </c>
      <c r="C218" s="4">
        <v>1.7052280127958E-7</v>
      </c>
      <c r="D218" s="5">
        <v>1.19091184817815E-5</v>
      </c>
      <c r="E218" s="1" t="s">
        <v>711</v>
      </c>
      <c r="F218" s="1" t="s">
        <v>712</v>
      </c>
      <c r="G218" s="1">
        <v>76820</v>
      </c>
      <c r="H218" s="6" t="str">
        <f>HYPERLINK("http://www.ensembl.org/Mus_musculus/Gene/Summary?db=core;g=ENSMUSG00000020589","ENSMUSG00000020589")</f>
        <v>ENSMUSG00000020589</v>
      </c>
      <c r="I218" s="6" t="str">
        <f>HYPERLINK("http://www.informatics.jax.org/marker/MGI:1261783","MGI:1261783")</f>
        <v>MGI:1261783</v>
      </c>
      <c r="J218" s="7" t="s">
        <v>12</v>
      </c>
    </row>
    <row r="219" spans="1:10" x14ac:dyDescent="0.2">
      <c r="A219" s="3">
        <v>610.92387251645903</v>
      </c>
      <c r="B219" s="1">
        <v>-0.62539673567614296</v>
      </c>
      <c r="C219" s="4">
        <v>1.72483066056517E-7</v>
      </c>
      <c r="D219" s="5">
        <v>1.19329129643607E-5</v>
      </c>
      <c r="E219" s="1" t="s">
        <v>636</v>
      </c>
      <c r="F219" s="1" t="s">
        <v>637</v>
      </c>
      <c r="G219" s="1">
        <v>394433</v>
      </c>
      <c r="H219" s="6" t="str">
        <f>HYPERLINK("http://www.ensembl.org/Mus_musculus/Gene/Summary?db=core;g=ENSMUSG00000089943","ENSMUSG00000089943")</f>
        <v>ENSMUSG00000089943</v>
      </c>
      <c r="I219" s="6" t="str">
        <f>HYPERLINK("http://www.informatics.jax.org/marker/MGI:3032634","MGI:3032634")</f>
        <v>MGI:3032634</v>
      </c>
      <c r="J219" s="7" t="s">
        <v>12</v>
      </c>
    </row>
    <row r="220" spans="1:10" x14ac:dyDescent="0.2">
      <c r="A220" s="3">
        <v>1278.5354302507201</v>
      </c>
      <c r="B220" s="1">
        <v>-0.56192351747329095</v>
      </c>
      <c r="C220" s="4">
        <v>1.7245404593459799E-7</v>
      </c>
      <c r="D220" s="5">
        <v>1.19329129643607E-5</v>
      </c>
      <c r="E220" s="1" t="s">
        <v>745</v>
      </c>
      <c r="F220" s="1" t="s">
        <v>746</v>
      </c>
      <c r="G220" s="1">
        <v>12606</v>
      </c>
      <c r="H220" s="6" t="str">
        <f>HYPERLINK("http://www.ensembl.org/Mus_musculus/Gene/Summary?db=core;g=ENSMUSG00000034957","ENSMUSG00000034957")</f>
        <v>ENSMUSG00000034957</v>
      </c>
      <c r="I220" s="6" t="str">
        <f>HYPERLINK("http://www.informatics.jax.org/marker/MGI:99480","MGI:99480")</f>
        <v>MGI:99480</v>
      </c>
      <c r="J220" s="7" t="s">
        <v>12</v>
      </c>
    </row>
    <row r="221" spans="1:10" x14ac:dyDescent="0.2">
      <c r="A221" s="3">
        <v>610.76663281383298</v>
      </c>
      <c r="B221" s="1">
        <v>-0.62486149538751701</v>
      </c>
      <c r="C221" s="4">
        <v>1.74989031204391E-7</v>
      </c>
      <c r="D221" s="5">
        <v>1.20497119805042E-5</v>
      </c>
      <c r="E221" s="1" t="s">
        <v>640</v>
      </c>
      <c r="F221" s="1" t="s">
        <v>641</v>
      </c>
      <c r="G221" s="1">
        <v>394430</v>
      </c>
      <c r="H221" s="6" t="str">
        <f>HYPERLINK("http://www.ensembl.org/Mus_musculus/Gene/Summary?db=core;g=ENSMUSG00000090165","ENSMUSG00000090165")</f>
        <v>ENSMUSG00000090165</v>
      </c>
      <c r="I221" s="6" t="str">
        <f>HYPERLINK("http://www.informatics.jax.org/marker/MGI:3580642","MGI:3580642")</f>
        <v>MGI:3580642</v>
      </c>
      <c r="J221" s="7" t="s">
        <v>12</v>
      </c>
    </row>
    <row r="222" spans="1:10" x14ac:dyDescent="0.2">
      <c r="A222" s="3">
        <v>10.645415148694401</v>
      </c>
      <c r="B222" s="1">
        <v>1.6486579817963301</v>
      </c>
      <c r="C222" s="4">
        <v>1.7912087090605001E-7</v>
      </c>
      <c r="D222" s="5">
        <v>1.22768611798677E-5</v>
      </c>
      <c r="E222" s="1" t="s">
        <v>3359</v>
      </c>
      <c r="F222" s="1" t="s">
        <v>3360</v>
      </c>
      <c r="G222" s="1">
        <v>14561</v>
      </c>
      <c r="H222" s="6" t="str">
        <f>HYPERLINK("http://www.ensembl.org/Mus_musculus/Gene/Summary?db=core;g=ENSMUSG00000025352","ENSMUSG00000025352")</f>
        <v>ENSMUSG00000025352</v>
      </c>
      <c r="I222" s="6" t="str">
        <f>HYPERLINK("http://www.informatics.jax.org/marker/MGI:1338027","MGI:1338027")</f>
        <v>MGI:1338027</v>
      </c>
      <c r="J222" s="7" t="s">
        <v>12</v>
      </c>
    </row>
    <row r="223" spans="1:10" x14ac:dyDescent="0.2">
      <c r="A223" s="3">
        <v>1914.4814145825401</v>
      </c>
      <c r="B223" s="1">
        <v>-0.37320194656950501</v>
      </c>
      <c r="C223" s="4">
        <v>1.8567086261456801E-7</v>
      </c>
      <c r="D223" s="5">
        <v>1.2666878849482801E-5</v>
      </c>
      <c r="E223" s="1" t="s">
        <v>1156</v>
      </c>
      <c r="F223" s="1" t="s">
        <v>1157</v>
      </c>
      <c r="G223" s="1">
        <v>17160</v>
      </c>
      <c r="H223" s="6" t="str">
        <f>HYPERLINK("http://www.ensembl.org/Mus_musculus/Gene/Summary?db=core;g=ENSMUSG00000029119","ENSMUSG00000029119")</f>
        <v>ENSMUSG00000029119</v>
      </c>
      <c r="I223" s="6" t="str">
        <f>HYPERLINK("http://www.informatics.jax.org/marker/MGI:1195262","MGI:1195262")</f>
        <v>MGI:1195262</v>
      </c>
      <c r="J223" s="7" t="s">
        <v>12</v>
      </c>
    </row>
    <row r="224" spans="1:10" x14ac:dyDescent="0.2">
      <c r="A224" s="3">
        <v>300.24358221337599</v>
      </c>
      <c r="B224" s="1">
        <v>-0.58273529035633498</v>
      </c>
      <c r="C224" s="4">
        <v>1.9171038236766201E-7</v>
      </c>
      <c r="D224" s="5">
        <v>1.30186368413358E-5</v>
      </c>
      <c r="E224" s="1" t="s">
        <v>701</v>
      </c>
      <c r="F224" s="1" t="s">
        <v>702</v>
      </c>
      <c r="G224" s="1">
        <v>50766</v>
      </c>
      <c r="H224" s="6" t="str">
        <f>HYPERLINK("http://www.ensembl.org/Mus_musculus/Gene/Summary?db=core;g=ENSMUSG00000024074","ENSMUSG00000024074")</f>
        <v>ENSMUSG00000024074</v>
      </c>
      <c r="I224" s="6" t="str">
        <f>HYPERLINK("http://www.informatics.jax.org/marker/MGI:1354756","MGI:1354756")</f>
        <v>MGI:1354756</v>
      </c>
      <c r="J224" s="7" t="s">
        <v>12</v>
      </c>
    </row>
    <row r="225" spans="1:10" x14ac:dyDescent="0.2">
      <c r="A225" s="3">
        <v>1099.1382676015901</v>
      </c>
      <c r="B225" s="1">
        <v>-1.9318157632853099</v>
      </c>
      <c r="C225" s="4">
        <v>1.9783745446816499E-7</v>
      </c>
      <c r="D225" s="5">
        <v>1.33730859130407E-5</v>
      </c>
      <c r="E225" s="1" t="s">
        <v>59</v>
      </c>
      <c r="F225" s="1" t="s">
        <v>60</v>
      </c>
      <c r="G225" s="1">
        <v>14469</v>
      </c>
      <c r="H225" s="6" t="str">
        <f>HYPERLINK("http://www.ensembl.org/Mus_musculus/Gene/Summary?db=core;g=ENSMUSG00000028270","ENSMUSG00000028270")</f>
        <v>ENSMUSG00000028270</v>
      </c>
      <c r="I225" s="6" t="str">
        <f>HYPERLINK("http://www.informatics.jax.org/marker/MGI:102772","MGI:102772")</f>
        <v>MGI:102772</v>
      </c>
      <c r="J225" s="7" t="s">
        <v>12</v>
      </c>
    </row>
    <row r="226" spans="1:10" x14ac:dyDescent="0.2">
      <c r="A226" s="3">
        <v>1012.90189270349</v>
      </c>
      <c r="B226" s="1">
        <v>0.25167394933245002</v>
      </c>
      <c r="C226" s="4">
        <v>2.00735825113114E-7</v>
      </c>
      <c r="D226" s="5">
        <v>1.35070462048715E-5</v>
      </c>
      <c r="E226" s="1" t="s">
        <v>2878</v>
      </c>
      <c r="F226" s="1" t="s">
        <v>2879</v>
      </c>
      <c r="G226" s="1">
        <v>66165</v>
      </c>
      <c r="H226" s="6" t="str">
        <f>HYPERLINK("http://www.ensembl.org/Mus_musculus/Gene/Summary?db=core;g=ENSMUSG00000030983","ENSMUSG00000030983")</f>
        <v>ENSMUSG00000030983</v>
      </c>
      <c r="I226" s="6" t="str">
        <f>HYPERLINK("http://www.informatics.jax.org/marker/MGI:1913415","MGI:1913415")</f>
        <v>MGI:1913415</v>
      </c>
      <c r="J226" s="7" t="s">
        <v>12</v>
      </c>
    </row>
    <row r="227" spans="1:10" x14ac:dyDescent="0.2">
      <c r="A227" s="3">
        <v>836.40250302701895</v>
      </c>
      <c r="B227" s="1">
        <v>-0.35360477857476402</v>
      </c>
      <c r="C227" s="4">
        <v>2.1154283540504201E-7</v>
      </c>
      <c r="D227" s="5">
        <v>1.41695237387668E-5</v>
      </c>
      <c r="E227" s="1" t="s">
        <v>1232</v>
      </c>
      <c r="F227" s="1" t="s">
        <v>1233</v>
      </c>
      <c r="G227" s="1" t="s">
        <v>45</v>
      </c>
      <c r="H227" s="6" t="str">
        <f>HYPERLINK("http://www.ensembl.org/Mus_musculus/Gene/Summary?db=core;g=ENSMUSG00000110104","ENSMUSG00000110104")</f>
        <v>ENSMUSG00000110104</v>
      </c>
      <c r="I227" s="6" t="str">
        <f>HYPERLINK("http://www.informatics.jax.org/marker/MGI:5804832","MGI:5804832")</f>
        <v>MGI:5804832</v>
      </c>
      <c r="J227" s="7" t="s">
        <v>12</v>
      </c>
    </row>
    <row r="228" spans="1:10" x14ac:dyDescent="0.2">
      <c r="A228" s="3">
        <v>59.297908990589903</v>
      </c>
      <c r="B228" s="1">
        <v>-0.80430317766749404</v>
      </c>
      <c r="C228" s="4">
        <v>2.1984392847891401E-7</v>
      </c>
      <c r="D228" s="5">
        <v>1.465891461568E-5</v>
      </c>
      <c r="E228" s="1" t="s">
        <v>478</v>
      </c>
      <c r="F228" s="1" t="s">
        <v>479</v>
      </c>
      <c r="G228" s="1">
        <v>69480</v>
      </c>
      <c r="H228" s="6" t="str">
        <f>HYPERLINK("http://www.ensembl.org/Mus_musculus/Gene/Summary?db=core;g=ENSMUSG00000042734","ENSMUSG00000042734")</f>
        <v>ENSMUSG00000042734</v>
      </c>
      <c r="I228" s="6" t="str">
        <f>HYPERLINK("http://www.informatics.jax.org/marker/MGI:1916730","MGI:1916730")</f>
        <v>MGI:1916730</v>
      </c>
      <c r="J228" s="7" t="s">
        <v>12</v>
      </c>
    </row>
    <row r="229" spans="1:10" x14ac:dyDescent="0.2">
      <c r="A229" s="3">
        <v>118.55223931670101</v>
      </c>
      <c r="B229" s="1">
        <v>-0.56904718707768698</v>
      </c>
      <c r="C229" s="4">
        <v>2.4123543191130899E-7</v>
      </c>
      <c r="D229" s="5">
        <v>1.6012816777680401E-5</v>
      </c>
      <c r="E229" s="1" t="s">
        <v>727</v>
      </c>
      <c r="F229" s="1" t="s">
        <v>728</v>
      </c>
      <c r="G229" s="1">
        <v>195046</v>
      </c>
      <c r="H229" s="6" t="str">
        <f>HYPERLINK("http://www.ensembl.org/Mus_musculus/Gene/Summary?db=core;g=ENSMUSG00000069830","ENSMUSG00000069830")</f>
        <v>ENSMUSG00000069830</v>
      </c>
      <c r="I229" s="6" t="str">
        <f>HYPERLINK("http://www.informatics.jax.org/marker/MGI:2684861","MGI:2684861")</f>
        <v>MGI:2684861</v>
      </c>
      <c r="J229" s="7" t="s">
        <v>12</v>
      </c>
    </row>
    <row r="230" spans="1:10" x14ac:dyDescent="0.2">
      <c r="A230" s="3">
        <v>1064.2356902471699</v>
      </c>
      <c r="B230" s="1">
        <v>-1.3707380308411601</v>
      </c>
      <c r="C230" s="4">
        <v>2.6943038849834599E-7</v>
      </c>
      <c r="D230" s="5">
        <v>1.7724670557641201E-5</v>
      </c>
      <c r="E230" s="1" t="s">
        <v>158</v>
      </c>
      <c r="F230" s="1" t="s">
        <v>159</v>
      </c>
      <c r="G230" s="1">
        <v>102641031</v>
      </c>
      <c r="H230" s="6" t="str">
        <f>HYPERLINK("http://www.ensembl.org/Mus_musculus/Gene/Summary?db=core;g=ENSMUSG00000039997","ENSMUSG00000039997")</f>
        <v>ENSMUSG00000039997</v>
      </c>
      <c r="I230" s="6" t="str">
        <f>HYPERLINK("http://www.informatics.jax.org/marker/MGI:96428","MGI:96428")</f>
        <v>MGI:96428</v>
      </c>
      <c r="J230" s="7" t="s">
        <v>12</v>
      </c>
    </row>
    <row r="231" spans="1:10" x14ac:dyDescent="0.2">
      <c r="A231" s="3">
        <v>233.40323850377001</v>
      </c>
      <c r="B231" s="1">
        <v>-0.98259226188878801</v>
      </c>
      <c r="C231" s="4">
        <v>2.6870643225380501E-7</v>
      </c>
      <c r="D231" s="5">
        <v>1.7724670557641201E-5</v>
      </c>
      <c r="E231" s="1" t="s">
        <v>351</v>
      </c>
      <c r="F231" s="1" t="s">
        <v>352</v>
      </c>
      <c r="G231" s="1">
        <v>246049</v>
      </c>
      <c r="H231" s="6" t="str">
        <f>HYPERLINK("http://www.ensembl.org/Mus_musculus/Gene/Summary?db=core;g=ENSMUSG00000020264","ENSMUSG00000020264")</f>
        <v>ENSMUSG00000020264</v>
      </c>
      <c r="I231" s="6" t="str">
        <f>HYPERLINK("http://www.informatics.jax.org/marker/MGI:1891430","MGI:1891430")</f>
        <v>MGI:1891430</v>
      </c>
      <c r="J231" s="7" t="s">
        <v>12</v>
      </c>
    </row>
    <row r="232" spans="1:10" x14ac:dyDescent="0.2">
      <c r="A232" s="3">
        <v>235.954549369359</v>
      </c>
      <c r="B232" s="1">
        <v>-0.55606710204499199</v>
      </c>
      <c r="C232" s="4">
        <v>3.0728448661876599E-7</v>
      </c>
      <c r="D232" s="5">
        <v>2.0113479618933401E-5</v>
      </c>
      <c r="E232" s="1" t="s">
        <v>753</v>
      </c>
      <c r="F232" s="1" t="s">
        <v>754</v>
      </c>
      <c r="G232" s="1">
        <v>107503</v>
      </c>
      <c r="H232" s="6" t="str">
        <f>HYPERLINK("http://www.ensembl.org/Mus_musculus/Gene/Summary?db=core;g=ENSMUSG00000038539","ENSMUSG00000038539")</f>
        <v>ENSMUSG00000038539</v>
      </c>
      <c r="I232" s="6" t="str">
        <f>HYPERLINK("http://www.informatics.jax.org/marker/MGI:2141857","MGI:2141857")</f>
        <v>MGI:2141857</v>
      </c>
      <c r="J232" s="7" t="s">
        <v>12</v>
      </c>
    </row>
    <row r="233" spans="1:10" x14ac:dyDescent="0.2">
      <c r="A233" s="3">
        <v>612.72232683195602</v>
      </c>
      <c r="B233" s="1">
        <v>0.53154921366538399</v>
      </c>
      <c r="C233" s="4">
        <v>3.0847220371057002E-7</v>
      </c>
      <c r="D233" s="5">
        <v>2.0113479618933401E-5</v>
      </c>
      <c r="E233" s="1" t="s">
        <v>3212</v>
      </c>
      <c r="F233" s="1" t="s">
        <v>3213</v>
      </c>
      <c r="G233" s="1">
        <v>20744</v>
      </c>
      <c r="H233" s="6" t="str">
        <f>HYPERLINK("http://www.ensembl.org/Mus_musculus/Gene/Summary?db=core;g=ENSMUSG00000026915","ENSMUSG00000026915")</f>
        <v>ENSMUSG00000026915</v>
      </c>
      <c r="I233" s="6" t="str">
        <f>HYPERLINK("http://www.informatics.jax.org/marker/MGI:104626","MGI:104626")</f>
        <v>MGI:104626</v>
      </c>
      <c r="J233" s="7" t="s">
        <v>12</v>
      </c>
    </row>
    <row r="234" spans="1:10" x14ac:dyDescent="0.2">
      <c r="A234" s="3">
        <v>2578.57144665638</v>
      </c>
      <c r="B234" s="1">
        <v>0.25790043292146297</v>
      </c>
      <c r="C234" s="4">
        <v>3.3293304726517001E-7</v>
      </c>
      <c r="D234" s="5">
        <v>2.1612781429513401E-5</v>
      </c>
      <c r="E234" s="1" t="s">
        <v>2894</v>
      </c>
      <c r="F234" s="1" t="s">
        <v>2895</v>
      </c>
      <c r="G234" s="1">
        <v>98956</v>
      </c>
      <c r="H234" s="6" t="str">
        <f>HYPERLINK("http://www.ensembl.org/Mus_musculus/Gene/Summary?db=core;g=ENSMUSG00000027185","ENSMUSG00000027185")</f>
        <v>ENSMUSG00000027185</v>
      </c>
      <c r="I234" s="6" t="str">
        <f>HYPERLINK("http://www.informatics.jax.org/marker/MGI:2138939","MGI:2138939")</f>
        <v>MGI:2138939</v>
      </c>
      <c r="J234" s="7" t="s">
        <v>12</v>
      </c>
    </row>
    <row r="235" spans="1:10" x14ac:dyDescent="0.2">
      <c r="A235" s="3">
        <v>151.03768603726101</v>
      </c>
      <c r="B235" s="1">
        <v>-0.64814389988175602</v>
      </c>
      <c r="C235" s="4">
        <v>3.3528885907854899E-7</v>
      </c>
      <c r="D235" s="5">
        <v>2.16702483657083E-5</v>
      </c>
      <c r="E235" s="1" t="s">
        <v>604</v>
      </c>
      <c r="F235" s="1" t="s">
        <v>605</v>
      </c>
      <c r="G235" s="1">
        <v>99543</v>
      </c>
      <c r="H235" s="6" t="str">
        <f>HYPERLINK("http://www.ensembl.org/Mus_musculus/Gene/Summary?db=core;g=ENSMUSG00000027848","ENSMUSG00000027848")</f>
        <v>ENSMUSG00000027848</v>
      </c>
      <c r="I235" s="6" t="str">
        <f>HYPERLINK("http://www.informatics.jax.org/marker/MGI:1914877","MGI:1914877")</f>
        <v>MGI:1914877</v>
      </c>
      <c r="J235" s="7" t="s">
        <v>12</v>
      </c>
    </row>
    <row r="236" spans="1:10" x14ac:dyDescent="0.2">
      <c r="A236" s="3">
        <v>3914.7812816879</v>
      </c>
      <c r="B236" s="1">
        <v>-0.70054901954187898</v>
      </c>
      <c r="C236" s="4">
        <v>3.40704482529686E-7</v>
      </c>
      <c r="D236" s="5">
        <v>2.1924110281910301E-5</v>
      </c>
      <c r="E236" s="1" t="s">
        <v>560</v>
      </c>
      <c r="F236" s="1" t="s">
        <v>561</v>
      </c>
      <c r="G236" s="1">
        <v>17159</v>
      </c>
      <c r="H236" s="6" t="str">
        <f>HYPERLINK("http://www.ensembl.org/Mus_musculus/Gene/Summary?db=core;g=ENSMUSG00000005142","ENSMUSG00000005142")</f>
        <v>ENSMUSG00000005142</v>
      </c>
      <c r="I236" s="6" t="str">
        <f>HYPERLINK("http://www.informatics.jax.org/marker/MGI:107286","MGI:107286")</f>
        <v>MGI:107286</v>
      </c>
      <c r="J236" s="7" t="s">
        <v>12</v>
      </c>
    </row>
    <row r="237" spans="1:10" x14ac:dyDescent="0.2">
      <c r="A237" s="3">
        <v>49.531522839467101</v>
      </c>
      <c r="B237" s="1">
        <v>-1.01048600933376</v>
      </c>
      <c r="C237" s="4">
        <v>3.4515987422635698E-7</v>
      </c>
      <c r="D237" s="5">
        <v>2.2018510418180098E-5</v>
      </c>
      <c r="E237" s="1" t="s">
        <v>341</v>
      </c>
      <c r="F237" s="1" t="s">
        <v>342</v>
      </c>
      <c r="G237" s="1">
        <v>13609</v>
      </c>
      <c r="H237" s="6" t="str">
        <f>HYPERLINK("http://www.ensembl.org/Mus_musculus/Gene/Summary?db=core;g=ENSMUSG00000045092","ENSMUSG00000045092")</f>
        <v>ENSMUSG00000045092</v>
      </c>
      <c r="I237" s="6" t="str">
        <f>HYPERLINK("http://www.informatics.jax.org/marker/MGI:1096355","MGI:1096355")</f>
        <v>MGI:1096355</v>
      </c>
      <c r="J237" s="7" t="s">
        <v>12</v>
      </c>
    </row>
    <row r="238" spans="1:10" x14ac:dyDescent="0.2">
      <c r="A238" s="3">
        <v>1970.02267366312</v>
      </c>
      <c r="B238" s="1">
        <v>-0.32666033137673101</v>
      </c>
      <c r="C238" s="4">
        <v>3.4367784444019702E-7</v>
      </c>
      <c r="D238" s="5">
        <v>2.2018510418180098E-5</v>
      </c>
      <c r="E238" s="1" t="s">
        <v>1328</v>
      </c>
      <c r="F238" s="1" t="s">
        <v>1329</v>
      </c>
      <c r="G238" s="1">
        <v>241694</v>
      </c>
      <c r="H238" s="6" t="str">
        <f>HYPERLINK("http://www.ensembl.org/Mus_musculus/Gene/Summary?db=core;g=ENSMUSG00000037110","ENSMUSG00000037110")</f>
        <v>ENSMUSG00000037110</v>
      </c>
      <c r="I238" s="6" t="str">
        <f>HYPERLINK("http://www.informatics.jax.org/marker/MGI:3036245","MGI:3036245")</f>
        <v>MGI:3036245</v>
      </c>
      <c r="J238" s="7" t="s">
        <v>12</v>
      </c>
    </row>
    <row r="239" spans="1:10" x14ac:dyDescent="0.2">
      <c r="A239" s="3">
        <v>3983.26828019186</v>
      </c>
      <c r="B239" s="1">
        <v>-0.46506132013693402</v>
      </c>
      <c r="C239" s="4">
        <v>3.5164058442736099E-7</v>
      </c>
      <c r="D239" s="5">
        <v>2.2335239879834501E-5</v>
      </c>
      <c r="E239" s="1" t="s">
        <v>899</v>
      </c>
      <c r="F239" s="1" t="s">
        <v>900</v>
      </c>
      <c r="G239" s="1">
        <v>54445</v>
      </c>
      <c r="H239" s="6" t="str">
        <f>HYPERLINK("http://www.ensembl.org/Mus_musculus/Gene/Summary?db=core;g=ENSMUSG00000036908","ENSMUSG00000036908")</f>
        <v>ENSMUSG00000036908</v>
      </c>
      <c r="I239" s="6" t="str">
        <f>HYPERLINK("http://www.informatics.jax.org/marker/MGI:1859307","MGI:1859307")</f>
        <v>MGI:1859307</v>
      </c>
      <c r="J239" s="7" t="s">
        <v>12</v>
      </c>
    </row>
    <row r="240" spans="1:10" x14ac:dyDescent="0.2">
      <c r="A240" s="3">
        <v>713.98164264594698</v>
      </c>
      <c r="B240" s="1">
        <v>-0.27822091024319401</v>
      </c>
      <c r="C240" s="4">
        <v>3.59455168261591E-7</v>
      </c>
      <c r="D240" s="5">
        <v>2.2733610984990599E-5</v>
      </c>
      <c r="E240" s="1" t="s">
        <v>1548</v>
      </c>
      <c r="F240" s="1" t="s">
        <v>1549</v>
      </c>
      <c r="G240" s="1">
        <v>116871</v>
      </c>
      <c r="H240" s="6" t="str">
        <f>HYPERLINK("http://www.ensembl.org/Mus_musculus/Gene/Summary?db=core;g=ENSMUSG00000055817","ENSMUSG00000055817")</f>
        <v>ENSMUSG00000055817</v>
      </c>
      <c r="I240" s="6" t="str">
        <f>HYPERLINK("http://www.informatics.jax.org/marker/MGI:2151172","MGI:2151172")</f>
        <v>MGI:2151172</v>
      </c>
      <c r="J240" s="7" t="s">
        <v>12</v>
      </c>
    </row>
    <row r="241" spans="1:10" x14ac:dyDescent="0.2">
      <c r="A241" s="3">
        <v>67.204065127040593</v>
      </c>
      <c r="B241" s="1">
        <v>-0.69143650739552998</v>
      </c>
      <c r="C241" s="4">
        <v>3.62054786695182E-7</v>
      </c>
      <c r="D241" s="5">
        <v>2.2800168105727301E-5</v>
      </c>
      <c r="E241" s="1" t="s">
        <v>570</v>
      </c>
      <c r="F241" s="1" t="s">
        <v>571</v>
      </c>
      <c r="G241" s="1">
        <v>227696</v>
      </c>
      <c r="H241" s="6" t="str">
        <f>HYPERLINK("http://www.ensembl.org/Mus_musculus/Gene/Summary?db=core;g=ENSMUSG00000079484","ENSMUSG00000079484")</f>
        <v>ENSMUSG00000079484</v>
      </c>
      <c r="I241" s="6" t="str">
        <f>HYPERLINK("http://www.informatics.jax.org/marker/MGI:3612860","MGI:3612860")</f>
        <v>MGI:3612860</v>
      </c>
      <c r="J241" s="7" t="s">
        <v>12</v>
      </c>
    </row>
    <row r="242" spans="1:10" x14ac:dyDescent="0.2">
      <c r="A242" s="3">
        <v>6.0789956465289201</v>
      </c>
      <c r="B242" s="1">
        <v>-1.9311758302031301</v>
      </c>
      <c r="C242" s="4">
        <v>3.6752144315593198E-7</v>
      </c>
      <c r="D242" s="5">
        <v>2.3045940367429E-5</v>
      </c>
      <c r="E242" s="1" t="s">
        <v>61</v>
      </c>
      <c r="F242" s="1" t="s">
        <v>62</v>
      </c>
      <c r="G242" s="1">
        <v>109272</v>
      </c>
      <c r="H242" s="6" t="str">
        <f>HYPERLINK("http://www.ensembl.org/Mus_musculus/Gene/Summary?db=core;g=ENSMUSG00000020061","ENSMUSG00000020061")</f>
        <v>ENSMUSG00000020061</v>
      </c>
      <c r="I242" s="6" t="str">
        <f>HYPERLINK("http://www.informatics.jax.org/marker/MGI:1336213","MGI:1336213")</f>
        <v>MGI:1336213</v>
      </c>
      <c r="J242" s="7" t="s">
        <v>12</v>
      </c>
    </row>
    <row r="243" spans="1:10" x14ac:dyDescent="0.2">
      <c r="A243" s="3">
        <v>6725.7580653988698</v>
      </c>
      <c r="B243" s="1">
        <v>-0.25463214366493597</v>
      </c>
      <c r="C243" s="4">
        <v>3.7699804935350302E-7</v>
      </c>
      <c r="D243" s="5">
        <v>2.3529659815751001E-5</v>
      </c>
      <c r="E243" s="1" t="s">
        <v>1644</v>
      </c>
      <c r="F243" s="1" t="s">
        <v>1645</v>
      </c>
      <c r="G243" s="1">
        <v>27984</v>
      </c>
      <c r="H243" s="6" t="str">
        <f>HYPERLINK("http://www.ensembl.org/Mus_musculus/Gene/Summary?db=core;g=ENSMUSG00000040659","ENSMUSG00000040659")</f>
        <v>ENSMUSG00000040659</v>
      </c>
      <c r="I243" s="6" t="str">
        <f>HYPERLINK("http://www.informatics.jax.org/marker/MGI:106504","MGI:106504")</f>
        <v>MGI:106504</v>
      </c>
      <c r="J243" s="7" t="s">
        <v>12</v>
      </c>
    </row>
    <row r="244" spans="1:10" x14ac:dyDescent="0.2">
      <c r="A244" s="3">
        <v>717.62098184969705</v>
      </c>
      <c r="B244" s="1">
        <v>0.33559900657545899</v>
      </c>
      <c r="C244" s="4">
        <v>3.7842897504974103E-7</v>
      </c>
      <c r="D244" s="5">
        <v>2.3529659815751001E-5</v>
      </c>
      <c r="E244" s="1" t="s">
        <v>3066</v>
      </c>
      <c r="F244" s="1" t="s">
        <v>3067</v>
      </c>
      <c r="G244" s="1">
        <v>67149</v>
      </c>
      <c r="H244" s="6" t="str">
        <f>HYPERLINK("http://www.ensembl.org/Mus_musculus/Gene/Summary?db=core;g=ENSMUSG00000078532","ENSMUSG00000078532")</f>
        <v>ENSMUSG00000078532</v>
      </c>
      <c r="I244" s="6" t="str">
        <f>HYPERLINK("http://www.informatics.jax.org/marker/MGI:1914399","MGI:1914399")</f>
        <v>MGI:1914399</v>
      </c>
      <c r="J244" s="7" t="s">
        <v>12</v>
      </c>
    </row>
    <row r="245" spans="1:10" x14ac:dyDescent="0.2">
      <c r="A245" s="3">
        <v>129.78398090936699</v>
      </c>
      <c r="B245" s="1">
        <v>-0.68053147292767502</v>
      </c>
      <c r="C245" s="4">
        <v>3.84026919132227E-7</v>
      </c>
      <c r="D245" s="5">
        <v>2.3777397816523101E-5</v>
      </c>
      <c r="E245" s="1" t="s">
        <v>578</v>
      </c>
      <c r="F245" s="1" t="s">
        <v>579</v>
      </c>
      <c r="G245" s="1">
        <v>171543</v>
      </c>
      <c r="H245" s="6" t="str">
        <f>HYPERLINK("http://www.ensembl.org/Mus_musculus/Gene/Summary?db=core;g=ENSMUSG00000040093","ENSMUSG00000040093")</f>
        <v>ENSMUSG00000040093</v>
      </c>
      <c r="I245" s="6" t="str">
        <f>HYPERLINK("http://www.informatics.jax.org/marker/MGI:2176433","MGI:2176433")</f>
        <v>MGI:2176433</v>
      </c>
      <c r="J245" s="7" t="s">
        <v>12</v>
      </c>
    </row>
    <row r="246" spans="1:10" x14ac:dyDescent="0.2">
      <c r="A246" s="3">
        <v>2845.58961428059</v>
      </c>
      <c r="B246" s="1">
        <v>-0.42262363430754601</v>
      </c>
      <c r="C246" s="4">
        <v>3.9130917341998402E-7</v>
      </c>
      <c r="D246" s="5">
        <v>2.41269120481878E-5</v>
      </c>
      <c r="E246" s="1" t="s">
        <v>1049</v>
      </c>
      <c r="F246" s="1" t="s">
        <v>1050</v>
      </c>
      <c r="G246" s="1">
        <v>226691</v>
      </c>
      <c r="H246" s="6" t="str">
        <f>HYPERLINK("http://www.ensembl.org/Mus_musculus/Gene/Summary?db=core;g=ENSMUSG00000073490","ENSMUSG00000073490")</f>
        <v>ENSMUSG00000073490</v>
      </c>
      <c r="I246" s="6" t="str">
        <f>HYPERLINK("http://www.informatics.jax.org/marker/MGI:2138302","MGI:2138302")</f>
        <v>MGI:2138302</v>
      </c>
      <c r="J246" s="7" t="s">
        <v>12</v>
      </c>
    </row>
    <row r="247" spans="1:10" x14ac:dyDescent="0.2">
      <c r="A247" s="3">
        <v>588.85787992374696</v>
      </c>
      <c r="B247" s="1">
        <v>-1.39754526100063</v>
      </c>
      <c r="C247" s="4">
        <v>3.9371739748836398E-7</v>
      </c>
      <c r="D247" s="5">
        <v>2.4174248205785598E-5</v>
      </c>
      <c r="E247" s="1" t="s">
        <v>146</v>
      </c>
      <c r="F247" s="1" t="s">
        <v>147</v>
      </c>
      <c r="G247" s="1">
        <v>54153</v>
      </c>
      <c r="H247" s="6" t="str">
        <f>HYPERLINK("http://www.ensembl.org/Mus_musculus/Gene/Summary?db=core;g=ENSMUSG00000004952","ENSMUSG00000004952")</f>
        <v>ENSMUSG00000004952</v>
      </c>
      <c r="I247" s="6" t="str">
        <f>HYPERLINK("http://www.informatics.jax.org/marker/MGI:1858600","MGI:1858600")</f>
        <v>MGI:1858600</v>
      </c>
      <c r="J247" s="7" t="s">
        <v>12</v>
      </c>
    </row>
    <row r="248" spans="1:10" x14ac:dyDescent="0.2">
      <c r="A248" s="3">
        <v>8623.6819471638992</v>
      </c>
      <c r="B248" s="1">
        <v>-0.21119138843098201</v>
      </c>
      <c r="C248" s="4">
        <v>4.1107309640220703E-7</v>
      </c>
      <c r="D248" s="5">
        <v>2.5135158292875199E-5</v>
      </c>
      <c r="E248" s="1" t="s">
        <v>1858</v>
      </c>
      <c r="F248" s="1" t="s">
        <v>1859</v>
      </c>
      <c r="G248" s="1">
        <v>72503</v>
      </c>
      <c r="H248" s="6" t="str">
        <f>HYPERLINK("http://www.ensembl.org/Mus_musculus/Gene/Summary?db=core;g=ENSMUSG00000010277","ENSMUSG00000010277")</f>
        <v>ENSMUSG00000010277</v>
      </c>
      <c r="I248" s="6" t="str">
        <f>HYPERLINK("http://www.informatics.jax.org/marker/MGI:1919753","MGI:1919753")</f>
        <v>MGI:1919753</v>
      </c>
      <c r="J248" s="7" t="s">
        <v>12</v>
      </c>
    </row>
    <row r="249" spans="1:10" x14ac:dyDescent="0.2">
      <c r="A249" s="3">
        <v>318.31752458540097</v>
      </c>
      <c r="B249" s="1">
        <v>-0.64337290353120702</v>
      </c>
      <c r="C249" s="4">
        <v>4.1799884105729399E-7</v>
      </c>
      <c r="D249" s="5">
        <v>2.5453020338100299E-5</v>
      </c>
      <c r="E249" s="1" t="s">
        <v>612</v>
      </c>
      <c r="F249" s="1" t="s">
        <v>613</v>
      </c>
      <c r="G249" s="1">
        <v>57914</v>
      </c>
      <c r="H249" s="6" t="str">
        <f>HYPERLINK("http://www.ensembl.org/Mus_musculus/Gene/Summary?db=core;g=ENSMUSG00000033467","ENSMUSG00000033467")</f>
        <v>ENSMUSG00000033467</v>
      </c>
      <c r="I249" s="6" t="str">
        <f>HYPERLINK("http://www.informatics.jax.org/marker/MGI:1889506","MGI:1889506")</f>
        <v>MGI:1889506</v>
      </c>
      <c r="J249" s="7" t="s">
        <v>12</v>
      </c>
    </row>
    <row r="250" spans="1:10" x14ac:dyDescent="0.2">
      <c r="A250" s="3">
        <v>987.29134491928801</v>
      </c>
      <c r="B250" s="1">
        <v>0.523848388391562</v>
      </c>
      <c r="C250" s="4">
        <v>4.2692830146194901E-7</v>
      </c>
      <c r="D250" s="5">
        <v>2.5889775515815999E-5</v>
      </c>
      <c r="E250" s="1" t="s">
        <v>3206</v>
      </c>
      <c r="F250" s="1" t="s">
        <v>3207</v>
      </c>
      <c r="G250" s="1">
        <v>26360</v>
      </c>
      <c r="H250" s="6" t="str">
        <f>HYPERLINK("http://www.ensembl.org/Mus_musculus/Gene/Summary?db=core;g=ENSMUSG00000004105","ENSMUSG00000004105")</f>
        <v>ENSMUSG00000004105</v>
      </c>
      <c r="I250" s="6" t="str">
        <f>HYPERLINK("http://www.informatics.jax.org/marker/MGI:1347002","MGI:1347002")</f>
        <v>MGI:1347002</v>
      </c>
      <c r="J250" s="7" t="s">
        <v>12</v>
      </c>
    </row>
    <row r="251" spans="1:10" x14ac:dyDescent="0.2">
      <c r="A251" s="3">
        <v>1320.2265373699399</v>
      </c>
      <c r="B251" s="1">
        <v>-0.22688570883834699</v>
      </c>
      <c r="C251" s="4">
        <v>4.6525601572253898E-7</v>
      </c>
      <c r="D251" s="5">
        <v>2.8098412490521901E-5</v>
      </c>
      <c r="E251" s="1" t="s">
        <v>1784</v>
      </c>
      <c r="F251" s="1" t="s">
        <v>1785</v>
      </c>
      <c r="G251" s="1">
        <v>70354</v>
      </c>
      <c r="H251" s="6" t="str">
        <f>HYPERLINK("http://www.ensembl.org/Mus_musculus/Gene/Summary?db=core;g=ENSMUSG00000035093","ENSMUSG00000035093")</f>
        <v>ENSMUSG00000035093</v>
      </c>
      <c r="I251" s="6" t="str">
        <f>HYPERLINK("http://www.informatics.jax.org/marker/MGI:1917604","MGI:1917604")</f>
        <v>MGI:1917604</v>
      </c>
      <c r="J251" s="7" t="s">
        <v>12</v>
      </c>
    </row>
    <row r="252" spans="1:10" x14ac:dyDescent="0.2">
      <c r="A252" s="3">
        <v>423.22810320555101</v>
      </c>
      <c r="B252" s="1">
        <v>-1.57913544465987</v>
      </c>
      <c r="C252" s="4">
        <v>4.75631584834194E-7</v>
      </c>
      <c r="D252" s="5">
        <v>2.86077838127211E-5</v>
      </c>
      <c r="E252" s="1" t="s">
        <v>120</v>
      </c>
      <c r="F252" s="1" t="s">
        <v>121</v>
      </c>
      <c r="G252" s="1">
        <v>19250</v>
      </c>
      <c r="H252" s="6" t="str">
        <f>HYPERLINK("http://www.ensembl.org/Mus_musculus/Gene/Summary?db=core;g=ENSMUSG00000026604","ENSMUSG00000026604")</f>
        <v>ENSMUSG00000026604</v>
      </c>
      <c r="I252" s="6" t="str">
        <f>HYPERLINK("http://www.informatics.jax.org/marker/MGI:102467","MGI:102467")</f>
        <v>MGI:102467</v>
      </c>
      <c r="J252" s="7" t="s">
        <v>12</v>
      </c>
    </row>
    <row r="253" spans="1:10" x14ac:dyDescent="0.2">
      <c r="A253" s="3">
        <v>1480.57660586987</v>
      </c>
      <c r="B253" s="1">
        <v>-0.49419832010550202</v>
      </c>
      <c r="C253" s="4">
        <v>4.8492123422058396E-7</v>
      </c>
      <c r="D253" s="5">
        <v>2.90479646645306E-5</v>
      </c>
      <c r="E253" s="1" t="s">
        <v>847</v>
      </c>
      <c r="F253" s="1" t="s">
        <v>848</v>
      </c>
      <c r="G253" s="1">
        <v>80859</v>
      </c>
      <c r="H253" s="6" t="str">
        <f>HYPERLINK("http://www.ensembl.org/Mus_musculus/Gene/Summary?db=core;g=ENSMUSG00000035356","ENSMUSG00000035356")</f>
        <v>ENSMUSG00000035356</v>
      </c>
      <c r="I253" s="6" t="str">
        <f>HYPERLINK("http://www.informatics.jax.org/marker/MGI:1931595","MGI:1931595")</f>
        <v>MGI:1931595</v>
      </c>
      <c r="J253" s="7" t="s">
        <v>12</v>
      </c>
    </row>
    <row r="254" spans="1:10" x14ac:dyDescent="0.2">
      <c r="A254" s="3">
        <v>4738.2386530355398</v>
      </c>
      <c r="B254" s="1">
        <v>-0.28338018953386002</v>
      </c>
      <c r="C254" s="4">
        <v>4.9707740216912998E-7</v>
      </c>
      <c r="D254" s="5">
        <v>2.9655597564227999E-5</v>
      </c>
      <c r="E254" s="1" t="s">
        <v>1528</v>
      </c>
      <c r="F254" s="1" t="s">
        <v>1529</v>
      </c>
      <c r="G254" s="1">
        <v>26921</v>
      </c>
      <c r="H254" s="6" t="str">
        <f>HYPERLINK("http://www.ensembl.org/Mus_musculus/Gene/Summary?db=core;g=ENSMUSG00000026074","ENSMUSG00000026074")</f>
        <v>ENSMUSG00000026074</v>
      </c>
      <c r="I254" s="6" t="str">
        <f>HYPERLINK("http://www.informatics.jax.org/marker/MGI:1349394","MGI:1349394")</f>
        <v>MGI:1349394</v>
      </c>
      <c r="J254" s="7" t="s">
        <v>12</v>
      </c>
    </row>
    <row r="255" spans="1:10" x14ac:dyDescent="0.2">
      <c r="A255" s="3">
        <v>2574.0441626613501</v>
      </c>
      <c r="B255" s="1">
        <v>-0.47765928922950601</v>
      </c>
      <c r="C255" s="4">
        <v>4.9960628837908302E-7</v>
      </c>
      <c r="D255" s="5">
        <v>2.9686283328847498E-5</v>
      </c>
      <c r="E255" s="1" t="s">
        <v>883</v>
      </c>
      <c r="F255" s="1" t="s">
        <v>884</v>
      </c>
      <c r="G255" s="1">
        <v>17084</v>
      </c>
      <c r="H255" s="6" t="str">
        <f>HYPERLINK("http://www.ensembl.org/Mus_musculus/Gene/Summary?db=core;g=ENSMUSG00000021423","ENSMUSG00000021423")</f>
        <v>ENSMUSG00000021423</v>
      </c>
      <c r="I255" s="6" t="str">
        <f>HYPERLINK("http://www.informatics.jax.org/marker/MGI:1321404","MGI:1321404")</f>
        <v>MGI:1321404</v>
      </c>
      <c r="J255" s="7" t="s">
        <v>12</v>
      </c>
    </row>
    <row r="256" spans="1:10" x14ac:dyDescent="0.2">
      <c r="A256" s="3">
        <v>326.47781281800002</v>
      </c>
      <c r="B256" s="1">
        <v>-0.45573388012328803</v>
      </c>
      <c r="C256" s="4">
        <v>5.1274997016412204E-7</v>
      </c>
      <c r="D256" s="5">
        <v>3.0344913896941701E-5</v>
      </c>
      <c r="E256" s="1" t="s">
        <v>919</v>
      </c>
      <c r="F256" s="1" t="s">
        <v>920</v>
      </c>
      <c r="G256" s="1">
        <v>230514</v>
      </c>
      <c r="H256" s="6" t="str">
        <f>HYPERLINK("http://www.ensembl.org/Mus_musculus/Gene/Summary?db=core;g=ENSMUSG00000035212","ENSMUSG00000035212")</f>
        <v>ENSMUSG00000035212</v>
      </c>
      <c r="I256" s="6" t="str">
        <f>HYPERLINK("http://www.informatics.jax.org/marker/MGI:2687005","MGI:2687005")</f>
        <v>MGI:2687005</v>
      </c>
      <c r="J256" s="7" t="s">
        <v>12</v>
      </c>
    </row>
    <row r="257" spans="1:10" x14ac:dyDescent="0.2">
      <c r="A257" s="3">
        <v>631.85200267486903</v>
      </c>
      <c r="B257" s="1">
        <v>-0.49346653846308502</v>
      </c>
      <c r="C257" s="4">
        <v>5.2684424750829004E-7</v>
      </c>
      <c r="D257" s="5">
        <v>3.0971205967529699E-5</v>
      </c>
      <c r="E257" s="1" t="s">
        <v>849</v>
      </c>
      <c r="F257" s="1" t="s">
        <v>850</v>
      </c>
      <c r="G257" s="1">
        <v>12628</v>
      </c>
      <c r="H257" s="6" t="str">
        <f>HYPERLINK("http://www.ensembl.org/Mus_musculus/Gene/Summary?db=core;g=ENSMUSG00000026365","ENSMUSG00000026365")</f>
        <v>ENSMUSG00000026365</v>
      </c>
      <c r="I257" s="6" t="str">
        <f>HYPERLINK("http://www.informatics.jax.org/marker/MGI:88385","MGI:88385")</f>
        <v>MGI:88385</v>
      </c>
      <c r="J257" s="7" t="s">
        <v>12</v>
      </c>
    </row>
    <row r="258" spans="1:10" x14ac:dyDescent="0.2">
      <c r="A258" s="3">
        <v>2581.1442001885798</v>
      </c>
      <c r="B258" s="1">
        <v>0.19643728821818299</v>
      </c>
      <c r="C258" s="4">
        <v>5.2753614941978495E-7</v>
      </c>
      <c r="D258" s="5">
        <v>3.0971205967529699E-5</v>
      </c>
      <c r="E258" s="1" t="s">
        <v>2576</v>
      </c>
      <c r="F258" s="1" t="s">
        <v>2577</v>
      </c>
      <c r="G258" s="1">
        <v>230721</v>
      </c>
      <c r="H258" s="6" t="str">
        <f>HYPERLINK("http://www.ensembl.org/Mus_musculus/Gene/Summary?db=core;g=ENSMUSG00000011257","ENSMUSG00000011257")</f>
        <v>ENSMUSG00000011257</v>
      </c>
      <c r="I258" s="6" t="str">
        <f>HYPERLINK("http://www.informatics.jax.org/marker/MGI:2385206","MGI:2385206")</f>
        <v>MGI:2385206</v>
      </c>
      <c r="J258" s="7" t="s">
        <v>12</v>
      </c>
    </row>
    <row r="259" spans="1:10" x14ac:dyDescent="0.2">
      <c r="A259" s="3">
        <v>2728.3607460142798</v>
      </c>
      <c r="B259" s="1">
        <v>-0.24782656223793401</v>
      </c>
      <c r="C259" s="4">
        <v>5.4986642968702896E-7</v>
      </c>
      <c r="D259" s="5">
        <v>3.2027002797897497E-5</v>
      </c>
      <c r="E259" s="1" t="s">
        <v>1668</v>
      </c>
      <c r="F259" s="1" t="s">
        <v>1669</v>
      </c>
      <c r="G259" s="1">
        <v>22629</v>
      </c>
      <c r="H259" s="6" t="str">
        <f>HYPERLINK("http://www.ensembl.org/Mus_musculus/Gene/Summary?db=core;g=ENSMUSG00000018965","ENSMUSG00000018965")</f>
        <v>ENSMUSG00000018965</v>
      </c>
      <c r="I259" s="6" t="str">
        <f>HYPERLINK("http://www.informatics.jax.org/marker/MGI:109194","MGI:109194")</f>
        <v>MGI:109194</v>
      </c>
      <c r="J259" s="7" t="s">
        <v>12</v>
      </c>
    </row>
    <row r="260" spans="1:10" x14ac:dyDescent="0.2">
      <c r="A260" s="3">
        <v>496.10615064415401</v>
      </c>
      <c r="B260" s="1">
        <v>0.51039761393831296</v>
      </c>
      <c r="C260" s="4">
        <v>5.4794511665233602E-7</v>
      </c>
      <c r="D260" s="5">
        <v>3.2027002797897497E-5</v>
      </c>
      <c r="E260" s="1" t="s">
        <v>3194</v>
      </c>
      <c r="F260" s="1" t="s">
        <v>3195</v>
      </c>
      <c r="G260" s="1">
        <v>74253</v>
      </c>
      <c r="H260" s="6" t="str">
        <f>HYPERLINK("http://www.ensembl.org/Mus_musculus/Gene/Summary?db=core;g=ENSMUSG00000071537","ENSMUSG00000071537")</f>
        <v>ENSMUSG00000071537</v>
      </c>
      <c r="I260" s="6" t="str">
        <f>HYPERLINK("http://www.informatics.jax.org/marker/MGI:1921503","MGI:1921503")</f>
        <v>MGI:1921503</v>
      </c>
      <c r="J260" s="7" t="s">
        <v>12</v>
      </c>
    </row>
    <row r="261" spans="1:10" x14ac:dyDescent="0.2">
      <c r="A261" s="3">
        <v>919.55373957845302</v>
      </c>
      <c r="B261" s="1">
        <v>0.38537359009640798</v>
      </c>
      <c r="C261" s="4">
        <v>5.7315073809342297E-7</v>
      </c>
      <c r="D261" s="5">
        <v>3.3251768805294001E-5</v>
      </c>
      <c r="E261" s="1" t="s">
        <v>3134</v>
      </c>
      <c r="F261" s="1" t="s">
        <v>3135</v>
      </c>
      <c r="G261" s="1">
        <v>22785</v>
      </c>
      <c r="H261" s="6" t="str">
        <f>HYPERLINK("http://www.ensembl.org/Mus_musculus/Gene/Summary?db=core;g=ENSMUSG00000005802","ENSMUSG00000005802")</f>
        <v>ENSMUSG00000005802</v>
      </c>
      <c r="I261" s="6" t="str">
        <f>HYPERLINK("http://www.informatics.jax.org/marker/MGI:1345282","MGI:1345282")</f>
        <v>MGI:1345282</v>
      </c>
      <c r="J261" s="7" t="s">
        <v>12</v>
      </c>
    </row>
    <row r="262" spans="1:10" x14ac:dyDescent="0.2">
      <c r="A262" s="3">
        <v>29.0025816009388</v>
      </c>
      <c r="B262" s="1">
        <v>1.4137674756440499</v>
      </c>
      <c r="C262" s="4">
        <v>5.7654692678458299E-7</v>
      </c>
      <c r="D262" s="5">
        <v>3.3317629463127902E-5</v>
      </c>
      <c r="E262" s="1" t="s">
        <v>3343</v>
      </c>
      <c r="F262" s="1" t="s">
        <v>3344</v>
      </c>
      <c r="G262" s="1">
        <v>18612</v>
      </c>
      <c r="H262" s="6" t="str">
        <f>HYPERLINK("http://www.ensembl.org/Mus_musculus/Gene/Summary?db=core;g=ENSMUSG00000017724","ENSMUSG00000017724")</f>
        <v>ENSMUSG00000017724</v>
      </c>
      <c r="I262" s="6" t="str">
        <f>HYPERLINK("http://www.informatics.jax.org/marker/MGI:99423","MGI:99423")</f>
        <v>MGI:99423</v>
      </c>
      <c r="J262" s="7" t="s">
        <v>12</v>
      </c>
    </row>
    <row r="263" spans="1:10" x14ac:dyDescent="0.2">
      <c r="A263" s="3">
        <v>669.319280099975</v>
      </c>
      <c r="B263" s="1">
        <v>-0.61447682735855502</v>
      </c>
      <c r="C263" s="4">
        <v>5.8074827391532899E-7</v>
      </c>
      <c r="D263" s="5">
        <v>3.34293225172511E-5</v>
      </c>
      <c r="E263" s="1" t="s">
        <v>652</v>
      </c>
      <c r="F263" s="1" t="s">
        <v>653</v>
      </c>
      <c r="G263" s="1">
        <v>94284</v>
      </c>
      <c r="H263" s="6" t="str">
        <f>HYPERLINK("http://www.ensembl.org/Mus_musculus/Gene/Summary?db=core;g=ENSMUSG00000054545","ENSMUSG00000054545")</f>
        <v>ENSMUSG00000054545</v>
      </c>
      <c r="I263" s="6" t="str">
        <f>HYPERLINK("http://www.informatics.jax.org/marker/MGI:2137698","MGI:2137698")</f>
        <v>MGI:2137698</v>
      </c>
      <c r="J263" s="7" t="s">
        <v>12</v>
      </c>
    </row>
    <row r="264" spans="1:10" x14ac:dyDescent="0.2">
      <c r="A264" s="3">
        <v>44744.638710702602</v>
      </c>
      <c r="B264" s="1">
        <v>0.54472937000747601</v>
      </c>
      <c r="C264" s="4">
        <v>6.0439010716604301E-7</v>
      </c>
      <c r="D264" s="5">
        <v>3.4654835094158799E-5</v>
      </c>
      <c r="E264" s="1" t="s">
        <v>3220</v>
      </c>
      <c r="F264" s="1" t="s">
        <v>3221</v>
      </c>
      <c r="G264" s="1">
        <v>20750</v>
      </c>
      <c r="H264" s="6" t="str">
        <f>HYPERLINK("http://www.ensembl.org/Mus_musculus/Gene/Summary?db=core;g=ENSMUSG00000029304","ENSMUSG00000029304")</f>
        <v>ENSMUSG00000029304</v>
      </c>
      <c r="I264" s="6" t="str">
        <f>HYPERLINK("http://www.informatics.jax.org/marker/MGI:98389","MGI:98389")</f>
        <v>MGI:98389</v>
      </c>
      <c r="J264" s="7" t="s">
        <v>12</v>
      </c>
    </row>
    <row r="265" spans="1:10" x14ac:dyDescent="0.2">
      <c r="A265" s="3">
        <v>221.63908181728999</v>
      </c>
      <c r="B265" s="1">
        <v>-0.43417162311561902</v>
      </c>
      <c r="C265" s="4">
        <v>6.1102090517544697E-7</v>
      </c>
      <c r="D265" s="5">
        <v>3.4899240537462797E-5</v>
      </c>
      <c r="E265" s="1" t="s">
        <v>987</v>
      </c>
      <c r="F265" s="1" t="s">
        <v>988</v>
      </c>
      <c r="G265" s="1">
        <v>19062</v>
      </c>
      <c r="H265" s="6" t="str">
        <f>HYPERLINK("http://www.ensembl.org/Mus_musculus/Gene/Summary?db=core;g=ENSMUSG00000006127","ENSMUSG00000006127")</f>
        <v>ENSMUSG00000006127</v>
      </c>
      <c r="I265" s="6" t="str">
        <f>HYPERLINK("http://www.informatics.jax.org/marker/MGI:1194899","MGI:1194899")</f>
        <v>MGI:1194899</v>
      </c>
      <c r="J265" s="7" t="s">
        <v>12</v>
      </c>
    </row>
    <row r="266" spans="1:10" x14ac:dyDescent="0.2">
      <c r="A266" s="3">
        <v>690.95434818673402</v>
      </c>
      <c r="B266" s="1">
        <v>-0.487240705077713</v>
      </c>
      <c r="C266" s="4">
        <v>6.2332642866246698E-7</v>
      </c>
      <c r="D266" s="5">
        <v>3.5464626458571803E-5</v>
      </c>
      <c r="E266" s="1" t="s">
        <v>869</v>
      </c>
      <c r="F266" s="1" t="s">
        <v>870</v>
      </c>
      <c r="G266" s="1">
        <v>27052</v>
      </c>
      <c r="H266" s="6" t="str">
        <f>HYPERLINK("http://www.ensembl.org/Mus_musculus/Gene/Summary?db=core;g=ENSMUSG00000021322","ENSMUSG00000021322")</f>
        <v>ENSMUSG00000021322</v>
      </c>
      <c r="I266" s="6" t="str">
        <f>HYPERLINK("http://www.informatics.jax.org/marker/MGI:1350928","MGI:1350928")</f>
        <v>MGI:1350928</v>
      </c>
      <c r="J266" s="7" t="s">
        <v>12</v>
      </c>
    </row>
    <row r="267" spans="1:10" x14ac:dyDescent="0.2">
      <c r="A267" s="3">
        <v>772.51301932281899</v>
      </c>
      <c r="B267" s="1">
        <v>-0.50147172942205798</v>
      </c>
      <c r="C267" s="4">
        <v>6.4843362404459502E-7</v>
      </c>
      <c r="D267" s="5">
        <v>3.6751222630465998E-5</v>
      </c>
      <c r="E267" s="1" t="s">
        <v>827</v>
      </c>
      <c r="F267" s="1" t="s">
        <v>828</v>
      </c>
      <c r="G267" s="1">
        <v>66205</v>
      </c>
      <c r="H267" s="6" t="str">
        <f>HYPERLINK("http://www.ensembl.org/Mus_musculus/Gene/Summary?db=core;g=ENSMUSG00000060703","ENSMUSG00000060703")</f>
        <v>ENSMUSG00000060703</v>
      </c>
      <c r="I267" s="6" t="str">
        <f>HYPERLINK("http://www.informatics.jax.org/marker/MGI:1913455","MGI:1913455")</f>
        <v>MGI:1913455</v>
      </c>
      <c r="J267" s="7" t="s">
        <v>12</v>
      </c>
    </row>
    <row r="268" spans="1:10" x14ac:dyDescent="0.2">
      <c r="A268" s="3">
        <v>5.7775458436065499</v>
      </c>
      <c r="B268" s="1">
        <v>-2.0587826961282798</v>
      </c>
      <c r="C268" s="4">
        <v>6.6897114537179697E-7</v>
      </c>
      <c r="D268" s="5">
        <v>3.7769957081221503E-5</v>
      </c>
      <c r="E268" s="1" t="s">
        <v>51</v>
      </c>
      <c r="F268" s="1" t="s">
        <v>52</v>
      </c>
      <c r="G268" s="1">
        <v>270120</v>
      </c>
      <c r="H268" s="6" t="str">
        <f>HYPERLINK("http://www.ensembl.org/Mus_musculus/Gene/Summary?db=core;g=ENSMUSG00000074505","ENSMUSG00000074505")</f>
        <v>ENSMUSG00000074505</v>
      </c>
      <c r="I268" s="6" t="str">
        <f>HYPERLINK("http://www.informatics.jax.org/marker/MGI:2444314","MGI:2444314")</f>
        <v>MGI:2444314</v>
      </c>
      <c r="J268" s="7" t="s">
        <v>12</v>
      </c>
    </row>
    <row r="269" spans="1:10" x14ac:dyDescent="0.2">
      <c r="A269" s="3">
        <v>4.7339498224598699</v>
      </c>
      <c r="B269" s="1">
        <v>-2.1062902399962402</v>
      </c>
      <c r="C269" s="4">
        <v>6.7765636874589901E-7</v>
      </c>
      <c r="D269" s="5">
        <v>3.8114291029921999E-5</v>
      </c>
      <c r="E269" s="1" t="s">
        <v>47</v>
      </c>
      <c r="F269" s="1" t="s">
        <v>48</v>
      </c>
      <c r="G269" s="1">
        <v>11492</v>
      </c>
      <c r="H269" s="6" t="str">
        <f>HYPERLINK("http://www.ensembl.org/Mus_musculus/Gene/Summary?db=core;g=ENSMUSG00000011256","ENSMUSG00000011256")</f>
        <v>ENSMUSG00000011256</v>
      </c>
      <c r="I269" s="6" t="str">
        <f>HYPERLINK("http://www.informatics.jax.org/marker/MGI:105377","MGI:105377")</f>
        <v>MGI:105377</v>
      </c>
      <c r="J269" s="7" t="s">
        <v>12</v>
      </c>
    </row>
    <row r="270" spans="1:10" x14ac:dyDescent="0.2">
      <c r="A270" s="3">
        <v>79.303801524187804</v>
      </c>
      <c r="B270" s="1">
        <v>-1.12838956701574</v>
      </c>
      <c r="C270" s="4">
        <v>6.9810596974391895E-7</v>
      </c>
      <c r="D270" s="5">
        <v>3.9115169468237201E-5</v>
      </c>
      <c r="E270" s="1" t="s">
        <v>247</v>
      </c>
      <c r="F270" s="1" t="s">
        <v>248</v>
      </c>
      <c r="G270" s="1">
        <v>231238</v>
      </c>
      <c r="H270" s="6" t="str">
        <f>HYPERLINK("http://www.ensembl.org/Mus_musculus/Gene/Summary?db=core;g=ENSMUSG00000029189","ENSMUSG00000029189")</f>
        <v>ENSMUSG00000029189</v>
      </c>
      <c r="I270" s="6" t="str">
        <f>HYPERLINK("http://www.informatics.jax.org/marker/MGI:1916941","MGI:1916941")</f>
        <v>MGI:1916941</v>
      </c>
      <c r="J270" s="7" t="s">
        <v>12</v>
      </c>
    </row>
    <row r="271" spans="1:10" x14ac:dyDescent="0.2">
      <c r="A271" s="3">
        <v>2483.7492584788502</v>
      </c>
      <c r="B271" s="1">
        <v>-1.92947428605444</v>
      </c>
      <c r="C271" s="4">
        <v>7.0378398698302904E-7</v>
      </c>
      <c r="D271" s="5">
        <v>3.9283942546143602E-5</v>
      </c>
      <c r="E271" s="1" t="s">
        <v>63</v>
      </c>
      <c r="F271" s="1" t="s">
        <v>64</v>
      </c>
      <c r="G271" s="1">
        <v>22169</v>
      </c>
      <c r="H271" s="6" t="str">
        <f>HYPERLINK("http://www.ensembl.org/Mus_musculus/Gene/Summary?db=core;g=ENSMUSG00000020638","ENSMUSG00000020638")</f>
        <v>ENSMUSG00000020638</v>
      </c>
      <c r="I271" s="6" t="str">
        <f>HYPERLINK("http://www.informatics.jax.org/marker/MGI:99830","MGI:99830")</f>
        <v>MGI:99830</v>
      </c>
      <c r="J271" s="7" t="s">
        <v>12</v>
      </c>
    </row>
    <row r="272" spans="1:10" x14ac:dyDescent="0.2">
      <c r="A272" s="3">
        <v>2104.0388896011</v>
      </c>
      <c r="B272" s="1">
        <v>-0.28147486696532298</v>
      </c>
      <c r="C272" s="4">
        <v>7.0678893483223797E-7</v>
      </c>
      <c r="D272" s="5">
        <v>3.93027990327844E-5</v>
      </c>
      <c r="E272" s="1" t="s">
        <v>1538</v>
      </c>
      <c r="F272" s="1" t="s">
        <v>1539</v>
      </c>
      <c r="G272" s="1">
        <v>210293</v>
      </c>
      <c r="H272" s="6" t="str">
        <f>HYPERLINK("http://www.ensembl.org/Mus_musculus/Gene/Summary?db=core;g=ENSMUSG00000038608","ENSMUSG00000038608")</f>
        <v>ENSMUSG00000038608</v>
      </c>
      <c r="I272" s="6" t="str">
        <f>HYPERLINK("http://www.informatics.jax.org/marker/MGI:2146320","MGI:2146320")</f>
        <v>MGI:2146320</v>
      </c>
      <c r="J272" s="7" t="s">
        <v>12</v>
      </c>
    </row>
    <row r="273" spans="1:10" x14ac:dyDescent="0.2">
      <c r="A273" s="3">
        <v>54.711966169674902</v>
      </c>
      <c r="B273" s="1">
        <v>0.98568124031086402</v>
      </c>
      <c r="C273" s="4">
        <v>7.6329881202702299E-7</v>
      </c>
      <c r="D273" s="5">
        <v>4.22856063685346E-5</v>
      </c>
      <c r="E273" s="1" t="s">
        <v>3316</v>
      </c>
      <c r="F273" s="1" t="s">
        <v>3317</v>
      </c>
      <c r="G273" s="1">
        <v>29816</v>
      </c>
      <c r="H273" s="6" t="str">
        <f>HYPERLINK("http://www.ensembl.org/Mus_musculus/Gene/Summary?db=core;g=ENSMUSG00000000915","ENSMUSG00000000915")</f>
        <v>ENSMUSG00000000915</v>
      </c>
      <c r="I273" s="6" t="str">
        <f>HYPERLINK("http://www.informatics.jax.org/marker/MGI:1352504","MGI:1352504")</f>
        <v>MGI:1352504</v>
      </c>
      <c r="J273" s="7" t="s">
        <v>12</v>
      </c>
    </row>
    <row r="274" spans="1:10" x14ac:dyDescent="0.2">
      <c r="A274" s="3">
        <v>50.228294319840302</v>
      </c>
      <c r="B274" s="1">
        <v>-1.4296271131101701</v>
      </c>
      <c r="C274" s="4">
        <v>7.8311909538482103E-7</v>
      </c>
      <c r="D274" s="5">
        <v>4.3221134792474598E-5</v>
      </c>
      <c r="E274" s="1" t="s">
        <v>132</v>
      </c>
      <c r="F274" s="1" t="s">
        <v>133</v>
      </c>
      <c r="G274" s="1">
        <v>77579</v>
      </c>
      <c r="H274" s="6" t="str">
        <f>HYPERLINK("http://www.ensembl.org/Mus_musculus/Gene/Summary?db=core;g=ENSMUSG00000020900","ENSMUSG00000020900")</f>
        <v>ENSMUSG00000020900</v>
      </c>
      <c r="I274" s="6" t="str">
        <f>HYPERLINK("http://www.informatics.jax.org/marker/MGI:1930780","MGI:1930780")</f>
        <v>MGI:1930780</v>
      </c>
      <c r="J274" s="7" t="s">
        <v>12</v>
      </c>
    </row>
    <row r="275" spans="1:10" x14ac:dyDescent="0.2">
      <c r="A275" s="3">
        <v>1651.6447829645599</v>
      </c>
      <c r="B275" s="1">
        <v>-0.40548711804346399</v>
      </c>
      <c r="C275" s="4">
        <v>7.9818645827294402E-7</v>
      </c>
      <c r="D275" s="5">
        <v>4.3888341974291398E-5</v>
      </c>
      <c r="E275" s="1" t="s">
        <v>1087</v>
      </c>
      <c r="F275" s="1" t="s">
        <v>1088</v>
      </c>
      <c r="G275" s="1">
        <v>11303</v>
      </c>
      <c r="H275" s="6" t="str">
        <f>HYPERLINK("http://www.ensembl.org/Mus_musculus/Gene/Summary?db=core;g=ENSMUSG00000015243","ENSMUSG00000015243")</f>
        <v>ENSMUSG00000015243</v>
      </c>
      <c r="I275" s="6" t="str">
        <f>HYPERLINK("http://www.informatics.jax.org/marker/MGI:99607","MGI:99607")</f>
        <v>MGI:99607</v>
      </c>
      <c r="J275" s="7" t="s">
        <v>12</v>
      </c>
    </row>
    <row r="276" spans="1:10" x14ac:dyDescent="0.2">
      <c r="A276" s="3">
        <v>1489.7082806052799</v>
      </c>
      <c r="B276" s="1">
        <v>-1.04348880499022</v>
      </c>
      <c r="C276" s="4">
        <v>8.1695085007086096E-7</v>
      </c>
      <c r="D276" s="5">
        <v>4.4753114225443201E-5</v>
      </c>
      <c r="E276" s="1" t="s">
        <v>307</v>
      </c>
      <c r="F276" s="1" t="s">
        <v>308</v>
      </c>
      <c r="G276" s="1">
        <v>15951</v>
      </c>
      <c r="H276" s="6" t="str">
        <f>HYPERLINK("http://www.ensembl.org/Mus_musculus/Gene/Summary?db=core;g=ENSMUSG00000073489","ENSMUSG00000073489")</f>
        <v>ENSMUSG00000073489</v>
      </c>
      <c r="I276" s="6" t="str">
        <f>HYPERLINK("http://www.informatics.jax.org/marker/MGI:96429","MGI:96429")</f>
        <v>MGI:96429</v>
      </c>
      <c r="J276" s="7" t="s">
        <v>12</v>
      </c>
    </row>
    <row r="277" spans="1:10" x14ac:dyDescent="0.2">
      <c r="A277" s="3">
        <v>581.05728973135604</v>
      </c>
      <c r="B277" s="1">
        <v>-0.43458245884846802</v>
      </c>
      <c r="C277" s="4">
        <v>8.3445816121680303E-7</v>
      </c>
      <c r="D277" s="5">
        <v>4.5542872087743802E-5</v>
      </c>
      <c r="E277" s="1" t="s">
        <v>985</v>
      </c>
      <c r="F277" s="1" t="s">
        <v>986</v>
      </c>
      <c r="G277" s="1">
        <v>17289</v>
      </c>
      <c r="H277" s="6" t="str">
        <f>HYPERLINK("http://www.ensembl.org/Mus_musculus/Gene/Summary?db=core;g=ENSMUSG00000014361","ENSMUSG00000014361")</f>
        <v>ENSMUSG00000014361</v>
      </c>
      <c r="I277" s="6" t="str">
        <f>HYPERLINK("http://www.informatics.jax.org/marker/MGI:96965","MGI:96965")</f>
        <v>MGI:96965</v>
      </c>
      <c r="J277" s="7" t="s">
        <v>12</v>
      </c>
    </row>
    <row r="278" spans="1:10" x14ac:dyDescent="0.2">
      <c r="A278" s="3">
        <v>15.2897001713328</v>
      </c>
      <c r="B278" s="1">
        <v>-1.4229967452124901</v>
      </c>
      <c r="C278" s="4">
        <v>8.4141402896399895E-7</v>
      </c>
      <c r="D278" s="5">
        <v>4.5753052143223198E-5</v>
      </c>
      <c r="E278" s="1" t="s">
        <v>142</v>
      </c>
      <c r="F278" s="1" t="s">
        <v>143</v>
      </c>
      <c r="G278" s="1">
        <v>73942</v>
      </c>
      <c r="H278" s="6" t="str">
        <f>HYPERLINK("http://www.ensembl.org/Mus_musculus/Gene/Summary?db=core;g=ENSMUSG00000034334","ENSMUSG00000034334")</f>
        <v>ENSMUSG00000034334</v>
      </c>
      <c r="I278" s="6" t="str">
        <f>HYPERLINK("http://www.informatics.jax.org/marker/MGI:1921192","MGI:1921192")</f>
        <v>MGI:1921192</v>
      </c>
      <c r="J278" s="7" t="s">
        <v>12</v>
      </c>
    </row>
    <row r="279" spans="1:10" x14ac:dyDescent="0.2">
      <c r="A279" s="3">
        <v>315.56126335393299</v>
      </c>
      <c r="B279" s="1">
        <v>-0.53116757504181999</v>
      </c>
      <c r="C279" s="4">
        <v>8.6006882509016605E-7</v>
      </c>
      <c r="D279" s="5">
        <v>4.6447097584123803E-5</v>
      </c>
      <c r="E279" s="1" t="s">
        <v>787</v>
      </c>
      <c r="F279" s="1" t="s">
        <v>788</v>
      </c>
      <c r="G279" s="1">
        <v>68854</v>
      </c>
      <c r="H279" s="6" t="str">
        <f>HYPERLINK("http://www.ensembl.org/Mus_musculus/Gene/Summary?db=core;g=ENSMUSG00000031382","ENSMUSG00000031382")</f>
        <v>ENSMUSG00000031382</v>
      </c>
      <c r="I279" s="6" t="str">
        <f>HYPERLINK("http://www.informatics.jax.org/marker/MGI:1916104","MGI:1916104")</f>
        <v>MGI:1916104</v>
      </c>
      <c r="J279" s="7" t="s">
        <v>12</v>
      </c>
    </row>
    <row r="280" spans="1:10" x14ac:dyDescent="0.2">
      <c r="A280" s="3">
        <v>2351.72446184623</v>
      </c>
      <c r="B280" s="1">
        <v>-0.24505295712939901</v>
      </c>
      <c r="C280" s="4">
        <v>8.6048165312607101E-7</v>
      </c>
      <c r="D280" s="5">
        <v>4.6447097584123803E-5</v>
      </c>
      <c r="E280" s="1" t="s">
        <v>1690</v>
      </c>
      <c r="F280" s="1" t="s">
        <v>1691</v>
      </c>
      <c r="G280" s="1">
        <v>106529</v>
      </c>
      <c r="H280" s="6" t="str">
        <f>HYPERLINK("http://www.ensembl.org/Mus_musculus/Gene/Summary?db=core;g=ENSMUSG00000031708","ENSMUSG00000031708")</f>
        <v>ENSMUSG00000031708</v>
      </c>
      <c r="I280" s="6" t="str">
        <f>HYPERLINK("http://www.informatics.jax.org/marker/MGI:1915408","MGI:1915408")</f>
        <v>MGI:1915408</v>
      </c>
      <c r="J280" s="7" t="s">
        <v>12</v>
      </c>
    </row>
    <row r="281" spans="1:10" x14ac:dyDescent="0.2">
      <c r="A281" s="3">
        <v>2390.9168137003098</v>
      </c>
      <c r="B281" s="1">
        <v>-0.24303635171698501</v>
      </c>
      <c r="C281" s="4">
        <v>8.85762346823637E-7</v>
      </c>
      <c r="D281" s="5">
        <v>4.7637204170777803E-5</v>
      </c>
      <c r="E281" s="1" t="s">
        <v>1698</v>
      </c>
      <c r="F281" s="1" t="s">
        <v>1699</v>
      </c>
      <c r="G281" s="1">
        <v>15980</v>
      </c>
      <c r="H281" s="6" t="str">
        <f>HYPERLINK("http://www.ensembl.org/Mus_musculus/Gene/Summary?db=core;g=ENSMUSG00000022965","ENSMUSG00000022965")</f>
        <v>ENSMUSG00000022965</v>
      </c>
      <c r="I281" s="6" t="str">
        <f>HYPERLINK("http://www.informatics.jax.org/marker/MGI:107654","MGI:107654")</f>
        <v>MGI:107654</v>
      </c>
      <c r="J281" s="7" t="s">
        <v>12</v>
      </c>
    </row>
    <row r="282" spans="1:10" x14ac:dyDescent="0.2">
      <c r="A282" s="3">
        <v>1460.83859864633</v>
      </c>
      <c r="B282" s="1">
        <v>-1.08502093645542</v>
      </c>
      <c r="C282" s="4">
        <v>9.5685674289362791E-7</v>
      </c>
      <c r="D282" s="5">
        <v>5.12736035028382E-5</v>
      </c>
      <c r="E282" s="1" t="s">
        <v>271</v>
      </c>
      <c r="F282" s="1" t="s">
        <v>272</v>
      </c>
      <c r="G282" s="1">
        <v>17476</v>
      </c>
      <c r="H282" s="6" t="str">
        <f>HYPERLINK("http://www.ensembl.org/Mus_musculus/Gene/Summary?db=core;g=ENSMUSG00000046805","ENSMUSG00000046805")</f>
        <v>ENSMUSG00000046805</v>
      </c>
      <c r="I282" s="6" t="str">
        <f>HYPERLINK("http://www.informatics.jax.org/marker/MGI:1333743","MGI:1333743")</f>
        <v>MGI:1333743</v>
      </c>
      <c r="J282" s="7" t="s">
        <v>12</v>
      </c>
    </row>
    <row r="283" spans="1:10" x14ac:dyDescent="0.2">
      <c r="A283" s="3">
        <v>2995.5631259243401</v>
      </c>
      <c r="B283" s="1">
        <v>-0.23859167727789199</v>
      </c>
      <c r="C283" s="4">
        <v>1.02060638491501E-6</v>
      </c>
      <c r="D283" s="5">
        <v>5.4491506116332001E-5</v>
      </c>
      <c r="E283" s="1" t="s">
        <v>1714</v>
      </c>
      <c r="F283" s="1" t="s">
        <v>1715</v>
      </c>
      <c r="G283" s="1">
        <v>15929</v>
      </c>
      <c r="H283" s="6" t="str">
        <f>HYPERLINK("http://www.ensembl.org/Mus_musculus/Gene/Summary?db=core;g=ENSMUSG00000002010","ENSMUSG00000002010")</f>
        <v>ENSMUSG00000002010</v>
      </c>
      <c r="I283" s="6" t="str">
        <f>HYPERLINK("http://www.informatics.jax.org/marker/MGI:1099463","MGI:1099463")</f>
        <v>MGI:1099463</v>
      </c>
      <c r="J283" s="7" t="s">
        <v>12</v>
      </c>
    </row>
    <row r="284" spans="1:10" x14ac:dyDescent="0.2">
      <c r="A284" s="3">
        <v>3425.1453253534301</v>
      </c>
      <c r="B284" s="1">
        <v>-0.48910615953758502</v>
      </c>
      <c r="C284" s="4">
        <v>1.02438681598227E-6</v>
      </c>
      <c r="D284" s="5">
        <v>5.4495899351316502E-5</v>
      </c>
      <c r="E284" s="1" t="s">
        <v>861</v>
      </c>
      <c r="F284" s="1" t="s">
        <v>862</v>
      </c>
      <c r="G284" s="1">
        <v>16658</v>
      </c>
      <c r="H284" s="6" t="str">
        <f>HYPERLINK("http://www.ensembl.org/Mus_musculus/Gene/Summary?db=core;g=ENSMUSG00000074622","ENSMUSG00000074622")</f>
        <v>ENSMUSG00000074622</v>
      </c>
      <c r="I284" s="6" t="str">
        <f>HYPERLINK("http://www.informatics.jax.org/marker/MGI:104555","MGI:104555")</f>
        <v>MGI:104555</v>
      </c>
      <c r="J284" s="7" t="s">
        <v>12</v>
      </c>
    </row>
    <row r="285" spans="1:10" x14ac:dyDescent="0.2">
      <c r="A285" s="3">
        <v>426.42783581333998</v>
      </c>
      <c r="B285" s="1">
        <v>-0.37267652750306701</v>
      </c>
      <c r="C285" s="4">
        <v>1.05516024710212E-6</v>
      </c>
      <c r="D285" s="5">
        <v>5.5931084177326598E-5</v>
      </c>
      <c r="E285" s="1" t="s">
        <v>1158</v>
      </c>
      <c r="F285" s="1" t="s">
        <v>1159</v>
      </c>
      <c r="G285" s="1">
        <v>320782</v>
      </c>
      <c r="H285" s="6" t="str">
        <f>HYPERLINK("http://www.ensembl.org/Mus_musculus/Gene/Summary?db=core;g=ENSMUSG00000056498","ENSMUSG00000056498")</f>
        <v>ENSMUSG00000056498</v>
      </c>
      <c r="I285" s="6" t="str">
        <f>HYPERLINK("http://www.informatics.jax.org/marker/MGI:2444725","MGI:2444725")</f>
        <v>MGI:2444725</v>
      </c>
      <c r="J285" s="7" t="s">
        <v>12</v>
      </c>
    </row>
    <row r="286" spans="1:10" x14ac:dyDescent="0.2">
      <c r="A286" s="3">
        <v>2308.4480235976298</v>
      </c>
      <c r="B286" s="1">
        <v>0.284862224915441</v>
      </c>
      <c r="C286" s="4">
        <v>1.06955013614457E-6</v>
      </c>
      <c r="D286" s="5">
        <v>5.6490648050990701E-5</v>
      </c>
      <c r="E286" s="1" t="s">
        <v>2978</v>
      </c>
      <c r="F286" s="1" t="s">
        <v>2979</v>
      </c>
      <c r="G286" s="1">
        <v>107094</v>
      </c>
      <c r="H286" s="6" t="str">
        <f>HYPERLINK("http://www.ensembl.org/Mus_musculus/Gene/Summary?db=core;g=ENSMUSG00000035049","ENSMUSG00000035049")</f>
        <v>ENSMUSG00000035049</v>
      </c>
      <c r="I286" s="6" t="str">
        <f>HYPERLINK("http://www.informatics.jax.org/marker/MGI:2147437","MGI:2147437")</f>
        <v>MGI:2147437</v>
      </c>
      <c r="J286" s="7" t="s">
        <v>12</v>
      </c>
    </row>
    <row r="287" spans="1:10" x14ac:dyDescent="0.2">
      <c r="A287" s="3">
        <v>48.572516395963902</v>
      </c>
      <c r="B287" s="1">
        <v>-1.6767708309390601</v>
      </c>
      <c r="C287" s="4">
        <v>1.07539333399783E-6</v>
      </c>
      <c r="D287" s="5">
        <v>5.6596414892114403E-5</v>
      </c>
      <c r="E287" s="1" t="s">
        <v>91</v>
      </c>
      <c r="F287" s="1" t="s">
        <v>92</v>
      </c>
      <c r="G287" s="1">
        <v>432555</v>
      </c>
      <c r="H287" s="6" t="str">
        <f>HYPERLINK("http://www.ensembl.org/Mus_musculus/Gene/Summary?db=core;g=ENSMUSG00000058163","ENSMUSG00000058163")</f>
        <v>ENSMUSG00000058163</v>
      </c>
      <c r="I287" s="6" t="str">
        <f>HYPERLINK("http://www.informatics.jax.org/marker/MGI:3645205","MGI:3645205")</f>
        <v>MGI:3645205</v>
      </c>
      <c r="J287" s="7" t="s">
        <v>12</v>
      </c>
    </row>
    <row r="288" spans="1:10" x14ac:dyDescent="0.2">
      <c r="A288" s="3">
        <v>306.70203411995601</v>
      </c>
      <c r="B288" s="1">
        <v>-0.334397923148054</v>
      </c>
      <c r="C288" s="4">
        <v>1.11359344391228E-6</v>
      </c>
      <c r="D288" s="5">
        <v>5.8191180813798998E-5</v>
      </c>
      <c r="E288" s="1" t="s">
        <v>1290</v>
      </c>
      <c r="F288" s="1" t="s">
        <v>1291</v>
      </c>
      <c r="G288" s="1">
        <v>106947</v>
      </c>
      <c r="H288" s="6" t="str">
        <f>HYPERLINK("http://www.ensembl.org/Mus_musculus/Gene/Summary?db=core;g=ENSMUSG00000046822","ENSMUSG00000046822")</f>
        <v>ENSMUSG00000046822</v>
      </c>
      <c r="I288" s="6" t="str">
        <f>HYPERLINK("http://www.informatics.jax.org/marker/MGI:2147269","MGI:2147269")</f>
        <v>MGI:2147269</v>
      </c>
      <c r="J288" s="7" t="s">
        <v>12</v>
      </c>
    </row>
    <row r="289" spans="1:10" x14ac:dyDescent="0.2">
      <c r="A289" s="3">
        <v>2774.38198661455</v>
      </c>
      <c r="B289" s="1">
        <v>0.238612468824936</v>
      </c>
      <c r="C289" s="4">
        <v>1.1130881466752301E-6</v>
      </c>
      <c r="D289" s="5">
        <v>5.8191180813798998E-5</v>
      </c>
      <c r="E289" s="1" t="s">
        <v>2834</v>
      </c>
      <c r="F289" s="1" t="s">
        <v>2835</v>
      </c>
      <c r="G289" s="1">
        <v>67738</v>
      </c>
      <c r="H289" s="6" t="str">
        <f>HYPERLINK("http://www.ensembl.org/Mus_musculus/Gene/Summary?db=core;g=ENSMUSG00000027804","ENSMUSG00000027804")</f>
        <v>ENSMUSG00000027804</v>
      </c>
      <c r="I289" s="6" t="str">
        <f>HYPERLINK("http://www.informatics.jax.org/marker/MGI:1914988","MGI:1914988")</f>
        <v>MGI:1914988</v>
      </c>
      <c r="J289" s="7" t="s">
        <v>12</v>
      </c>
    </row>
    <row r="290" spans="1:10" x14ac:dyDescent="0.2">
      <c r="A290" s="3">
        <v>1018.52022813161</v>
      </c>
      <c r="B290" s="1">
        <v>-0.36218822896203001</v>
      </c>
      <c r="C290" s="4">
        <v>1.11892095822059E-6</v>
      </c>
      <c r="D290" s="5">
        <v>5.8262965513564098E-5</v>
      </c>
      <c r="E290" s="1" t="s">
        <v>1200</v>
      </c>
      <c r="F290" s="1" t="s">
        <v>1201</v>
      </c>
      <c r="G290" s="1">
        <v>68833</v>
      </c>
      <c r="H290" s="6" t="str">
        <f>HYPERLINK("http://www.ensembl.org/Mus_musculus/Gene/Summary?db=core;g=ENSMUSG00000026078","ENSMUSG00000026078")</f>
        <v>ENSMUSG00000026078</v>
      </c>
      <c r="I290" s="6" t="str">
        <f>HYPERLINK("http://www.informatics.jax.org/marker/MGI:1916083","MGI:1916083")</f>
        <v>MGI:1916083</v>
      </c>
      <c r="J290" s="7" t="s">
        <v>12</v>
      </c>
    </row>
    <row r="291" spans="1:10" x14ac:dyDescent="0.2">
      <c r="A291" s="3">
        <v>98.705501646623404</v>
      </c>
      <c r="B291" s="1">
        <v>-1.18781978667747</v>
      </c>
      <c r="C291" s="4">
        <v>1.1844724403220199E-6</v>
      </c>
      <c r="D291" s="5">
        <v>6.1459105213328198E-5</v>
      </c>
      <c r="E291" s="1" t="s">
        <v>235</v>
      </c>
      <c r="F291" s="1" t="s">
        <v>236</v>
      </c>
      <c r="G291" s="1">
        <v>12495</v>
      </c>
      <c r="H291" s="6" t="str">
        <f>HYPERLINK("http://www.ensembl.org/Mus_musculus/Gene/Summary?db=core;g=ENSMUSG00000048120","ENSMUSG00000048120")</f>
        <v>ENSMUSG00000048120</v>
      </c>
      <c r="I291" s="6" t="str">
        <f>HYPERLINK("http://www.informatics.jax.org/marker/MGI:102805","MGI:102805")</f>
        <v>MGI:102805</v>
      </c>
      <c r="J291" s="7" t="s">
        <v>12</v>
      </c>
    </row>
    <row r="292" spans="1:10" x14ac:dyDescent="0.2">
      <c r="A292" s="3">
        <v>182.86934776158</v>
      </c>
      <c r="B292" s="1">
        <v>-0.584736314631503</v>
      </c>
      <c r="C292" s="4">
        <v>1.22912993864502E-6</v>
      </c>
      <c r="D292" s="5">
        <v>6.3552486932887597E-5</v>
      </c>
      <c r="E292" s="1" t="s">
        <v>699</v>
      </c>
      <c r="F292" s="1" t="s">
        <v>700</v>
      </c>
      <c r="G292" s="1">
        <v>320365</v>
      </c>
      <c r="H292" s="6" t="str">
        <f>HYPERLINK("http://www.ensembl.org/Mus_musculus/Gene/Summary?db=core;g=ENSMUSG00000056602","ENSMUSG00000056602")</f>
        <v>ENSMUSG00000056602</v>
      </c>
      <c r="I292" s="6" t="str">
        <f>HYPERLINK("http://www.informatics.jax.org/marker/MGI:2443895","MGI:2443895")</f>
        <v>MGI:2443895</v>
      </c>
      <c r="J292" s="7" t="s">
        <v>12</v>
      </c>
    </row>
    <row r="293" spans="1:10" x14ac:dyDescent="0.2">
      <c r="A293" s="3">
        <v>1316.2310813772599</v>
      </c>
      <c r="B293" s="1">
        <v>-0.37173469877051302</v>
      </c>
      <c r="C293" s="4">
        <v>1.2350097208602599E-6</v>
      </c>
      <c r="D293" s="5">
        <v>6.3633228134953994E-5</v>
      </c>
      <c r="E293" s="1" t="s">
        <v>1166</v>
      </c>
      <c r="F293" s="1" t="s">
        <v>1167</v>
      </c>
      <c r="G293" s="1">
        <v>13007</v>
      </c>
      <c r="H293" s="6" t="str">
        <f>HYPERLINK("http://www.ensembl.org/Mus_musculus/Gene/Summary?db=core;g=ENSMUSG00000026421","ENSMUSG00000026421")</f>
        <v>ENSMUSG00000026421</v>
      </c>
      <c r="I293" s="6" t="str">
        <f>HYPERLINK("http://www.informatics.jax.org/marker/MGI:88549","MGI:88549")</f>
        <v>MGI:88549</v>
      </c>
      <c r="J293" s="7" t="s">
        <v>12</v>
      </c>
    </row>
    <row r="294" spans="1:10" x14ac:dyDescent="0.2">
      <c r="A294" s="3">
        <v>1218.6698051615999</v>
      </c>
      <c r="B294" s="1">
        <v>-1.7511068169186601</v>
      </c>
      <c r="C294" s="4">
        <v>1.2472053373353201E-6</v>
      </c>
      <c r="D294" s="5">
        <v>6.4037692860533795E-5</v>
      </c>
      <c r="E294" s="1" t="s">
        <v>83</v>
      </c>
      <c r="F294" s="1" t="s">
        <v>84</v>
      </c>
      <c r="G294" s="1">
        <v>23962</v>
      </c>
      <c r="H294" s="6" t="str">
        <f>HYPERLINK("http://www.ensembl.org/Mus_musculus/Gene/Summary?db=core;g=ENSMUSG00000029561","ENSMUSG00000029561")</f>
        <v>ENSMUSG00000029561</v>
      </c>
      <c r="I294" s="6" t="str">
        <f>HYPERLINK("http://www.informatics.jax.org/marker/MGI:1344390","MGI:1344390")</f>
        <v>MGI:1344390</v>
      </c>
      <c r="J294" s="7" t="s">
        <v>12</v>
      </c>
    </row>
    <row r="295" spans="1:10" x14ac:dyDescent="0.2">
      <c r="A295" s="3">
        <v>314.57741219244502</v>
      </c>
      <c r="B295" s="1">
        <v>-0.35883409553228801</v>
      </c>
      <c r="C295" s="4">
        <v>1.2583340565156601E-6</v>
      </c>
      <c r="D295" s="5">
        <v>6.4384759225051004E-5</v>
      </c>
      <c r="E295" s="1" t="s">
        <v>1212</v>
      </c>
      <c r="F295" s="1" t="s">
        <v>1213</v>
      </c>
      <c r="G295" s="1">
        <v>15979</v>
      </c>
      <c r="H295" s="6" t="str">
        <f>HYPERLINK("http://www.ensembl.org/Mus_musculus/Gene/Summary?db=core;g=ENSMUSG00000020009","ENSMUSG00000020009")</f>
        <v>ENSMUSG00000020009</v>
      </c>
      <c r="I295" s="6" t="str">
        <f>HYPERLINK("http://www.informatics.jax.org/marker/MGI:107655","MGI:107655")</f>
        <v>MGI:107655</v>
      </c>
      <c r="J295" s="7" t="s">
        <v>12</v>
      </c>
    </row>
    <row r="296" spans="1:10" x14ac:dyDescent="0.2">
      <c r="A296" s="3">
        <v>1011.34777915118</v>
      </c>
      <c r="B296" s="1">
        <v>-0.60267886541954996</v>
      </c>
      <c r="C296" s="4">
        <v>1.26392590998409E-6</v>
      </c>
      <c r="D296" s="5">
        <v>6.4447101071022497E-5</v>
      </c>
      <c r="E296" s="1" t="s">
        <v>672</v>
      </c>
      <c r="F296" s="1" t="s">
        <v>673</v>
      </c>
      <c r="G296" s="1">
        <v>21929</v>
      </c>
      <c r="H296" s="6" t="str">
        <f>HYPERLINK("http://www.ensembl.org/Mus_musculus/Gene/Summary?db=core;g=ENSMUSG00000019850","ENSMUSG00000019850")</f>
        <v>ENSMUSG00000019850</v>
      </c>
      <c r="I296" s="6" t="str">
        <f>HYPERLINK("http://www.informatics.jax.org/marker/MGI:1196377","MGI:1196377")</f>
        <v>MGI:1196377</v>
      </c>
      <c r="J296" s="7" t="s">
        <v>12</v>
      </c>
    </row>
    <row r="297" spans="1:10" x14ac:dyDescent="0.2">
      <c r="A297" s="3">
        <v>1177.2164931273001</v>
      </c>
      <c r="B297" s="1">
        <v>-0.44050298419546202</v>
      </c>
      <c r="C297" s="4">
        <v>1.41444094254896E-6</v>
      </c>
      <c r="D297" s="5">
        <v>7.1873109411729305E-5</v>
      </c>
      <c r="E297" s="1" t="s">
        <v>961</v>
      </c>
      <c r="F297" s="1" t="s">
        <v>962</v>
      </c>
      <c r="G297" s="1">
        <v>113868</v>
      </c>
      <c r="H297" s="6" t="str">
        <f>HYPERLINK("http://www.ensembl.org/Mus_musculus/Gene/Summary?db=core;g=ENSMUSG00000036138","ENSMUSG00000036138")</f>
        <v>ENSMUSG00000036138</v>
      </c>
      <c r="I297" s="6" t="str">
        <f>HYPERLINK("http://www.informatics.jax.org/marker/MGI:2148491","MGI:2148491")</f>
        <v>MGI:2148491</v>
      </c>
      <c r="J297" s="7" t="s">
        <v>12</v>
      </c>
    </row>
    <row r="298" spans="1:10" x14ac:dyDescent="0.2">
      <c r="A298" s="3">
        <v>1068.0853875299899</v>
      </c>
      <c r="B298" s="1">
        <v>-0.46940458440030802</v>
      </c>
      <c r="C298" s="4">
        <v>1.45494163737123E-6</v>
      </c>
      <c r="D298" s="5">
        <v>7.3677044564613494E-5</v>
      </c>
      <c r="E298" s="1" t="s">
        <v>891</v>
      </c>
      <c r="F298" s="1" t="s">
        <v>892</v>
      </c>
      <c r="G298" s="1">
        <v>73389</v>
      </c>
      <c r="H298" s="6" t="str">
        <f>HYPERLINK("http://www.ensembl.org/Mus_musculus/Gene/Summary?db=core;g=ENSMUSG00000002996","ENSMUSG00000002996")</f>
        <v>ENSMUSG00000002996</v>
      </c>
      <c r="I298" s="6" t="str">
        <f>HYPERLINK("http://www.informatics.jax.org/marker/MGI:894659","MGI:894659")</f>
        <v>MGI:894659</v>
      </c>
      <c r="J298" s="7" t="s">
        <v>12</v>
      </c>
    </row>
    <row r="299" spans="1:10" x14ac:dyDescent="0.2">
      <c r="A299" s="3">
        <v>1258.7895607375599</v>
      </c>
      <c r="B299" s="1">
        <v>-0.28385313821463998</v>
      </c>
      <c r="C299" s="4">
        <v>1.4720238385788599E-6</v>
      </c>
      <c r="D299" s="5">
        <v>7.4286792072938705E-5</v>
      </c>
      <c r="E299" s="1" t="s">
        <v>1526</v>
      </c>
      <c r="F299" s="1" t="s">
        <v>1527</v>
      </c>
      <c r="G299" s="1">
        <v>68477</v>
      </c>
      <c r="H299" s="6" t="str">
        <f>HYPERLINK("http://www.ensembl.org/Mus_musculus/Gene/Summary?db=core;g=ENSMUSG00000002222","ENSMUSG00000002222")</f>
        <v>ENSMUSG00000002222</v>
      </c>
      <c r="I299" s="6" t="str">
        <f>HYPERLINK("http://www.informatics.jax.org/marker/MGI:1915727","MGI:1915727")</f>
        <v>MGI:1915727</v>
      </c>
      <c r="J299" s="7" t="s">
        <v>12</v>
      </c>
    </row>
    <row r="300" spans="1:10" x14ac:dyDescent="0.2">
      <c r="A300" s="3">
        <v>2279.5054060207999</v>
      </c>
      <c r="B300" s="1">
        <v>0.32262735376284202</v>
      </c>
      <c r="C300" s="4">
        <v>1.4850037246493E-6</v>
      </c>
      <c r="D300" s="5">
        <v>7.4686057632873798E-5</v>
      </c>
      <c r="E300" s="1" t="s">
        <v>3032</v>
      </c>
      <c r="F300" s="1" t="s">
        <v>3033</v>
      </c>
      <c r="G300" s="1">
        <v>18393</v>
      </c>
      <c r="H300" s="6" t="str">
        <f>HYPERLINK("http://www.ensembl.org/Mus_musculus/Gene/Summary?db=core;g=ENSMUSG00000026037","ENSMUSG00000026037")</f>
        <v>ENSMUSG00000026037</v>
      </c>
      <c r="I300" s="6" t="str">
        <f>HYPERLINK("http://www.informatics.jax.org/marker/MGI:1328306","MGI:1328306")</f>
        <v>MGI:1328306</v>
      </c>
      <c r="J300" s="7" t="s">
        <v>12</v>
      </c>
    </row>
    <row r="301" spans="1:10" x14ac:dyDescent="0.2">
      <c r="A301" s="3">
        <v>635.04939737780603</v>
      </c>
      <c r="B301" s="1">
        <v>-1.0640001716640499</v>
      </c>
      <c r="C301" s="4">
        <v>1.5228144692136199E-6</v>
      </c>
      <c r="D301" s="5">
        <v>7.63271905385437E-5</v>
      </c>
      <c r="E301" s="1" t="s">
        <v>291</v>
      </c>
      <c r="F301" s="1" t="s">
        <v>292</v>
      </c>
      <c r="G301" s="1">
        <v>20779</v>
      </c>
      <c r="H301" s="6" t="str">
        <f>HYPERLINK("http://www.ensembl.org/Mus_musculus/Gene/Summary?db=core;g=ENSMUSG00000027646","ENSMUSG00000027646")</f>
        <v>ENSMUSG00000027646</v>
      </c>
      <c r="I301" s="6" t="str">
        <f>HYPERLINK("http://www.informatics.jax.org/marker/MGI:98397","MGI:98397")</f>
        <v>MGI:98397</v>
      </c>
      <c r="J301" s="7" t="s">
        <v>12</v>
      </c>
    </row>
    <row r="302" spans="1:10" x14ac:dyDescent="0.2">
      <c r="A302" s="3">
        <v>772.97442866767699</v>
      </c>
      <c r="B302" s="1">
        <v>-0.251432215615704</v>
      </c>
      <c r="C302" s="4">
        <v>1.5551710333518501E-6</v>
      </c>
      <c r="D302" s="5">
        <v>7.7684746940585796E-5</v>
      </c>
      <c r="E302" s="1" t="s">
        <v>1658</v>
      </c>
      <c r="F302" s="1" t="s">
        <v>1659</v>
      </c>
      <c r="G302" s="1">
        <v>217463</v>
      </c>
      <c r="H302" s="6" t="str">
        <f>HYPERLINK("http://www.ensembl.org/Mus_musculus/Gene/Summary?db=core;g=ENSMUSG00000020590","ENSMUSG00000020590")</f>
        <v>ENSMUSG00000020590</v>
      </c>
      <c r="I302" s="6" t="str">
        <f>HYPERLINK("http://www.informatics.jax.org/marker/MGI:2661416","MGI:2661416")</f>
        <v>MGI:2661416</v>
      </c>
      <c r="J302" s="7" t="s">
        <v>12</v>
      </c>
    </row>
    <row r="303" spans="1:10" x14ac:dyDescent="0.2">
      <c r="A303" s="3">
        <v>1732.1397204857201</v>
      </c>
      <c r="B303" s="1">
        <v>-0.24680089323016199</v>
      </c>
      <c r="C303" s="4">
        <v>1.5986828461356001E-6</v>
      </c>
      <c r="D303" s="5">
        <v>7.9558444401754396E-5</v>
      </c>
      <c r="E303" s="1" t="s">
        <v>1676</v>
      </c>
      <c r="F303" s="1" t="s">
        <v>1677</v>
      </c>
      <c r="G303" s="1">
        <v>215653</v>
      </c>
      <c r="H303" s="6" t="str">
        <f>HYPERLINK("http://www.ensembl.org/Mus_musculus/Gene/Summary?db=core;g=ENSMUSG00000027339","ENSMUSG00000027339")</f>
        <v>ENSMUSG00000027339</v>
      </c>
      <c r="I303" s="6" t="str">
        <f>HYPERLINK("http://www.informatics.jax.org/marker/MGI:2442060","MGI:2442060")</f>
        <v>MGI:2442060</v>
      </c>
      <c r="J303" s="7" t="s">
        <v>12</v>
      </c>
    </row>
    <row r="304" spans="1:10" x14ac:dyDescent="0.2">
      <c r="A304" s="3">
        <v>1015.97624376408</v>
      </c>
      <c r="B304" s="1">
        <v>0.25360213112121199</v>
      </c>
      <c r="C304" s="4">
        <v>1.6063561553687E-6</v>
      </c>
      <c r="D304" s="5">
        <v>7.9558444401754396E-5</v>
      </c>
      <c r="E304" s="1" t="s">
        <v>2882</v>
      </c>
      <c r="F304" s="1" t="s">
        <v>2883</v>
      </c>
      <c r="G304" s="1">
        <v>66614</v>
      </c>
      <c r="H304" s="6" t="str">
        <f>HYPERLINK("http://www.ensembl.org/Mus_musculus/Gene/Summary?db=core;g=ENSMUSG00000028069","ENSMUSG00000028069")</f>
        <v>ENSMUSG00000028069</v>
      </c>
      <c r="I304" s="6" t="str">
        <f>HYPERLINK("http://www.informatics.jax.org/marker/MGI:1913864","MGI:1913864")</f>
        <v>MGI:1913864</v>
      </c>
      <c r="J304" s="7" t="s">
        <v>12</v>
      </c>
    </row>
    <row r="305" spans="1:10" x14ac:dyDescent="0.2">
      <c r="A305" s="3">
        <v>1304.43107898686</v>
      </c>
      <c r="B305" s="1">
        <v>0.267149577303535</v>
      </c>
      <c r="C305" s="4">
        <v>1.6088773365718501E-6</v>
      </c>
      <c r="D305" s="5">
        <v>7.9558444401754396E-5</v>
      </c>
      <c r="E305" s="1" t="s">
        <v>2928</v>
      </c>
      <c r="F305" s="1" t="s">
        <v>2929</v>
      </c>
      <c r="G305" s="1">
        <v>105675</v>
      </c>
      <c r="H305" s="6" t="str">
        <f>HYPERLINK("http://www.ensembl.org/Mus_musculus/Gene/Summary?db=core;g=ENSMUSG00000021868","ENSMUSG00000021868")</f>
        <v>ENSMUSG00000021868</v>
      </c>
      <c r="I305" s="6" t="str">
        <f>HYPERLINK("http://www.informatics.jax.org/marker/MGI:2145814","MGI:2145814")</f>
        <v>MGI:2145814</v>
      </c>
      <c r="J305" s="7" t="s">
        <v>12</v>
      </c>
    </row>
    <row r="306" spans="1:10" x14ac:dyDescent="0.2">
      <c r="A306" s="3">
        <v>1452.7841104143299</v>
      </c>
      <c r="B306" s="1">
        <v>0.313823863087691</v>
      </c>
      <c r="C306" s="4">
        <v>1.65930750425373E-6</v>
      </c>
      <c r="D306" s="5">
        <v>8.17777771996083E-5</v>
      </c>
      <c r="E306" s="1" t="s">
        <v>3018</v>
      </c>
      <c r="F306" s="1" t="s">
        <v>3019</v>
      </c>
      <c r="G306" s="1">
        <v>70021</v>
      </c>
      <c r="H306" s="6" t="str">
        <f>HYPERLINK("http://www.ensembl.org/Mus_musculus/Gene/Summary?db=core;g=ENSMUSG00000071547","ENSMUSG00000071547")</f>
        <v>ENSMUSG00000071547</v>
      </c>
      <c r="I306" s="6" t="str">
        <f>HYPERLINK("http://www.informatics.jax.org/marker/MGI:1917271","MGI:1917271")</f>
        <v>MGI:1917271</v>
      </c>
      <c r="J306" s="7" t="s">
        <v>12</v>
      </c>
    </row>
    <row r="307" spans="1:10" x14ac:dyDescent="0.2">
      <c r="A307" s="3">
        <v>1618.49553185267</v>
      </c>
      <c r="B307" s="1">
        <v>-0.29811613566108702</v>
      </c>
      <c r="C307" s="4">
        <v>1.6915990844528099E-6</v>
      </c>
      <c r="D307" s="5">
        <v>8.3091347028321994E-5</v>
      </c>
      <c r="E307" s="1" t="s">
        <v>1458</v>
      </c>
      <c r="F307" s="1" t="s">
        <v>1459</v>
      </c>
      <c r="G307" s="1">
        <v>100198</v>
      </c>
      <c r="H307" s="6" t="str">
        <f>HYPERLINK("http://www.ensembl.org/Mus_musculus/Gene/Summary?db=core;g=ENSMUSG00000028980","ENSMUSG00000028980")</f>
        <v>ENSMUSG00000028980</v>
      </c>
      <c r="I307" s="6" t="str">
        <f>HYPERLINK("http://www.informatics.jax.org/marker/MGI:2140356","MGI:2140356")</f>
        <v>MGI:2140356</v>
      </c>
      <c r="J307" s="7" t="s">
        <v>12</v>
      </c>
    </row>
    <row r="308" spans="1:10" x14ac:dyDescent="0.2">
      <c r="A308" s="3">
        <v>176.57982177772399</v>
      </c>
      <c r="B308" s="1">
        <v>-0.40094072356285898</v>
      </c>
      <c r="C308" s="4">
        <v>1.6972775617831199E-6</v>
      </c>
      <c r="D308" s="5">
        <v>8.3093296180850704E-5</v>
      </c>
      <c r="E308" s="1" t="s">
        <v>1101</v>
      </c>
      <c r="F308" s="1" t="s">
        <v>1102</v>
      </c>
      <c r="G308" s="1">
        <v>60455</v>
      </c>
      <c r="H308" s="6" t="str">
        <f>HYPERLINK("http://www.ensembl.org/Mus_musculus/Gene/Summary?db=core;g=ENSMUSG00000024180","ENSMUSG00000024180")</f>
        <v>ENSMUSG00000024180</v>
      </c>
      <c r="I308" s="6" t="str">
        <f>HYPERLINK("http://www.informatics.jax.org/marker/MGI:1926283","MGI:1926283")</f>
        <v>MGI:1926283</v>
      </c>
      <c r="J308" s="7" t="s">
        <v>12</v>
      </c>
    </row>
    <row r="309" spans="1:10" x14ac:dyDescent="0.2">
      <c r="A309" s="3">
        <v>357.052985375817</v>
      </c>
      <c r="B309" s="1">
        <v>-0.33706002999111101</v>
      </c>
      <c r="C309" s="4">
        <v>1.7366404642266E-6</v>
      </c>
      <c r="D309" s="5">
        <v>8.4738853910076696E-5</v>
      </c>
      <c r="E309" s="1" t="s">
        <v>1276</v>
      </c>
      <c r="F309" s="1" t="s">
        <v>1277</v>
      </c>
      <c r="G309" s="1" t="s">
        <v>45</v>
      </c>
      <c r="H309" s="6" t="str">
        <f>HYPERLINK("http://www.ensembl.org/Mus_musculus/Gene/Summary?db=core;g=ENSMUSG00000108037","ENSMUSG00000108037")</f>
        <v>ENSMUSG00000108037</v>
      </c>
      <c r="I309" s="6" t="str">
        <f>HYPERLINK("http://www.informatics.jax.org/marker/MGI:5753173","MGI:5753173")</f>
        <v>MGI:5753173</v>
      </c>
      <c r="J309" s="7" t="s">
        <v>190</v>
      </c>
    </row>
    <row r="310" spans="1:10" x14ac:dyDescent="0.2">
      <c r="A310" s="3">
        <v>15.3939301758673</v>
      </c>
      <c r="B310" s="1">
        <v>-1.33381555459733</v>
      </c>
      <c r="C310" s="4">
        <v>1.78088535383779E-6</v>
      </c>
      <c r="D310" s="5">
        <v>8.6610978792586301E-5</v>
      </c>
      <c r="E310" s="1" t="s">
        <v>174</v>
      </c>
      <c r="F310" s="1" t="s">
        <v>175</v>
      </c>
      <c r="G310" s="1">
        <v>234515</v>
      </c>
      <c r="H310" s="6" t="str">
        <f>HYPERLINK("http://www.ensembl.org/Mus_musculus/Gene/Summary?db=core;g=ENSMUSG00000037940","ENSMUSG00000037940")</f>
        <v>ENSMUSG00000037940</v>
      </c>
      <c r="I310" s="6" t="str">
        <f>HYPERLINK("http://www.informatics.jax.org/marker/MGI:2158925","MGI:2158925")</f>
        <v>MGI:2158925</v>
      </c>
      <c r="J310" s="7" t="s">
        <v>12</v>
      </c>
    </row>
    <row r="311" spans="1:10" x14ac:dyDescent="0.2">
      <c r="A311" s="3">
        <v>7288.1892211066897</v>
      </c>
      <c r="B311" s="1">
        <v>-0.47102307442302699</v>
      </c>
      <c r="C311" s="4">
        <v>1.7904140833857199E-6</v>
      </c>
      <c r="D311" s="5">
        <v>8.6787966884118201E-5</v>
      </c>
      <c r="E311" s="1" t="s">
        <v>889</v>
      </c>
      <c r="F311" s="1" t="s">
        <v>890</v>
      </c>
      <c r="G311" s="1">
        <v>19241</v>
      </c>
      <c r="H311" s="6" t="str">
        <f>HYPERLINK("http://www.ensembl.org/Mus_musculus/Gene/Summary?db=core;g=ENSMUSG00000049775","ENSMUSG00000049775")</f>
        <v>ENSMUSG00000049775</v>
      </c>
      <c r="I311" s="6" t="str">
        <f>HYPERLINK("http://www.informatics.jax.org/marker/MGI:99510","MGI:99510")</f>
        <v>MGI:99510</v>
      </c>
      <c r="J311" s="7" t="s">
        <v>12</v>
      </c>
    </row>
    <row r="312" spans="1:10" x14ac:dyDescent="0.2">
      <c r="A312" s="3">
        <v>1407.9538668437699</v>
      </c>
      <c r="B312" s="1">
        <v>-0.23485523438776801</v>
      </c>
      <c r="C312" s="4">
        <v>1.8446712351498499E-6</v>
      </c>
      <c r="D312" s="5">
        <v>8.91248371185843E-5</v>
      </c>
      <c r="E312" s="1" t="s">
        <v>1734</v>
      </c>
      <c r="F312" s="1" t="s">
        <v>1735</v>
      </c>
      <c r="G312" s="1">
        <v>70497</v>
      </c>
      <c r="H312" s="6" t="str">
        <f>HYPERLINK("http://www.ensembl.org/Mus_musculus/Gene/Summary?db=core;g=ENSMUSG00000030766","ENSMUSG00000030766")</f>
        <v>ENSMUSG00000030766</v>
      </c>
      <c r="I312" s="6" t="str">
        <f>HYPERLINK("http://www.informatics.jax.org/marker/MGI:1917747","MGI:1917747")</f>
        <v>MGI:1917747</v>
      </c>
      <c r="J312" s="7" t="s">
        <v>12</v>
      </c>
    </row>
    <row r="313" spans="1:10" x14ac:dyDescent="0.2">
      <c r="A313" s="3">
        <v>314.83325896475998</v>
      </c>
      <c r="B313" s="1">
        <v>-0.464523104160603</v>
      </c>
      <c r="C313" s="4">
        <v>1.8897737669083501E-6</v>
      </c>
      <c r="D313" s="5">
        <v>9.1005575912292397E-5</v>
      </c>
      <c r="E313" s="1" t="s">
        <v>903</v>
      </c>
      <c r="F313" s="1" t="s">
        <v>904</v>
      </c>
      <c r="G313" s="1">
        <v>66049</v>
      </c>
      <c r="H313" s="6" t="str">
        <f>HYPERLINK("http://www.ensembl.org/Mus_musculus/Gene/Summary?db=core;g=ENSMUSG00000022540","ENSMUSG00000022540")</f>
        <v>ENSMUSG00000022540</v>
      </c>
      <c r="I313" s="6" t="str">
        <f>HYPERLINK("http://www.informatics.jax.org/marker/MGI:1913299","MGI:1913299")</f>
        <v>MGI:1913299</v>
      </c>
      <c r="J313" s="7" t="s">
        <v>12</v>
      </c>
    </row>
    <row r="314" spans="1:10" x14ac:dyDescent="0.2">
      <c r="A314" s="3">
        <v>377.18253442445501</v>
      </c>
      <c r="B314" s="1">
        <v>-0.758345464893459</v>
      </c>
      <c r="C314" s="4">
        <v>1.90441612112266E-6</v>
      </c>
      <c r="D314" s="5">
        <v>9.1411973813887705E-5</v>
      </c>
      <c r="E314" s="1" t="s">
        <v>518</v>
      </c>
      <c r="F314" s="1" t="s">
        <v>519</v>
      </c>
      <c r="G314" s="1">
        <v>12363</v>
      </c>
      <c r="H314" s="6" t="str">
        <f>HYPERLINK("http://www.ensembl.org/Mus_musculus/Gene/Summary?db=core;g=ENSMUSG00000033538","ENSMUSG00000033538")</f>
        <v>ENSMUSG00000033538</v>
      </c>
      <c r="I314" s="6" t="str">
        <f>HYPERLINK("http://www.informatics.jax.org/marker/MGI:107700","MGI:107700")</f>
        <v>MGI:107700</v>
      </c>
      <c r="J314" s="7" t="s">
        <v>12</v>
      </c>
    </row>
    <row r="315" spans="1:10" x14ac:dyDescent="0.2">
      <c r="A315" s="3">
        <v>234.25871641880201</v>
      </c>
      <c r="B315" s="1">
        <v>-0.90124395734816398</v>
      </c>
      <c r="C315" s="4">
        <v>1.9391179268783501E-6</v>
      </c>
      <c r="D315" s="5">
        <v>9.2775460293764101E-5</v>
      </c>
      <c r="E315" s="1" t="s">
        <v>395</v>
      </c>
      <c r="F315" s="1" t="s">
        <v>396</v>
      </c>
      <c r="G315" s="1">
        <v>319446</v>
      </c>
      <c r="H315" s="6" t="str">
        <f>HYPERLINK("http://www.ensembl.org/Mus_musculus/Gene/Summary?db=core;g=ENSMUSG00000053687","ENSMUSG00000053687")</f>
        <v>ENSMUSG00000053687</v>
      </c>
      <c r="I315" s="6" t="str">
        <f>HYPERLINK("http://www.informatics.jax.org/marker/MGI:2442042","MGI:2442042")</f>
        <v>MGI:2442042</v>
      </c>
      <c r="J315" s="7" t="s">
        <v>12</v>
      </c>
    </row>
    <row r="316" spans="1:10" x14ac:dyDescent="0.2">
      <c r="A316" s="3">
        <v>880.12745152298601</v>
      </c>
      <c r="B316" s="1">
        <v>-0.60884672821330899</v>
      </c>
      <c r="C316" s="4">
        <v>1.9660662148248798E-6</v>
      </c>
      <c r="D316" s="5">
        <v>9.3760361623493205E-5</v>
      </c>
      <c r="E316" s="1" t="s">
        <v>668</v>
      </c>
      <c r="F316" s="1" t="s">
        <v>669</v>
      </c>
      <c r="G316" s="1">
        <v>11770</v>
      </c>
      <c r="H316" s="6" t="str">
        <f>HYPERLINK("http://www.ensembl.org/Mus_musculus/Gene/Summary?db=core;g=ENSMUSG00000062515","ENSMUSG00000062515")</f>
        <v>ENSMUSG00000062515</v>
      </c>
      <c r="I316" s="6" t="str">
        <f>HYPERLINK("http://www.informatics.jax.org/marker/MGI:88038","MGI:88038")</f>
        <v>MGI:88038</v>
      </c>
      <c r="J316" s="7" t="s">
        <v>12</v>
      </c>
    </row>
    <row r="317" spans="1:10" x14ac:dyDescent="0.2">
      <c r="A317" s="3">
        <v>3009.5500794065902</v>
      </c>
      <c r="B317" s="1">
        <v>-0.29067725675811501</v>
      </c>
      <c r="C317" s="4">
        <v>1.9951894149544002E-6</v>
      </c>
      <c r="D317" s="5">
        <v>9.4842294254090506E-5</v>
      </c>
      <c r="E317" s="1" t="s">
        <v>1492</v>
      </c>
      <c r="F317" s="1" t="s">
        <v>1493</v>
      </c>
      <c r="G317" s="1">
        <v>269951</v>
      </c>
      <c r="H317" s="6" t="str">
        <f>HYPERLINK("http://www.ensembl.org/Mus_musculus/Gene/Summary?db=core;g=ENSMUSG00000030541","ENSMUSG00000030541")</f>
        <v>ENSMUSG00000030541</v>
      </c>
      <c r="I317" s="6" t="str">
        <f>HYPERLINK("http://www.informatics.jax.org/marker/MGI:96414","MGI:96414")</f>
        <v>MGI:96414</v>
      </c>
      <c r="J317" s="7" t="s">
        <v>12</v>
      </c>
    </row>
    <row r="318" spans="1:10" x14ac:dyDescent="0.2">
      <c r="A318" s="3">
        <v>991.767413193891</v>
      </c>
      <c r="B318" s="1">
        <v>-1.58595187420372</v>
      </c>
      <c r="C318" s="4">
        <v>2.13530696265973E-6</v>
      </c>
      <c r="D318" s="7">
        <v>1.00529978919341E-4</v>
      </c>
      <c r="E318" s="1" t="s">
        <v>116</v>
      </c>
      <c r="F318" s="1" t="s">
        <v>117</v>
      </c>
      <c r="G318" s="1">
        <v>55932</v>
      </c>
      <c r="H318" s="6" t="str">
        <f>HYPERLINK("http://www.ensembl.org/Mus_musculus/Gene/Summary?db=core;g=ENSMUSG00000028268","ENSMUSG00000028268")</f>
        <v>ENSMUSG00000028268</v>
      </c>
      <c r="I318" s="6" t="str">
        <f>HYPERLINK("http://www.informatics.jax.org/marker/MGI:1926263","MGI:1926263")</f>
        <v>MGI:1926263</v>
      </c>
      <c r="J318" s="7" t="s">
        <v>12</v>
      </c>
    </row>
    <row r="319" spans="1:10" x14ac:dyDescent="0.2">
      <c r="A319" s="3">
        <v>11.7901978975985</v>
      </c>
      <c r="B319" s="1">
        <v>-1.30626059164654</v>
      </c>
      <c r="C319" s="4">
        <v>2.12795229526854E-6</v>
      </c>
      <c r="D319" s="7">
        <v>1.00529978919341E-4</v>
      </c>
      <c r="E319" s="1" t="s">
        <v>180</v>
      </c>
      <c r="F319" s="1" t="s">
        <v>181</v>
      </c>
      <c r="G319" s="1">
        <v>11622</v>
      </c>
      <c r="H319" s="6" t="str">
        <f>HYPERLINK("http://www.ensembl.org/Mus_musculus/Gene/Summary?db=core;g=ENSMUSG00000019256","ENSMUSG00000019256")</f>
        <v>ENSMUSG00000019256</v>
      </c>
      <c r="I319" s="6" t="str">
        <f>HYPERLINK("http://www.informatics.jax.org/marker/MGI:105043","MGI:105043")</f>
        <v>MGI:105043</v>
      </c>
      <c r="J319" s="7" t="s">
        <v>12</v>
      </c>
    </row>
    <row r="320" spans="1:10" x14ac:dyDescent="0.2">
      <c r="A320" s="3">
        <v>241.52922077529101</v>
      </c>
      <c r="B320" s="1">
        <v>-0.81036466998252399</v>
      </c>
      <c r="C320" s="4">
        <v>2.13335809229509E-6</v>
      </c>
      <c r="D320" s="7">
        <v>1.00529978919341E-4</v>
      </c>
      <c r="E320" s="1" t="s">
        <v>474</v>
      </c>
      <c r="F320" s="1" t="s">
        <v>475</v>
      </c>
      <c r="G320" s="1">
        <v>320148</v>
      </c>
      <c r="H320" s="6" t="str">
        <f>HYPERLINK("http://www.ensembl.org/Mus_musculus/Gene/Summary?db=core;g=ENSMUSG00000043740","ENSMUSG00000043740")</f>
        <v>ENSMUSG00000043740</v>
      </c>
      <c r="I320" s="6" t="str">
        <f>HYPERLINK("http://www.informatics.jax.org/marker/MGI:2443478","MGI:2443478")</f>
        <v>MGI:2443478</v>
      </c>
      <c r="J320" s="7" t="s">
        <v>12</v>
      </c>
    </row>
    <row r="321" spans="1:10" x14ac:dyDescent="0.2">
      <c r="A321" s="3">
        <v>501.58807182568898</v>
      </c>
      <c r="B321" s="1">
        <v>-0.309375427401755</v>
      </c>
      <c r="C321" s="4">
        <v>2.1459549916499002E-6</v>
      </c>
      <c r="D321" s="7">
        <v>1.00709531073098E-4</v>
      </c>
      <c r="E321" s="1" t="s">
        <v>1404</v>
      </c>
      <c r="F321" s="1" t="s">
        <v>1405</v>
      </c>
      <c r="G321" s="1">
        <v>20440</v>
      </c>
      <c r="H321" s="6" t="str">
        <f>HYPERLINK("http://www.ensembl.org/Mus_musculus/Gene/Summary?db=core;g=ENSMUSG00000022885","ENSMUSG00000022885")</f>
        <v>ENSMUSG00000022885</v>
      </c>
      <c r="I321" s="6" t="str">
        <f>HYPERLINK("http://www.informatics.jax.org/marker/MGI:108470","MGI:108470")</f>
        <v>MGI:108470</v>
      </c>
      <c r="J321" s="7" t="s">
        <v>12</v>
      </c>
    </row>
    <row r="322" spans="1:10" x14ac:dyDescent="0.2">
      <c r="A322" s="3">
        <v>2770.5416975487101</v>
      </c>
      <c r="B322" s="1">
        <v>-0.36847181332879603</v>
      </c>
      <c r="C322" s="4">
        <v>2.1923895569532401E-6</v>
      </c>
      <c r="D322" s="7">
        <v>1.0256207146432699E-4</v>
      </c>
      <c r="E322" s="1" t="s">
        <v>1182</v>
      </c>
      <c r="F322" s="1" t="s">
        <v>1183</v>
      </c>
      <c r="G322" s="1">
        <v>11745</v>
      </c>
      <c r="H322" s="6" t="str">
        <f>HYPERLINK("http://www.ensembl.org/Mus_musculus/Gene/Summary?db=core;g=ENSMUSG00000029484","ENSMUSG00000029484")</f>
        <v>ENSMUSG00000029484</v>
      </c>
      <c r="I322" s="6" t="str">
        <f>HYPERLINK("http://www.informatics.jax.org/marker/MGI:1201378","MGI:1201378")</f>
        <v>MGI:1201378</v>
      </c>
      <c r="J322" s="7" t="s">
        <v>12</v>
      </c>
    </row>
    <row r="323" spans="1:10" x14ac:dyDescent="0.2">
      <c r="A323" s="3">
        <v>380.44484989384898</v>
      </c>
      <c r="B323" s="1">
        <v>-0.37505127582471098</v>
      </c>
      <c r="C323" s="4">
        <v>2.2230028129624202E-6</v>
      </c>
      <c r="D323" s="7">
        <v>1.03461999395965E-4</v>
      </c>
      <c r="E323" s="1" t="s">
        <v>1152</v>
      </c>
      <c r="F323" s="1" t="s">
        <v>1153</v>
      </c>
      <c r="G323" s="1">
        <v>77975</v>
      </c>
      <c r="H323" s="6" t="str">
        <f>HYPERLINK("http://www.ensembl.org/Mus_musculus/Gene/Summary?db=core;g=ENSMUSG00000022964","ENSMUSG00000022964")</f>
        <v>ENSMUSG00000022964</v>
      </c>
      <c r="I323" s="6" t="str">
        <f>HYPERLINK("http://www.informatics.jax.org/marker/MGI:1925225","MGI:1925225")</f>
        <v>MGI:1925225</v>
      </c>
      <c r="J323" s="7" t="s">
        <v>12</v>
      </c>
    </row>
    <row r="324" spans="1:10" x14ac:dyDescent="0.2">
      <c r="A324" s="3">
        <v>2056.8878467713398</v>
      </c>
      <c r="B324" s="1">
        <v>0.20399395100183099</v>
      </c>
      <c r="C324" s="4">
        <v>2.2256686895033298E-6</v>
      </c>
      <c r="D324" s="7">
        <v>1.03461999395965E-4</v>
      </c>
      <c r="E324" s="1" t="s">
        <v>2630</v>
      </c>
      <c r="F324" s="1" t="s">
        <v>2631</v>
      </c>
      <c r="G324" s="1">
        <v>66997</v>
      </c>
      <c r="H324" s="6" t="str">
        <f>HYPERLINK("http://www.ensembl.org/Mus_musculus/Gene/Summary?db=core;g=ENSMUSG00000020720","ENSMUSG00000020720")</f>
        <v>ENSMUSG00000020720</v>
      </c>
      <c r="I324" s="6" t="str">
        <f>HYPERLINK("http://www.informatics.jax.org/marker/MGI:1914247","MGI:1914247")</f>
        <v>MGI:1914247</v>
      </c>
      <c r="J324" s="7" t="s">
        <v>12</v>
      </c>
    </row>
    <row r="325" spans="1:10" x14ac:dyDescent="0.2">
      <c r="A325" s="3">
        <v>69.522400816125099</v>
      </c>
      <c r="B325" s="1">
        <v>-0.57816851968697403</v>
      </c>
      <c r="C325" s="4">
        <v>2.2536186551436E-6</v>
      </c>
      <c r="D325" s="7">
        <v>1.04172323676583E-4</v>
      </c>
      <c r="E325" s="1" t="s">
        <v>709</v>
      </c>
      <c r="F325" s="1" t="s">
        <v>710</v>
      </c>
      <c r="G325" s="1">
        <v>236727</v>
      </c>
      <c r="H325" s="6" t="str">
        <f>HYPERLINK("http://www.ensembl.org/Mus_musculus/Gene/Summary?db=core;g=ENSMUSG00000037341","ENSMUSG00000037341")</f>
        <v>ENSMUSG00000037341</v>
      </c>
      <c r="I325" s="6" t="str">
        <f>HYPERLINK("http://www.informatics.jax.org/marker/MGI:2444530","MGI:2444530")</f>
        <v>MGI:2444530</v>
      </c>
      <c r="J325" s="7" t="s">
        <v>12</v>
      </c>
    </row>
    <row r="326" spans="1:10" x14ac:dyDescent="0.2">
      <c r="A326" s="3">
        <v>1312.0346934516399</v>
      </c>
      <c r="B326" s="1">
        <v>-0.28954350116604699</v>
      </c>
      <c r="C326" s="4">
        <v>2.2550876257349401E-6</v>
      </c>
      <c r="D326" s="7">
        <v>1.04172323676583E-4</v>
      </c>
      <c r="E326" s="1" t="s">
        <v>1500</v>
      </c>
      <c r="F326" s="1" t="s">
        <v>1501</v>
      </c>
      <c r="G326" s="1">
        <v>170755</v>
      </c>
      <c r="H326" s="6" t="str">
        <f>HYPERLINK("http://www.ensembl.org/Mus_musculus/Gene/Summary?db=core;g=ENSMUSG00000025915","ENSMUSG00000025915")</f>
        <v>ENSMUSG00000025915</v>
      </c>
      <c r="I326" s="6" t="str">
        <f>HYPERLINK("http://www.informatics.jax.org/marker/MGI:2182368","MGI:2182368")</f>
        <v>MGI:2182368</v>
      </c>
      <c r="J326" s="7" t="s">
        <v>12</v>
      </c>
    </row>
    <row r="327" spans="1:10" x14ac:dyDescent="0.2">
      <c r="A327" s="3">
        <v>2557.3136191397298</v>
      </c>
      <c r="B327" s="1">
        <v>-0.19149167392209601</v>
      </c>
      <c r="C327" s="4">
        <v>2.2741582231624799E-6</v>
      </c>
      <c r="D327" s="7">
        <v>1.04724986176632E-4</v>
      </c>
      <c r="E327" s="1" t="s">
        <v>1954</v>
      </c>
      <c r="F327" s="1" t="s">
        <v>1955</v>
      </c>
      <c r="G327" s="1">
        <v>22195</v>
      </c>
      <c r="H327" s="6" t="str">
        <f>HYPERLINK("http://www.ensembl.org/Mus_musculus/Gene/Summary?db=core;g=ENSMUSG00000038965","ENSMUSG00000038965")</f>
        <v>ENSMUSG00000038965</v>
      </c>
      <c r="I327" s="6" t="str">
        <f>HYPERLINK("http://www.informatics.jax.org/marker/MGI:109240","MGI:109240")</f>
        <v>MGI:109240</v>
      </c>
      <c r="J327" s="7" t="s">
        <v>12</v>
      </c>
    </row>
    <row r="328" spans="1:10" x14ac:dyDescent="0.2">
      <c r="A328" s="3">
        <v>92.4151326760187</v>
      </c>
      <c r="B328" s="1">
        <v>-0.87752752313358096</v>
      </c>
      <c r="C328" s="4">
        <v>2.3067743557612602E-6</v>
      </c>
      <c r="D328" s="7">
        <v>1.05896033976629E-4</v>
      </c>
      <c r="E328" s="1" t="s">
        <v>419</v>
      </c>
      <c r="F328" s="1" t="s">
        <v>420</v>
      </c>
      <c r="G328" s="1">
        <v>16988</v>
      </c>
      <c r="H328" s="6" t="str">
        <f>HYPERLINK("http://www.ensembl.org/Mus_musculus/Gene/Summary?db=core;g=ENSMUSG00000073412","ENSMUSG00000073412")</f>
        <v>ENSMUSG00000073412</v>
      </c>
      <c r="I328" s="6" t="str">
        <f>HYPERLINK("http://www.informatics.jax.org/marker/MGI:1096324","MGI:1096324")</f>
        <v>MGI:1096324</v>
      </c>
      <c r="J328" s="7" t="s">
        <v>12</v>
      </c>
    </row>
    <row r="329" spans="1:10" x14ac:dyDescent="0.2">
      <c r="A329" s="3">
        <v>4.8173162944736401</v>
      </c>
      <c r="B329" s="1">
        <v>-1.9543896592602601</v>
      </c>
      <c r="C329" s="4">
        <v>2.3865816464720098E-6</v>
      </c>
      <c r="D329" s="7">
        <v>1.08881322422327E-4</v>
      </c>
      <c r="E329" s="1" t="s">
        <v>57</v>
      </c>
      <c r="F329" s="1" t="s">
        <v>58</v>
      </c>
      <c r="G329" s="1">
        <v>75691</v>
      </c>
      <c r="H329" s="6" t="str">
        <f>HYPERLINK("http://www.ensembl.org/Mus_musculus/Gene/Summary?db=core;g=ENSMUSG00000066191","ENSMUSG00000066191")</f>
        <v>ENSMUSG00000066191</v>
      </c>
      <c r="I329" s="6" t="str">
        <f>HYPERLINK("http://www.informatics.jax.org/marker/MGI:1922941","MGI:1922941")</f>
        <v>MGI:1922941</v>
      </c>
      <c r="J329" s="7" t="s">
        <v>12</v>
      </c>
    </row>
    <row r="330" spans="1:10" x14ac:dyDescent="0.2">
      <c r="A330" s="3">
        <v>57.735260383567301</v>
      </c>
      <c r="B330" s="1">
        <v>-0.73996764460928</v>
      </c>
      <c r="C330" s="4">
        <v>2.3794591662593299E-6</v>
      </c>
      <c r="D330" s="7">
        <v>1.08881322422327E-4</v>
      </c>
      <c r="E330" s="1" t="s">
        <v>526</v>
      </c>
      <c r="F330" s="1" t="s">
        <v>527</v>
      </c>
      <c r="G330" s="1">
        <v>12780</v>
      </c>
      <c r="H330" s="6" t="str">
        <f>HYPERLINK("http://www.ensembl.org/Mus_musculus/Gene/Summary?db=core;g=ENSMUSG00000025194","ENSMUSG00000025194")</f>
        <v>ENSMUSG00000025194</v>
      </c>
      <c r="I330" s="6" t="str">
        <f>HYPERLINK("http://www.informatics.jax.org/marker/MGI:1352447","MGI:1352447")</f>
        <v>MGI:1352447</v>
      </c>
      <c r="J330" s="7" t="s">
        <v>12</v>
      </c>
    </row>
    <row r="331" spans="1:10" x14ac:dyDescent="0.2">
      <c r="A331" s="3">
        <v>1481.8831292042601</v>
      </c>
      <c r="B331" s="1">
        <v>-1.6216786731830199</v>
      </c>
      <c r="C331" s="4">
        <v>2.41588533447196E-6</v>
      </c>
      <c r="D331" s="7">
        <v>1.09878044101169E-4</v>
      </c>
      <c r="E331" s="1" t="s">
        <v>106</v>
      </c>
      <c r="F331" s="1" t="s">
        <v>107</v>
      </c>
      <c r="G331" s="1">
        <v>20304</v>
      </c>
      <c r="H331" s="6" t="str">
        <f>HYPERLINK("http://www.ensembl.org/Mus_musculus/Gene/Summary?db=core;g=ENSMUSG00000035042","ENSMUSG00000035042")</f>
        <v>ENSMUSG00000035042</v>
      </c>
      <c r="I331" s="6" t="str">
        <f>HYPERLINK("http://www.informatics.jax.org/marker/MGI:98262","MGI:98262")</f>
        <v>MGI:98262</v>
      </c>
      <c r="J331" s="7" t="s">
        <v>12</v>
      </c>
    </row>
    <row r="332" spans="1:10" x14ac:dyDescent="0.2">
      <c r="A332" s="3">
        <v>424.68157693617502</v>
      </c>
      <c r="B332" s="1">
        <v>-1.1273768367000401</v>
      </c>
      <c r="C332" s="4">
        <v>2.4386506988804401E-6</v>
      </c>
      <c r="D332" s="7">
        <v>1.1057217445754501E-4</v>
      </c>
      <c r="E332" s="1" t="s">
        <v>249</v>
      </c>
      <c r="F332" s="1" t="s">
        <v>250</v>
      </c>
      <c r="G332" s="1">
        <v>100040462</v>
      </c>
      <c r="H332" s="6" t="str">
        <f>HYPERLINK("http://www.ensembl.org/Mus_musculus/Gene/Summary?db=core;g=ENSMUSG00000090272","ENSMUSG00000090272")</f>
        <v>ENSMUSG00000090272</v>
      </c>
      <c r="I332" s="6" t="str">
        <f>HYPERLINK("http://www.informatics.jax.org/marker/MGI:3780953","MGI:3780953")</f>
        <v>MGI:3780953</v>
      </c>
      <c r="J332" s="7" t="s">
        <v>12</v>
      </c>
    </row>
    <row r="333" spans="1:10" x14ac:dyDescent="0.2">
      <c r="A333" s="3">
        <v>1025.9628324211301</v>
      </c>
      <c r="B333" s="1">
        <v>-0.42884588051314998</v>
      </c>
      <c r="C333" s="4">
        <v>2.4953250270830299E-6</v>
      </c>
      <c r="D333" s="7">
        <v>1.12794814721152E-4</v>
      </c>
      <c r="E333" s="1" t="s">
        <v>1031</v>
      </c>
      <c r="F333" s="1" t="s">
        <v>1032</v>
      </c>
      <c r="G333" s="1">
        <v>11787</v>
      </c>
      <c r="H333" s="6" t="str">
        <f>HYPERLINK("http://www.ensembl.org/Mus_musculus/Gene/Summary?db=core;g=ENSMUSG00000029207","ENSMUSG00000029207")</f>
        <v>ENSMUSG00000029207</v>
      </c>
      <c r="I333" s="6" t="str">
        <f>HYPERLINK("http://www.informatics.jax.org/marker/MGI:108405","MGI:108405")</f>
        <v>MGI:108405</v>
      </c>
      <c r="J333" s="7" t="s">
        <v>12</v>
      </c>
    </row>
    <row r="334" spans="1:10" x14ac:dyDescent="0.2">
      <c r="A334" s="3">
        <v>621.91234505508896</v>
      </c>
      <c r="B334" s="1">
        <v>-0.54394860568815495</v>
      </c>
      <c r="C334" s="4">
        <v>2.5238292245517302E-6</v>
      </c>
      <c r="D334" s="7">
        <v>1.13734395880716E-4</v>
      </c>
      <c r="E334" s="1" t="s">
        <v>769</v>
      </c>
      <c r="F334" s="1" t="s">
        <v>770</v>
      </c>
      <c r="G334" s="1">
        <v>20148</v>
      </c>
      <c r="H334" s="6" t="str">
        <f>HYPERLINK("http://www.ensembl.org/Mus_musculus/Gene/Summary?db=core;g=ENSMUSG00000066026","ENSMUSG00000066026")</f>
        <v>ENSMUSG00000066026</v>
      </c>
      <c r="I334" s="6" t="str">
        <f>HYPERLINK("http://www.informatics.jax.org/marker/MGI:1315215","MGI:1315215")</f>
        <v>MGI:1315215</v>
      </c>
      <c r="J334" s="7" t="s">
        <v>12</v>
      </c>
    </row>
    <row r="335" spans="1:10" x14ac:dyDescent="0.2">
      <c r="A335" s="3">
        <v>40.411741917077997</v>
      </c>
      <c r="B335" s="1">
        <v>-1.3758610765506001</v>
      </c>
      <c r="C335" s="4">
        <v>2.5669433303341899E-6</v>
      </c>
      <c r="D335" s="7">
        <v>1.15324624743307E-4</v>
      </c>
      <c r="E335" s="1" t="s">
        <v>156</v>
      </c>
      <c r="F335" s="1" t="s">
        <v>157</v>
      </c>
      <c r="G335" s="1">
        <v>109225</v>
      </c>
      <c r="H335" s="6" t="str">
        <f>HYPERLINK("http://www.ensembl.org/Mus_musculus/Gene/Summary?db=core;g=ENSMUSG00000024672","ENSMUSG00000024672")</f>
        <v>ENSMUSG00000024672</v>
      </c>
      <c r="I335" s="6" t="str">
        <f>HYPERLINK("http://www.informatics.jax.org/marker/MGI:1918846","MGI:1918846")</f>
        <v>MGI:1918846</v>
      </c>
      <c r="J335" s="7" t="s">
        <v>12</v>
      </c>
    </row>
    <row r="336" spans="1:10" x14ac:dyDescent="0.2">
      <c r="A336" s="3">
        <v>42.779603457477201</v>
      </c>
      <c r="B336" s="1">
        <v>0.88749040252581901</v>
      </c>
      <c r="C336" s="4">
        <v>2.5890137190436099E-6</v>
      </c>
      <c r="D336" s="7">
        <v>1.1596263271679799E-4</v>
      </c>
      <c r="E336" s="1" t="s">
        <v>3302</v>
      </c>
      <c r="F336" s="1" t="s">
        <v>3303</v>
      </c>
      <c r="G336" s="1">
        <v>216859</v>
      </c>
      <c r="H336" s="6" t="str">
        <f>HYPERLINK("http://www.ensembl.org/Mus_musculus/Gene/Summary?db=core;g=ENSMUSG00000001588","ENSMUSG00000001588")</f>
        <v>ENSMUSG00000001588</v>
      </c>
      <c r="I336" s="6" t="str">
        <f>HYPERLINK("http://www.informatics.jax.org/marker/MGI:2388270","MGI:2388270")</f>
        <v>MGI:2388270</v>
      </c>
      <c r="J336" s="7" t="s">
        <v>12</v>
      </c>
    </row>
    <row r="337" spans="1:10" x14ac:dyDescent="0.2">
      <c r="A337" s="3">
        <v>1973.5776160189901</v>
      </c>
      <c r="B337" s="1">
        <v>-0.30810365069058898</v>
      </c>
      <c r="C337" s="4">
        <v>2.65960073778273E-6</v>
      </c>
      <c r="D337" s="7">
        <v>1.18763262036261E-4</v>
      </c>
      <c r="E337" s="1" t="s">
        <v>1416</v>
      </c>
      <c r="F337" s="1" t="s">
        <v>1417</v>
      </c>
      <c r="G337" s="1">
        <v>27416</v>
      </c>
      <c r="H337" s="6" t="str">
        <f>HYPERLINK("http://www.ensembl.org/Mus_musculus/Gene/Summary?db=core;g=ENSMUSG00000022822","ENSMUSG00000022822")</f>
        <v>ENSMUSG00000022822</v>
      </c>
      <c r="I337" s="6" t="str">
        <f>HYPERLINK("http://www.informatics.jax.org/marker/MGI:1351644","MGI:1351644")</f>
        <v>MGI:1351644</v>
      </c>
      <c r="J337" s="7" t="s">
        <v>12</v>
      </c>
    </row>
    <row r="338" spans="1:10" x14ac:dyDescent="0.2">
      <c r="A338" s="3">
        <v>665.56637727050997</v>
      </c>
      <c r="B338" s="1">
        <v>-0.33019601873174198</v>
      </c>
      <c r="C338" s="4">
        <v>2.8192489663102301E-6</v>
      </c>
      <c r="D338" s="7">
        <v>1.2513389387815499E-4</v>
      </c>
      <c r="E338" s="1" t="s">
        <v>1304</v>
      </c>
      <c r="F338" s="1" t="s">
        <v>1305</v>
      </c>
      <c r="G338" s="1">
        <v>21813</v>
      </c>
      <c r="H338" s="6" t="str">
        <f>HYPERLINK("http://www.ensembl.org/Mus_musculus/Gene/Summary?db=core;g=ENSMUSG00000032440","ENSMUSG00000032440")</f>
        <v>ENSMUSG00000032440</v>
      </c>
      <c r="I338" s="6" t="str">
        <f>HYPERLINK("http://www.informatics.jax.org/marker/MGI:98729","MGI:98729")</f>
        <v>MGI:98729</v>
      </c>
      <c r="J338" s="7" t="s">
        <v>12</v>
      </c>
    </row>
    <row r="339" spans="1:10" x14ac:dyDescent="0.2">
      <c r="A339" s="3">
        <v>3474.3586306021698</v>
      </c>
      <c r="B339" s="1">
        <v>-0.29612566072552299</v>
      </c>
      <c r="C339" s="4">
        <v>2.81456329336887E-6</v>
      </c>
      <c r="D339" s="7">
        <v>1.2513389387815499E-4</v>
      </c>
      <c r="E339" s="1" t="s">
        <v>1466</v>
      </c>
      <c r="F339" s="1" t="s">
        <v>1467</v>
      </c>
      <c r="G339" s="1">
        <v>108101</v>
      </c>
      <c r="H339" s="6" t="str">
        <f>HYPERLINK("http://www.ensembl.org/Mus_musculus/Gene/Summary?db=core;g=ENSMUSG00000024965","ENSMUSG00000024965")</f>
        <v>ENSMUSG00000024965</v>
      </c>
      <c r="I339" s="6" t="str">
        <f>HYPERLINK("http://www.informatics.jax.org/marker/MGI:2147790","MGI:2147790")</f>
        <v>MGI:2147790</v>
      </c>
      <c r="J339" s="7" t="s">
        <v>12</v>
      </c>
    </row>
    <row r="340" spans="1:10" x14ac:dyDescent="0.2">
      <c r="A340" s="3">
        <v>864.27600898878904</v>
      </c>
      <c r="B340" s="1">
        <v>-0.54566889413825903</v>
      </c>
      <c r="C340" s="4">
        <v>2.8324393001252902E-6</v>
      </c>
      <c r="D340" s="7">
        <v>1.2534181839833701E-4</v>
      </c>
      <c r="E340" s="1" t="s">
        <v>767</v>
      </c>
      <c r="F340" s="1" t="s">
        <v>768</v>
      </c>
      <c r="G340" s="1">
        <v>230738</v>
      </c>
      <c r="H340" s="6" t="str">
        <f>HYPERLINK("http://www.ensembl.org/Mus_musculus/Gene/Summary?db=core;g=ENSMUSG00000042677","ENSMUSG00000042677")</f>
        <v>ENSMUSG00000042677</v>
      </c>
      <c r="I340" s="6" t="str">
        <f>HYPERLINK("http://www.informatics.jax.org/marker/MGI:2385891","MGI:2385891")</f>
        <v>MGI:2385891</v>
      </c>
      <c r="J340" s="7" t="s">
        <v>12</v>
      </c>
    </row>
    <row r="341" spans="1:10" x14ac:dyDescent="0.2">
      <c r="A341" s="3">
        <v>4.4115187906902502</v>
      </c>
      <c r="B341" s="1">
        <v>-2.1278211278402002</v>
      </c>
      <c r="C341" s="4">
        <v>2.9366010697342102E-6</v>
      </c>
      <c r="D341" s="7">
        <v>1.2956213581917199E-4</v>
      </c>
      <c r="E341" s="1" t="s">
        <v>43</v>
      </c>
      <c r="F341" s="1" t="s">
        <v>44</v>
      </c>
      <c r="G341" s="1" t="s">
        <v>45</v>
      </c>
      <c r="H341" s="6" t="str">
        <f>HYPERLINK("http://www.ensembl.org/Mus_musculus/Gene/Summary?db=core;g=ENSMUSG00000106788","ENSMUSG00000106788")</f>
        <v>ENSMUSG00000106788</v>
      </c>
      <c r="I341" s="6" t="str">
        <f>HYPERLINK("http://www.informatics.jax.org/marker/MGI:5663586","MGI:5663586")</f>
        <v>MGI:5663586</v>
      </c>
      <c r="J341" s="7" t="s">
        <v>46</v>
      </c>
    </row>
    <row r="342" spans="1:10" x14ac:dyDescent="0.2">
      <c r="A342" s="3">
        <v>4086.54254123172</v>
      </c>
      <c r="B342" s="1">
        <v>-0.54178715340769801</v>
      </c>
      <c r="C342" s="4">
        <v>2.94547557778771E-6</v>
      </c>
      <c r="D342" s="7">
        <v>1.2956575556501401E-4</v>
      </c>
      <c r="E342" s="1" t="s">
        <v>775</v>
      </c>
      <c r="F342" s="1" t="s">
        <v>776</v>
      </c>
      <c r="G342" s="1">
        <v>20970</v>
      </c>
      <c r="H342" s="6" t="str">
        <f>HYPERLINK("http://www.ensembl.org/Mus_musculus/Gene/Summary?db=core;g=ENSMUSG00000025743","ENSMUSG00000025743")</f>
        <v>ENSMUSG00000025743</v>
      </c>
      <c r="I342" s="6" t="str">
        <f>HYPERLINK("http://www.informatics.jax.org/marker/MGI:1349163","MGI:1349163")</f>
        <v>MGI:1349163</v>
      </c>
      <c r="J342" s="7" t="s">
        <v>12</v>
      </c>
    </row>
    <row r="343" spans="1:10" x14ac:dyDescent="0.2">
      <c r="A343" s="3">
        <v>6.1340043995429401</v>
      </c>
      <c r="B343" s="1">
        <v>1.75348054309362</v>
      </c>
      <c r="C343" s="4">
        <v>2.9649601541229998E-6</v>
      </c>
      <c r="D343" s="7">
        <v>1.3003468104510899E-4</v>
      </c>
      <c r="E343" s="1" t="s">
        <v>3365</v>
      </c>
      <c r="F343" s="1" t="s">
        <v>3366</v>
      </c>
      <c r="G343" s="1">
        <v>54672</v>
      </c>
      <c r="H343" s="6" t="str">
        <f>HYPERLINK("http://www.ensembl.org/Mus_musculus/Gene/Summary?db=core;g=ENSMUSG00000060470","ENSMUSG00000060470")</f>
        <v>ENSMUSG00000060470</v>
      </c>
      <c r="I343" s="6" t="str">
        <f>HYPERLINK("http://www.informatics.jax.org/marker/MGI:1859670","MGI:1859670")</f>
        <v>MGI:1859670</v>
      </c>
      <c r="J343" s="7" t="s">
        <v>12</v>
      </c>
    </row>
    <row r="344" spans="1:10" x14ac:dyDescent="0.2">
      <c r="A344" s="3">
        <v>1396.1214038257599</v>
      </c>
      <c r="B344" s="1">
        <v>-0.31961472132295499</v>
      </c>
      <c r="C344" s="4">
        <v>2.9975513945485698E-6</v>
      </c>
      <c r="D344" s="7">
        <v>1.3107393872423701E-4</v>
      </c>
      <c r="E344" s="1" t="s">
        <v>1348</v>
      </c>
      <c r="F344" s="1" t="s">
        <v>1349</v>
      </c>
      <c r="G344" s="1">
        <v>70508</v>
      </c>
      <c r="H344" s="6" t="str">
        <f>HYPERLINK("http://www.ensembl.org/Mus_musculus/Gene/Summary?db=core;g=ENSMUSG00000022641","ENSMUSG00000022641")</f>
        <v>ENSMUSG00000022641</v>
      </c>
      <c r="I344" s="6" t="str">
        <f>HYPERLINK("http://www.informatics.jax.org/marker/MGI:1917758","MGI:1917758")</f>
        <v>MGI:1917758</v>
      </c>
      <c r="J344" s="7" t="s">
        <v>12</v>
      </c>
    </row>
    <row r="345" spans="1:10" x14ac:dyDescent="0.2">
      <c r="A345" s="3">
        <v>25246.870773855</v>
      </c>
      <c r="B345" s="1">
        <v>0.16558284824184799</v>
      </c>
      <c r="C345" s="4">
        <v>3.0234053238392801E-6</v>
      </c>
      <c r="D345" s="7">
        <v>1.3181331613045999E-4</v>
      </c>
      <c r="E345" s="1" t="s">
        <v>2402</v>
      </c>
      <c r="F345" s="1" t="s">
        <v>2403</v>
      </c>
      <c r="G345" s="1">
        <v>15519</v>
      </c>
      <c r="H345" s="6" t="str">
        <f>HYPERLINK("http://www.ensembl.org/Mus_musculus/Gene/Summary?db=core;g=ENSMUSG00000021270","ENSMUSG00000021270")</f>
        <v>ENSMUSG00000021270</v>
      </c>
      <c r="I345" s="6" t="str">
        <f>HYPERLINK("http://www.informatics.jax.org/marker/MGI:96250","MGI:96250")</f>
        <v>MGI:96250</v>
      </c>
      <c r="J345" s="7" t="s">
        <v>12</v>
      </c>
    </row>
    <row r="346" spans="1:10" x14ac:dyDescent="0.2">
      <c r="A346" s="3">
        <v>2419.8733846458399</v>
      </c>
      <c r="B346" s="1">
        <v>-0.482516006369345</v>
      </c>
      <c r="C346" s="4">
        <v>3.1680642645383701E-6</v>
      </c>
      <c r="D346" s="7">
        <v>1.3754425167402599E-4</v>
      </c>
      <c r="E346" s="1" t="s">
        <v>875</v>
      </c>
      <c r="F346" s="1" t="s">
        <v>876</v>
      </c>
      <c r="G346" s="1">
        <v>11432</v>
      </c>
      <c r="H346" s="6" t="str">
        <f>HYPERLINK("http://www.ensembl.org/Mus_musculus/Gene/Summary?db=core;g=ENSMUSG00000002103","ENSMUSG00000002103")</f>
        <v>ENSMUSG00000002103</v>
      </c>
      <c r="I346" s="6" t="str">
        <f>HYPERLINK("http://www.informatics.jax.org/marker/MGI:87882","MGI:87882")</f>
        <v>MGI:87882</v>
      </c>
      <c r="J346" s="7" t="s">
        <v>12</v>
      </c>
    </row>
    <row r="347" spans="1:10" x14ac:dyDescent="0.2">
      <c r="A347" s="3">
        <v>355.44434911582402</v>
      </c>
      <c r="B347" s="1">
        <v>-0.32708341860051598</v>
      </c>
      <c r="C347" s="4">
        <v>3.1735237221205701E-6</v>
      </c>
      <c r="D347" s="7">
        <v>1.3754425167402599E-4</v>
      </c>
      <c r="E347" s="1" t="s">
        <v>1322</v>
      </c>
      <c r="F347" s="1" t="s">
        <v>1323</v>
      </c>
      <c r="G347" s="1">
        <v>28019</v>
      </c>
      <c r="H347" s="6" t="str">
        <f>HYPERLINK("http://www.ensembl.org/Mus_musculus/Gene/Summary?db=core;g=ENSMUSG00000030330","ENSMUSG00000030330")</f>
        <v>ENSMUSG00000030330</v>
      </c>
      <c r="I347" s="6" t="str">
        <f>HYPERLINK("http://www.informatics.jax.org/marker/MGI:107307","MGI:107307")</f>
        <v>MGI:107307</v>
      </c>
      <c r="J347" s="7" t="s">
        <v>12</v>
      </c>
    </row>
    <row r="348" spans="1:10" x14ac:dyDescent="0.2">
      <c r="A348" s="3">
        <v>31913.297590578899</v>
      </c>
      <c r="B348" s="1">
        <v>0.183407868400219</v>
      </c>
      <c r="C348" s="4">
        <v>3.2114743209965098E-6</v>
      </c>
      <c r="D348" s="7">
        <v>1.38780896170688E-4</v>
      </c>
      <c r="E348" s="1" t="s">
        <v>2500</v>
      </c>
      <c r="F348" s="1" t="s">
        <v>2501</v>
      </c>
      <c r="G348" s="1">
        <v>13690</v>
      </c>
      <c r="H348" s="6" t="str">
        <f>HYPERLINK("http://www.ensembl.org/Mus_musculus/Gene/Summary?db=core;g=ENSMUSG00000005610","ENSMUSG00000005610")</f>
        <v>ENSMUSG00000005610</v>
      </c>
      <c r="I348" s="6" t="str">
        <f>HYPERLINK("http://www.informatics.jax.org/marker/MGI:109207","MGI:109207")</f>
        <v>MGI:109207</v>
      </c>
      <c r="J348" s="7" t="s">
        <v>12</v>
      </c>
    </row>
    <row r="349" spans="1:10" x14ac:dyDescent="0.2">
      <c r="A349" s="3">
        <v>121.12825408132301</v>
      </c>
      <c r="B349" s="1">
        <v>-0.44425238312294102</v>
      </c>
      <c r="C349" s="4">
        <v>3.32367391792894E-6</v>
      </c>
      <c r="D349" s="7">
        <v>1.4320952881462299E-4</v>
      </c>
      <c r="E349" s="1" t="s">
        <v>951</v>
      </c>
      <c r="F349" s="1" t="s">
        <v>952</v>
      </c>
      <c r="G349" s="1">
        <v>66329</v>
      </c>
      <c r="H349" s="6" t="str">
        <f>HYPERLINK("http://www.ensembl.org/Mus_musculus/Gene/Summary?db=core;g=ENSMUSG00000021384","ENSMUSG00000021384")</f>
        <v>ENSMUSG00000021384</v>
      </c>
      <c r="I349" s="6" t="str">
        <f>HYPERLINK("http://www.informatics.jax.org/marker/MGI:1913579","MGI:1913579")</f>
        <v>MGI:1913579</v>
      </c>
      <c r="J349" s="7" t="s">
        <v>12</v>
      </c>
    </row>
    <row r="350" spans="1:10" x14ac:dyDescent="0.2">
      <c r="A350" s="3">
        <v>1265.9941926251699</v>
      </c>
      <c r="B350" s="1">
        <v>-0.54999421386640301</v>
      </c>
      <c r="C350" s="4">
        <v>3.44995163208265E-6</v>
      </c>
      <c r="D350" s="7">
        <v>1.4821716399524801E-4</v>
      </c>
      <c r="E350" s="1" t="s">
        <v>761</v>
      </c>
      <c r="F350" s="1" t="s">
        <v>762</v>
      </c>
      <c r="G350" s="1">
        <v>20351</v>
      </c>
      <c r="H350" s="6" t="str">
        <f>HYPERLINK("http://www.ensembl.org/Mus_musculus/Gene/Summary?db=core;g=ENSMUSG00000028064","ENSMUSG00000028064")</f>
        <v>ENSMUSG00000028064</v>
      </c>
      <c r="I350" s="6" t="str">
        <f>HYPERLINK("http://www.informatics.jax.org/marker/MGI:107560","MGI:107560")</f>
        <v>MGI:107560</v>
      </c>
      <c r="J350" s="7" t="s">
        <v>12</v>
      </c>
    </row>
    <row r="351" spans="1:10" x14ac:dyDescent="0.2">
      <c r="A351" s="3">
        <v>779.68797174107101</v>
      </c>
      <c r="B351" s="1">
        <v>0.31919360522564</v>
      </c>
      <c r="C351" s="4">
        <v>3.5228297524145302E-6</v>
      </c>
      <c r="D351" s="7">
        <v>1.5090819544064099E-4</v>
      </c>
      <c r="E351" s="1" t="s">
        <v>3024</v>
      </c>
      <c r="F351" s="1" t="s">
        <v>3025</v>
      </c>
      <c r="G351" s="1">
        <v>13011</v>
      </c>
      <c r="H351" s="6" t="str">
        <f>HYPERLINK("http://www.ensembl.org/Mus_musculus/Gene/Summary?db=core;g=ENSMUSG00000068129","ENSMUSG00000068129")</f>
        <v>ENSMUSG00000068129</v>
      </c>
      <c r="I351" s="6" t="str">
        <f>HYPERLINK("http://www.informatics.jax.org/marker/MGI:1298217","MGI:1298217")</f>
        <v>MGI:1298217</v>
      </c>
      <c r="J351" s="7" t="s">
        <v>12</v>
      </c>
    </row>
    <row r="352" spans="1:10" x14ac:dyDescent="0.2">
      <c r="A352" s="3">
        <v>7.6242065357157296</v>
      </c>
      <c r="B352" s="1">
        <v>-1.8695816594400001</v>
      </c>
      <c r="C352" s="4">
        <v>3.6768059413374202E-6</v>
      </c>
      <c r="D352" s="7">
        <v>1.57047572033473E-4</v>
      </c>
      <c r="E352" s="1" t="s">
        <v>69</v>
      </c>
      <c r="F352" s="1" t="s">
        <v>70</v>
      </c>
      <c r="G352" s="1">
        <v>70546</v>
      </c>
      <c r="H352" s="6" t="str">
        <f>HYPERLINK("http://www.ensembl.org/Mus_musculus/Gene/Summary?db=core;g=ENSMUSG00000039470","ENSMUSG00000039470")</f>
        <v>ENSMUSG00000039470</v>
      </c>
      <c r="I352" s="6" t="str">
        <f>HYPERLINK("http://www.informatics.jax.org/marker/MGI:1923452","MGI:1923452")</f>
        <v>MGI:1923452</v>
      </c>
      <c r="J352" s="7" t="s">
        <v>12</v>
      </c>
    </row>
    <row r="353" spans="1:10" x14ac:dyDescent="0.2">
      <c r="A353" s="3">
        <v>277.46822593593203</v>
      </c>
      <c r="B353" s="1">
        <v>0.56366615335078496</v>
      </c>
      <c r="C353" s="4">
        <v>3.72591229074382E-6</v>
      </c>
      <c r="D353" s="7">
        <v>1.5868509686821101E-4</v>
      </c>
      <c r="E353" s="1" t="s">
        <v>3230</v>
      </c>
      <c r="F353" s="1" t="s">
        <v>3231</v>
      </c>
      <c r="G353" s="1">
        <v>77832</v>
      </c>
      <c r="H353" s="6" t="str">
        <f>HYPERLINK("http://www.ensembl.org/Mus_musculus/Gene/Summary?db=core;g=ENSMUSG00000002486","ENSMUSG00000002486")</f>
        <v>ENSMUSG00000002486</v>
      </c>
      <c r="I353" s="6" t="str">
        <f>HYPERLINK("http://www.informatics.jax.org/marker/MGI:1925082","MGI:1925082")</f>
        <v>MGI:1925082</v>
      </c>
      <c r="J353" s="7" t="s">
        <v>12</v>
      </c>
    </row>
    <row r="354" spans="1:10" x14ac:dyDescent="0.2">
      <c r="A354" s="3">
        <v>2762.7782137613199</v>
      </c>
      <c r="B354" s="1">
        <v>-0.30548755719014498</v>
      </c>
      <c r="C354" s="4">
        <v>3.7890210880158801E-6</v>
      </c>
      <c r="D354" s="7">
        <v>1.6044544469253499E-4</v>
      </c>
      <c r="E354" s="1" t="s">
        <v>1432</v>
      </c>
      <c r="F354" s="1" t="s">
        <v>1433</v>
      </c>
      <c r="G354" s="1">
        <v>18081</v>
      </c>
      <c r="H354" s="6" t="str">
        <f>HYPERLINK("http://www.ensembl.org/Mus_musculus/Gene/Summary?db=core;g=ENSMUSG00000037966","ENSMUSG00000037966")</f>
        <v>ENSMUSG00000037966</v>
      </c>
      <c r="I354" s="6" t="str">
        <f>HYPERLINK("http://www.informatics.jax.org/marker/MGI:1196617","MGI:1196617")</f>
        <v>MGI:1196617</v>
      </c>
      <c r="J354" s="7" t="s">
        <v>12</v>
      </c>
    </row>
    <row r="355" spans="1:10" x14ac:dyDescent="0.2">
      <c r="A355" s="3">
        <v>4449.1132213933297</v>
      </c>
      <c r="B355" s="1">
        <v>0.24022711716432901</v>
      </c>
      <c r="C355" s="4">
        <v>3.7840967516204602E-6</v>
      </c>
      <c r="D355" s="7">
        <v>1.6044544469253499E-4</v>
      </c>
      <c r="E355" s="1" t="s">
        <v>2842</v>
      </c>
      <c r="F355" s="1" t="s">
        <v>2843</v>
      </c>
      <c r="G355" s="1">
        <v>321022</v>
      </c>
      <c r="H355" s="6" t="str">
        <f>HYPERLINK("http://www.ensembl.org/Mus_musculus/Gene/Summary?db=core;g=ENSMUSG00000032803","ENSMUSG00000032803")</f>
        <v>ENSMUSG00000032803</v>
      </c>
      <c r="I355" s="6" t="str">
        <f>HYPERLINK("http://www.informatics.jax.org/marker/MGI:2448759","MGI:2448759")</f>
        <v>MGI:2448759</v>
      </c>
      <c r="J355" s="7" t="s">
        <v>12</v>
      </c>
    </row>
    <row r="356" spans="1:10" x14ac:dyDescent="0.2">
      <c r="A356" s="3">
        <v>2245.01988926581</v>
      </c>
      <c r="B356" s="1">
        <v>0.25888383277114602</v>
      </c>
      <c r="C356" s="4">
        <v>3.8405636376838904E-6</v>
      </c>
      <c r="D356" s="7">
        <v>1.6216202224902501E-4</v>
      </c>
      <c r="E356" s="1" t="s">
        <v>2902</v>
      </c>
      <c r="F356" s="1" t="s">
        <v>2903</v>
      </c>
      <c r="G356" s="1">
        <v>17089</v>
      </c>
      <c r="H356" s="6" t="str">
        <f>HYPERLINK("http://www.ensembl.org/Mus_musculus/Gene/Summary?db=core;g=ENSMUSG00000067367","ENSMUSG00000067367")</f>
        <v>ENSMUSG00000067367</v>
      </c>
      <c r="I356" s="6" t="str">
        <f>HYPERLINK("http://www.informatics.jax.org/marker/MGI:107470","MGI:107470")</f>
        <v>MGI:107470</v>
      </c>
      <c r="J356" s="7" t="s">
        <v>12</v>
      </c>
    </row>
    <row r="357" spans="1:10" x14ac:dyDescent="0.2">
      <c r="A357" s="3">
        <v>57.6672928547355</v>
      </c>
      <c r="B357" s="1">
        <v>-0.81817180662498101</v>
      </c>
      <c r="C357" s="4">
        <v>3.9015318452615096E-6</v>
      </c>
      <c r="D357" s="7">
        <v>1.64265637919353E-4</v>
      </c>
      <c r="E357" s="1" t="s">
        <v>468</v>
      </c>
      <c r="F357" s="1" t="s">
        <v>469</v>
      </c>
      <c r="G357" s="1">
        <v>333050</v>
      </c>
      <c r="H357" s="6" t="str">
        <f>HYPERLINK("http://www.ensembl.org/Mus_musculus/Gene/Summary?db=core;g=ENSMUSG00000061578","ENSMUSG00000061578")</f>
        <v>ENSMUSG00000061578</v>
      </c>
      <c r="I357" s="6" t="str">
        <f>HYPERLINK("http://www.informatics.jax.org/marker/MGI:3610315","MGI:3610315")</f>
        <v>MGI:3610315</v>
      </c>
      <c r="J357" s="7" t="s">
        <v>12</v>
      </c>
    </row>
    <row r="358" spans="1:10" x14ac:dyDescent="0.2">
      <c r="A358" s="3">
        <v>2015.9726789665799</v>
      </c>
      <c r="B358" s="1">
        <v>0.18661752450583899</v>
      </c>
      <c r="C358" s="4">
        <v>4.15167842117122E-6</v>
      </c>
      <c r="D358" s="7">
        <v>1.7429952482729099E-4</v>
      </c>
      <c r="E358" s="1" t="s">
        <v>2510</v>
      </c>
      <c r="F358" s="1" t="s">
        <v>2511</v>
      </c>
      <c r="G358" s="1">
        <v>15115</v>
      </c>
      <c r="H358" s="6" t="str">
        <f>HYPERLINK("http://www.ensembl.org/Mus_musculus/Gene/Summary?db=core;g=ENSMUSG00000001380","ENSMUSG00000001380")</f>
        <v>ENSMUSG00000001380</v>
      </c>
      <c r="I358" s="6" t="str">
        <f>HYPERLINK("http://www.informatics.jax.org/marker/MGI:108087","MGI:108087")</f>
        <v>MGI:108087</v>
      </c>
      <c r="J358" s="7" t="s">
        <v>12</v>
      </c>
    </row>
    <row r="359" spans="1:10" x14ac:dyDescent="0.2">
      <c r="A359" s="3">
        <v>4.7132859659212496</v>
      </c>
      <c r="B359" s="1">
        <v>-2.0670601523122301</v>
      </c>
      <c r="C359" s="4">
        <v>4.2078705153733898E-6</v>
      </c>
      <c r="D359" s="7">
        <v>1.76156761120859E-4</v>
      </c>
      <c r="E359" s="1" t="s">
        <v>49</v>
      </c>
      <c r="F359" s="1" t="s">
        <v>50</v>
      </c>
      <c r="G359" s="1">
        <v>75773</v>
      </c>
      <c r="H359" s="6" t="str">
        <f>HYPERLINK("http://www.ensembl.org/Mus_musculus/Gene/Summary?db=core;g=ENSMUSG00000024266","ENSMUSG00000024266")</f>
        <v>ENSMUSG00000024266</v>
      </c>
      <c r="I359" s="6" t="str">
        <f>HYPERLINK("http://www.informatics.jax.org/marker/MGI:1923023","MGI:1923023")</f>
        <v>MGI:1923023</v>
      </c>
      <c r="J359" s="7" t="s">
        <v>12</v>
      </c>
    </row>
    <row r="360" spans="1:10" x14ac:dyDescent="0.2">
      <c r="A360" s="3">
        <v>349.693129611166</v>
      </c>
      <c r="B360" s="1">
        <v>-0.35087327584505401</v>
      </c>
      <c r="C360" s="4">
        <v>4.2816433481370803E-6</v>
      </c>
      <c r="D360" s="7">
        <v>1.7800330969365501E-4</v>
      </c>
      <c r="E360" s="1" t="s">
        <v>1238</v>
      </c>
      <c r="F360" s="1" t="s">
        <v>1239</v>
      </c>
      <c r="G360" s="1">
        <v>74102</v>
      </c>
      <c r="H360" s="6" t="str">
        <f>HYPERLINK("http://www.ensembl.org/Mus_musculus/Gene/Summary?db=core;g=ENSMUSG00000022664","ENSMUSG00000022664")</f>
        <v>ENSMUSG00000022664</v>
      </c>
      <c r="I360" s="6" t="str">
        <f>HYPERLINK("http://www.informatics.jax.org/marker/MGI:1921352","MGI:1921352")</f>
        <v>MGI:1921352</v>
      </c>
      <c r="J360" s="7" t="s">
        <v>12</v>
      </c>
    </row>
    <row r="361" spans="1:10" x14ac:dyDescent="0.2">
      <c r="A361" s="3">
        <v>614.59903692810099</v>
      </c>
      <c r="B361" s="1">
        <v>-0.33037817978103801</v>
      </c>
      <c r="C361" s="4">
        <v>4.2721308218881403E-6</v>
      </c>
      <c r="D361" s="7">
        <v>1.7800330969365501E-4</v>
      </c>
      <c r="E361" s="1" t="s">
        <v>1302</v>
      </c>
      <c r="F361" s="1" t="s">
        <v>1303</v>
      </c>
      <c r="G361" s="1">
        <v>232288</v>
      </c>
      <c r="H361" s="6" t="str">
        <f>HYPERLINK("http://www.ensembl.org/Mus_musculus/Gene/Summary?db=core;g=ENSMUSG00000030064","ENSMUSG00000030064")</f>
        <v>ENSMUSG00000030064</v>
      </c>
      <c r="I361" s="6" t="str">
        <f>HYPERLINK("http://www.informatics.jax.org/marker/MGI:2141794","MGI:2141794")</f>
        <v>MGI:2141794</v>
      </c>
      <c r="J361" s="7" t="s">
        <v>12</v>
      </c>
    </row>
    <row r="362" spans="1:10" x14ac:dyDescent="0.2">
      <c r="A362" s="3">
        <v>1381.0036096420099</v>
      </c>
      <c r="B362" s="1">
        <v>0.241452027791621</v>
      </c>
      <c r="C362" s="4">
        <v>4.28821762630615E-6</v>
      </c>
      <c r="D362" s="7">
        <v>1.7800330969365501E-4</v>
      </c>
      <c r="E362" s="1" t="s">
        <v>2848</v>
      </c>
      <c r="F362" s="1" t="s">
        <v>2849</v>
      </c>
      <c r="G362" s="1">
        <v>229524</v>
      </c>
      <c r="H362" s="6" t="str">
        <f>HYPERLINK("http://www.ensembl.org/Mus_musculus/Gene/Summary?db=core;g=ENSMUSG00000068922","ENSMUSG00000068922")</f>
        <v>ENSMUSG00000068922</v>
      </c>
      <c r="I362" s="6" t="str">
        <f>HYPERLINK("http://www.informatics.jax.org/marker/MGI:2385175","MGI:2385175")</f>
        <v>MGI:2385175</v>
      </c>
      <c r="J362" s="7" t="s">
        <v>12</v>
      </c>
    </row>
    <row r="363" spans="1:10" x14ac:dyDescent="0.2">
      <c r="A363" s="3">
        <v>2877.7329287800198</v>
      </c>
      <c r="B363" s="1">
        <v>0.19174645024035999</v>
      </c>
      <c r="C363" s="4">
        <v>4.3112920758244704E-6</v>
      </c>
      <c r="D363" s="7">
        <v>1.7845842704873401E-4</v>
      </c>
      <c r="E363" s="1" t="s">
        <v>2550</v>
      </c>
      <c r="F363" s="1" t="s">
        <v>2551</v>
      </c>
      <c r="G363" s="1">
        <v>234549</v>
      </c>
      <c r="H363" s="6" t="str">
        <f>HYPERLINK("http://www.ensembl.org/Mus_musculus/Gene/Summary?db=core;g=ENSMUSG00000031657","ENSMUSG00000031657")</f>
        <v>ENSMUSG00000031657</v>
      </c>
      <c r="I363" s="6" t="str">
        <f>HYPERLINK("http://www.informatics.jax.org/marker/MGI:2444491","MGI:2444491")</f>
        <v>MGI:2444491</v>
      </c>
      <c r="J363" s="7" t="s">
        <v>12</v>
      </c>
    </row>
    <row r="364" spans="1:10" x14ac:dyDescent="0.2">
      <c r="A364" s="3">
        <v>2054.5673341492002</v>
      </c>
      <c r="B364" s="1">
        <v>-0.220737179547565</v>
      </c>
      <c r="C364" s="4">
        <v>4.4790552598103001E-6</v>
      </c>
      <c r="D364" s="7">
        <v>1.84883356606624E-4</v>
      </c>
      <c r="E364" s="1" t="s">
        <v>1812</v>
      </c>
      <c r="F364" s="1" t="s">
        <v>1813</v>
      </c>
      <c r="G364" s="1">
        <v>109168</v>
      </c>
      <c r="H364" s="6" t="str">
        <f>HYPERLINK("http://www.ensembl.org/Mus_musculus/Gene/Summary?db=core;g=ENSMUSG00000024759","ENSMUSG00000024759")</f>
        <v>ENSMUSG00000024759</v>
      </c>
      <c r="I364" s="6" t="str">
        <f>HYPERLINK("http://www.informatics.jax.org/marker/MGI:1924270","MGI:1924270")</f>
        <v>MGI:1924270</v>
      </c>
      <c r="J364" s="7" t="s">
        <v>12</v>
      </c>
    </row>
    <row r="365" spans="1:10" x14ac:dyDescent="0.2">
      <c r="A365" s="3">
        <v>105.196965838884</v>
      </c>
      <c r="B365" s="1">
        <v>-0.862803614236901</v>
      </c>
      <c r="C365" s="4">
        <v>4.6031247890224202E-6</v>
      </c>
      <c r="D365" s="7">
        <v>1.89473873997303E-4</v>
      </c>
      <c r="E365" s="1" t="s">
        <v>430</v>
      </c>
      <c r="F365" s="1" t="s">
        <v>431</v>
      </c>
      <c r="G365" s="1">
        <v>107607</v>
      </c>
      <c r="H365" s="6" t="str">
        <f>HYPERLINK("http://www.ensembl.org/Mus_musculus/Gene/Summary?db=core;g=ENSMUSG00000038058","ENSMUSG00000038058")</f>
        <v>ENSMUSG00000038058</v>
      </c>
      <c r="I365" s="6" t="str">
        <f>HYPERLINK("http://www.informatics.jax.org/marker/MGI:1341839","MGI:1341839")</f>
        <v>MGI:1341839</v>
      </c>
      <c r="J365" s="7" t="s">
        <v>12</v>
      </c>
    </row>
    <row r="366" spans="1:10" x14ac:dyDescent="0.2">
      <c r="A366" s="3">
        <v>1542.9035992417801</v>
      </c>
      <c r="B366" s="1">
        <v>0.34464429730878898</v>
      </c>
      <c r="C366" s="4">
        <v>4.6339680798393003E-6</v>
      </c>
      <c r="D366" s="7">
        <v>1.90212127087777E-4</v>
      </c>
      <c r="E366" s="1" t="s">
        <v>3082</v>
      </c>
      <c r="F366" s="1" t="s">
        <v>3083</v>
      </c>
      <c r="G366" s="1">
        <v>213053</v>
      </c>
      <c r="H366" s="6" t="str">
        <f>HYPERLINK("http://www.ensembl.org/Mus_musculus/Gene/Summary?db=core;g=ENSMUSG00000022094","ENSMUSG00000022094")</f>
        <v>ENSMUSG00000022094</v>
      </c>
      <c r="I366" s="6" t="str">
        <f>HYPERLINK("http://www.informatics.jax.org/marker/MGI:2384851","MGI:2384851")</f>
        <v>MGI:2384851</v>
      </c>
      <c r="J366" s="7" t="s">
        <v>12</v>
      </c>
    </row>
    <row r="367" spans="1:10" x14ac:dyDescent="0.2">
      <c r="A367" s="3">
        <v>234.490143982543</v>
      </c>
      <c r="B367" s="1">
        <v>-0.48968637894651201</v>
      </c>
      <c r="C367" s="4">
        <v>4.6485221194476899E-6</v>
      </c>
      <c r="D367" s="7">
        <v>1.9027950542272501E-4</v>
      </c>
      <c r="E367" s="1" t="s">
        <v>859</v>
      </c>
      <c r="F367" s="1" t="s">
        <v>860</v>
      </c>
      <c r="G367" s="1">
        <v>236920</v>
      </c>
      <c r="H367" s="6" t="str">
        <f>HYPERLINK("http://www.ensembl.org/Mus_musculus/Gene/Summary?db=core;g=ENSMUSG00000031216","ENSMUSG00000031216")</f>
        <v>ENSMUSG00000031216</v>
      </c>
      <c r="I367" s="6" t="str">
        <f>HYPERLINK("http://www.informatics.jax.org/marker/MGI:2448556","MGI:2448556")</f>
        <v>MGI:2448556</v>
      </c>
      <c r="J367" s="7" t="s">
        <v>12</v>
      </c>
    </row>
    <row r="368" spans="1:10" x14ac:dyDescent="0.2">
      <c r="A368" s="3">
        <v>568.07666767135402</v>
      </c>
      <c r="B368" s="1">
        <v>0.69206406888130501</v>
      </c>
      <c r="C368" s="4">
        <v>4.7676636553739702E-6</v>
      </c>
      <c r="D368" s="7">
        <v>1.9461576627587501E-4</v>
      </c>
      <c r="E368" s="1" t="s">
        <v>3262</v>
      </c>
      <c r="F368" s="1" t="s">
        <v>3263</v>
      </c>
      <c r="G368" s="1">
        <v>14283</v>
      </c>
      <c r="H368" s="6" t="str">
        <f>HYPERLINK("http://www.ensembl.org/Mus_musculus/Gene/Summary?db=core;g=ENSMUSG00000024912","ENSMUSG00000024912")</f>
        <v>ENSMUSG00000024912</v>
      </c>
      <c r="I368" s="6" t="str">
        <f>HYPERLINK("http://www.informatics.jax.org/marker/MGI:107179","MGI:107179")</f>
        <v>MGI:107179</v>
      </c>
      <c r="J368" s="7" t="s">
        <v>12</v>
      </c>
    </row>
    <row r="369" spans="1:10" x14ac:dyDescent="0.2">
      <c r="A369" s="3">
        <v>1960.6510127583699</v>
      </c>
      <c r="B369" s="1">
        <v>0.17055297440903699</v>
      </c>
      <c r="C369" s="4">
        <v>4.8155545643652102E-6</v>
      </c>
      <c r="D369" s="7">
        <v>1.96027657625651E-4</v>
      </c>
      <c r="E369" s="1" t="s">
        <v>2428</v>
      </c>
      <c r="F369" s="1" t="s">
        <v>2429</v>
      </c>
      <c r="G369" s="1">
        <v>14479</v>
      </c>
      <c r="H369" s="6" t="str">
        <f>HYPERLINK("http://www.ensembl.org/Mus_musculus/Gene/Summary?db=core;g=ENSMUSG00000020124","ENSMUSG00000020124")</f>
        <v>ENSMUSG00000020124</v>
      </c>
      <c r="I369" s="6" t="str">
        <f>HYPERLINK("http://www.informatics.jax.org/marker/MGI:101857","MGI:101857")</f>
        <v>MGI:101857</v>
      </c>
      <c r="J369" s="7" t="s">
        <v>12</v>
      </c>
    </row>
    <row r="370" spans="1:10" x14ac:dyDescent="0.2">
      <c r="A370" s="3">
        <v>137.450949672772</v>
      </c>
      <c r="B370" s="1">
        <v>-0.56954765854643397</v>
      </c>
      <c r="C370" s="4">
        <v>4.8733981606388398E-6</v>
      </c>
      <c r="D370" s="7">
        <v>1.9783579971122299E-4</v>
      </c>
      <c r="E370" s="1" t="s">
        <v>725</v>
      </c>
      <c r="F370" s="1" t="s">
        <v>726</v>
      </c>
      <c r="G370" s="1" t="s">
        <v>45</v>
      </c>
      <c r="H370" s="6" t="str">
        <f>HYPERLINK("http://www.ensembl.org/Mus_musculus/Gene/Summary?db=core;g=ENSMUSG00000052248","ENSMUSG00000052248")</f>
        <v>ENSMUSG00000052248</v>
      </c>
      <c r="I370" s="6" t="str">
        <f>HYPERLINK("http://www.informatics.jax.org/marker/MGI:3652108","MGI:3652108")</f>
        <v>MGI:3652108</v>
      </c>
      <c r="J370" s="7" t="s">
        <v>46</v>
      </c>
    </row>
    <row r="371" spans="1:10" x14ac:dyDescent="0.2">
      <c r="A371" s="3">
        <v>475.96677053573598</v>
      </c>
      <c r="B371" s="1">
        <v>-0.59705456193597495</v>
      </c>
      <c r="C371" s="4">
        <v>5.0012239379759103E-6</v>
      </c>
      <c r="D371" s="7">
        <v>2.0246713173080499E-4</v>
      </c>
      <c r="E371" s="1" t="s">
        <v>681</v>
      </c>
      <c r="F371" s="1" t="s">
        <v>682</v>
      </c>
      <c r="G371" s="1">
        <v>17064</v>
      </c>
      <c r="H371" s="6" t="str">
        <f>HYPERLINK("http://www.ensembl.org/Mus_musculus/Gene/Summary?db=core;g=ENSMUSG00000027435","ENSMUSG00000027435")</f>
        <v>ENSMUSG00000027435</v>
      </c>
      <c r="I371" s="6" t="str">
        <f>HYPERLINK("http://www.informatics.jax.org/marker/MGI:106664","MGI:106664")</f>
        <v>MGI:106664</v>
      </c>
      <c r="J371" s="7" t="s">
        <v>12</v>
      </c>
    </row>
    <row r="372" spans="1:10" x14ac:dyDescent="0.2">
      <c r="A372" s="3">
        <v>1819.9591405066301</v>
      </c>
      <c r="B372" s="1">
        <v>0.22394748030098499</v>
      </c>
      <c r="C372" s="4">
        <v>5.0298874877531096E-6</v>
      </c>
      <c r="D372" s="7">
        <v>2.03069649368575E-4</v>
      </c>
      <c r="E372" s="1" t="s">
        <v>2746</v>
      </c>
      <c r="F372" s="1" t="s">
        <v>2747</v>
      </c>
      <c r="G372" s="1">
        <v>56207</v>
      </c>
      <c r="H372" s="6" t="str">
        <f>HYPERLINK("http://www.ensembl.org/Mus_musculus/Gene/Summary?db=core;g=ENSMUSG00000018189","ENSMUSG00000018189")</f>
        <v>ENSMUSG00000018189</v>
      </c>
      <c r="I372" s="6" t="str">
        <f>HYPERLINK("http://www.informatics.jax.org/marker/MGI:1914848","MGI:1914848")</f>
        <v>MGI:1914848</v>
      </c>
      <c r="J372" s="7" t="s">
        <v>12</v>
      </c>
    </row>
    <row r="373" spans="1:10" x14ac:dyDescent="0.2">
      <c r="A373" s="3">
        <v>1203.23714234248</v>
      </c>
      <c r="B373" s="1">
        <v>0.214955781529828</v>
      </c>
      <c r="C373" s="4">
        <v>5.0495355913680703E-6</v>
      </c>
      <c r="D373" s="7">
        <v>2.03305892006557E-4</v>
      </c>
      <c r="E373" s="1" t="s">
        <v>2698</v>
      </c>
      <c r="F373" s="1" t="s">
        <v>2699</v>
      </c>
      <c r="G373" s="1">
        <v>217011</v>
      </c>
      <c r="H373" s="6" t="str">
        <f>HYPERLINK("http://www.ensembl.org/Mus_musculus/Gene/Summary?db=core;g=ENSMUSG00000020692","ENSMUSG00000020692")</f>
        <v>ENSMUSG00000020692</v>
      </c>
      <c r="I373" s="6" t="str">
        <f>HYPERLINK("http://www.informatics.jax.org/marker/MGI:2429770","MGI:2429770")</f>
        <v>MGI:2429770</v>
      </c>
      <c r="J373" s="7" t="s">
        <v>12</v>
      </c>
    </row>
    <row r="374" spans="1:10" x14ac:dyDescent="0.2">
      <c r="A374" s="3">
        <v>1078.91199745418</v>
      </c>
      <c r="B374" s="1">
        <v>-0.70492321101717403</v>
      </c>
      <c r="C374" s="4">
        <v>5.1806804523054198E-6</v>
      </c>
      <c r="D374" s="7">
        <v>2.0745246506840401E-4</v>
      </c>
      <c r="E374" s="1" t="s">
        <v>552</v>
      </c>
      <c r="F374" s="1" t="s">
        <v>553</v>
      </c>
      <c r="G374" s="1">
        <v>14131</v>
      </c>
      <c r="H374" s="6" t="str">
        <f>HYPERLINK("http://www.ensembl.org/Mus_musculus/Gene/Summary?db=core;g=ENSMUSG00000059498","ENSMUSG00000059498")</f>
        <v>ENSMUSG00000059498</v>
      </c>
      <c r="I374" s="6" t="str">
        <f>HYPERLINK("http://www.informatics.jax.org/marker/MGI:95500","MGI:95500")</f>
        <v>MGI:95500</v>
      </c>
      <c r="J374" s="7" t="s">
        <v>12</v>
      </c>
    </row>
    <row r="375" spans="1:10" x14ac:dyDescent="0.2">
      <c r="A375" s="3">
        <v>459.39889775575301</v>
      </c>
      <c r="B375" s="1">
        <v>-0.29292587539088</v>
      </c>
      <c r="C375" s="4">
        <v>5.1758576290667701E-6</v>
      </c>
      <c r="D375" s="7">
        <v>2.0745246506840401E-4</v>
      </c>
      <c r="E375" s="1" t="s">
        <v>1482</v>
      </c>
      <c r="F375" s="1" t="s">
        <v>1483</v>
      </c>
      <c r="G375" s="1">
        <v>57357</v>
      </c>
      <c r="H375" s="6" t="str">
        <f>HYPERLINK("http://www.ensembl.org/Mus_musculus/Gene/Summary?db=core;g=ENSMUSG00000029233","ENSMUSG00000029233")</f>
        <v>ENSMUSG00000029233</v>
      </c>
      <c r="I375" s="6" t="str">
        <f>HYPERLINK("http://www.informatics.jax.org/marker/MGI:1930252","MGI:1930252")</f>
        <v>MGI:1930252</v>
      </c>
      <c r="J375" s="7" t="s">
        <v>12</v>
      </c>
    </row>
    <row r="376" spans="1:10" x14ac:dyDescent="0.2">
      <c r="A376" s="3">
        <v>402.87581125089503</v>
      </c>
      <c r="B376" s="1">
        <v>-0.43137964789641797</v>
      </c>
      <c r="C376" s="4">
        <v>5.2747765476313797E-6</v>
      </c>
      <c r="D376" s="7">
        <v>2.1064798700784799E-4</v>
      </c>
      <c r="E376" s="1" t="s">
        <v>1017</v>
      </c>
      <c r="F376" s="1" t="s">
        <v>1018</v>
      </c>
      <c r="G376" s="1">
        <v>11482</v>
      </c>
      <c r="H376" s="6" t="str">
        <f>HYPERLINK("http://www.ensembl.org/Mus_musculus/Gene/Summary?db=core;g=ENSMUSG00000000530","ENSMUSG00000000530")</f>
        <v>ENSMUSG00000000530</v>
      </c>
      <c r="I376" s="6" t="str">
        <f>HYPERLINK("http://www.informatics.jax.org/marker/MGI:1338946","MGI:1338946")</f>
        <v>MGI:1338946</v>
      </c>
      <c r="J376" s="7" t="s">
        <v>12</v>
      </c>
    </row>
    <row r="377" spans="1:10" x14ac:dyDescent="0.2">
      <c r="A377" s="3">
        <v>439.394532195816</v>
      </c>
      <c r="B377" s="1">
        <v>-0.42829554241009199</v>
      </c>
      <c r="C377" s="4">
        <v>5.2922485242816496E-6</v>
      </c>
      <c r="D377" s="7">
        <v>2.1077452501030899E-4</v>
      </c>
      <c r="E377" s="1" t="s">
        <v>1033</v>
      </c>
      <c r="F377" s="1" t="s">
        <v>1034</v>
      </c>
      <c r="G377" s="1">
        <v>17537</v>
      </c>
      <c r="H377" s="6" t="str">
        <f>HYPERLINK("http://www.ensembl.org/Mus_musculus/Gene/Summary?db=core;g=ENSMUSG00000041420","ENSMUSG00000041420")</f>
        <v>ENSMUSG00000041420</v>
      </c>
      <c r="I377" s="6" t="str">
        <f>HYPERLINK("http://www.informatics.jax.org/marker/MGI:108519","MGI:108519")</f>
        <v>MGI:108519</v>
      </c>
      <c r="J377" s="7" t="s">
        <v>12</v>
      </c>
    </row>
    <row r="378" spans="1:10" x14ac:dyDescent="0.2">
      <c r="A378" s="3">
        <v>7979.1465683972301</v>
      </c>
      <c r="B378" s="1">
        <v>0.253392766474548</v>
      </c>
      <c r="C378" s="4">
        <v>5.3132551868882202E-6</v>
      </c>
      <c r="D378" s="7">
        <v>2.1104077745009401E-4</v>
      </c>
      <c r="E378" s="1" t="s">
        <v>2880</v>
      </c>
      <c r="F378" s="1" t="s">
        <v>2881</v>
      </c>
      <c r="G378" s="1">
        <v>56200</v>
      </c>
      <c r="H378" s="6" t="str">
        <f>HYPERLINK("http://www.ensembl.org/Mus_musculus/Gene/Summary?db=core;g=ENSMUSG00000020075","ENSMUSG00000020075")</f>
        <v>ENSMUSG00000020075</v>
      </c>
      <c r="I378" s="6" t="str">
        <f>HYPERLINK("http://www.informatics.jax.org/marker/MGI:1860494","MGI:1860494")</f>
        <v>MGI:1860494</v>
      </c>
      <c r="J378" s="7" t="s">
        <v>12</v>
      </c>
    </row>
    <row r="379" spans="1:10" x14ac:dyDescent="0.2">
      <c r="A379" s="3">
        <v>683.11726472452801</v>
      </c>
      <c r="B379" s="1">
        <v>-0.31600379020425601</v>
      </c>
      <c r="C379" s="4">
        <v>5.3698953821714001E-6</v>
      </c>
      <c r="D379" s="7">
        <v>2.1271714610666099E-4</v>
      </c>
      <c r="E379" s="1" t="s">
        <v>1370</v>
      </c>
      <c r="F379" s="1" t="s">
        <v>1371</v>
      </c>
      <c r="G379" s="1">
        <v>83925</v>
      </c>
      <c r="H379" s="6" t="str">
        <f>HYPERLINK("http://www.ensembl.org/Mus_musculus/Gene/Summary?db=core;g=ENSMUSG00000038679","ENSMUSG00000038679")</f>
        <v>ENSMUSG00000038679</v>
      </c>
      <c r="I379" s="6" t="str">
        <f>HYPERLINK("http://www.informatics.jax.org/marker/MGI:1927616","MGI:1927616")</f>
        <v>MGI:1927616</v>
      </c>
      <c r="J379" s="7" t="s">
        <v>12</v>
      </c>
    </row>
    <row r="380" spans="1:10" x14ac:dyDescent="0.2">
      <c r="A380" s="3">
        <v>1077.3456009773699</v>
      </c>
      <c r="B380" s="1">
        <v>0.26669757696922403</v>
      </c>
      <c r="C380" s="4">
        <v>5.4778913042516504E-6</v>
      </c>
      <c r="D380" s="7">
        <v>2.16413421607111E-4</v>
      </c>
      <c r="E380" s="1" t="s">
        <v>2926</v>
      </c>
      <c r="F380" s="1" t="s">
        <v>2927</v>
      </c>
      <c r="G380" s="1">
        <v>75805</v>
      </c>
      <c r="H380" s="6" t="str">
        <f>HYPERLINK("http://www.ensembl.org/Mus_musculus/Gene/Summary?db=core;g=ENSMUSG00000021710","ENSMUSG00000021710")</f>
        <v>ENSMUSG00000021710</v>
      </c>
      <c r="I380" s="6" t="str">
        <f>HYPERLINK("http://www.informatics.jax.org/marker/MGI:1923055","MGI:1923055")</f>
        <v>MGI:1923055</v>
      </c>
      <c r="J380" s="7" t="s">
        <v>12</v>
      </c>
    </row>
    <row r="381" spans="1:10" x14ac:dyDescent="0.2">
      <c r="A381" s="3">
        <v>2548.9958159453499</v>
      </c>
      <c r="B381" s="1">
        <v>-0.34991182109625502</v>
      </c>
      <c r="C381" s="4">
        <v>5.6922956017268298E-6</v>
      </c>
      <c r="D381" s="7">
        <v>2.2428253472472299E-4</v>
      </c>
      <c r="E381" s="1" t="s">
        <v>1248</v>
      </c>
      <c r="F381" s="1" t="s">
        <v>1249</v>
      </c>
      <c r="G381" s="1">
        <v>65963</v>
      </c>
      <c r="H381" s="6" t="str">
        <f>HYPERLINK("http://www.ensembl.org/Mus_musculus/Gene/Summary?db=core;g=ENSMUSG00000029810","ENSMUSG00000029810")</f>
        <v>ENSMUSG00000029810</v>
      </c>
      <c r="I381" s="6" t="str">
        <f>HYPERLINK("http://www.informatics.jax.org/marker/MGI:1916348","MGI:1916348")</f>
        <v>MGI:1916348</v>
      </c>
      <c r="J381" s="7" t="s">
        <v>12</v>
      </c>
    </row>
    <row r="382" spans="1:10" x14ac:dyDescent="0.2">
      <c r="A382" s="3">
        <v>60.772746635423502</v>
      </c>
      <c r="B382" s="1">
        <v>1.0622022989205799</v>
      </c>
      <c r="C382" s="4">
        <v>5.7121407977605598E-6</v>
      </c>
      <c r="D382" s="7">
        <v>2.24464284788799E-4</v>
      </c>
      <c r="E382" s="1" t="s">
        <v>3323</v>
      </c>
      <c r="F382" s="1" t="s">
        <v>3324</v>
      </c>
      <c r="G382" s="1">
        <v>239083</v>
      </c>
      <c r="H382" s="6" t="str">
        <f>HYPERLINK("http://www.ensembl.org/Mus_musculus/Gene/Summary?db=core;g=ENSMUSG00000071470","ENSMUSG00000071470")</f>
        <v>ENSMUSG00000071470</v>
      </c>
      <c r="I382" s="6" t="str">
        <f>HYPERLINK("http://www.informatics.jax.org/marker/MGI:2685134","MGI:2685134")</f>
        <v>MGI:2685134</v>
      </c>
      <c r="J382" s="7" t="s">
        <v>12</v>
      </c>
    </row>
    <row r="383" spans="1:10" x14ac:dyDescent="0.2">
      <c r="A383" s="3">
        <v>130.243116953384</v>
      </c>
      <c r="B383" s="1">
        <v>-0.80673290665340502</v>
      </c>
      <c r="C383" s="4">
        <v>6.0697710277719798E-6</v>
      </c>
      <c r="D383" s="7">
        <v>2.3788336666289301E-4</v>
      </c>
      <c r="E383" s="1" t="s">
        <v>476</v>
      </c>
      <c r="F383" s="1" t="s">
        <v>477</v>
      </c>
      <c r="G383" s="1">
        <v>21817</v>
      </c>
      <c r="H383" s="6" t="str">
        <f>HYPERLINK("http://www.ensembl.org/Mus_musculus/Gene/Summary?db=core;g=ENSMUSG00000037820","ENSMUSG00000037820")</f>
        <v>ENSMUSG00000037820</v>
      </c>
      <c r="I383" s="6" t="str">
        <f>HYPERLINK("http://www.informatics.jax.org/marker/MGI:98731","MGI:98731")</f>
        <v>MGI:98731</v>
      </c>
      <c r="J383" s="7" t="s">
        <v>12</v>
      </c>
    </row>
    <row r="384" spans="1:10" x14ac:dyDescent="0.2">
      <c r="A384" s="3">
        <v>209.72732109135501</v>
      </c>
      <c r="B384" s="1">
        <v>-0.91573089239820504</v>
      </c>
      <c r="C384" s="4">
        <v>6.0897852347690798E-6</v>
      </c>
      <c r="D384" s="7">
        <v>2.38034682279992E-4</v>
      </c>
      <c r="E384" s="1" t="s">
        <v>395</v>
      </c>
      <c r="F384" s="1" t="s">
        <v>396</v>
      </c>
      <c r="G384" s="1">
        <v>319446</v>
      </c>
      <c r="H384" s="6" t="str">
        <f>HYPERLINK("http://www.ensembl.org/Mus_musculus/Gene/Summary?db=core;g=ENSMUSG00000115067","ENSMUSG00000115067")</f>
        <v>ENSMUSG00000115067</v>
      </c>
      <c r="I384" s="6" t="str">
        <f>HYPERLINK("http://www.informatics.jax.org/marker/MGI:2442042","MGI:2442042")</f>
        <v>MGI:2442042</v>
      </c>
      <c r="J384" s="7" t="s">
        <v>12</v>
      </c>
    </row>
    <row r="385" spans="1:10" x14ac:dyDescent="0.2">
      <c r="A385" s="3">
        <v>2538.6032516669502</v>
      </c>
      <c r="B385" s="1">
        <v>0.221747423660594</v>
      </c>
      <c r="C385" s="4">
        <v>6.1790199844764604E-6</v>
      </c>
      <c r="D385" s="7">
        <v>2.4088369971228801E-4</v>
      </c>
      <c r="E385" s="1" t="s">
        <v>2738</v>
      </c>
      <c r="F385" s="1" t="s">
        <v>2739</v>
      </c>
      <c r="G385" s="1">
        <v>26905</v>
      </c>
      <c r="H385" s="6" t="str">
        <f>HYPERLINK("http://www.ensembl.org/Mus_musculus/Gene/Summary?db=core;g=ENSMUSG00000035150","ENSMUSG00000035150")</f>
        <v>ENSMUSG00000035150</v>
      </c>
      <c r="I385" s="6" t="str">
        <f>HYPERLINK("http://www.informatics.jax.org/marker/MGI:1349431","MGI:1349431")</f>
        <v>MGI:1349431</v>
      </c>
      <c r="J385" s="7" t="s">
        <v>12</v>
      </c>
    </row>
    <row r="386" spans="1:10" x14ac:dyDescent="0.2">
      <c r="A386" s="3">
        <v>7255.6108973098599</v>
      </c>
      <c r="B386" s="1">
        <v>0.181574736181387</v>
      </c>
      <c r="C386" s="4">
        <v>6.2628985211598002E-6</v>
      </c>
      <c r="D386" s="7">
        <v>2.43381850821252E-4</v>
      </c>
      <c r="E386" s="1" t="s">
        <v>2496</v>
      </c>
      <c r="F386" s="1" t="s">
        <v>2497</v>
      </c>
      <c r="G386" s="1">
        <v>12466</v>
      </c>
      <c r="H386" s="6" t="str">
        <f>HYPERLINK("http://www.ensembl.org/Mus_musculus/Gene/Summary?db=core;g=ENSMUSG00000029447","ENSMUSG00000029447")</f>
        <v>ENSMUSG00000029447</v>
      </c>
      <c r="I386" s="6" t="str">
        <f>HYPERLINK("http://www.informatics.jax.org/marker/MGI:107943","MGI:107943")</f>
        <v>MGI:107943</v>
      </c>
      <c r="J386" s="7" t="s">
        <v>12</v>
      </c>
    </row>
    <row r="387" spans="1:10" x14ac:dyDescent="0.2">
      <c r="A387" s="3">
        <v>1806.33730100458</v>
      </c>
      <c r="B387" s="1">
        <v>0.29487117565329501</v>
      </c>
      <c r="C387" s="4">
        <v>6.2761335038053598E-6</v>
      </c>
      <c r="D387" s="7">
        <v>2.43381850821252E-4</v>
      </c>
      <c r="E387" s="1" t="s">
        <v>2996</v>
      </c>
      <c r="F387" s="1" t="s">
        <v>2997</v>
      </c>
      <c r="G387" s="1">
        <v>66488</v>
      </c>
      <c r="H387" s="6" t="str">
        <f>HYPERLINK("http://www.ensembl.org/Mus_musculus/Gene/Summary?db=core;g=ENSMUSG00000057497","ENSMUSG00000057497")</f>
        <v>ENSMUSG00000057497</v>
      </c>
      <c r="I387" s="6" t="str">
        <f>HYPERLINK("http://www.informatics.jax.org/marker/MGI:1913738","MGI:1913738")</f>
        <v>MGI:1913738</v>
      </c>
      <c r="J387" s="7" t="s">
        <v>12</v>
      </c>
    </row>
    <row r="388" spans="1:10" x14ac:dyDescent="0.2">
      <c r="A388" s="3">
        <v>1265.8681740290101</v>
      </c>
      <c r="B388" s="1">
        <v>0.23129682931581999</v>
      </c>
      <c r="C388" s="4">
        <v>6.5550480269776703E-6</v>
      </c>
      <c r="D388" s="7">
        <v>2.5353067644499498E-4</v>
      </c>
      <c r="E388" s="1" t="s">
        <v>2796</v>
      </c>
      <c r="F388" s="1" t="s">
        <v>2797</v>
      </c>
      <c r="G388" s="1">
        <v>73699</v>
      </c>
      <c r="H388" s="6" t="str">
        <f>HYPERLINK("http://www.ensembl.org/Mus_musculus/Gene/Summary?db=core;g=ENSMUSG00000032058","ENSMUSG00000032058")</f>
        <v>ENSMUSG00000032058</v>
      </c>
      <c r="I388" s="6" t="str">
        <f>HYPERLINK("http://www.informatics.jax.org/marker/MGI:1920949","MGI:1920949")</f>
        <v>MGI:1920949</v>
      </c>
      <c r="J388" s="7" t="s">
        <v>12</v>
      </c>
    </row>
    <row r="389" spans="1:10" x14ac:dyDescent="0.2">
      <c r="A389" s="3">
        <v>383.34905571684197</v>
      </c>
      <c r="B389" s="1">
        <v>-0.35366182465638601</v>
      </c>
      <c r="C389" s="4">
        <v>6.5884004314432598E-6</v>
      </c>
      <c r="D389" s="7">
        <v>2.5415358313546598E-4</v>
      </c>
      <c r="E389" s="1" t="s">
        <v>1230</v>
      </c>
      <c r="F389" s="1" t="s">
        <v>1231</v>
      </c>
      <c r="G389" s="1">
        <v>67171</v>
      </c>
      <c r="H389" s="6" t="str">
        <f>HYPERLINK("http://www.ensembl.org/Mus_musculus/Gene/Summary?db=core;g=ENSMUSG00000027900","ENSMUSG00000027900")</f>
        <v>ENSMUSG00000027900</v>
      </c>
      <c r="I389" s="6" t="str">
        <f>HYPERLINK("http://www.informatics.jax.org/marker/MGI:1914421","MGI:1914421")</f>
        <v>MGI:1914421</v>
      </c>
      <c r="J389" s="7" t="s">
        <v>12</v>
      </c>
    </row>
    <row r="390" spans="1:10" x14ac:dyDescent="0.2">
      <c r="A390" s="3">
        <v>901.01207387409897</v>
      </c>
      <c r="B390" s="1">
        <v>-0.35081669788901998</v>
      </c>
      <c r="C390" s="4">
        <v>6.6861142299783604E-6</v>
      </c>
      <c r="D390" s="7">
        <v>2.5724955428971599E-4</v>
      </c>
      <c r="E390" s="1" t="s">
        <v>1240</v>
      </c>
      <c r="F390" s="1" t="s">
        <v>1241</v>
      </c>
      <c r="G390" s="1">
        <v>269878</v>
      </c>
      <c r="H390" s="6" t="str">
        <f>HYPERLINK("http://www.ensembl.org/Mus_musculus/Gene/Summary?db=core;g=ENSMUSG00000045039","ENSMUSG00000045039")</f>
        <v>ENSMUSG00000045039</v>
      </c>
      <c r="I390" s="6" t="str">
        <f>HYPERLINK("http://www.informatics.jax.org/marker/MGI:2446294","MGI:2446294")</f>
        <v>MGI:2446294</v>
      </c>
      <c r="J390" s="7" t="s">
        <v>12</v>
      </c>
    </row>
    <row r="391" spans="1:10" x14ac:dyDescent="0.2">
      <c r="A391" s="3">
        <v>100.318154172695</v>
      </c>
      <c r="B391" s="1">
        <v>-0.50002438347164802</v>
      </c>
      <c r="C391" s="4">
        <v>7.0937088974110498E-6</v>
      </c>
      <c r="D391" s="7">
        <v>2.7222107893814899E-4</v>
      </c>
      <c r="E391" s="1" t="s">
        <v>833</v>
      </c>
      <c r="F391" s="1" t="s">
        <v>834</v>
      </c>
      <c r="G391" s="1">
        <v>54636</v>
      </c>
      <c r="H391" s="6" t="str">
        <f>HYPERLINK("http://www.ensembl.org/Mus_musculus/Gene/Summary?db=core;g=ENSMUSG00000039382","ENSMUSG00000039382")</f>
        <v>ENSMUSG00000039382</v>
      </c>
      <c r="I391" s="6" t="str">
        <f>HYPERLINK("http://www.informatics.jax.org/marker/MGI:1859606","MGI:1859606")</f>
        <v>MGI:1859606</v>
      </c>
      <c r="J391" s="7" t="s">
        <v>12</v>
      </c>
    </row>
    <row r="392" spans="1:10" x14ac:dyDescent="0.2">
      <c r="A392" s="3">
        <v>1486.4206768714</v>
      </c>
      <c r="B392" s="1">
        <v>-0.27179760114420698</v>
      </c>
      <c r="C392" s="4">
        <v>7.1986074414900096E-6</v>
      </c>
      <c r="D392" s="7">
        <v>2.7552903703323802E-4</v>
      </c>
      <c r="E392" s="1" t="s">
        <v>1564</v>
      </c>
      <c r="F392" s="1" t="s">
        <v>1565</v>
      </c>
      <c r="G392" s="1">
        <v>15975</v>
      </c>
      <c r="H392" s="6" t="str">
        <f>HYPERLINK("http://www.ensembl.org/Mus_musculus/Gene/Summary?db=core;g=ENSMUSG00000022967","ENSMUSG00000022967")</f>
        <v>ENSMUSG00000022967</v>
      </c>
      <c r="I392" s="6" t="str">
        <f>HYPERLINK("http://www.informatics.jax.org/marker/MGI:107658","MGI:107658")</f>
        <v>MGI:107658</v>
      </c>
      <c r="J392" s="7" t="s">
        <v>12</v>
      </c>
    </row>
    <row r="393" spans="1:10" x14ac:dyDescent="0.2">
      <c r="A393" s="3">
        <v>2094.3736059468001</v>
      </c>
      <c r="B393" s="1">
        <v>-0.39364348561651502</v>
      </c>
      <c r="C393" s="4">
        <v>7.2507580751715298E-6</v>
      </c>
      <c r="D393" s="7">
        <v>2.76806142475978E-4</v>
      </c>
      <c r="E393" s="1" t="s">
        <v>1115</v>
      </c>
      <c r="F393" s="1" t="s">
        <v>1116</v>
      </c>
      <c r="G393" s="1">
        <v>11513</v>
      </c>
      <c r="H393" s="6" t="str">
        <f>HYPERLINK("http://www.ensembl.org/Mus_musculus/Gene/Summary?db=core;g=ENSMUSG00000031659","ENSMUSG00000031659")</f>
        <v>ENSMUSG00000031659</v>
      </c>
      <c r="I393" s="6" t="str">
        <f>HYPERLINK("http://www.informatics.jax.org/marker/MGI:102891","MGI:102891")</f>
        <v>MGI:102891</v>
      </c>
      <c r="J393" s="7" t="s">
        <v>12</v>
      </c>
    </row>
    <row r="394" spans="1:10" x14ac:dyDescent="0.2">
      <c r="A394" s="3">
        <v>844.64117003484796</v>
      </c>
      <c r="B394" s="1">
        <v>0.27967073805447801</v>
      </c>
      <c r="C394" s="4">
        <v>7.3732317535903899E-6</v>
      </c>
      <c r="D394" s="7">
        <v>2.8075437498942599E-4</v>
      </c>
      <c r="E394" s="1" t="s">
        <v>2964</v>
      </c>
      <c r="F394" s="1" t="s">
        <v>2965</v>
      </c>
      <c r="G394" s="1">
        <v>15159</v>
      </c>
      <c r="H394" s="6" t="str">
        <f>HYPERLINK("http://www.ensembl.org/Mus_musculus/Gene/Summary?db=core;g=ENSMUSG00000031352","ENSMUSG00000031352")</f>
        <v>ENSMUSG00000031352</v>
      </c>
      <c r="I394" s="6" t="str">
        <f>HYPERLINK("http://www.informatics.jax.org/marker/MGI:106911","MGI:106911")</f>
        <v>MGI:106911</v>
      </c>
      <c r="J394" s="7" t="s">
        <v>12</v>
      </c>
    </row>
    <row r="395" spans="1:10" x14ac:dyDescent="0.2">
      <c r="A395" s="3">
        <v>1746.57651964155</v>
      </c>
      <c r="B395" s="1">
        <v>-0.26036948307781699</v>
      </c>
      <c r="C395" s="4">
        <v>7.4720092181413503E-6</v>
      </c>
      <c r="D395" s="7">
        <v>2.8378228824363702E-4</v>
      </c>
      <c r="E395" s="1" t="s">
        <v>1614</v>
      </c>
      <c r="F395" s="1" t="s">
        <v>1615</v>
      </c>
      <c r="G395" s="1">
        <v>16179</v>
      </c>
      <c r="H395" s="6" t="str">
        <f>HYPERLINK("http://www.ensembl.org/Mus_musculus/Gene/Summary?db=core;g=ENSMUSG00000031392","ENSMUSG00000031392")</f>
        <v>ENSMUSG00000031392</v>
      </c>
      <c r="I395" s="6" t="str">
        <f>HYPERLINK("http://www.informatics.jax.org/marker/MGI:107420","MGI:107420")</f>
        <v>MGI:107420</v>
      </c>
      <c r="J395" s="7" t="s">
        <v>12</v>
      </c>
    </row>
    <row r="396" spans="1:10" x14ac:dyDescent="0.2">
      <c r="A396" s="3">
        <v>107.60949512342501</v>
      </c>
      <c r="B396" s="1">
        <v>-0.486861396164392</v>
      </c>
      <c r="C396" s="4">
        <v>7.5369738028507002E-6</v>
      </c>
      <c r="D396" s="7">
        <v>2.8551374282469898E-4</v>
      </c>
      <c r="E396" s="1" t="s">
        <v>871</v>
      </c>
      <c r="F396" s="1" t="s">
        <v>872</v>
      </c>
      <c r="G396" s="1">
        <v>54610</v>
      </c>
      <c r="H396" s="6" t="str">
        <f>HYPERLINK("http://www.ensembl.org/Mus_musculus/Gene/Summary?db=core;g=ENSMUSG00000003134","ENSMUSG00000003134")</f>
        <v>ENSMUSG00000003134</v>
      </c>
      <c r="I396" s="6" t="str">
        <f>HYPERLINK("http://www.informatics.jax.org/marker/MGI:1927225","MGI:1927225")</f>
        <v>MGI:1927225</v>
      </c>
      <c r="J396" s="7" t="s">
        <v>12</v>
      </c>
    </row>
    <row r="397" spans="1:10" x14ac:dyDescent="0.2">
      <c r="A397" s="3">
        <v>21.531018586330902</v>
      </c>
      <c r="B397" s="1">
        <v>-0.99314250419825501</v>
      </c>
      <c r="C397" s="4">
        <v>8.1675700793361492E-6</v>
      </c>
      <c r="D397" s="7">
        <v>3.0860849407460901E-4</v>
      </c>
      <c r="E397" s="1" t="s">
        <v>347</v>
      </c>
      <c r="F397" s="1" t="s">
        <v>348</v>
      </c>
      <c r="G397" s="1">
        <v>215693</v>
      </c>
      <c r="H397" s="6" t="str">
        <f>HYPERLINK("http://www.ensembl.org/Mus_musculus/Gene/Summary?db=core;g=ENSMUSG00000052676","ENSMUSG00000052676")</f>
        <v>ENSMUSG00000052676</v>
      </c>
      <c r="I397" s="6" t="str">
        <f>HYPERLINK("http://www.informatics.jax.org/marker/MGI:2442284","MGI:2442284")</f>
        <v>MGI:2442284</v>
      </c>
      <c r="J397" s="7" t="s">
        <v>12</v>
      </c>
    </row>
    <row r="398" spans="1:10" x14ac:dyDescent="0.2">
      <c r="A398" s="3">
        <v>202.945789029308</v>
      </c>
      <c r="B398" s="1">
        <v>-0.54745174961588905</v>
      </c>
      <c r="C398" s="4">
        <v>8.3922663858518301E-6</v>
      </c>
      <c r="D398" s="7">
        <v>3.1628756384120902E-4</v>
      </c>
      <c r="E398" s="1" t="s">
        <v>763</v>
      </c>
      <c r="F398" s="1" t="s">
        <v>764</v>
      </c>
      <c r="G398" s="1">
        <v>68943</v>
      </c>
      <c r="H398" s="6" t="str">
        <f>HYPERLINK("http://www.ensembl.org/Mus_musculus/Gene/Summary?db=core;g=ENSMUSG00000028756","ENSMUSG00000028756")</f>
        <v>ENSMUSG00000028756</v>
      </c>
      <c r="I398" s="6" t="str">
        <f>HYPERLINK("http://www.informatics.jax.org/marker/MGI:1916193","MGI:1916193")</f>
        <v>MGI:1916193</v>
      </c>
      <c r="J398" s="7" t="s">
        <v>12</v>
      </c>
    </row>
    <row r="399" spans="1:10" x14ac:dyDescent="0.2">
      <c r="A399" s="3">
        <v>5.8689372842901104</v>
      </c>
      <c r="B399" s="1">
        <v>-1.8129782793526099</v>
      </c>
      <c r="C399" s="4">
        <v>8.4610885838563698E-6</v>
      </c>
      <c r="D399" s="7">
        <v>3.17258527663378E-4</v>
      </c>
      <c r="E399" s="1" t="s">
        <v>77</v>
      </c>
      <c r="F399" s="1" t="s">
        <v>78</v>
      </c>
      <c r="G399" s="1">
        <v>17388</v>
      </c>
      <c r="H399" s="6" t="str">
        <f>HYPERLINK("http://www.ensembl.org/Mus_musculus/Gene/Summary?db=core;g=ENSMUSG00000031790","ENSMUSG00000031790")</f>
        <v>ENSMUSG00000031790</v>
      </c>
      <c r="I399" s="6" t="str">
        <f>HYPERLINK("http://www.informatics.jax.org/marker/MGI:109320","MGI:109320")</f>
        <v>MGI:109320</v>
      </c>
      <c r="J399" s="7" t="s">
        <v>12</v>
      </c>
    </row>
    <row r="400" spans="1:10" x14ac:dyDescent="0.2">
      <c r="A400" s="3">
        <v>10977.839835754499</v>
      </c>
      <c r="B400" s="1">
        <v>0.17458475598772799</v>
      </c>
      <c r="C400" s="4">
        <v>8.4532817977733199E-6</v>
      </c>
      <c r="D400" s="7">
        <v>3.17258527663378E-4</v>
      </c>
      <c r="E400" s="1" t="s">
        <v>2458</v>
      </c>
      <c r="F400" s="1" t="s">
        <v>2459</v>
      </c>
      <c r="G400" s="1">
        <v>66870</v>
      </c>
      <c r="H400" s="6" t="str">
        <f>HYPERLINK("http://www.ensembl.org/Mus_musculus/Gene/Summary?db=core;g=ENSMUSG00000036371","ENSMUSG00000036371")</f>
        <v>ENSMUSG00000036371</v>
      </c>
      <c r="I400" s="6" t="str">
        <f>HYPERLINK("http://www.informatics.jax.org/marker/MGI:1914120","MGI:1914120")</f>
        <v>MGI:1914120</v>
      </c>
      <c r="J400" s="7" t="s">
        <v>12</v>
      </c>
    </row>
    <row r="401" spans="1:10" x14ac:dyDescent="0.2">
      <c r="A401" s="3">
        <v>440.210972925421</v>
      </c>
      <c r="B401" s="1">
        <v>-0.29357059480785003</v>
      </c>
      <c r="C401" s="4">
        <v>8.5527635280388902E-6</v>
      </c>
      <c r="D401" s="7">
        <v>3.19882038957312E-4</v>
      </c>
      <c r="E401" s="1" t="s">
        <v>1480</v>
      </c>
      <c r="F401" s="1" t="s">
        <v>1481</v>
      </c>
      <c r="G401" s="1">
        <v>14166</v>
      </c>
      <c r="H401" s="6" t="str">
        <f>HYPERLINK("http://www.ensembl.org/Mus_musculus/Gene/Summary?db=core;g=ENSMUSG00000042826","ENSMUSG00000042826")</f>
        <v>ENSMUSG00000042826</v>
      </c>
      <c r="I401" s="6" t="str">
        <f>HYPERLINK("http://www.informatics.jax.org/marker/MGI:109167","MGI:109167")</f>
        <v>MGI:109167</v>
      </c>
      <c r="J401" s="7" t="s">
        <v>12</v>
      </c>
    </row>
    <row r="402" spans="1:10" x14ac:dyDescent="0.2">
      <c r="A402" s="3">
        <v>1079.6482495042301</v>
      </c>
      <c r="B402" s="1">
        <v>-1.4277949736559301</v>
      </c>
      <c r="C402" s="4">
        <v>8.5978568823655705E-6</v>
      </c>
      <c r="D402" s="7">
        <v>3.20754478527947E-4</v>
      </c>
      <c r="E402" s="1" t="s">
        <v>138</v>
      </c>
      <c r="F402" s="1" t="s">
        <v>139</v>
      </c>
      <c r="G402" s="1">
        <v>54123</v>
      </c>
      <c r="H402" s="6" t="str">
        <f>HYPERLINK("http://www.ensembl.org/Mus_musculus/Gene/Summary?db=core;g=ENSMUSG00000025498","ENSMUSG00000025498")</f>
        <v>ENSMUSG00000025498</v>
      </c>
      <c r="I402" s="6" t="str">
        <f>HYPERLINK("http://www.informatics.jax.org/marker/MGI:1859212","MGI:1859212")</f>
        <v>MGI:1859212</v>
      </c>
      <c r="J402" s="7" t="s">
        <v>12</v>
      </c>
    </row>
    <row r="403" spans="1:10" x14ac:dyDescent="0.2">
      <c r="A403" s="3">
        <v>89.718036981868806</v>
      </c>
      <c r="B403" s="1">
        <v>-0.500004652430177</v>
      </c>
      <c r="C403" s="4">
        <v>8.6282013087669002E-6</v>
      </c>
      <c r="D403" s="7">
        <v>3.2107367294441699E-4</v>
      </c>
      <c r="E403" s="1" t="s">
        <v>835</v>
      </c>
      <c r="F403" s="1" t="s">
        <v>836</v>
      </c>
      <c r="G403" s="1">
        <v>105193</v>
      </c>
      <c r="H403" s="6" t="str">
        <f>HYPERLINK("http://www.ensembl.org/Mus_musculus/Gene/Summary?db=core;g=ENSMUSG00000044231","ENSMUSG00000044231")</f>
        <v>ENSMUSG00000044231</v>
      </c>
      <c r="I403" s="6" t="str">
        <f>HYPERLINK("http://www.informatics.jax.org/marker/MGI:2145264","MGI:2145264")</f>
        <v>MGI:2145264</v>
      </c>
      <c r="J403" s="7" t="s">
        <v>12</v>
      </c>
    </row>
    <row r="404" spans="1:10" x14ac:dyDescent="0.2">
      <c r="A404" s="3">
        <v>305.63241991407602</v>
      </c>
      <c r="B404" s="1">
        <v>-0.42320138215597602</v>
      </c>
      <c r="C404" s="4">
        <v>8.7405743679085196E-6</v>
      </c>
      <c r="D404" s="7">
        <v>3.2443602993828698E-4</v>
      </c>
      <c r="E404" s="1" t="s">
        <v>1047</v>
      </c>
      <c r="F404" s="1" t="s">
        <v>1048</v>
      </c>
      <c r="G404" s="1">
        <v>269701</v>
      </c>
      <c r="H404" s="6" t="str">
        <f>HYPERLINK("http://www.ensembl.org/Mus_musculus/Gene/Summary?db=core;g=ENSMUSG00000029442","ENSMUSG00000029442")</f>
        <v>ENSMUSG00000029442</v>
      </c>
      <c r="I404" s="6" t="str">
        <f>HYPERLINK("http://www.informatics.jax.org/marker/MGI:1918495","MGI:1918495")</f>
        <v>MGI:1918495</v>
      </c>
      <c r="J404" s="7" t="s">
        <v>12</v>
      </c>
    </row>
    <row r="405" spans="1:10" x14ac:dyDescent="0.2">
      <c r="A405" s="3">
        <v>1764.42599771959</v>
      </c>
      <c r="B405" s="1">
        <v>0.220366571634839</v>
      </c>
      <c r="C405" s="4">
        <v>8.7705622531760894E-6</v>
      </c>
      <c r="D405" s="7">
        <v>3.24731169253273E-4</v>
      </c>
      <c r="E405" s="1" t="s">
        <v>2732</v>
      </c>
      <c r="F405" s="1" t="s">
        <v>2733</v>
      </c>
      <c r="G405" s="1">
        <v>67832</v>
      </c>
      <c r="H405" s="6" t="str">
        <f>HYPERLINK("http://www.ensembl.org/Mus_musculus/Gene/Summary?db=core;g=ENSMUSG00000022247","ENSMUSG00000022247")</f>
        <v>ENSMUSG00000022247</v>
      </c>
      <c r="I405" s="6" t="str">
        <f>HYPERLINK("http://www.informatics.jax.org/marker/MGI:1915082","MGI:1915082")</f>
        <v>MGI:1915082</v>
      </c>
      <c r="J405" s="7" t="s">
        <v>12</v>
      </c>
    </row>
    <row r="406" spans="1:10" x14ac:dyDescent="0.2">
      <c r="A406" s="3">
        <v>551.08072002236497</v>
      </c>
      <c r="B406" s="1">
        <v>-0.30761453485826501</v>
      </c>
      <c r="C406" s="4">
        <v>8.8733878609703102E-6</v>
      </c>
      <c r="D406" s="7">
        <v>3.2771489603824198E-4</v>
      </c>
      <c r="E406" s="1" t="s">
        <v>1420</v>
      </c>
      <c r="F406" s="1" t="s">
        <v>1421</v>
      </c>
      <c r="G406" s="1">
        <v>67213</v>
      </c>
      <c r="H406" s="6" t="str">
        <f>HYPERLINK("http://www.ensembl.org/Mus_musculus/Gene/Summary?db=core;g=ENSMUSG00000032434","ENSMUSG00000032434")</f>
        <v>ENSMUSG00000032434</v>
      </c>
      <c r="I406" s="6" t="str">
        <f>HYPERLINK("http://www.informatics.jax.org/marker/MGI:2447165","MGI:2447165")</f>
        <v>MGI:2447165</v>
      </c>
      <c r="J406" s="7" t="s">
        <v>12</v>
      </c>
    </row>
    <row r="407" spans="1:10" x14ac:dyDescent="0.2">
      <c r="A407" s="3">
        <v>2585.84355230657</v>
      </c>
      <c r="B407" s="1">
        <v>-0.17840855755773699</v>
      </c>
      <c r="C407" s="4">
        <v>9.0042687078494E-6</v>
      </c>
      <c r="D407" s="7">
        <v>3.3171725919717201E-4</v>
      </c>
      <c r="E407" s="1" t="s">
        <v>2020</v>
      </c>
      <c r="F407" s="1" t="s">
        <v>2021</v>
      </c>
      <c r="G407" s="1">
        <v>224020</v>
      </c>
      <c r="H407" s="6" t="str">
        <f>HYPERLINK("http://www.ensembl.org/Mus_musculus/Gene/Summary?db=core;g=ENSMUSG00000041720","ENSMUSG00000041720")</f>
        <v>ENSMUSG00000041720</v>
      </c>
      <c r="I407" s="6" t="str">
        <f>HYPERLINK("http://www.informatics.jax.org/marker/MGI:2448506","MGI:2448506")</f>
        <v>MGI:2448506</v>
      </c>
      <c r="J407" s="7" t="s">
        <v>12</v>
      </c>
    </row>
    <row r="408" spans="1:10" x14ac:dyDescent="0.2">
      <c r="A408" s="3">
        <v>1235.0253282773201</v>
      </c>
      <c r="B408" s="1">
        <v>-0.65369454980017305</v>
      </c>
      <c r="C408" s="4">
        <v>9.0489454953682207E-6</v>
      </c>
      <c r="D408" s="7">
        <v>3.3208148066700698E-4</v>
      </c>
      <c r="E408" s="1" t="s">
        <v>594</v>
      </c>
      <c r="F408" s="1" t="s">
        <v>595</v>
      </c>
      <c r="G408" s="1">
        <v>64009</v>
      </c>
      <c r="H408" s="6" t="str">
        <f>HYPERLINK("http://www.ensembl.org/Mus_musculus/Gene/Summary?db=core;g=ENSMUSG00000096054","ENSMUSG00000096054")</f>
        <v>ENSMUSG00000096054</v>
      </c>
      <c r="I408" s="6" t="str">
        <f>HYPERLINK("http://www.informatics.jax.org/marker/MGI:1927152","MGI:1927152")</f>
        <v>MGI:1927152</v>
      </c>
      <c r="J408" s="7" t="s">
        <v>12</v>
      </c>
    </row>
    <row r="409" spans="1:10" x14ac:dyDescent="0.2">
      <c r="A409" s="3">
        <v>64.903887431144199</v>
      </c>
      <c r="B409" s="1">
        <v>1.0516393198782801</v>
      </c>
      <c r="C409" s="4">
        <v>9.0592260605413198E-6</v>
      </c>
      <c r="D409" s="7">
        <v>3.3208148066700698E-4</v>
      </c>
      <c r="E409" s="1" t="s">
        <v>3320</v>
      </c>
      <c r="F409" s="1" t="s">
        <v>3321</v>
      </c>
      <c r="G409" s="1" t="s">
        <v>45</v>
      </c>
      <c r="H409" s="6" t="str">
        <f>HYPERLINK("http://www.ensembl.org/Mus_musculus/Gene/Summary?db=core;g=ENSMUSG00000092837","ENSMUSG00000092837")</f>
        <v>ENSMUSG00000092837</v>
      </c>
      <c r="I409" s="6" t="str">
        <f>HYPERLINK("http://www.informatics.jax.org/marker/MGI:1934664","MGI:1934664")</f>
        <v>MGI:1934664</v>
      </c>
      <c r="J409" s="7" t="s">
        <v>3322</v>
      </c>
    </row>
    <row r="410" spans="1:10" x14ac:dyDescent="0.2">
      <c r="A410" s="3">
        <v>10.921675489196099</v>
      </c>
      <c r="B410" s="1">
        <v>-1.5142227595092099</v>
      </c>
      <c r="C410" s="4">
        <v>9.3962696694688701E-6</v>
      </c>
      <c r="D410" s="7">
        <v>3.4358171178484702E-4</v>
      </c>
      <c r="E410" s="1" t="s">
        <v>126</v>
      </c>
      <c r="F410" s="1" t="s">
        <v>127</v>
      </c>
      <c r="G410" s="1">
        <v>76041</v>
      </c>
      <c r="H410" s="6" t="str">
        <f>HYPERLINK("http://www.ensembl.org/Mus_musculus/Gene/Summary?db=core;g=ENSMUSG00000048924","ENSMUSG00000048924")</f>
        <v>ENSMUSG00000048924</v>
      </c>
      <c r="I410" s="6" t="str">
        <f>HYPERLINK("http://www.informatics.jax.org/marker/MGI:1923291","MGI:1923291")</f>
        <v>MGI:1923291</v>
      </c>
      <c r="J410" s="7" t="s">
        <v>12</v>
      </c>
    </row>
    <row r="411" spans="1:10" x14ac:dyDescent="0.2">
      <c r="A411" s="3">
        <v>834.278693739912</v>
      </c>
      <c r="B411" s="1">
        <v>-0.495129485254652</v>
      </c>
      <c r="C411" s="4">
        <v>9.5184347797918295E-6</v>
      </c>
      <c r="D411" s="7">
        <v>3.4523257328557201E-4</v>
      </c>
      <c r="E411" s="1" t="s">
        <v>843</v>
      </c>
      <c r="F411" s="1" t="s">
        <v>844</v>
      </c>
      <c r="G411" s="1">
        <v>74039</v>
      </c>
      <c r="H411" s="6" t="str">
        <f>HYPERLINK("http://www.ensembl.org/Mus_musculus/Gene/Summary?db=core;g=ENSMUSG00000058099","ENSMUSG00000058099")</f>
        <v>ENSMUSG00000058099</v>
      </c>
      <c r="I411" s="6" t="str">
        <f>HYPERLINK("http://www.informatics.jax.org/marker/MGI:1921289","MGI:1921289")</f>
        <v>MGI:1921289</v>
      </c>
      <c r="J411" s="7" t="s">
        <v>12</v>
      </c>
    </row>
    <row r="412" spans="1:10" x14ac:dyDescent="0.2">
      <c r="A412" s="3">
        <v>723.68975988707302</v>
      </c>
      <c r="B412" s="1">
        <v>-0.44479974734001898</v>
      </c>
      <c r="C412" s="4">
        <v>9.5351287545621498E-6</v>
      </c>
      <c r="D412" s="7">
        <v>3.4523257328557201E-4</v>
      </c>
      <c r="E412" s="1" t="s">
        <v>947</v>
      </c>
      <c r="F412" s="1" t="s">
        <v>948</v>
      </c>
      <c r="G412" s="1">
        <v>108960</v>
      </c>
      <c r="H412" s="6" t="str">
        <f>HYPERLINK("http://www.ensembl.org/Mus_musculus/Gene/Summary?db=core;g=ENSMUSG00000060477","ENSMUSG00000060477")</f>
        <v>ENSMUSG00000060477</v>
      </c>
      <c r="I412" s="6" t="str">
        <f>HYPERLINK("http://www.informatics.jax.org/marker/MGI:2429603","MGI:2429603")</f>
        <v>MGI:2429603</v>
      </c>
      <c r="J412" s="7" t="s">
        <v>12</v>
      </c>
    </row>
    <row r="413" spans="1:10" x14ac:dyDescent="0.2">
      <c r="A413" s="3">
        <v>196.461860732215</v>
      </c>
      <c r="B413" s="1">
        <v>-0.371326854156591</v>
      </c>
      <c r="C413" s="4">
        <v>9.5297745848203496E-6</v>
      </c>
      <c r="D413" s="7">
        <v>3.4523257328557201E-4</v>
      </c>
      <c r="E413" s="1" t="s">
        <v>1170</v>
      </c>
      <c r="F413" s="1" t="s">
        <v>1171</v>
      </c>
      <c r="G413" s="1">
        <v>319757</v>
      </c>
      <c r="H413" s="6" t="str">
        <f>HYPERLINK("http://www.ensembl.org/Mus_musculus/Gene/Summary?db=core;g=ENSMUSG00000001761","ENSMUSG00000001761")</f>
        <v>ENSMUSG00000001761</v>
      </c>
      <c r="I413" s="6" t="str">
        <f>HYPERLINK("http://www.informatics.jax.org/marker/MGI:108075","MGI:108075")</f>
        <v>MGI:108075</v>
      </c>
      <c r="J413" s="7" t="s">
        <v>12</v>
      </c>
    </row>
    <row r="414" spans="1:10" x14ac:dyDescent="0.2">
      <c r="A414" s="3">
        <v>845.723640678945</v>
      </c>
      <c r="B414" s="1">
        <v>-0.24564351048851199</v>
      </c>
      <c r="C414" s="4">
        <v>9.5088304273353504E-6</v>
      </c>
      <c r="D414" s="7">
        <v>3.4523257328557201E-4</v>
      </c>
      <c r="E414" s="1" t="s">
        <v>1684</v>
      </c>
      <c r="F414" s="1" t="s">
        <v>1685</v>
      </c>
      <c r="G414" s="1">
        <v>320727</v>
      </c>
      <c r="H414" s="6" t="str">
        <f>HYPERLINK("http://www.ensembl.org/Mus_musculus/Gene/Summary?db=core;g=ENSMUSG00000040029","ENSMUSG00000040029")</f>
        <v>ENSMUSG00000040029</v>
      </c>
      <c r="I414" s="6" t="str">
        <f>HYPERLINK("http://www.informatics.jax.org/marker/MGI:2444611","MGI:2444611")</f>
        <v>MGI:2444611</v>
      </c>
      <c r="J414" s="7" t="s">
        <v>12</v>
      </c>
    </row>
    <row r="415" spans="1:10" x14ac:dyDescent="0.2">
      <c r="A415" s="3">
        <v>181.18405529688999</v>
      </c>
      <c r="B415" s="1">
        <v>-0.366527145684022</v>
      </c>
      <c r="C415" s="4">
        <v>1.00188709195982E-5</v>
      </c>
      <c r="D415" s="7">
        <v>3.61858043801958E-4</v>
      </c>
      <c r="E415" s="1" t="s">
        <v>1184</v>
      </c>
      <c r="F415" s="1" t="s">
        <v>1185</v>
      </c>
      <c r="G415" s="1">
        <v>211586</v>
      </c>
      <c r="H415" s="6" t="str">
        <f>HYPERLINK("http://www.ensembl.org/Mus_musculus/Gene/Summary?db=core;g=ENSMUSG00000032411","ENSMUSG00000032411")</f>
        <v>ENSMUSG00000032411</v>
      </c>
      <c r="I415" s="6" t="str">
        <f>HYPERLINK("http://www.informatics.jax.org/marker/MGI:107167","MGI:107167")</f>
        <v>MGI:107167</v>
      </c>
      <c r="J415" s="7" t="s">
        <v>12</v>
      </c>
    </row>
    <row r="416" spans="1:10" x14ac:dyDescent="0.2">
      <c r="A416" s="3">
        <v>750.74041134597996</v>
      </c>
      <c r="B416" s="1">
        <v>-0.30337708736401198</v>
      </c>
      <c r="C416" s="4">
        <v>1.0166522023512E-5</v>
      </c>
      <c r="D416" s="7">
        <v>3.6629307711118198E-4</v>
      </c>
      <c r="E416" s="1" t="s">
        <v>1444</v>
      </c>
      <c r="F416" s="1" t="s">
        <v>1445</v>
      </c>
      <c r="G416" s="1">
        <v>106326</v>
      </c>
      <c r="H416" s="6" t="str">
        <f>HYPERLINK("http://www.ensembl.org/Mus_musculus/Gene/Summary?db=core;g=ENSMUSG00000022807","ENSMUSG00000022807")</f>
        <v>ENSMUSG00000022807</v>
      </c>
      <c r="I416" s="6" t="str">
        <f>HYPERLINK("http://www.informatics.jax.org/marker/MGI:2146553","MGI:2146553")</f>
        <v>MGI:2146553</v>
      </c>
      <c r="J416" s="7" t="s">
        <v>12</v>
      </c>
    </row>
    <row r="417" spans="1:10" x14ac:dyDescent="0.2">
      <c r="A417" s="3">
        <v>2801.6289013333899</v>
      </c>
      <c r="B417" s="1">
        <v>-1.04867284120636</v>
      </c>
      <c r="C417" s="4">
        <v>1.0421985393016599E-5</v>
      </c>
      <c r="D417" s="7">
        <v>3.7458140671095698E-4</v>
      </c>
      <c r="E417" s="1" t="s">
        <v>303</v>
      </c>
      <c r="F417" s="1" t="s">
        <v>304</v>
      </c>
      <c r="G417" s="1">
        <v>21939</v>
      </c>
      <c r="H417" s="6" t="str">
        <f>HYPERLINK("http://www.ensembl.org/Mus_musculus/Gene/Summary?db=core;g=ENSMUSG00000017652","ENSMUSG00000017652")</f>
        <v>ENSMUSG00000017652</v>
      </c>
      <c r="I417" s="6" t="str">
        <f>HYPERLINK("http://www.informatics.jax.org/marker/MGI:88336","MGI:88336")</f>
        <v>MGI:88336</v>
      </c>
      <c r="J417" s="7" t="s">
        <v>12</v>
      </c>
    </row>
    <row r="418" spans="1:10" x14ac:dyDescent="0.2">
      <c r="A418" s="3">
        <v>488.96089059908098</v>
      </c>
      <c r="B418" s="1">
        <v>-0.76607986766063596</v>
      </c>
      <c r="C418" s="4">
        <v>1.06624640073866E-5</v>
      </c>
      <c r="D418" s="7">
        <v>3.8229214017725002E-4</v>
      </c>
      <c r="E418" s="1" t="s">
        <v>506</v>
      </c>
      <c r="F418" s="1" t="s">
        <v>507</v>
      </c>
      <c r="G418" s="1">
        <v>80911</v>
      </c>
      <c r="H418" s="6" t="str">
        <f>HYPERLINK("http://www.ensembl.org/Mus_musculus/Gene/Summary?db=core;g=ENSMUSG00000029098","ENSMUSG00000029098")</f>
        <v>ENSMUSG00000029098</v>
      </c>
      <c r="I418" s="6" t="str">
        <f>HYPERLINK("http://www.informatics.jax.org/marker/MGI:1933156","MGI:1933156")</f>
        <v>MGI:1933156</v>
      </c>
      <c r="J418" s="7" t="s">
        <v>12</v>
      </c>
    </row>
    <row r="419" spans="1:10" x14ac:dyDescent="0.2">
      <c r="A419" s="3">
        <v>17.8583971651064</v>
      </c>
      <c r="B419" s="1">
        <v>-1.2984305569249599</v>
      </c>
      <c r="C419" s="4">
        <v>1.07316865989266E-5</v>
      </c>
      <c r="D419" s="7">
        <v>3.8340286529711399E-4</v>
      </c>
      <c r="E419" s="1" t="s">
        <v>184</v>
      </c>
      <c r="F419" s="1" t="s">
        <v>185</v>
      </c>
      <c r="G419" s="1">
        <v>14859</v>
      </c>
      <c r="H419" s="6" t="str">
        <f>HYPERLINK("http://www.ensembl.org/Mus_musculus/Gene/Summary?db=core;g=ENSMUSG00000025934","ENSMUSG00000025934")</f>
        <v>ENSMUSG00000025934</v>
      </c>
      <c r="I419" s="6" t="str">
        <f>HYPERLINK("http://www.informatics.jax.org/marker/MGI:95856","MGI:95856")</f>
        <v>MGI:95856</v>
      </c>
      <c r="J419" s="7" t="s">
        <v>12</v>
      </c>
    </row>
    <row r="420" spans="1:10" x14ac:dyDescent="0.2">
      <c r="A420" s="3">
        <v>19.282963300778299</v>
      </c>
      <c r="B420" s="1">
        <v>-1.04103201152556</v>
      </c>
      <c r="C420" s="4">
        <v>1.07454793273418E-5</v>
      </c>
      <c r="D420" s="7">
        <v>3.8340286529711399E-4</v>
      </c>
      <c r="E420" s="1" t="s">
        <v>313</v>
      </c>
      <c r="F420" s="1" t="s">
        <v>314</v>
      </c>
      <c r="G420" s="1">
        <v>20342</v>
      </c>
      <c r="H420" s="6" t="str">
        <f>HYPERLINK("http://www.ensembl.org/Mus_musculus/Gene/Summary?db=core;g=ENSMUSG00000068877","ENSMUSG00000068877")</f>
        <v>ENSMUSG00000068877</v>
      </c>
      <c r="I420" s="6" t="str">
        <f>HYPERLINK("http://www.informatics.jax.org/marker/MGI:104859","MGI:104859")</f>
        <v>MGI:104859</v>
      </c>
      <c r="J420" s="7" t="s">
        <v>12</v>
      </c>
    </row>
    <row r="421" spans="1:10" x14ac:dyDescent="0.2">
      <c r="A421" s="3">
        <v>846.82617665851501</v>
      </c>
      <c r="B421" s="1">
        <v>-0.94724981241293105</v>
      </c>
      <c r="C421" s="4">
        <v>1.0972396503193699E-5</v>
      </c>
      <c r="D421" s="7">
        <v>3.9055370741802398E-4</v>
      </c>
      <c r="E421" s="1" t="s">
        <v>377</v>
      </c>
      <c r="F421" s="1" t="s">
        <v>378</v>
      </c>
      <c r="G421" s="1">
        <v>20612</v>
      </c>
      <c r="H421" s="6" t="str">
        <f>HYPERLINK("http://www.ensembl.org/Mus_musculus/Gene/Summary?db=core;g=ENSMUSG00000027322","ENSMUSG00000027322")</f>
        <v>ENSMUSG00000027322</v>
      </c>
      <c r="I421" s="6" t="str">
        <f>HYPERLINK("http://www.informatics.jax.org/marker/MGI:99668","MGI:99668")</f>
        <v>MGI:99668</v>
      </c>
      <c r="J421" s="7" t="s">
        <v>12</v>
      </c>
    </row>
    <row r="422" spans="1:10" x14ac:dyDescent="0.2">
      <c r="A422" s="3">
        <v>125.007216058986</v>
      </c>
      <c r="B422" s="1">
        <v>-0.55528613761827295</v>
      </c>
      <c r="C422" s="4">
        <v>1.1095413621104601E-5</v>
      </c>
      <c r="D422" s="7">
        <v>3.9398075932674102E-4</v>
      </c>
      <c r="E422" s="1" t="s">
        <v>755</v>
      </c>
      <c r="F422" s="1" t="s">
        <v>756</v>
      </c>
      <c r="G422" s="1">
        <v>17082</v>
      </c>
      <c r="H422" s="6" t="str">
        <f>HYPERLINK("http://www.ensembl.org/Mus_musculus/Gene/Summary?db=core;g=ENSMUSG00000026069","ENSMUSG00000026069")</f>
        <v>ENSMUSG00000026069</v>
      </c>
      <c r="I422" s="6" t="str">
        <f>HYPERLINK("http://www.informatics.jax.org/marker/MGI:98427","MGI:98427")</f>
        <v>MGI:98427</v>
      </c>
      <c r="J422" s="7" t="s">
        <v>12</v>
      </c>
    </row>
    <row r="423" spans="1:10" x14ac:dyDescent="0.2">
      <c r="A423" s="3">
        <v>2414.8417693134502</v>
      </c>
      <c r="B423" s="1">
        <v>-0.33166756321261698</v>
      </c>
      <c r="C423" s="4">
        <v>1.11734537223727E-5</v>
      </c>
      <c r="D423" s="7">
        <v>3.9578399019575398E-4</v>
      </c>
      <c r="E423" s="1" t="s">
        <v>1296</v>
      </c>
      <c r="F423" s="1" t="s">
        <v>1297</v>
      </c>
      <c r="G423" s="1">
        <v>241274</v>
      </c>
      <c r="H423" s="6" t="str">
        <f>HYPERLINK("http://www.ensembl.org/Mus_musculus/Gene/Summary?db=core;g=ENSMUSG00000036833","ENSMUSG00000036833")</f>
        <v>ENSMUSG00000036833</v>
      </c>
      <c r="I423" s="6" t="str">
        <f>HYPERLINK("http://www.informatics.jax.org/marker/MGI:2385325","MGI:2385325")</f>
        <v>MGI:2385325</v>
      </c>
      <c r="J423" s="7" t="s">
        <v>12</v>
      </c>
    </row>
    <row r="424" spans="1:10" x14ac:dyDescent="0.2">
      <c r="A424" s="3">
        <v>467.51262727541098</v>
      </c>
      <c r="B424" s="1">
        <v>0.329054208055166</v>
      </c>
      <c r="C424" s="4">
        <v>1.1199913403340799E-5</v>
      </c>
      <c r="D424" s="7">
        <v>3.9578399019575398E-4</v>
      </c>
      <c r="E424" s="1" t="s">
        <v>3052</v>
      </c>
      <c r="F424" s="1" t="s">
        <v>3053</v>
      </c>
      <c r="G424" s="1">
        <v>70556</v>
      </c>
      <c r="H424" s="6" t="str">
        <f>HYPERLINK("http://www.ensembl.org/Mus_musculus/Gene/Summary?db=core;g=ENSMUSG00000028982","ENSMUSG00000028982")</f>
        <v>ENSMUSG00000028982</v>
      </c>
      <c r="I424" s="6" t="str">
        <f>HYPERLINK("http://www.informatics.jax.org/marker/MGI:1917806","MGI:1917806")</f>
        <v>MGI:1917806</v>
      </c>
      <c r="J424" s="7" t="s">
        <v>12</v>
      </c>
    </row>
    <row r="425" spans="1:10" x14ac:dyDescent="0.2">
      <c r="A425" s="3">
        <v>1024.9337592320201</v>
      </c>
      <c r="B425" s="1">
        <v>0.201567924246916</v>
      </c>
      <c r="C425" s="4">
        <v>1.12278712675196E-5</v>
      </c>
      <c r="D425" s="7">
        <v>3.95822753584136E-4</v>
      </c>
      <c r="E425" s="1" t="s">
        <v>2612</v>
      </c>
      <c r="F425" s="1" t="s">
        <v>2613</v>
      </c>
      <c r="G425" s="1">
        <v>15502</v>
      </c>
      <c r="H425" s="6" t="str">
        <f>HYPERLINK("http://www.ensembl.org/Mus_musculus/Gene/Summary?db=core;g=ENSMUSG00000028410","ENSMUSG00000028410")</f>
        <v>ENSMUSG00000028410</v>
      </c>
      <c r="I425" s="6" t="str">
        <f>HYPERLINK("http://www.informatics.jax.org/marker/MGI:1270129","MGI:1270129")</f>
        <v>MGI:1270129</v>
      </c>
      <c r="J425" s="7" t="s">
        <v>12</v>
      </c>
    </row>
    <row r="426" spans="1:10" x14ac:dyDescent="0.2">
      <c r="A426" s="3">
        <v>48.275075607923299</v>
      </c>
      <c r="B426" s="1">
        <v>-0.94747848734616003</v>
      </c>
      <c r="C426" s="4">
        <v>1.1309851605197999E-5</v>
      </c>
      <c r="D426" s="7">
        <v>3.9696532626607502E-4</v>
      </c>
      <c r="E426" s="1" t="s">
        <v>375</v>
      </c>
      <c r="F426" s="1" t="s">
        <v>376</v>
      </c>
      <c r="G426" s="1">
        <v>66090</v>
      </c>
      <c r="H426" s="6" t="str">
        <f>HYPERLINK("http://www.ensembl.org/Mus_musculus/Gene/Summary?db=core;g=ENSMUSG00000042675","ENSMUSG00000042675")</f>
        <v>ENSMUSG00000042675</v>
      </c>
      <c r="I426" s="6" t="str">
        <f>HYPERLINK("http://www.informatics.jax.org/marker/MGI:1913340","MGI:1913340")</f>
        <v>MGI:1913340</v>
      </c>
      <c r="J426" s="7" t="s">
        <v>12</v>
      </c>
    </row>
    <row r="427" spans="1:10" x14ac:dyDescent="0.2">
      <c r="A427" s="3">
        <v>2343.1445138533199</v>
      </c>
      <c r="B427" s="1">
        <v>-0.62625875025093303</v>
      </c>
      <c r="C427" s="4">
        <v>1.1314158321915799E-5</v>
      </c>
      <c r="D427" s="7">
        <v>3.9696532626607502E-4</v>
      </c>
      <c r="E427" s="1" t="s">
        <v>632</v>
      </c>
      <c r="F427" s="1" t="s">
        <v>633</v>
      </c>
      <c r="G427" s="1">
        <v>21941</v>
      </c>
      <c r="H427" s="6" t="str">
        <f>HYPERLINK("http://www.ensembl.org/Mus_musculus/Gene/Summary?db=core;g=ENSMUSG00000028602","ENSMUSG00000028602")</f>
        <v>ENSMUSG00000028602</v>
      </c>
      <c r="I427" s="6" t="str">
        <f>HYPERLINK("http://www.informatics.jax.org/marker/MGI:99908","MGI:99908")</f>
        <v>MGI:99908</v>
      </c>
      <c r="J427" s="7" t="s">
        <v>12</v>
      </c>
    </row>
    <row r="428" spans="1:10" x14ac:dyDescent="0.2">
      <c r="A428" s="3">
        <v>5553.43840483637</v>
      </c>
      <c r="B428" s="1">
        <v>0.175378213850756</v>
      </c>
      <c r="C428" s="4">
        <v>1.1589370225695701E-5</v>
      </c>
      <c r="D428" s="7">
        <v>4.0565548609466001E-4</v>
      </c>
      <c r="E428" s="1" t="s">
        <v>2462</v>
      </c>
      <c r="F428" s="1" t="s">
        <v>2463</v>
      </c>
      <c r="G428" s="1">
        <v>85305</v>
      </c>
      <c r="H428" s="6" t="str">
        <f>HYPERLINK("http://www.ensembl.org/Mus_musculus/Gene/Summary?db=core;g=ENSMUSG00000031948","ENSMUSG00000031948")</f>
        <v>ENSMUSG00000031948</v>
      </c>
      <c r="I428" s="6" t="str">
        <f>HYPERLINK("http://www.informatics.jax.org/marker/MGI:1934754","MGI:1934754")</f>
        <v>MGI:1934754</v>
      </c>
      <c r="J428" s="7" t="s">
        <v>12</v>
      </c>
    </row>
    <row r="429" spans="1:10" x14ac:dyDescent="0.2">
      <c r="A429" s="3">
        <v>5344.9135043570004</v>
      </c>
      <c r="B429" s="1">
        <v>-0.17908462725786201</v>
      </c>
      <c r="C429" s="4">
        <v>1.1656142324431899E-5</v>
      </c>
      <c r="D429" s="7">
        <v>4.0702586088347902E-4</v>
      </c>
      <c r="E429" s="1" t="s">
        <v>2014</v>
      </c>
      <c r="F429" s="1" t="s">
        <v>2015</v>
      </c>
      <c r="G429" s="1">
        <v>268396</v>
      </c>
      <c r="H429" s="6" t="str">
        <f>HYPERLINK("http://www.ensembl.org/Mus_musculus/Gene/Summary?db=core;g=ENSMUSG00000040711","ENSMUSG00000040711")</f>
        <v>ENSMUSG00000040711</v>
      </c>
      <c r="I429" s="6" t="str">
        <f>HYPERLINK("http://www.informatics.jax.org/marker/MGI:2442062","MGI:2442062")</f>
        <v>MGI:2442062</v>
      </c>
      <c r="J429" s="7" t="s">
        <v>12</v>
      </c>
    </row>
    <row r="430" spans="1:10" x14ac:dyDescent="0.2">
      <c r="A430" s="3">
        <v>4591.7364432232698</v>
      </c>
      <c r="B430" s="1">
        <v>-0.57912894779785196</v>
      </c>
      <c r="C430" s="4">
        <v>1.1890887465302301E-5</v>
      </c>
      <c r="D430" s="7">
        <v>4.1424141297563701E-4</v>
      </c>
      <c r="E430" s="1" t="s">
        <v>705</v>
      </c>
      <c r="F430" s="1" t="s">
        <v>706</v>
      </c>
      <c r="G430" s="1">
        <v>13733</v>
      </c>
      <c r="H430" s="6" t="str">
        <f>HYPERLINK("http://www.ensembl.org/Mus_musculus/Gene/Summary?db=core;g=ENSMUSG00000004730","ENSMUSG00000004730")</f>
        <v>ENSMUSG00000004730</v>
      </c>
      <c r="I430" s="6" t="str">
        <f>HYPERLINK("http://www.informatics.jax.org/marker/MGI:106912","MGI:106912")</f>
        <v>MGI:106912</v>
      </c>
      <c r="J430" s="7" t="s">
        <v>12</v>
      </c>
    </row>
    <row r="431" spans="1:10" x14ac:dyDescent="0.2">
      <c r="A431" s="3">
        <v>19.188753114667001</v>
      </c>
      <c r="B431" s="1">
        <v>-1.0310401118200401</v>
      </c>
      <c r="C431" s="4">
        <v>1.1994749887958701E-5</v>
      </c>
      <c r="D431" s="7">
        <v>4.1687413761546998E-4</v>
      </c>
      <c r="E431" s="1" t="s">
        <v>322</v>
      </c>
      <c r="F431" s="1" t="s">
        <v>323</v>
      </c>
      <c r="G431" s="1">
        <v>68515</v>
      </c>
      <c r="H431" s="6" t="str">
        <f>HYPERLINK("http://www.ensembl.org/Mus_musculus/Gene/Summary?db=core;g=ENSMUSG00000025141","ENSMUSG00000025141")</f>
        <v>ENSMUSG00000025141</v>
      </c>
      <c r="I431" s="6" t="str">
        <f>HYPERLINK("http://www.informatics.jax.org/marker/MGI:1915765","MGI:1915765")</f>
        <v>MGI:1915765</v>
      </c>
      <c r="J431" s="7" t="s">
        <v>12</v>
      </c>
    </row>
    <row r="432" spans="1:10" x14ac:dyDescent="0.2">
      <c r="A432" s="3">
        <v>1169.6480172389699</v>
      </c>
      <c r="B432" s="1">
        <v>-0.25818950557925302</v>
      </c>
      <c r="C432" s="4">
        <v>1.2116364992525199E-5</v>
      </c>
      <c r="D432" s="7">
        <v>4.2011001065847401E-4</v>
      </c>
      <c r="E432" s="1" t="s">
        <v>1626</v>
      </c>
      <c r="F432" s="1" t="s">
        <v>1627</v>
      </c>
      <c r="G432" s="1">
        <v>21982</v>
      </c>
      <c r="H432" s="6" t="str">
        <f>HYPERLINK("http://www.ensembl.org/Mus_musculus/Gene/Summary?db=core;g=ENSMUSG00000029234","ENSMUSG00000029234")</f>
        <v>ENSMUSG00000029234</v>
      </c>
      <c r="I432" s="6" t="str">
        <f>HYPERLINK("http://www.informatics.jax.org/marker/MGI:894407","MGI:894407")</f>
        <v>MGI:894407</v>
      </c>
      <c r="J432" s="7" t="s">
        <v>12</v>
      </c>
    </row>
    <row r="433" spans="1:10" x14ac:dyDescent="0.2">
      <c r="A433" s="3">
        <v>2383.99053569528</v>
      </c>
      <c r="B433" s="1">
        <v>-0.36026967769614199</v>
      </c>
      <c r="C433" s="4">
        <v>1.28867931903239E-5</v>
      </c>
      <c r="D433" s="7">
        <v>4.4577414190754102E-4</v>
      </c>
      <c r="E433" s="1" t="s">
        <v>1204</v>
      </c>
      <c r="F433" s="1" t="s">
        <v>1205</v>
      </c>
      <c r="G433" s="1">
        <v>215113</v>
      </c>
      <c r="H433" s="6" t="str">
        <f>HYPERLINK("http://www.ensembl.org/Mus_musculus/Gene/Summary?db=core;g=ENSMUSG00000038178","ENSMUSG00000038178")</f>
        <v>ENSMUSG00000038178</v>
      </c>
      <c r="I433" s="6" t="str">
        <f>HYPERLINK("http://www.informatics.jax.org/marker/MGI:2442746","MGI:2442746")</f>
        <v>MGI:2442746</v>
      </c>
      <c r="J433" s="7" t="s">
        <v>12</v>
      </c>
    </row>
    <row r="434" spans="1:10" x14ac:dyDescent="0.2">
      <c r="A434" s="3">
        <v>62.743404957702303</v>
      </c>
      <c r="B434" s="1">
        <v>-0.62220077118050698</v>
      </c>
      <c r="C434" s="4">
        <v>1.34034283878071E-5</v>
      </c>
      <c r="D434" s="7">
        <v>4.6176544397397298E-4</v>
      </c>
      <c r="E434" s="1" t="s">
        <v>642</v>
      </c>
      <c r="F434" s="1" t="s">
        <v>643</v>
      </c>
      <c r="G434" s="1">
        <v>20677</v>
      </c>
      <c r="H434" s="6" t="str">
        <f>HYPERLINK("http://www.ensembl.org/Mus_musculus/Gene/Summary?db=core;g=ENSMUSG00000076431","ENSMUSG00000076431")</f>
        <v>ENSMUSG00000076431</v>
      </c>
      <c r="I434" s="6" t="str">
        <f>HYPERLINK("http://www.informatics.jax.org/marker/MGI:98366","MGI:98366")</f>
        <v>MGI:98366</v>
      </c>
      <c r="J434" s="7" t="s">
        <v>12</v>
      </c>
    </row>
    <row r="435" spans="1:10" x14ac:dyDescent="0.2">
      <c r="A435" s="3">
        <v>530.79079163224503</v>
      </c>
      <c r="B435" s="1">
        <v>-0.46098835659022203</v>
      </c>
      <c r="C435" s="4">
        <v>1.34117542087989E-5</v>
      </c>
      <c r="D435" s="7">
        <v>4.6176544397397298E-4</v>
      </c>
      <c r="E435" s="1" t="s">
        <v>909</v>
      </c>
      <c r="F435" s="1" t="s">
        <v>910</v>
      </c>
      <c r="G435" s="1">
        <v>75785</v>
      </c>
      <c r="H435" s="6" t="str">
        <f>HYPERLINK("http://www.ensembl.org/Mus_musculus/Gene/Summary?db=core;g=ENSMUSG00000062901","ENSMUSG00000062901")</f>
        <v>ENSMUSG00000062901</v>
      </c>
      <c r="I435" s="6" t="str">
        <f>HYPERLINK("http://www.informatics.jax.org/marker/MGI:1923035","MGI:1923035")</f>
        <v>MGI:1923035</v>
      </c>
      <c r="J435" s="7" t="s">
        <v>12</v>
      </c>
    </row>
    <row r="436" spans="1:10" x14ac:dyDescent="0.2">
      <c r="A436" s="3">
        <v>3.5354882400378398</v>
      </c>
      <c r="B436" s="1">
        <v>1.9478913009062599</v>
      </c>
      <c r="C436" s="4">
        <v>1.35257008280646E-5</v>
      </c>
      <c r="D436" s="7">
        <v>4.64603094177995E-4</v>
      </c>
      <c r="E436" s="1" t="s">
        <v>3373</v>
      </c>
      <c r="F436" s="1" t="s">
        <v>3374</v>
      </c>
      <c r="G436" s="1">
        <v>21949</v>
      </c>
      <c r="H436" s="6" t="str">
        <f>HYPERLINK("http://www.ensembl.org/Mus_musculus/Gene/Summary?db=core;g=ENSMUSG00000028362","ENSMUSG00000028362")</f>
        <v>ENSMUSG00000028362</v>
      </c>
      <c r="I436" s="6" t="str">
        <f>HYPERLINK("http://www.informatics.jax.org/marker/MGI:88328","MGI:88328")</f>
        <v>MGI:88328</v>
      </c>
      <c r="J436" s="7" t="s">
        <v>12</v>
      </c>
    </row>
    <row r="437" spans="1:10" x14ac:dyDescent="0.2">
      <c r="A437" s="3">
        <v>6604.9723348534999</v>
      </c>
      <c r="B437" s="1">
        <v>0.160856783323681</v>
      </c>
      <c r="C437" s="4">
        <v>1.36551180401447E-5</v>
      </c>
      <c r="D437" s="7">
        <v>4.6795771962691298E-4</v>
      </c>
      <c r="E437" s="1" t="s">
        <v>2372</v>
      </c>
      <c r="F437" s="1" t="s">
        <v>2373</v>
      </c>
      <c r="G437" s="1">
        <v>24015</v>
      </c>
      <c r="H437" s="6" t="str">
        <f>HYPERLINK("http://www.ensembl.org/Mus_musculus/Gene/Summary?db=core;g=ENSMUSG00000058355","ENSMUSG00000058355")</f>
        <v>ENSMUSG00000058355</v>
      </c>
      <c r="I437" s="6" t="str">
        <f>HYPERLINK("http://www.informatics.jax.org/marker/MGI:1195458","MGI:1195458")</f>
        <v>MGI:1195458</v>
      </c>
      <c r="J437" s="7" t="s">
        <v>12</v>
      </c>
    </row>
    <row r="438" spans="1:10" x14ac:dyDescent="0.2">
      <c r="A438" s="3">
        <v>6.5235908416129904</v>
      </c>
      <c r="B438" s="1">
        <v>1.77270429007842</v>
      </c>
      <c r="C438" s="4">
        <v>1.40449294755574E-5</v>
      </c>
      <c r="D438" s="7">
        <v>4.8019972332207498E-4</v>
      </c>
      <c r="E438" s="1" t="s">
        <v>3369</v>
      </c>
      <c r="F438" s="1" t="s">
        <v>3370</v>
      </c>
      <c r="G438" s="1">
        <v>14709</v>
      </c>
      <c r="H438" s="6" t="str">
        <f>HYPERLINK("http://www.ensembl.org/Mus_musculus/Gene/Summary?db=core;g=ENSMUSG00000063594","ENSMUSG00000063594")</f>
        <v>ENSMUSG00000063594</v>
      </c>
      <c r="I438" s="6" t="str">
        <f>HYPERLINK("http://www.informatics.jax.org/marker/MGI:109163","MGI:109163")</f>
        <v>MGI:109163</v>
      </c>
      <c r="J438" s="7" t="s">
        <v>12</v>
      </c>
    </row>
    <row r="439" spans="1:10" x14ac:dyDescent="0.2">
      <c r="A439" s="3">
        <v>15.9356890201044</v>
      </c>
      <c r="B439" s="1">
        <v>-1.53567620040611</v>
      </c>
      <c r="C439" s="4">
        <v>1.47413888354274E-5</v>
      </c>
      <c r="D439" s="7">
        <v>5.0284515249735798E-4</v>
      </c>
      <c r="E439" s="1" t="s">
        <v>124</v>
      </c>
      <c r="F439" s="1" t="s">
        <v>125</v>
      </c>
      <c r="G439" s="1">
        <v>619297</v>
      </c>
      <c r="H439" s="6" t="str">
        <f>HYPERLINK("http://www.ensembl.org/Mus_musculus/Gene/Summary?db=core;g=ENSMUSG00000108900","ENSMUSG00000108900")</f>
        <v>ENSMUSG00000108900</v>
      </c>
      <c r="I439" s="6" t="str">
        <f>HYPERLINK("http://www.informatics.jax.org/marker/MGI:3588239","MGI:3588239")</f>
        <v>MGI:3588239</v>
      </c>
      <c r="J439" s="7" t="s">
        <v>12</v>
      </c>
    </row>
    <row r="440" spans="1:10" x14ac:dyDescent="0.2">
      <c r="A440" s="3">
        <v>565.239690908493</v>
      </c>
      <c r="B440" s="1">
        <v>-0.70142048037443705</v>
      </c>
      <c r="C440" s="4">
        <v>1.4819632719422299E-5</v>
      </c>
      <c r="D440" s="7">
        <v>5.0434666917645798E-4</v>
      </c>
      <c r="E440" s="1" t="s">
        <v>558</v>
      </c>
      <c r="F440" s="1" t="s">
        <v>559</v>
      </c>
      <c r="G440" s="1">
        <v>12494</v>
      </c>
      <c r="H440" s="6" t="str">
        <f>HYPERLINK("http://www.ensembl.org/Mus_musculus/Gene/Summary?db=core;g=ENSMUSG00000029084","ENSMUSG00000029084")</f>
        <v>ENSMUSG00000029084</v>
      </c>
      <c r="I440" s="6" t="str">
        <f>HYPERLINK("http://www.informatics.jax.org/marker/MGI:107474","MGI:107474")</f>
        <v>MGI:107474</v>
      </c>
      <c r="J440" s="7" t="s">
        <v>12</v>
      </c>
    </row>
    <row r="441" spans="1:10" x14ac:dyDescent="0.2">
      <c r="A441" s="3">
        <v>12.5086616613172</v>
      </c>
      <c r="B441" s="1">
        <v>-1.32461351456718</v>
      </c>
      <c r="C441" s="4">
        <v>1.49334889292345E-5</v>
      </c>
      <c r="D441" s="7">
        <v>5.0705044438064295E-4</v>
      </c>
      <c r="E441" s="1" t="s">
        <v>176</v>
      </c>
      <c r="F441" s="1" t="s">
        <v>177</v>
      </c>
      <c r="G441" s="1">
        <v>11606</v>
      </c>
      <c r="H441" s="6" t="str">
        <f>HYPERLINK("http://www.ensembl.org/Mus_musculus/Gene/Summary?db=core;g=ENSMUSG00000031980","ENSMUSG00000031980")</f>
        <v>ENSMUSG00000031980</v>
      </c>
      <c r="I441" s="6" t="str">
        <f>HYPERLINK("http://www.informatics.jax.org/marker/MGI:87963","MGI:87963")</f>
        <v>MGI:87963</v>
      </c>
      <c r="J441" s="7" t="s">
        <v>12</v>
      </c>
    </row>
    <row r="442" spans="1:10" x14ac:dyDescent="0.2">
      <c r="A442" s="3">
        <v>127.844280570115</v>
      </c>
      <c r="B442" s="1">
        <v>-0.96943163087040796</v>
      </c>
      <c r="C442" s="4">
        <v>1.5087245811287E-5</v>
      </c>
      <c r="D442" s="7">
        <v>5.1046854445065495E-4</v>
      </c>
      <c r="E442" s="1" t="s">
        <v>359</v>
      </c>
      <c r="F442" s="1" t="s">
        <v>360</v>
      </c>
      <c r="G442" s="1">
        <v>105886299</v>
      </c>
      <c r="H442" s="6" t="str">
        <f>HYPERLINK("http://www.ensembl.org/Mus_musculus/Gene/Summary?db=core;g=ENSMUSG00000109350","ENSMUSG00000109350")</f>
        <v>ENSMUSG00000109350</v>
      </c>
      <c r="I442" s="6" t="str">
        <f>HYPERLINK("http://www.informatics.jax.org/marker/MGI:5753381","MGI:5753381")</f>
        <v>MGI:5753381</v>
      </c>
      <c r="J442" s="7" t="s">
        <v>12</v>
      </c>
    </row>
    <row r="443" spans="1:10" x14ac:dyDescent="0.2">
      <c r="A443" s="3">
        <v>2358.5313334677398</v>
      </c>
      <c r="B443" s="1">
        <v>0.33576957998977702</v>
      </c>
      <c r="C443" s="4">
        <v>1.51034395616507E-5</v>
      </c>
      <c r="D443" s="7">
        <v>5.1046854445065495E-4</v>
      </c>
      <c r="E443" s="1" t="s">
        <v>3068</v>
      </c>
      <c r="F443" s="1" t="s">
        <v>3069</v>
      </c>
      <c r="G443" s="1">
        <v>12035</v>
      </c>
      <c r="H443" s="6" t="str">
        <f>HYPERLINK("http://www.ensembl.org/Mus_musculus/Gene/Summary?db=core;g=ENSMUSG00000030268","ENSMUSG00000030268")</f>
        <v>ENSMUSG00000030268</v>
      </c>
      <c r="I443" s="6" t="str">
        <f>HYPERLINK("http://www.informatics.jax.org/marker/MGI:104861","MGI:104861")</f>
        <v>MGI:104861</v>
      </c>
      <c r="J443" s="7" t="s">
        <v>12</v>
      </c>
    </row>
    <row r="444" spans="1:10" x14ac:dyDescent="0.2">
      <c r="A444" s="3">
        <v>572.66370204198495</v>
      </c>
      <c r="B444" s="1">
        <v>-0.26815278268817699</v>
      </c>
      <c r="C444" s="4">
        <v>1.5181457622990901E-5</v>
      </c>
      <c r="D444" s="7">
        <v>5.11931257511198E-4</v>
      </c>
      <c r="E444" s="1" t="s">
        <v>1582</v>
      </c>
      <c r="F444" s="1" t="s">
        <v>1583</v>
      </c>
      <c r="G444" s="1">
        <v>207806</v>
      </c>
      <c r="H444" s="6" t="str">
        <f>HYPERLINK("http://www.ensembl.org/Mus_musculus/Gene/Summary?db=core;g=ENSMUSG00000068284","ENSMUSG00000068284")</f>
        <v>ENSMUSG00000068284</v>
      </c>
      <c r="I444" s="6" t="str">
        <f>HYPERLINK("http://www.informatics.jax.org/marker/MGI:2685454","MGI:2685454")</f>
        <v>MGI:2685454</v>
      </c>
      <c r="J444" s="7" t="s">
        <v>12</v>
      </c>
    </row>
    <row r="445" spans="1:10" x14ac:dyDescent="0.2">
      <c r="A445" s="3">
        <v>578.01625070945499</v>
      </c>
      <c r="B445" s="1">
        <v>-0.63204896846195902</v>
      </c>
      <c r="C445" s="4">
        <v>1.5494037397091199E-5</v>
      </c>
      <c r="D445" s="7">
        <v>5.2127884722268504E-4</v>
      </c>
      <c r="E445" s="1" t="s">
        <v>620</v>
      </c>
      <c r="F445" s="1" t="s">
        <v>621</v>
      </c>
      <c r="G445" s="1">
        <v>74048</v>
      </c>
      <c r="H445" s="6" t="str">
        <f>HYPERLINK("http://www.ensembl.org/Mus_musculus/Gene/Summary?db=core;g=ENSMUSG00000020101","ENSMUSG00000020101")</f>
        <v>ENSMUSG00000020101</v>
      </c>
      <c r="I445" s="6" t="str">
        <f>HYPERLINK("http://www.informatics.jax.org/marker/MGI:1921298","MGI:1921298")</f>
        <v>MGI:1921298</v>
      </c>
      <c r="J445" s="7" t="s">
        <v>12</v>
      </c>
    </row>
    <row r="446" spans="1:10" x14ac:dyDescent="0.2">
      <c r="A446" s="3">
        <v>528.78569418050199</v>
      </c>
      <c r="B446" s="1">
        <v>-0.38614909407306602</v>
      </c>
      <c r="C446" s="4">
        <v>1.5626649518071701E-5</v>
      </c>
      <c r="D446" s="7">
        <v>5.2454284122620699E-4</v>
      </c>
      <c r="E446" s="1" t="s">
        <v>1125</v>
      </c>
      <c r="F446" s="1" t="s">
        <v>1126</v>
      </c>
      <c r="G446" s="1">
        <v>235380</v>
      </c>
      <c r="H446" s="6" t="str">
        <f>HYPERLINK("http://www.ensembl.org/Mus_musculus/Gene/Summary?db=core;g=ENSMUSG00000041268","ENSMUSG00000041268")</f>
        <v>ENSMUSG00000041268</v>
      </c>
      <c r="I446" s="6" t="str">
        <f>HYPERLINK("http://www.informatics.jax.org/marker/MGI:2444630","MGI:2444630")</f>
        <v>MGI:2444630</v>
      </c>
      <c r="J446" s="7" t="s">
        <v>12</v>
      </c>
    </row>
    <row r="447" spans="1:10" x14ac:dyDescent="0.2">
      <c r="A447" s="3">
        <v>10780.0721442023</v>
      </c>
      <c r="B447" s="1">
        <v>0.21885324021123601</v>
      </c>
      <c r="C447" s="4">
        <v>1.5869291666738901E-5</v>
      </c>
      <c r="D447" s="7">
        <v>5.3147700454787296E-4</v>
      </c>
      <c r="E447" s="1" t="s">
        <v>2722</v>
      </c>
      <c r="F447" s="1" t="s">
        <v>2723</v>
      </c>
      <c r="G447" s="1">
        <v>56449</v>
      </c>
      <c r="H447" s="6" t="str">
        <f>HYPERLINK("http://www.ensembl.org/Mus_musculus/Gene/Summary?db=core;g=ENSMUSG00000030189","ENSMUSG00000030189")</f>
        <v>ENSMUSG00000030189</v>
      </c>
      <c r="I447" s="6" t="str">
        <f>HYPERLINK("http://www.informatics.jax.org/marker/MGI:2137670","MGI:2137670")</f>
        <v>MGI:2137670</v>
      </c>
      <c r="J447" s="7" t="s">
        <v>12</v>
      </c>
    </row>
    <row r="448" spans="1:10" x14ac:dyDescent="0.2">
      <c r="A448" s="3">
        <v>248.91977889457701</v>
      </c>
      <c r="B448" s="1">
        <v>-0.53263785127863805</v>
      </c>
      <c r="C448" s="4">
        <v>1.6016604430242101E-5</v>
      </c>
      <c r="D448" s="7">
        <v>5.3519429225407805E-4</v>
      </c>
      <c r="E448" s="1" t="s">
        <v>783</v>
      </c>
      <c r="F448" s="1" t="s">
        <v>784</v>
      </c>
      <c r="G448" s="1">
        <v>24014</v>
      </c>
      <c r="H448" s="6" t="str">
        <f>HYPERLINK("http://www.ensembl.org/Mus_musculus/Gene/Summary?db=core;g=ENSMUSG00000066800","ENSMUSG00000066800")</f>
        <v>ENSMUSG00000066800</v>
      </c>
      <c r="I448" s="6" t="str">
        <f>HYPERLINK("http://www.informatics.jax.org/marker/MGI:1098272","MGI:1098272")</f>
        <v>MGI:1098272</v>
      </c>
      <c r="J448" s="7" t="s">
        <v>12</v>
      </c>
    </row>
    <row r="449" spans="1:10" x14ac:dyDescent="0.2">
      <c r="A449" s="3">
        <v>15.2008991504745</v>
      </c>
      <c r="B449" s="1">
        <v>-1.2747701877786</v>
      </c>
      <c r="C449" s="4">
        <v>1.6199390787921302E-5</v>
      </c>
      <c r="D449" s="7">
        <v>5.4007742681178397E-4</v>
      </c>
      <c r="E449" s="1" t="s">
        <v>197</v>
      </c>
      <c r="F449" s="1" t="s">
        <v>198</v>
      </c>
      <c r="G449" s="1">
        <v>208634</v>
      </c>
      <c r="H449" s="6" t="str">
        <f>HYPERLINK("http://www.ensembl.org/Mus_musculus/Gene/Summary?db=core;g=ENSMUSG00000039691","ENSMUSG00000039691")</f>
        <v>ENSMUSG00000039691</v>
      </c>
      <c r="I449" s="6" t="str">
        <f>HYPERLINK("http://www.informatics.jax.org/marker/MGI:2384781","MGI:2384781")</f>
        <v>MGI:2384781</v>
      </c>
      <c r="J449" s="7" t="s">
        <v>12</v>
      </c>
    </row>
    <row r="450" spans="1:10" x14ac:dyDescent="0.2">
      <c r="A450" s="3">
        <v>877.27013337475796</v>
      </c>
      <c r="B450" s="1">
        <v>-1.03704016770365</v>
      </c>
      <c r="C450" s="4">
        <v>1.62815532680126E-5</v>
      </c>
      <c r="D450" s="7">
        <v>5.4159135204838395E-4</v>
      </c>
      <c r="E450" s="1" t="s">
        <v>317</v>
      </c>
      <c r="F450" s="1" t="s">
        <v>318</v>
      </c>
      <c r="G450" s="1">
        <v>246728</v>
      </c>
      <c r="H450" s="6" t="str">
        <f>HYPERLINK("http://www.ensembl.org/Mus_musculus/Gene/Summary?db=core;g=ENSMUSG00000032690","ENSMUSG00000032690")</f>
        <v>ENSMUSG00000032690</v>
      </c>
      <c r="I450" s="6" t="str">
        <f>HYPERLINK("http://www.informatics.jax.org/marker/MGI:2180852","MGI:2180852")</f>
        <v>MGI:2180852</v>
      </c>
      <c r="J450" s="7" t="s">
        <v>12</v>
      </c>
    </row>
    <row r="451" spans="1:10" x14ac:dyDescent="0.2">
      <c r="A451" s="3">
        <v>101.38258259847299</v>
      </c>
      <c r="B451" s="1">
        <v>-0.91186869068536103</v>
      </c>
      <c r="C451" s="4">
        <v>1.6665716272437999E-5</v>
      </c>
      <c r="D451" s="7">
        <v>5.5312161033929403E-4</v>
      </c>
      <c r="E451" s="1" t="s">
        <v>399</v>
      </c>
      <c r="F451" s="1" t="s">
        <v>400</v>
      </c>
      <c r="G451" s="1">
        <v>16985</v>
      </c>
      <c r="H451" s="6" t="str">
        <f>HYPERLINK("http://www.ensembl.org/Mus_musculus/Gene/Summary?db=core;g=ENSMUSG00000018819","ENSMUSG00000018819")</f>
        <v>ENSMUSG00000018819</v>
      </c>
      <c r="I451" s="6" t="str">
        <f>HYPERLINK("http://www.informatics.jax.org/marker/MGI:96832","MGI:96832")</f>
        <v>MGI:96832</v>
      </c>
      <c r="J451" s="7" t="s">
        <v>12</v>
      </c>
    </row>
    <row r="452" spans="1:10" x14ac:dyDescent="0.2">
      <c r="A452" s="3">
        <v>1411.8026544550501</v>
      </c>
      <c r="B452" s="1">
        <v>-0.37466699077012899</v>
      </c>
      <c r="C452" s="4">
        <v>1.6810908856710801E-5</v>
      </c>
      <c r="D452" s="7">
        <v>5.5663980786304398E-4</v>
      </c>
      <c r="E452" s="1" t="s">
        <v>1154</v>
      </c>
      <c r="F452" s="1" t="s">
        <v>1155</v>
      </c>
      <c r="G452" s="1">
        <v>12453</v>
      </c>
      <c r="H452" s="6" t="str">
        <f>HYPERLINK("http://www.ensembl.org/Mus_musculus/Gene/Summary?db=core;g=ENSMUSG00000063015","ENSMUSG00000063015")</f>
        <v>ENSMUSG00000063015</v>
      </c>
      <c r="I452" s="6" t="str">
        <f>HYPERLINK("http://www.informatics.jax.org/marker/MGI:1341077","MGI:1341077")</f>
        <v>MGI:1341077</v>
      </c>
      <c r="J452" s="7" t="s">
        <v>12</v>
      </c>
    </row>
    <row r="453" spans="1:10" x14ac:dyDescent="0.2">
      <c r="A453" s="3">
        <v>1396.7028409547599</v>
      </c>
      <c r="B453" s="1">
        <v>0.226582352886915</v>
      </c>
      <c r="C453" s="4">
        <v>1.68472688861915E-5</v>
      </c>
      <c r="D453" s="7">
        <v>5.5663980786304398E-4</v>
      </c>
      <c r="E453" s="1" t="s">
        <v>2768</v>
      </c>
      <c r="F453" s="1" t="s">
        <v>2769</v>
      </c>
      <c r="G453" s="1">
        <v>70601</v>
      </c>
      <c r="H453" s="6" t="str">
        <f>HYPERLINK("http://www.ensembl.org/Mus_musculus/Gene/Summary?db=core;g=ENSMUSG00000021810","ENSMUSG00000021810")</f>
        <v>ENSMUSG00000021810</v>
      </c>
      <c r="I453" s="6" t="str">
        <f>HYPERLINK("http://www.informatics.jax.org/marker/MGI:1917851","MGI:1917851")</f>
        <v>MGI:1917851</v>
      </c>
      <c r="J453" s="7" t="s">
        <v>12</v>
      </c>
    </row>
    <row r="454" spans="1:10" x14ac:dyDescent="0.2">
      <c r="A454" s="3">
        <v>1342.79475557822</v>
      </c>
      <c r="B454" s="1">
        <v>-0.418639695622056</v>
      </c>
      <c r="C454" s="4">
        <v>1.69678580638304E-5</v>
      </c>
      <c r="D454" s="7">
        <v>5.5936992489620703E-4</v>
      </c>
      <c r="E454" s="1" t="s">
        <v>1055</v>
      </c>
      <c r="F454" s="1" t="s">
        <v>1056</v>
      </c>
      <c r="G454" s="1">
        <v>54712</v>
      </c>
      <c r="H454" s="6" t="str">
        <f>HYPERLINK("http://www.ensembl.org/Mus_musculus/Gene/Summary?db=core;g=ENSMUSG00000074785","ENSMUSG00000074785")</f>
        <v>ENSMUSG00000074785</v>
      </c>
      <c r="I454" s="6" t="str">
        <f>HYPERLINK("http://www.informatics.jax.org/marker/MGI:1890127","MGI:1890127")</f>
        <v>MGI:1890127</v>
      </c>
      <c r="J454" s="7" t="s">
        <v>12</v>
      </c>
    </row>
    <row r="455" spans="1:10" x14ac:dyDescent="0.2">
      <c r="A455" s="3">
        <v>3027.0075103824402</v>
      </c>
      <c r="B455" s="1">
        <v>0.21541143628432299</v>
      </c>
      <c r="C455" s="4">
        <v>1.7128331918428499E-5</v>
      </c>
      <c r="D455" s="7">
        <v>5.6339977488831E-4</v>
      </c>
      <c r="E455" s="1" t="s">
        <v>2706</v>
      </c>
      <c r="F455" s="1" t="s">
        <v>2707</v>
      </c>
      <c r="G455" s="1">
        <v>213895</v>
      </c>
      <c r="H455" s="6" t="str">
        <f>HYPERLINK("http://www.ensembl.org/Mus_musculus/Gene/Summary?db=core;g=ENSMUSG00000030138","ENSMUSG00000030138")</f>
        <v>ENSMUSG00000030138</v>
      </c>
      <c r="I455" s="6" t="str">
        <f>HYPERLINK("http://www.informatics.jax.org/marker/MGI:2446132","MGI:2446132")</f>
        <v>MGI:2446132</v>
      </c>
      <c r="J455" s="7" t="s">
        <v>12</v>
      </c>
    </row>
    <row r="456" spans="1:10" x14ac:dyDescent="0.2">
      <c r="A456" s="3">
        <v>4755.08994109383</v>
      </c>
      <c r="B456" s="1">
        <v>0.17016754712499099</v>
      </c>
      <c r="C456" s="4">
        <v>1.7404059487786101E-5</v>
      </c>
      <c r="D456" s="7">
        <v>5.6992493469336803E-4</v>
      </c>
      <c r="E456" s="1" t="s">
        <v>2424</v>
      </c>
      <c r="F456" s="1" t="s">
        <v>2425</v>
      </c>
      <c r="G456" s="1">
        <v>15505</v>
      </c>
      <c r="H456" s="6" t="str">
        <f>HYPERLINK("http://www.ensembl.org/Mus_musculus/Gene/Summary?db=core;g=ENSMUSG00000029657","ENSMUSG00000029657")</f>
        <v>ENSMUSG00000029657</v>
      </c>
      <c r="I456" s="6" t="str">
        <f>HYPERLINK("http://www.informatics.jax.org/marker/MGI:105053","MGI:105053")</f>
        <v>MGI:105053</v>
      </c>
      <c r="J456" s="7" t="s">
        <v>12</v>
      </c>
    </row>
    <row r="457" spans="1:10" x14ac:dyDescent="0.2">
      <c r="A457" s="3">
        <v>8333.2839806051106</v>
      </c>
      <c r="B457" s="1">
        <v>0.265058760922112</v>
      </c>
      <c r="C457" s="4">
        <v>1.7369263930358599E-5</v>
      </c>
      <c r="D457" s="7">
        <v>5.6992493469336803E-4</v>
      </c>
      <c r="E457" s="1" t="s">
        <v>2920</v>
      </c>
      <c r="F457" s="1" t="s">
        <v>2921</v>
      </c>
      <c r="G457" s="1">
        <v>217869</v>
      </c>
      <c r="H457" s="6" t="str">
        <f>HYPERLINK("http://www.ensembl.org/Mus_musculus/Gene/Summary?db=core;g=ENSMUSG00000021282","ENSMUSG00000021282")</f>
        <v>ENSMUSG00000021282</v>
      </c>
      <c r="I457" s="6" t="str">
        <f>HYPERLINK("http://www.informatics.jax.org/marker/MGI:95309","MGI:95309")</f>
        <v>MGI:95309</v>
      </c>
      <c r="J457" s="7" t="s">
        <v>12</v>
      </c>
    </row>
    <row r="458" spans="1:10" x14ac:dyDescent="0.2">
      <c r="A458" s="3">
        <v>947.49204638330298</v>
      </c>
      <c r="B458" s="1">
        <v>-0.29451669404800401</v>
      </c>
      <c r="C458" s="4">
        <v>1.75399062100175E-5</v>
      </c>
      <c r="D458" s="7">
        <v>5.7208495321849605E-4</v>
      </c>
      <c r="E458" s="1" t="s">
        <v>1474</v>
      </c>
      <c r="F458" s="1" t="s">
        <v>1475</v>
      </c>
      <c r="G458" s="1">
        <v>14702</v>
      </c>
      <c r="H458" s="6" t="str">
        <f>HYPERLINK("http://www.ensembl.org/Mus_musculus/Gene/Summary?db=core;g=ENSMUSG00000043004","ENSMUSG00000043004")</f>
        <v>ENSMUSG00000043004</v>
      </c>
      <c r="I458" s="6" t="str">
        <f>HYPERLINK("http://www.informatics.jax.org/marker/MGI:102705","MGI:102705")</f>
        <v>MGI:102705</v>
      </c>
      <c r="J458" s="7" t="s">
        <v>12</v>
      </c>
    </row>
    <row r="459" spans="1:10" x14ac:dyDescent="0.2">
      <c r="A459" s="3">
        <v>826.45184280272201</v>
      </c>
      <c r="B459" s="1">
        <v>-0.234750149976761</v>
      </c>
      <c r="C459" s="4">
        <v>1.7547665503173199E-5</v>
      </c>
      <c r="D459" s="7">
        <v>5.7208495321849605E-4</v>
      </c>
      <c r="E459" s="1" t="s">
        <v>1736</v>
      </c>
      <c r="F459" s="1" t="s">
        <v>1737</v>
      </c>
      <c r="G459" s="1">
        <v>211446</v>
      </c>
      <c r="H459" s="6" t="str">
        <f>HYPERLINK("http://www.ensembl.org/Mus_musculus/Gene/Summary?db=core;g=ENSMUSG00000034152","ENSMUSG00000034152")</f>
        <v>ENSMUSG00000034152</v>
      </c>
      <c r="I459" s="6" t="str">
        <f>HYPERLINK("http://www.informatics.jax.org/marker/MGI:2443972","MGI:2443972")</f>
        <v>MGI:2443972</v>
      </c>
      <c r="J459" s="7" t="s">
        <v>12</v>
      </c>
    </row>
    <row r="460" spans="1:10" x14ac:dyDescent="0.2">
      <c r="A460" s="3">
        <v>28.585421013178198</v>
      </c>
      <c r="B460" s="1">
        <v>-1.3033640612239801</v>
      </c>
      <c r="C460" s="4">
        <v>1.82192337541693E-5</v>
      </c>
      <c r="D460" s="7">
        <v>5.9238128467767499E-4</v>
      </c>
      <c r="E460" s="1" t="s">
        <v>182</v>
      </c>
      <c r="F460" s="1" t="s">
        <v>183</v>
      </c>
      <c r="G460" s="1">
        <v>230979</v>
      </c>
      <c r="H460" s="6" t="str">
        <f>HYPERLINK("http://www.ensembl.org/Mus_musculus/Gene/Summary?db=core;g=ENSMUSG00000042333","ENSMUSG00000042333")</f>
        <v>ENSMUSG00000042333</v>
      </c>
      <c r="I460" s="6" t="str">
        <f>HYPERLINK("http://www.informatics.jax.org/marker/MGI:2675303","MGI:2675303")</f>
        <v>MGI:2675303</v>
      </c>
      <c r="J460" s="7" t="s">
        <v>12</v>
      </c>
    </row>
    <row r="461" spans="1:10" x14ac:dyDescent="0.2">
      <c r="A461" s="3">
        <v>409.77633899507401</v>
      </c>
      <c r="B461" s="1">
        <v>-0.31877658768174399</v>
      </c>
      <c r="C461" s="4">
        <v>1.8250617755406101E-5</v>
      </c>
      <c r="D461" s="7">
        <v>5.9238128467767499E-4</v>
      </c>
      <c r="E461" s="1" t="s">
        <v>1356</v>
      </c>
      <c r="F461" s="1" t="s">
        <v>1357</v>
      </c>
      <c r="G461" s="1">
        <v>257633</v>
      </c>
      <c r="H461" s="6" t="str">
        <f>HYPERLINK("http://www.ensembl.org/Mus_musculus/Gene/Summary?db=core;g=ENSMUSG00000015016","ENSMUSG00000015016")</f>
        <v>ENSMUSG00000015016</v>
      </c>
      <c r="I461" s="6" t="str">
        <f>HYPERLINK("http://www.informatics.jax.org/marker/MGI:2182591","MGI:2182591")</f>
        <v>MGI:2182591</v>
      </c>
      <c r="J461" s="7" t="s">
        <v>12</v>
      </c>
    </row>
    <row r="462" spans="1:10" x14ac:dyDescent="0.2">
      <c r="A462" s="3">
        <v>2498.4148934836398</v>
      </c>
      <c r="B462" s="1">
        <v>-0.255359977640855</v>
      </c>
      <c r="C462" s="4">
        <v>1.8465212511717801E-5</v>
      </c>
      <c r="D462" s="7">
        <v>5.9802938807180898E-4</v>
      </c>
      <c r="E462" s="1" t="s">
        <v>1642</v>
      </c>
      <c r="F462" s="1" t="s">
        <v>1643</v>
      </c>
      <c r="G462" s="1">
        <v>106572</v>
      </c>
      <c r="H462" s="6" t="str">
        <f>HYPERLINK("http://www.ensembl.org/Mus_musculus/Gene/Summary?db=core;g=ENSMUSG00000056515","ENSMUSG00000056515")</f>
        <v>ENSMUSG00000056515</v>
      </c>
      <c r="I462" s="6" t="str">
        <f>HYPERLINK("http://www.informatics.jax.org/marker/MGI:1914603","MGI:1914603")</f>
        <v>MGI:1914603</v>
      </c>
      <c r="J462" s="7" t="s">
        <v>12</v>
      </c>
    </row>
    <row r="463" spans="1:10" x14ac:dyDescent="0.2">
      <c r="A463" s="3">
        <v>326.20856721985598</v>
      </c>
      <c r="B463" s="1">
        <v>-0.42430989299923</v>
      </c>
      <c r="C463" s="4">
        <v>1.8775814041407001E-5</v>
      </c>
      <c r="D463" s="7">
        <v>6.0583442038814105E-4</v>
      </c>
      <c r="E463" s="1" t="s">
        <v>1045</v>
      </c>
      <c r="F463" s="1" t="s">
        <v>1046</v>
      </c>
      <c r="G463" s="1">
        <v>243621</v>
      </c>
      <c r="H463" s="6" t="str">
        <f>HYPERLINK("http://www.ensembl.org/Mus_musculus/Gene/Summary?db=core;g=ENSMUSG00000040797","ENSMUSG00000040797")</f>
        <v>ENSMUSG00000040797</v>
      </c>
      <c r="I463" s="6" t="str">
        <f>HYPERLINK("http://www.informatics.jax.org/marker/MGI:2677208","MGI:2677208")</f>
        <v>MGI:2677208</v>
      </c>
      <c r="J463" s="7" t="s">
        <v>12</v>
      </c>
    </row>
    <row r="464" spans="1:10" x14ac:dyDescent="0.2">
      <c r="A464" s="3">
        <v>414.73345072150602</v>
      </c>
      <c r="B464" s="1">
        <v>-0.28019154379327899</v>
      </c>
      <c r="C464" s="4">
        <v>1.8788431739778799E-5</v>
      </c>
      <c r="D464" s="7">
        <v>6.0583442038814105E-4</v>
      </c>
      <c r="E464" s="1" t="s">
        <v>1544</v>
      </c>
      <c r="F464" s="1" t="s">
        <v>1545</v>
      </c>
      <c r="G464" s="1">
        <v>16162</v>
      </c>
      <c r="H464" s="6" t="str">
        <f>HYPERLINK("http://www.ensembl.org/Mus_musculus/Gene/Summary?db=core;g=ENSMUSG00000018341","ENSMUSG00000018341")</f>
        <v>ENSMUSG00000018341</v>
      </c>
      <c r="I464" s="6" t="str">
        <f>HYPERLINK("http://www.informatics.jax.org/marker/MGI:1270861","MGI:1270861")</f>
        <v>MGI:1270861</v>
      </c>
      <c r="J464" s="7" t="s">
        <v>12</v>
      </c>
    </row>
    <row r="465" spans="1:10" x14ac:dyDescent="0.2">
      <c r="A465" s="3">
        <v>292.46328588613699</v>
      </c>
      <c r="B465" s="1">
        <v>-0.29412504300805598</v>
      </c>
      <c r="C465" s="4">
        <v>1.9335531210854002E-5</v>
      </c>
      <c r="D465" s="7">
        <v>6.1969192046922299E-4</v>
      </c>
      <c r="E465" s="1" t="s">
        <v>1478</v>
      </c>
      <c r="F465" s="1" t="s">
        <v>1479</v>
      </c>
      <c r="G465" s="1">
        <v>219249</v>
      </c>
      <c r="H465" s="6" t="str">
        <f>HYPERLINK("http://www.ensembl.org/Mus_musculus/Gene/Summary?db=core;g=ENSMUSG00000022019","ENSMUSG00000022019")</f>
        <v>ENSMUSG00000022019</v>
      </c>
      <c r="I465" s="6" t="str">
        <f>HYPERLINK("http://www.informatics.jax.org/marker/MGI:2444023","MGI:2444023")</f>
        <v>MGI:2444023</v>
      </c>
      <c r="J465" s="7" t="s">
        <v>12</v>
      </c>
    </row>
    <row r="466" spans="1:10" x14ac:dyDescent="0.2">
      <c r="A466" s="3">
        <v>1312.7815520295501</v>
      </c>
      <c r="B466" s="1">
        <v>-0.22053498067920599</v>
      </c>
      <c r="C466" s="4">
        <v>1.9344346051563699E-5</v>
      </c>
      <c r="D466" s="7">
        <v>6.1969192046922299E-4</v>
      </c>
      <c r="E466" s="1" t="s">
        <v>1814</v>
      </c>
      <c r="F466" s="1" t="s">
        <v>1815</v>
      </c>
      <c r="G466" s="1">
        <v>66147</v>
      </c>
      <c r="H466" s="6" t="str">
        <f>HYPERLINK("http://www.ensembl.org/Mus_musculus/Gene/Summary?db=core;g=ENSMUSG00000028923","ENSMUSG00000028923")</f>
        <v>ENSMUSG00000028923</v>
      </c>
      <c r="I466" s="6" t="str">
        <f>HYPERLINK("http://www.informatics.jax.org/marker/MGI:1913397","MGI:1913397")</f>
        <v>MGI:1913397</v>
      </c>
      <c r="J466" s="7" t="s">
        <v>12</v>
      </c>
    </row>
    <row r="467" spans="1:10" x14ac:dyDescent="0.2">
      <c r="A467" s="3">
        <v>34.963792189381003</v>
      </c>
      <c r="B467" s="1">
        <v>0.95986313951040902</v>
      </c>
      <c r="C467" s="4">
        <v>1.9331296363202901E-5</v>
      </c>
      <c r="D467" s="7">
        <v>6.1969192046922299E-4</v>
      </c>
      <c r="E467" s="1" t="s">
        <v>3314</v>
      </c>
      <c r="F467" s="1" t="s">
        <v>3315</v>
      </c>
      <c r="G467" s="1">
        <v>12927</v>
      </c>
      <c r="H467" s="6" t="str">
        <f>HYPERLINK("http://www.ensembl.org/Mus_musculus/Gene/Summary?db=core;g=ENSMUSG00000031955","ENSMUSG00000031955")</f>
        <v>ENSMUSG00000031955</v>
      </c>
      <c r="I467" s="6" t="str">
        <f>HYPERLINK("http://www.informatics.jax.org/marker/MGI:108091","MGI:108091")</f>
        <v>MGI:108091</v>
      </c>
      <c r="J467" s="7" t="s">
        <v>12</v>
      </c>
    </row>
    <row r="468" spans="1:10" x14ac:dyDescent="0.2">
      <c r="A468" s="3">
        <v>2294.1876471553301</v>
      </c>
      <c r="B468" s="1">
        <v>0.188059662942763</v>
      </c>
      <c r="C468" s="4">
        <v>1.9396910277150002E-5</v>
      </c>
      <c r="D468" s="7">
        <v>6.2002791723228296E-4</v>
      </c>
      <c r="E468" s="1" t="s">
        <v>2520</v>
      </c>
      <c r="F468" s="1" t="s">
        <v>2521</v>
      </c>
      <c r="G468" s="1">
        <v>69082</v>
      </c>
      <c r="H468" s="6" t="str">
        <f>HYPERLINK("http://www.ensembl.org/Mus_musculus/Gene/Summary?db=core;g=ENSMUSG00000027091","ENSMUSG00000027091")</f>
        <v>ENSMUSG00000027091</v>
      </c>
      <c r="I468" s="6" t="str">
        <f>HYPERLINK("http://www.informatics.jax.org/marker/MGI:1919747","MGI:1919747")</f>
        <v>MGI:1919747</v>
      </c>
      <c r="J468" s="7" t="s">
        <v>12</v>
      </c>
    </row>
    <row r="469" spans="1:10" x14ac:dyDescent="0.2">
      <c r="A469" s="3">
        <v>28580.125670617199</v>
      </c>
      <c r="B469" s="1">
        <v>-0.76372888903319303</v>
      </c>
      <c r="C469" s="4">
        <v>1.94392358526933E-5</v>
      </c>
      <c r="D469" s="7">
        <v>6.2003588641837502E-4</v>
      </c>
      <c r="E469" s="1" t="s">
        <v>510</v>
      </c>
      <c r="F469" s="1" t="s">
        <v>511</v>
      </c>
      <c r="G469" s="1">
        <v>11816</v>
      </c>
      <c r="H469" s="6" t="str">
        <f>HYPERLINK("http://www.ensembl.org/Mus_musculus/Gene/Summary?db=core;g=ENSMUSG00000002985","ENSMUSG00000002985")</f>
        <v>ENSMUSG00000002985</v>
      </c>
      <c r="I469" s="6" t="str">
        <f>HYPERLINK("http://www.informatics.jax.org/marker/MGI:88057","MGI:88057")</f>
        <v>MGI:88057</v>
      </c>
      <c r="J469" s="7" t="s">
        <v>12</v>
      </c>
    </row>
    <row r="470" spans="1:10" x14ac:dyDescent="0.2">
      <c r="A470" s="3">
        <v>922.38741461207496</v>
      </c>
      <c r="B470" s="1">
        <v>-0.41865912342272299</v>
      </c>
      <c r="C470" s="4">
        <v>1.97371302072095E-5</v>
      </c>
      <c r="D470" s="7">
        <v>6.2817786335515901E-4</v>
      </c>
      <c r="E470" s="1" t="s">
        <v>1053</v>
      </c>
      <c r="F470" s="1" t="s">
        <v>1054</v>
      </c>
      <c r="G470" s="1">
        <v>15937</v>
      </c>
      <c r="H470" s="6" t="str">
        <f>HYPERLINK("http://www.ensembl.org/Mus_musculus/Gene/Summary?db=core;g=ENSMUSG00000003541","ENSMUSG00000003541")</f>
        <v>ENSMUSG00000003541</v>
      </c>
      <c r="I470" s="6" t="str">
        <f>HYPERLINK("http://www.informatics.jax.org/marker/MGI:104814","MGI:104814")</f>
        <v>MGI:104814</v>
      </c>
      <c r="J470" s="7" t="s">
        <v>12</v>
      </c>
    </row>
    <row r="471" spans="1:10" x14ac:dyDescent="0.2">
      <c r="A471" s="3">
        <v>51119.8532245928</v>
      </c>
      <c r="B471" s="1">
        <v>0.20769663287741399</v>
      </c>
      <c r="C471" s="4">
        <v>1.9831874520069801E-5</v>
      </c>
      <c r="D471" s="7">
        <v>6.2983298044773503E-4</v>
      </c>
      <c r="E471" s="1" t="s">
        <v>2646</v>
      </c>
      <c r="F471" s="1" t="s">
        <v>2647</v>
      </c>
      <c r="G471" s="1">
        <v>17975</v>
      </c>
      <c r="H471" s="6" t="str">
        <f>HYPERLINK("http://www.ensembl.org/Mus_musculus/Gene/Summary?db=core;g=ENSMUSG00000026234","ENSMUSG00000026234")</f>
        <v>ENSMUSG00000026234</v>
      </c>
      <c r="I471" s="6" t="str">
        <f>HYPERLINK("http://www.informatics.jax.org/marker/MGI:97286","MGI:97286")</f>
        <v>MGI:97286</v>
      </c>
      <c r="J471" s="7" t="s">
        <v>12</v>
      </c>
    </row>
    <row r="472" spans="1:10" x14ac:dyDescent="0.2">
      <c r="A472" s="3">
        <v>980.39930186214497</v>
      </c>
      <c r="B472" s="1">
        <v>0.233782383250311</v>
      </c>
      <c r="C472" s="4">
        <v>2.00691388531671E-5</v>
      </c>
      <c r="D472" s="7">
        <v>6.3599748417262605E-4</v>
      </c>
      <c r="E472" s="1" t="s">
        <v>2810</v>
      </c>
      <c r="F472" s="1" t="s">
        <v>2811</v>
      </c>
      <c r="G472" s="1">
        <v>268490</v>
      </c>
      <c r="H472" s="6" t="str">
        <f>HYPERLINK("http://www.ensembl.org/Mus_musculus/Gene/Summary?db=core;g=ENSMUSG00000020922","ENSMUSG00000020922")</f>
        <v>ENSMUSG00000020922</v>
      </c>
      <c r="I472" s="6" t="str">
        <f>HYPERLINK("http://www.informatics.jax.org/marker/MGI:1919592","MGI:1919592")</f>
        <v>MGI:1919592</v>
      </c>
      <c r="J472" s="7" t="s">
        <v>12</v>
      </c>
    </row>
    <row r="473" spans="1:10" x14ac:dyDescent="0.2">
      <c r="A473" s="3">
        <v>2838.8449734597398</v>
      </c>
      <c r="B473" s="1">
        <v>0.212389086288371</v>
      </c>
      <c r="C473" s="4">
        <v>2.0366772818404301E-5</v>
      </c>
      <c r="D473" s="7">
        <v>6.4266544807709903E-4</v>
      </c>
      <c r="E473" s="1" t="s">
        <v>2678</v>
      </c>
      <c r="F473" s="1" t="s">
        <v>2679</v>
      </c>
      <c r="G473" s="1">
        <v>72198</v>
      </c>
      <c r="H473" s="6" t="str">
        <f>HYPERLINK("http://www.ensembl.org/Mus_musculus/Gene/Summary?db=core;g=ENSMUSG00000016018","ENSMUSG00000016018")</f>
        <v>ENSMUSG00000016018</v>
      </c>
      <c r="I473" s="6" t="str">
        <f>HYPERLINK("http://www.informatics.jax.org/marker/MGI:1919448","MGI:1919448")</f>
        <v>MGI:1919448</v>
      </c>
      <c r="J473" s="7" t="s">
        <v>12</v>
      </c>
    </row>
    <row r="474" spans="1:10" x14ac:dyDescent="0.2">
      <c r="A474" s="3">
        <v>212.894667051802</v>
      </c>
      <c r="B474" s="1">
        <v>0.38140635490445102</v>
      </c>
      <c r="C474" s="4">
        <v>2.0329082461497999E-5</v>
      </c>
      <c r="D474" s="7">
        <v>6.4266544807709903E-4</v>
      </c>
      <c r="E474" s="1" t="s">
        <v>3126</v>
      </c>
      <c r="F474" s="1" t="s">
        <v>3127</v>
      </c>
      <c r="G474" s="1">
        <v>66667</v>
      </c>
      <c r="H474" s="6" t="str">
        <f>HYPERLINK("http://www.ensembl.org/Mus_musculus/Gene/Summary?db=core;g=ENSMUSG00000022849","ENSMUSG00000022849")</f>
        <v>ENSMUSG00000022849</v>
      </c>
      <c r="I474" s="6" t="str">
        <f>HYPERLINK("http://www.informatics.jax.org/marker/MGI:1913917","MGI:1913917")</f>
        <v>MGI:1913917</v>
      </c>
      <c r="J474" s="7" t="s">
        <v>12</v>
      </c>
    </row>
    <row r="475" spans="1:10" x14ac:dyDescent="0.2">
      <c r="A475" s="3">
        <v>176.004535479894</v>
      </c>
      <c r="B475" s="1">
        <v>-0.56257675277893104</v>
      </c>
      <c r="C475" s="4">
        <v>2.0572251750510601E-5</v>
      </c>
      <c r="D475" s="7">
        <v>6.4776218332376998E-4</v>
      </c>
      <c r="E475" s="1" t="s">
        <v>743</v>
      </c>
      <c r="F475" s="1" t="s">
        <v>744</v>
      </c>
      <c r="G475" s="1">
        <v>12051</v>
      </c>
      <c r="H475" s="6" t="str">
        <f>HYPERLINK("http://www.ensembl.org/Mus_musculus/Gene/Summary?db=core;g=ENSMUSG00000053175","ENSMUSG00000053175")</f>
        <v>ENSMUSG00000053175</v>
      </c>
      <c r="I475" s="6" t="str">
        <f>HYPERLINK("http://www.informatics.jax.org/marker/MGI:88140","MGI:88140")</f>
        <v>MGI:88140</v>
      </c>
      <c r="J475" s="7" t="s">
        <v>12</v>
      </c>
    </row>
    <row r="476" spans="1:10" x14ac:dyDescent="0.2">
      <c r="A476" s="3">
        <v>1660.6139343529201</v>
      </c>
      <c r="B476" s="1">
        <v>-0.32410129679366301</v>
      </c>
      <c r="C476" s="4">
        <v>2.0619296407651299E-5</v>
      </c>
      <c r="D476" s="7">
        <v>6.47859172416097E-4</v>
      </c>
      <c r="E476" s="1" t="s">
        <v>1340</v>
      </c>
      <c r="F476" s="1" t="s">
        <v>1341</v>
      </c>
      <c r="G476" s="1">
        <v>230895</v>
      </c>
      <c r="H476" s="6" t="str">
        <f>HYPERLINK("http://www.ensembl.org/Mus_musculus/Gene/Summary?db=core;g=ENSMUSG00000020220","ENSMUSG00000020220")</f>
        <v>ENSMUSG00000020220</v>
      </c>
      <c r="I476" s="6" t="str">
        <f>HYPERLINK("http://www.informatics.jax.org/marker/MGI:2448530","MGI:2448530")</f>
        <v>MGI:2448530</v>
      </c>
      <c r="J476" s="7" t="s">
        <v>12</v>
      </c>
    </row>
    <row r="477" spans="1:10" x14ac:dyDescent="0.2">
      <c r="A477" s="3">
        <v>218.496246419709</v>
      </c>
      <c r="B477" s="1">
        <v>-0.51338877963154494</v>
      </c>
      <c r="C477" s="4">
        <v>2.0764604036417499E-5</v>
      </c>
      <c r="D477" s="7">
        <v>6.49654363228552E-4</v>
      </c>
      <c r="E477" s="1" t="s">
        <v>815</v>
      </c>
      <c r="F477" s="1" t="s">
        <v>816</v>
      </c>
      <c r="G477" s="1">
        <v>233781</v>
      </c>
      <c r="H477" s="6" t="str">
        <f>HYPERLINK("http://www.ensembl.org/Mus_musculus/Gene/Summary?db=core;g=ENSMUSG00000030657","ENSMUSG00000030657")</f>
        <v>ENSMUSG00000030657</v>
      </c>
      <c r="I477" s="6" t="str">
        <f>HYPERLINK("http://www.informatics.jax.org/marker/MGI:2451073","MGI:2451073")</f>
        <v>MGI:2451073</v>
      </c>
      <c r="J477" s="7" t="s">
        <v>12</v>
      </c>
    </row>
    <row r="478" spans="1:10" x14ac:dyDescent="0.2">
      <c r="A478" s="3">
        <v>7562.2982257329604</v>
      </c>
      <c r="B478" s="1">
        <v>0.129430942881018</v>
      </c>
      <c r="C478" s="4">
        <v>2.0747520766162001E-5</v>
      </c>
      <c r="D478" s="7">
        <v>6.49654363228552E-4</v>
      </c>
      <c r="E478" s="1" t="s">
        <v>2240</v>
      </c>
      <c r="F478" s="1" t="s">
        <v>2241</v>
      </c>
      <c r="G478" s="1">
        <v>12974</v>
      </c>
      <c r="H478" s="6" t="str">
        <f>HYPERLINK("http://www.ensembl.org/Mus_musculus/Gene/Summary?db=core;g=ENSMUSG00000005683","ENSMUSG00000005683")</f>
        <v>ENSMUSG00000005683</v>
      </c>
      <c r="I478" s="6" t="str">
        <f>HYPERLINK("http://www.informatics.jax.org/marker/MGI:88529","MGI:88529")</f>
        <v>MGI:88529</v>
      </c>
      <c r="J478" s="7" t="s">
        <v>12</v>
      </c>
    </row>
    <row r="479" spans="1:10" x14ac:dyDescent="0.2">
      <c r="A479" s="3">
        <v>1749.1635812529501</v>
      </c>
      <c r="B479" s="1">
        <v>-0.20505296933876399</v>
      </c>
      <c r="C479" s="4">
        <v>2.1297295590140201E-5</v>
      </c>
      <c r="D479" s="7">
        <v>6.6490878774641202E-4</v>
      </c>
      <c r="E479" s="1" t="s">
        <v>1884</v>
      </c>
      <c r="F479" s="1" t="s">
        <v>1885</v>
      </c>
      <c r="G479" s="1">
        <v>99152</v>
      </c>
      <c r="H479" s="6" t="str">
        <f>HYPERLINK("http://www.ensembl.org/Mus_musculus/Gene/Summary?db=core;g=ENSMUSG00000026965","ENSMUSG00000026965")</f>
        <v>ENSMUSG00000026965</v>
      </c>
      <c r="I479" s="6" t="str">
        <f>HYPERLINK("http://www.informatics.jax.org/marker/MGI:2139135","MGI:2139135")</f>
        <v>MGI:2139135</v>
      </c>
      <c r="J479" s="7" t="s">
        <v>12</v>
      </c>
    </row>
    <row r="480" spans="1:10" x14ac:dyDescent="0.2">
      <c r="A480" s="3">
        <v>515.68585908525597</v>
      </c>
      <c r="B480" s="1">
        <v>0.32835524661451998</v>
      </c>
      <c r="C480" s="4">
        <v>2.1449785739271601E-5</v>
      </c>
      <c r="D480" s="7">
        <v>6.6825378996597604E-4</v>
      </c>
      <c r="E480" s="1" t="s">
        <v>3046</v>
      </c>
      <c r="F480" s="1" t="s">
        <v>3047</v>
      </c>
      <c r="G480" s="1">
        <v>381269</v>
      </c>
      <c r="H480" s="6" t="str">
        <f>HYPERLINK("http://www.ensembl.org/Mus_musculus/Gene/Summary?db=core;g=ENSMUSG00000039395","ENSMUSG00000039395")</f>
        <v>ENSMUSG00000039395</v>
      </c>
      <c r="I480" s="6" t="str">
        <f>HYPERLINK("http://www.informatics.jax.org/marker/MGI:2151839","MGI:2151839")</f>
        <v>MGI:2151839</v>
      </c>
      <c r="J480" s="7" t="s">
        <v>12</v>
      </c>
    </row>
    <row r="481" spans="1:10" x14ac:dyDescent="0.2">
      <c r="A481" s="3">
        <v>651.37145793728905</v>
      </c>
      <c r="B481" s="1">
        <v>-1.2021947218879701</v>
      </c>
      <c r="C481" s="4">
        <v>2.1688345300176899E-5</v>
      </c>
      <c r="D481" s="7">
        <v>6.7426045642069105E-4</v>
      </c>
      <c r="E481" s="1" t="s">
        <v>231</v>
      </c>
      <c r="F481" s="1" t="s">
        <v>232</v>
      </c>
      <c r="G481" s="1">
        <v>230073</v>
      </c>
      <c r="H481" s="6" t="str">
        <f>HYPERLINK("http://www.ensembl.org/Mus_musculus/Gene/Summary?db=core;g=ENSMUSG00000040296","ENSMUSG00000040296")</f>
        <v>ENSMUSG00000040296</v>
      </c>
      <c r="I481" s="6" t="str">
        <f>HYPERLINK("http://www.informatics.jax.org/marker/MGI:2442858","MGI:2442858")</f>
        <v>MGI:2442858</v>
      </c>
      <c r="J481" s="7" t="s">
        <v>12</v>
      </c>
    </row>
    <row r="482" spans="1:10" x14ac:dyDescent="0.2">
      <c r="A482" s="3">
        <v>1998.4790923231401</v>
      </c>
      <c r="B482" s="1">
        <v>0.210348059827274</v>
      </c>
      <c r="C482" s="4">
        <v>2.1832610938612902E-5</v>
      </c>
      <c r="D482" s="7">
        <v>6.7731653640294796E-4</v>
      </c>
      <c r="E482" s="1" t="s">
        <v>2674</v>
      </c>
      <c r="F482" s="1" t="s">
        <v>2675</v>
      </c>
      <c r="G482" s="1">
        <v>66679</v>
      </c>
      <c r="H482" s="6" t="str">
        <f>HYPERLINK("http://www.ensembl.org/Mus_musculus/Gene/Summary?db=core;g=ENSMUSG00000027509","ENSMUSG00000027509")</f>
        <v>ENSMUSG00000027509</v>
      </c>
      <c r="I482" s="6" t="str">
        <f>HYPERLINK("http://www.informatics.jax.org/marker/MGI:1913929","MGI:1913929")</f>
        <v>MGI:1913929</v>
      </c>
      <c r="J482" s="7" t="s">
        <v>12</v>
      </c>
    </row>
    <row r="483" spans="1:10" x14ac:dyDescent="0.2">
      <c r="A483" s="3">
        <v>104.972496593432</v>
      </c>
      <c r="B483" s="1">
        <v>-0.52203587449037503</v>
      </c>
      <c r="C483" s="4">
        <v>2.2153671030815999E-5</v>
      </c>
      <c r="D483" s="7">
        <v>6.8475333388186602E-4</v>
      </c>
      <c r="E483" s="1" t="s">
        <v>805</v>
      </c>
      <c r="F483" s="1" t="s">
        <v>806</v>
      </c>
      <c r="G483" s="1">
        <v>17951</v>
      </c>
      <c r="H483" s="6" t="str">
        <f>HYPERLINK("http://www.ensembl.org/Mus_musculus/Gene/Summary?db=core;g=ENSMUSG00000071203","ENSMUSG00000071203")</f>
        <v>ENSMUSG00000071203</v>
      </c>
      <c r="I483" s="6" t="str">
        <f>HYPERLINK("http://www.informatics.jax.org/marker/MGI:1298220","MGI:1298220")</f>
        <v>MGI:1298220</v>
      </c>
      <c r="J483" s="7" t="s">
        <v>12</v>
      </c>
    </row>
    <row r="484" spans="1:10" x14ac:dyDescent="0.2">
      <c r="A484" s="3">
        <v>1417.1646875937899</v>
      </c>
      <c r="B484" s="1">
        <v>0.25520334152082402</v>
      </c>
      <c r="C484" s="4">
        <v>2.21652646757363E-5</v>
      </c>
      <c r="D484" s="7">
        <v>6.8475333388186602E-4</v>
      </c>
      <c r="E484" s="1" t="s">
        <v>2888</v>
      </c>
      <c r="F484" s="1" t="s">
        <v>2889</v>
      </c>
      <c r="G484" s="1">
        <v>105522</v>
      </c>
      <c r="H484" s="6" t="str">
        <f>HYPERLINK("http://www.ensembl.org/Mus_musculus/Gene/Summary?db=core;g=ENSMUSG00000014496","ENSMUSG00000014496")</f>
        <v>ENSMUSG00000014496</v>
      </c>
      <c r="I484" s="6" t="str">
        <f>HYPERLINK("http://www.informatics.jax.org/marker/MGI:2145661","MGI:2145661")</f>
        <v>MGI:2145661</v>
      </c>
      <c r="J484" s="7" t="s">
        <v>12</v>
      </c>
    </row>
    <row r="485" spans="1:10" x14ac:dyDescent="0.2">
      <c r="A485" s="3">
        <v>23.637213800959</v>
      </c>
      <c r="B485" s="1">
        <v>-0.95288192624985202</v>
      </c>
      <c r="C485" s="4">
        <v>2.3304014352118001E-5</v>
      </c>
      <c r="D485" s="7">
        <v>7.1842668513140201E-4</v>
      </c>
      <c r="E485" s="1" t="s">
        <v>369</v>
      </c>
      <c r="F485" s="1" t="s">
        <v>370</v>
      </c>
      <c r="G485" s="1">
        <v>98256</v>
      </c>
      <c r="H485" s="6" t="str">
        <f>HYPERLINK("http://www.ensembl.org/Mus_musculus/Gene/Summary?db=core;g=ENSMUSG00000039783","ENSMUSG00000039783")</f>
        <v>ENSMUSG00000039783</v>
      </c>
      <c r="I485" s="6" t="str">
        <f>HYPERLINK("http://www.informatics.jax.org/marker/MGI:2138151","MGI:2138151")</f>
        <v>MGI:2138151</v>
      </c>
      <c r="J485" s="7" t="s">
        <v>12</v>
      </c>
    </row>
    <row r="486" spans="1:10" x14ac:dyDescent="0.2">
      <c r="A486" s="3">
        <v>337.20028485925098</v>
      </c>
      <c r="B486" s="1">
        <v>-0.41719929536672101</v>
      </c>
      <c r="C486" s="4">
        <v>2.34813482496685E-5</v>
      </c>
      <c r="D486" s="7">
        <v>7.1937868566967795E-4</v>
      </c>
      <c r="E486" s="1" t="s">
        <v>1059</v>
      </c>
      <c r="F486" s="1" t="s">
        <v>1060</v>
      </c>
      <c r="G486" s="1">
        <v>70028</v>
      </c>
      <c r="H486" s="6" t="str">
        <f>HYPERLINK("http://www.ensembl.org/Mus_musculus/Gene/Summary?db=core;g=ENSMUSG00000022946","ENSMUSG00000022946")</f>
        <v>ENSMUSG00000022946</v>
      </c>
      <c r="I486" s="6" t="str">
        <f>HYPERLINK("http://www.informatics.jax.org/marker/MGI:1917278","MGI:1917278")</f>
        <v>MGI:1917278</v>
      </c>
      <c r="J486" s="7" t="s">
        <v>12</v>
      </c>
    </row>
    <row r="487" spans="1:10" x14ac:dyDescent="0.2">
      <c r="A487" s="3">
        <v>1406.47195881625</v>
      </c>
      <c r="B487" s="1">
        <v>-0.23435775944848899</v>
      </c>
      <c r="C487" s="4">
        <v>2.3398007365872102E-5</v>
      </c>
      <c r="D487" s="7">
        <v>7.1937868566967795E-4</v>
      </c>
      <c r="E487" s="1" t="s">
        <v>1738</v>
      </c>
      <c r="F487" s="1" t="s">
        <v>1739</v>
      </c>
      <c r="G487" s="1">
        <v>74919</v>
      </c>
      <c r="H487" s="6" t="str">
        <f>HYPERLINK("http://www.ensembl.org/Mus_musculus/Gene/Summary?db=core;g=ENSMUSG00000029175","ENSMUSG00000029175")</f>
        <v>ENSMUSG00000029175</v>
      </c>
      <c r="I487" s="6" t="str">
        <f>HYPERLINK("http://www.informatics.jax.org/marker/MGI:1922169","MGI:1922169")</f>
        <v>MGI:1922169</v>
      </c>
      <c r="J487" s="7" t="s">
        <v>12</v>
      </c>
    </row>
    <row r="488" spans="1:10" x14ac:dyDescent="0.2">
      <c r="A488" s="3">
        <v>1478.8025637544199</v>
      </c>
      <c r="B488" s="1">
        <v>0.214502935095468</v>
      </c>
      <c r="C488" s="4">
        <v>2.3464387235084399E-5</v>
      </c>
      <c r="D488" s="7">
        <v>7.1937868566967795E-4</v>
      </c>
      <c r="E488" s="1" t="s">
        <v>2696</v>
      </c>
      <c r="F488" s="1" t="s">
        <v>2697</v>
      </c>
      <c r="G488" s="1">
        <v>66583</v>
      </c>
      <c r="H488" s="6" t="str">
        <f>HYPERLINK("http://www.ensembl.org/Mus_musculus/Gene/Summary?db=core;g=ENSMUSG00000034321","ENSMUSG00000034321")</f>
        <v>ENSMUSG00000034321</v>
      </c>
      <c r="I488" s="6" t="str">
        <f>HYPERLINK("http://www.informatics.jax.org/marker/MGI:1913833","MGI:1913833")</f>
        <v>MGI:1913833</v>
      </c>
      <c r="J488" s="7" t="s">
        <v>12</v>
      </c>
    </row>
    <row r="489" spans="1:10" x14ac:dyDescent="0.2">
      <c r="A489" s="3">
        <v>223.99567129444</v>
      </c>
      <c r="B489" s="1">
        <v>0.51052118659212498</v>
      </c>
      <c r="C489" s="4">
        <v>2.3938183965673899E-5</v>
      </c>
      <c r="D489" s="7">
        <v>7.3185286082607997E-4</v>
      </c>
      <c r="E489" s="1" t="s">
        <v>3196</v>
      </c>
      <c r="F489" s="1" t="s">
        <v>3197</v>
      </c>
      <c r="G489" s="1">
        <v>64075</v>
      </c>
      <c r="H489" s="6" t="str">
        <f>HYPERLINK("http://www.ensembl.org/Mus_musculus/Gene/Summary?db=core;g=ENSMUSG00000021136","ENSMUSG00000021136")</f>
        <v>ENSMUSG00000021136</v>
      </c>
      <c r="I489" s="6" t="str">
        <f>HYPERLINK("http://www.informatics.jax.org/marker/MGI:1929878","MGI:1929878")</f>
        <v>MGI:1929878</v>
      </c>
      <c r="J489" s="7" t="s">
        <v>12</v>
      </c>
    </row>
    <row r="490" spans="1:10" x14ac:dyDescent="0.2">
      <c r="A490" s="3">
        <v>69.397492289761701</v>
      </c>
      <c r="B490" s="1">
        <v>-0.89390666614798298</v>
      </c>
      <c r="C490" s="4">
        <v>2.42873141678418E-5</v>
      </c>
      <c r="D490" s="7">
        <v>7.40413018767138E-4</v>
      </c>
      <c r="E490" s="1" t="s">
        <v>415</v>
      </c>
      <c r="F490" s="1" t="s">
        <v>416</v>
      </c>
      <c r="G490" s="1">
        <v>71706</v>
      </c>
      <c r="H490" s="6" t="str">
        <f>HYPERLINK("http://www.ensembl.org/Mus_musculus/Gene/Summary?db=core;g=ENSMUSG00000029650","ENSMUSG00000029650")</f>
        <v>ENSMUSG00000029650</v>
      </c>
      <c r="I490" s="6" t="str">
        <f>HYPERLINK("http://www.informatics.jax.org/marker/MGI:1918956","MGI:1918956")</f>
        <v>MGI:1918956</v>
      </c>
      <c r="J490" s="7" t="s">
        <v>12</v>
      </c>
    </row>
    <row r="491" spans="1:10" x14ac:dyDescent="0.2">
      <c r="A491" s="3">
        <v>5428.1619220894299</v>
      </c>
      <c r="B491" s="1">
        <v>-0.208385209201782</v>
      </c>
      <c r="C491" s="4">
        <v>2.4318668640288699E-5</v>
      </c>
      <c r="D491" s="7">
        <v>7.40413018767138E-4</v>
      </c>
      <c r="E491" s="1" t="s">
        <v>1878</v>
      </c>
      <c r="F491" s="1" t="s">
        <v>1879</v>
      </c>
      <c r="G491" s="1">
        <v>12345</v>
      </c>
      <c r="H491" s="6" t="str">
        <f>HYPERLINK("http://www.ensembl.org/Mus_musculus/Gene/Summary?db=core;g=ENSMUSG00000028745","ENSMUSG00000028745")</f>
        <v>ENSMUSG00000028745</v>
      </c>
      <c r="I491" s="6" t="str">
        <f>HYPERLINK("http://www.informatics.jax.org/marker/MGI:104652","MGI:104652")</f>
        <v>MGI:104652</v>
      </c>
      <c r="J491" s="7" t="s">
        <v>12</v>
      </c>
    </row>
    <row r="492" spans="1:10" x14ac:dyDescent="0.2">
      <c r="A492" s="3">
        <v>31.661841830386599</v>
      </c>
      <c r="B492" s="1">
        <v>-0.90429832180589098</v>
      </c>
      <c r="C492" s="4">
        <v>2.4422448301745001E-5</v>
      </c>
      <c r="D492" s="7">
        <v>7.4203958386497904E-4</v>
      </c>
      <c r="E492" s="1" t="s">
        <v>409</v>
      </c>
      <c r="F492" s="1" t="s">
        <v>410</v>
      </c>
      <c r="G492" s="1">
        <v>268807</v>
      </c>
      <c r="H492" s="6" t="str">
        <f>HYPERLINK("http://www.ensembl.org/Mus_musculus/Gene/Summary?db=core;g=ENSMUSG00000022357","ENSMUSG00000022357")</f>
        <v>ENSMUSG00000022357</v>
      </c>
      <c r="I492" s="6" t="str">
        <f>HYPERLINK("http://www.informatics.jax.org/marker/MGI:3045310","MGI:3045310")</f>
        <v>MGI:3045310</v>
      </c>
      <c r="J492" s="7" t="s">
        <v>12</v>
      </c>
    </row>
    <row r="493" spans="1:10" x14ac:dyDescent="0.2">
      <c r="A493" s="3">
        <v>334.57320683594497</v>
      </c>
      <c r="B493" s="1">
        <v>0.44423690443514202</v>
      </c>
      <c r="C493" s="4">
        <v>2.47140652258312E-5</v>
      </c>
      <c r="D493" s="7">
        <v>7.4935486660051198E-4</v>
      </c>
      <c r="E493" s="1" t="s">
        <v>3174</v>
      </c>
      <c r="F493" s="1" t="s">
        <v>3175</v>
      </c>
      <c r="G493" s="1">
        <v>668212</v>
      </c>
      <c r="H493" s="6" t="str">
        <f>HYPERLINK("http://www.ensembl.org/Mus_musculus/Gene/Summary?db=core;g=ENSMUSG00000020658","ENSMUSG00000020658")</f>
        <v>ENSMUSG00000020658</v>
      </c>
      <c r="I493" s="6" t="str">
        <f>HYPERLINK("http://www.informatics.jax.org/marker/MGI:2444851","MGI:2444851")</f>
        <v>MGI:2444851</v>
      </c>
      <c r="J493" s="7" t="s">
        <v>12</v>
      </c>
    </row>
    <row r="494" spans="1:10" x14ac:dyDescent="0.2">
      <c r="A494" s="3">
        <v>35.058010127732203</v>
      </c>
      <c r="B494" s="1">
        <v>-1.14374885300823</v>
      </c>
      <c r="C494" s="4">
        <v>2.4888364665164601E-5</v>
      </c>
      <c r="D494" s="7">
        <v>7.5309022937549396E-4</v>
      </c>
      <c r="E494" s="1" t="s">
        <v>239</v>
      </c>
      <c r="F494" s="1" t="s">
        <v>240</v>
      </c>
      <c r="G494" s="1">
        <v>12409</v>
      </c>
      <c r="H494" s="6" t="str">
        <f>HYPERLINK("http://www.ensembl.org/Mus_musculus/Gene/Summary?db=core;g=ENSMUSG00000025150","ENSMUSG00000025150")</f>
        <v>ENSMUSG00000025150</v>
      </c>
      <c r="I494" s="6" t="str">
        <f>HYPERLINK("http://www.informatics.jax.org/marker/MGI:107200","MGI:107200")</f>
        <v>MGI:107200</v>
      </c>
      <c r="J494" s="7" t="s">
        <v>12</v>
      </c>
    </row>
    <row r="495" spans="1:10" x14ac:dyDescent="0.2">
      <c r="A495" s="3">
        <v>1556.0339547814201</v>
      </c>
      <c r="B495" s="1">
        <v>0.21979946106604201</v>
      </c>
      <c r="C495" s="4">
        <v>2.5412769318210499E-5</v>
      </c>
      <c r="D495" s="7">
        <v>7.6738231285481404E-4</v>
      </c>
      <c r="E495" s="1" t="s">
        <v>2726</v>
      </c>
      <c r="F495" s="1" t="s">
        <v>2727</v>
      </c>
      <c r="G495" s="1">
        <v>230857</v>
      </c>
      <c r="H495" s="6" t="str">
        <f>HYPERLINK("http://www.ensembl.org/Mus_musculus/Gene/Summary?db=core;g=ENSMUSG00000057530","ENSMUSG00000057530")</f>
        <v>ENSMUSG00000057530</v>
      </c>
      <c r="I495" s="6" t="str">
        <f>HYPERLINK("http://www.informatics.jax.org/marker/MGI:1101357","MGI:1101357")</f>
        <v>MGI:1101357</v>
      </c>
      <c r="J495" s="7" t="s">
        <v>12</v>
      </c>
    </row>
    <row r="496" spans="1:10" x14ac:dyDescent="0.2">
      <c r="A496" s="3">
        <v>2318.0026613831501</v>
      </c>
      <c r="B496" s="1">
        <v>0.206341037890758</v>
      </c>
      <c r="C496" s="4">
        <v>2.5659694020854901E-5</v>
      </c>
      <c r="D496" s="7">
        <v>7.7325409221128203E-4</v>
      </c>
      <c r="E496" s="1" t="s">
        <v>2640</v>
      </c>
      <c r="F496" s="1" t="s">
        <v>2641</v>
      </c>
      <c r="G496" s="1">
        <v>23837</v>
      </c>
      <c r="H496" s="6" t="str">
        <f>HYPERLINK("http://www.ensembl.org/Mus_musculus/Gene/Summary?db=core;g=ENSMUSG00000031954","ENSMUSG00000031954")</f>
        <v>ENSMUSG00000031954</v>
      </c>
      <c r="I496" s="6" t="str">
        <f>HYPERLINK("http://www.informatics.jax.org/marker/MGI:1344403","MGI:1344403")</f>
        <v>MGI:1344403</v>
      </c>
      <c r="J496" s="7" t="s">
        <v>12</v>
      </c>
    </row>
    <row r="497" spans="1:10" x14ac:dyDescent="0.2">
      <c r="A497" s="3">
        <v>1078.1144000991001</v>
      </c>
      <c r="B497" s="1">
        <v>0.22298897045249799</v>
      </c>
      <c r="C497" s="4">
        <v>2.5968711041777299E-5</v>
      </c>
      <c r="D497" s="7">
        <v>7.8096923655434703E-4</v>
      </c>
      <c r="E497" s="1" t="s">
        <v>2744</v>
      </c>
      <c r="F497" s="1" t="s">
        <v>2745</v>
      </c>
      <c r="G497" s="1">
        <v>20595</v>
      </c>
      <c r="H497" s="6" t="str">
        <f>HYPERLINK("http://www.ensembl.org/Mus_musculus/Gene/Summary?db=core;g=ENSMUSG00000021645","ENSMUSG00000021645")</f>
        <v>ENSMUSG00000021645</v>
      </c>
      <c r="I497" s="6" t="str">
        <f>HYPERLINK("http://www.informatics.jax.org/marker/MGI:109257","MGI:109257")</f>
        <v>MGI:109257</v>
      </c>
      <c r="J497" s="7" t="s">
        <v>12</v>
      </c>
    </row>
    <row r="498" spans="1:10" x14ac:dyDescent="0.2">
      <c r="A498" s="3">
        <v>2434.1135527902302</v>
      </c>
      <c r="B498" s="1">
        <v>-0.30819414945377599</v>
      </c>
      <c r="C498" s="4">
        <v>2.6193442899297002E-5</v>
      </c>
      <c r="D498" s="7">
        <v>7.8612336978419698E-4</v>
      </c>
      <c r="E498" s="1" t="s">
        <v>1414</v>
      </c>
      <c r="F498" s="1" t="s">
        <v>1415</v>
      </c>
      <c r="G498" s="1">
        <v>69710</v>
      </c>
      <c r="H498" s="6" t="str">
        <f>HYPERLINK("http://www.ensembl.org/Mus_musculus/Gene/Summary?db=core;g=ENSMUSG00000032812","ENSMUSG00000032812")</f>
        <v>ENSMUSG00000032812</v>
      </c>
      <c r="I498" s="6" t="str">
        <f>HYPERLINK("http://www.informatics.jax.org/marker/MGI:1916960","MGI:1916960")</f>
        <v>MGI:1916960</v>
      </c>
      <c r="J498" s="7" t="s">
        <v>12</v>
      </c>
    </row>
    <row r="499" spans="1:10" x14ac:dyDescent="0.2">
      <c r="A499" s="3">
        <v>105.738051142198</v>
      </c>
      <c r="B499" s="1">
        <v>-0.99573615314147501</v>
      </c>
      <c r="C499" s="4">
        <v>2.63451447287712E-5</v>
      </c>
      <c r="D499" s="7">
        <v>7.8746866678128203E-4</v>
      </c>
      <c r="E499" s="1" t="s">
        <v>345</v>
      </c>
      <c r="F499" s="1" t="s">
        <v>346</v>
      </c>
      <c r="G499" s="1">
        <v>68774</v>
      </c>
      <c r="H499" s="6" t="str">
        <f>HYPERLINK("http://www.ensembl.org/Mus_musculus/Gene/Summary?db=core;g=ENSMUSG00000024679","ENSMUSG00000024679")</f>
        <v>ENSMUSG00000024679</v>
      </c>
      <c r="I499" s="6" t="str">
        <f>HYPERLINK("http://www.informatics.jax.org/marker/MGI:1916024","MGI:1916024")</f>
        <v>MGI:1916024</v>
      </c>
      <c r="J499" s="7" t="s">
        <v>12</v>
      </c>
    </row>
    <row r="500" spans="1:10" x14ac:dyDescent="0.2">
      <c r="A500" s="3">
        <v>2428.33262897648</v>
      </c>
      <c r="B500" s="1">
        <v>0.23659552947354101</v>
      </c>
      <c r="C500" s="4">
        <v>2.6302586933440899E-5</v>
      </c>
      <c r="D500" s="7">
        <v>7.8746866678128203E-4</v>
      </c>
      <c r="E500" s="1" t="s">
        <v>2818</v>
      </c>
      <c r="F500" s="1" t="s">
        <v>2819</v>
      </c>
      <c r="G500" s="1">
        <v>72662</v>
      </c>
      <c r="H500" s="6" t="str">
        <f>HYPERLINK("http://www.ensembl.org/Mus_musculus/Gene/Summary?db=core;g=ENSMUSG00000033166","ENSMUSG00000033166")</f>
        <v>ENSMUSG00000033166</v>
      </c>
      <c r="I500" s="6" t="str">
        <f>HYPERLINK("http://www.informatics.jax.org/marker/MGI:1919912","MGI:1919912")</f>
        <v>MGI:1919912</v>
      </c>
      <c r="J500" s="7" t="s">
        <v>12</v>
      </c>
    </row>
    <row r="501" spans="1:10" x14ac:dyDescent="0.2">
      <c r="A501" s="3">
        <v>840.29976415802003</v>
      </c>
      <c r="B501" s="1">
        <v>-0.34915167470456498</v>
      </c>
      <c r="C501" s="4">
        <v>2.6492466541768E-5</v>
      </c>
      <c r="D501" s="7">
        <v>7.8885796947074003E-4</v>
      </c>
      <c r="E501" s="1" t="s">
        <v>1250</v>
      </c>
      <c r="F501" s="1" t="s">
        <v>1251</v>
      </c>
      <c r="G501" s="1">
        <v>69146</v>
      </c>
      <c r="H501" s="6" t="str">
        <f>HYPERLINK("http://www.ensembl.org/Mus_musculus/Gene/Summary?db=core;g=ENSMUSG00000022575","ENSMUSG00000022575")</f>
        <v>ENSMUSG00000022575</v>
      </c>
      <c r="I501" s="6" t="str">
        <f>HYPERLINK("http://www.informatics.jax.org/marker/MGI:1916396","MGI:1916396")</f>
        <v>MGI:1916396</v>
      </c>
      <c r="J501" s="7" t="s">
        <v>12</v>
      </c>
    </row>
    <row r="502" spans="1:10" x14ac:dyDescent="0.2">
      <c r="A502" s="3">
        <v>8132.4033792315104</v>
      </c>
      <c r="B502" s="1">
        <v>0.17473937526001801</v>
      </c>
      <c r="C502" s="4">
        <v>2.6591674371129499E-5</v>
      </c>
      <c r="D502" s="7">
        <v>7.8885796947074003E-4</v>
      </c>
      <c r="E502" s="1" t="s">
        <v>2460</v>
      </c>
      <c r="F502" s="1" t="s">
        <v>2461</v>
      </c>
      <c r="G502" s="1">
        <v>13211</v>
      </c>
      <c r="H502" s="6" t="str">
        <f>HYPERLINK("http://www.ensembl.org/Mus_musculus/Gene/Summary?db=core;g=ENSMUSG00000042699","ENSMUSG00000042699")</f>
        <v>ENSMUSG00000042699</v>
      </c>
      <c r="I502" s="6" t="str">
        <f>HYPERLINK("http://www.informatics.jax.org/marker/MGI:108177","MGI:108177")</f>
        <v>MGI:108177</v>
      </c>
      <c r="J502" s="7" t="s">
        <v>12</v>
      </c>
    </row>
    <row r="503" spans="1:10" x14ac:dyDescent="0.2">
      <c r="A503" s="3">
        <v>523.52167182293203</v>
      </c>
      <c r="B503" s="1">
        <v>0.35959852125914699</v>
      </c>
      <c r="C503" s="4">
        <v>2.6576293650859001E-5</v>
      </c>
      <c r="D503" s="7">
        <v>7.8885796947074003E-4</v>
      </c>
      <c r="E503" s="1" t="s">
        <v>3108</v>
      </c>
      <c r="F503" s="1" t="s">
        <v>3109</v>
      </c>
      <c r="G503" s="1">
        <v>99167</v>
      </c>
      <c r="H503" s="6" t="str">
        <f>HYPERLINK("http://www.ensembl.org/Mus_musculus/Gene/Summary?db=core;g=ENSMUSG00000036825","ENSMUSG00000036825")</f>
        <v>ENSMUSG00000036825</v>
      </c>
      <c r="I503" s="6" t="str">
        <f>HYPERLINK("http://www.informatics.jax.org/marker/MGI:2139150","MGI:2139150")</f>
        <v>MGI:2139150</v>
      </c>
      <c r="J503" s="7" t="s">
        <v>12</v>
      </c>
    </row>
    <row r="504" spans="1:10" x14ac:dyDescent="0.2">
      <c r="A504" s="3">
        <v>75.9199324743646</v>
      </c>
      <c r="B504" s="1">
        <v>0.54367852993342702</v>
      </c>
      <c r="C504" s="4">
        <v>2.6605755349277799E-5</v>
      </c>
      <c r="D504" s="7">
        <v>7.8885796947074003E-4</v>
      </c>
      <c r="E504" s="1" t="s">
        <v>3218</v>
      </c>
      <c r="F504" s="1" t="s">
        <v>3219</v>
      </c>
      <c r="G504" s="1">
        <v>544678</v>
      </c>
      <c r="H504" s="6" t="str">
        <f>HYPERLINK("http://www.ensembl.org/Mus_musculus/Gene/Summary?db=core;g=ENSMUSG00000078490","ENSMUSG00000078490")</f>
        <v>ENSMUSG00000078490</v>
      </c>
      <c r="I504" s="6" t="str">
        <f>HYPERLINK("http://www.informatics.jax.org/marker/MGI:1917130","MGI:1917130")</f>
        <v>MGI:1917130</v>
      </c>
      <c r="J504" s="7" t="s">
        <v>12</v>
      </c>
    </row>
    <row r="505" spans="1:10" x14ac:dyDescent="0.2">
      <c r="A505" s="3">
        <v>111.38826063510299</v>
      </c>
      <c r="B505" s="1">
        <v>-0.46495241946141802</v>
      </c>
      <c r="C505" s="4">
        <v>2.6682785872551201E-5</v>
      </c>
      <c r="D505" s="7">
        <v>7.8955327834922498E-4</v>
      </c>
      <c r="E505" s="1" t="s">
        <v>901</v>
      </c>
      <c r="F505" s="1" t="s">
        <v>902</v>
      </c>
      <c r="G505" s="1">
        <v>21824</v>
      </c>
      <c r="H505" s="6" t="str">
        <f>HYPERLINK("http://www.ensembl.org/Mus_musculus/Gene/Summary?db=core;g=ENSMUSG00000074743","ENSMUSG00000074743")</f>
        <v>ENSMUSG00000074743</v>
      </c>
      <c r="I505" s="6" t="str">
        <f>HYPERLINK("http://www.informatics.jax.org/marker/MGI:98736","MGI:98736")</f>
        <v>MGI:98736</v>
      </c>
      <c r="J505" s="7" t="s">
        <v>12</v>
      </c>
    </row>
    <row r="506" spans="1:10" x14ac:dyDescent="0.2">
      <c r="A506" s="3">
        <v>146.509777054978</v>
      </c>
      <c r="B506" s="1">
        <v>-0.61923742694682005</v>
      </c>
      <c r="C506" s="4">
        <v>2.6888973505765899E-5</v>
      </c>
      <c r="D506" s="7">
        <v>7.9405994705604303E-4</v>
      </c>
      <c r="E506" s="1" t="s">
        <v>646</v>
      </c>
      <c r="F506" s="1" t="s">
        <v>647</v>
      </c>
      <c r="G506" s="1">
        <v>72169</v>
      </c>
      <c r="H506" s="6" t="str">
        <f>HYPERLINK("http://www.ensembl.org/Mus_musculus/Gene/Summary?db=core;g=ENSMUSG00000032013","ENSMUSG00000032013")</f>
        <v>ENSMUSG00000032013</v>
      </c>
      <c r="I506" s="6" t="str">
        <f>HYPERLINK("http://www.informatics.jax.org/marker/MGI:1919419","MGI:1919419")</f>
        <v>MGI:1919419</v>
      </c>
      <c r="J506" s="7" t="s">
        <v>12</v>
      </c>
    </row>
    <row r="507" spans="1:10" x14ac:dyDescent="0.2">
      <c r="A507" s="3">
        <v>754.76618118301099</v>
      </c>
      <c r="B507" s="1">
        <v>-0.32704405866644598</v>
      </c>
      <c r="C507" s="4">
        <v>2.7025643981197601E-5</v>
      </c>
      <c r="D507" s="7">
        <v>7.9521242549530197E-4</v>
      </c>
      <c r="E507" s="1" t="s">
        <v>1324</v>
      </c>
      <c r="F507" s="1" t="s">
        <v>1325</v>
      </c>
      <c r="G507" s="1">
        <v>338367</v>
      </c>
      <c r="H507" s="6" t="str">
        <f>HYPERLINK("http://www.ensembl.org/Mus_musculus/Gene/Summary?db=core;g=ENSMUSG00000035441","ENSMUSG00000035441")</f>
        <v>ENSMUSG00000035441</v>
      </c>
      <c r="I507" s="6" t="str">
        <f>HYPERLINK("http://www.informatics.jax.org/marker/MGI:107728","MGI:107728")</f>
        <v>MGI:107728</v>
      </c>
      <c r="J507" s="7" t="s">
        <v>12</v>
      </c>
    </row>
    <row r="508" spans="1:10" x14ac:dyDescent="0.2">
      <c r="A508" s="3">
        <v>906.66318863890899</v>
      </c>
      <c r="B508" s="1">
        <v>0.328624245457042</v>
      </c>
      <c r="C508" s="4">
        <v>2.7035927332596801E-5</v>
      </c>
      <c r="D508" s="7">
        <v>7.9521242549530197E-4</v>
      </c>
      <c r="E508" s="1" t="s">
        <v>3050</v>
      </c>
      <c r="F508" s="1" t="s">
        <v>3051</v>
      </c>
      <c r="G508" s="1">
        <v>75646</v>
      </c>
      <c r="H508" s="6" t="str">
        <f>HYPERLINK("http://www.ensembl.org/Mus_musculus/Gene/Summary?db=core;g=ENSMUSG00000022246","ENSMUSG00000022246")</f>
        <v>ENSMUSG00000022246</v>
      </c>
      <c r="I508" s="6" t="str">
        <f>HYPERLINK("http://www.informatics.jax.org/marker/MGI:1922896","MGI:1922896")</f>
        <v>MGI:1922896</v>
      </c>
      <c r="J508" s="7" t="s">
        <v>12</v>
      </c>
    </row>
    <row r="509" spans="1:10" x14ac:dyDescent="0.2">
      <c r="A509" s="3">
        <v>517.40736126171896</v>
      </c>
      <c r="B509" s="1">
        <v>-0.32515142176309703</v>
      </c>
      <c r="C509" s="4">
        <v>2.7138639033093399E-5</v>
      </c>
      <c r="D509" s="7">
        <v>7.9664339599933205E-4</v>
      </c>
      <c r="E509" s="1" t="s">
        <v>1334</v>
      </c>
      <c r="F509" s="1" t="s">
        <v>1335</v>
      </c>
      <c r="G509" s="1">
        <v>98682</v>
      </c>
      <c r="H509" s="6" t="str">
        <f>HYPERLINK("http://www.ensembl.org/Mus_musculus/Gene/Summary?db=core;g=ENSMUSG00000041439","ENSMUSG00000041439")</f>
        <v>ENSMUSG00000041439</v>
      </c>
      <c r="I509" s="6" t="str">
        <f>HYPERLINK("http://www.informatics.jax.org/marker/MGI:1922925","MGI:1922925")</f>
        <v>MGI:1922925</v>
      </c>
      <c r="J509" s="7" t="s">
        <v>12</v>
      </c>
    </row>
    <row r="510" spans="1:10" x14ac:dyDescent="0.2">
      <c r="A510" s="3">
        <v>5390.4230885685802</v>
      </c>
      <c r="B510" s="1">
        <v>0.29640829160209797</v>
      </c>
      <c r="C510" s="4">
        <v>2.73901146538838E-5</v>
      </c>
      <c r="D510" s="7">
        <v>8.0242689769310395E-4</v>
      </c>
      <c r="E510" s="1" t="s">
        <v>2998</v>
      </c>
      <c r="F510" s="1" t="s">
        <v>2999</v>
      </c>
      <c r="G510" s="1">
        <v>15982</v>
      </c>
      <c r="H510" s="6" t="str">
        <f>HYPERLINK("http://www.ensembl.org/Mus_musculus/Gene/Summary?db=core;g=ENSMUSG00000001627","ENSMUSG00000001627")</f>
        <v>ENSMUSG00000001627</v>
      </c>
      <c r="I510" s="6" t="str">
        <f>HYPERLINK("http://www.informatics.jax.org/marker/MGI:1316717","MGI:1316717")</f>
        <v>MGI:1316717</v>
      </c>
      <c r="J510" s="7" t="s">
        <v>12</v>
      </c>
    </row>
    <row r="511" spans="1:10" x14ac:dyDescent="0.2">
      <c r="A511" s="3">
        <v>6196.4665360233603</v>
      </c>
      <c r="B511" s="1">
        <v>-0.35431817339963501</v>
      </c>
      <c r="C511" s="4">
        <v>2.7559361441255101E-5</v>
      </c>
      <c r="D511" s="7">
        <v>8.0418762415511804E-4</v>
      </c>
      <c r="E511" s="1" t="s">
        <v>1222</v>
      </c>
      <c r="F511" s="1" t="s">
        <v>1223</v>
      </c>
      <c r="G511" s="1">
        <v>16889</v>
      </c>
      <c r="H511" s="6" t="str">
        <f>HYPERLINK("http://www.ensembl.org/Mus_musculus/Gene/Summary?db=core;g=ENSMUSG00000024781","ENSMUSG00000024781")</f>
        <v>ENSMUSG00000024781</v>
      </c>
      <c r="I511" s="6" t="str">
        <f>HYPERLINK("http://www.informatics.jax.org/marker/MGI:96789","MGI:96789")</f>
        <v>MGI:96789</v>
      </c>
      <c r="J511" s="7" t="s">
        <v>12</v>
      </c>
    </row>
    <row r="512" spans="1:10" x14ac:dyDescent="0.2">
      <c r="A512" s="3">
        <v>431.48615906062298</v>
      </c>
      <c r="B512" s="1">
        <v>-0.27807255708308698</v>
      </c>
      <c r="C512" s="4">
        <v>2.75544944340491E-5</v>
      </c>
      <c r="D512" s="7">
        <v>8.0418762415511804E-4</v>
      </c>
      <c r="E512" s="1" t="s">
        <v>1550</v>
      </c>
      <c r="F512" s="1" t="s">
        <v>1551</v>
      </c>
      <c r="G512" s="1">
        <v>102093</v>
      </c>
      <c r="H512" s="6" t="str">
        <f>HYPERLINK("http://www.ensembl.org/Mus_musculus/Gene/Summary?db=core;g=ENSMUSG00000036879","ENSMUSG00000036879")</f>
        <v>ENSMUSG00000036879</v>
      </c>
      <c r="I512" s="6" t="str">
        <f>HYPERLINK("http://www.informatics.jax.org/marker/MGI:97578","MGI:97578")</f>
        <v>MGI:97578</v>
      </c>
      <c r="J512" s="7" t="s">
        <v>12</v>
      </c>
    </row>
    <row r="513" spans="1:10" x14ac:dyDescent="0.2">
      <c r="A513" s="3">
        <v>1701.97341778599</v>
      </c>
      <c r="B513" s="1">
        <v>-0.63814505265334698</v>
      </c>
      <c r="C513" s="4">
        <v>2.7658833473835202E-5</v>
      </c>
      <c r="D513" s="7">
        <v>8.0549519776766003E-4</v>
      </c>
      <c r="E513" s="1" t="s">
        <v>616</v>
      </c>
      <c r="F513" s="1" t="s">
        <v>617</v>
      </c>
      <c r="G513" s="1">
        <v>16149</v>
      </c>
      <c r="H513" s="6" t="str">
        <f>HYPERLINK("http://www.ensembl.org/Mus_musculus/Gene/Summary?db=core;g=ENSMUSG00000024610","ENSMUSG00000024610")</f>
        <v>ENSMUSG00000024610</v>
      </c>
      <c r="I513" s="6" t="str">
        <f>HYPERLINK("http://www.informatics.jax.org/marker/MGI:96534","MGI:96534")</f>
        <v>MGI:96534</v>
      </c>
      <c r="J513" s="7" t="s">
        <v>12</v>
      </c>
    </row>
    <row r="514" spans="1:10" x14ac:dyDescent="0.2">
      <c r="A514" s="3">
        <v>976.57018088174402</v>
      </c>
      <c r="B514" s="1">
        <v>-0.30096788445910899</v>
      </c>
      <c r="C514" s="4">
        <v>2.7785665632832001E-5</v>
      </c>
      <c r="D514" s="7">
        <v>8.0759283780160401E-4</v>
      </c>
      <c r="E514" s="1" t="s">
        <v>1454</v>
      </c>
      <c r="F514" s="1" t="s">
        <v>1455</v>
      </c>
      <c r="G514" s="1">
        <v>66853</v>
      </c>
      <c r="H514" s="6" t="str">
        <f>HYPERLINK("http://www.ensembl.org/Mus_musculus/Gene/Summary?db=core;g=ENSMUSG00000025509","ENSMUSG00000025509")</f>
        <v>ENSMUSG00000025509</v>
      </c>
      <c r="I514" s="6" t="str">
        <f>HYPERLINK("http://www.informatics.jax.org/marker/MGI:1914103","MGI:1914103")</f>
        <v>MGI:1914103</v>
      </c>
      <c r="J514" s="7" t="s">
        <v>12</v>
      </c>
    </row>
    <row r="515" spans="1:10" x14ac:dyDescent="0.2">
      <c r="A515" s="3">
        <v>4.3488772115905103</v>
      </c>
      <c r="B515" s="1">
        <v>-1.81602608928418</v>
      </c>
      <c r="C515" s="4">
        <v>2.7897013993134099E-5</v>
      </c>
      <c r="D515" s="7">
        <v>8.0764321847313296E-4</v>
      </c>
      <c r="E515" s="1" t="s">
        <v>75</v>
      </c>
      <c r="F515" s="1" t="s">
        <v>76</v>
      </c>
      <c r="G515" s="1">
        <v>15572</v>
      </c>
      <c r="H515" s="6" t="str">
        <f>HYPERLINK("http://www.ensembl.org/Mus_musculus/Gene/Summary?db=core;g=ENSMUSG00000028546","ENSMUSG00000028546")</f>
        <v>ENSMUSG00000028546</v>
      </c>
      <c r="I515" s="6" t="str">
        <f>HYPERLINK("http://www.informatics.jax.org/marker/MGI:107427","MGI:107427")</f>
        <v>MGI:107427</v>
      </c>
      <c r="J515" s="7" t="s">
        <v>12</v>
      </c>
    </row>
    <row r="516" spans="1:10" x14ac:dyDescent="0.2">
      <c r="A516" s="3">
        <v>1771.50674140864</v>
      </c>
      <c r="B516" s="1">
        <v>0.28139222502921002</v>
      </c>
      <c r="C516" s="4">
        <v>2.7847405598342401E-5</v>
      </c>
      <c r="D516" s="7">
        <v>8.0764321847313296E-4</v>
      </c>
      <c r="E516" s="1" t="s">
        <v>2968</v>
      </c>
      <c r="F516" s="1" t="s">
        <v>2969</v>
      </c>
      <c r="G516" s="1">
        <v>68133</v>
      </c>
      <c r="H516" s="6" t="str">
        <f>HYPERLINK("http://www.ensembl.org/Mus_musculus/Gene/Summary?db=core;g=ENSMUSG00000034424","ENSMUSG00000034424")</f>
        <v>ENSMUSG00000034424</v>
      </c>
      <c r="I516" s="6" t="str">
        <f>HYPERLINK("http://www.informatics.jax.org/marker/MGI:1915383","MGI:1915383")</f>
        <v>MGI:1915383</v>
      </c>
      <c r="J516" s="7" t="s">
        <v>12</v>
      </c>
    </row>
    <row r="517" spans="1:10" x14ac:dyDescent="0.2">
      <c r="A517" s="3">
        <v>3.9025336556018702</v>
      </c>
      <c r="B517" s="1">
        <v>-1.82108450652958</v>
      </c>
      <c r="C517" s="4">
        <v>2.8302879525668798E-5</v>
      </c>
      <c r="D517" s="7">
        <v>8.1778673076520695E-4</v>
      </c>
      <c r="E517" s="1" t="s">
        <v>71</v>
      </c>
      <c r="F517" s="1" t="s">
        <v>72</v>
      </c>
      <c r="G517" s="1">
        <v>12006</v>
      </c>
      <c r="H517" s="6" t="str">
        <f>HYPERLINK("http://www.ensembl.org/Mus_musculus/Gene/Summary?db=core;g=ENSMUSG00000000142","ENSMUSG00000000142")</f>
        <v>ENSMUSG00000000142</v>
      </c>
      <c r="I517" s="6" t="str">
        <f>HYPERLINK("http://www.informatics.jax.org/marker/MGI:1270862","MGI:1270862")</f>
        <v>MGI:1270862</v>
      </c>
      <c r="J517" s="7" t="s">
        <v>12</v>
      </c>
    </row>
    <row r="518" spans="1:10" x14ac:dyDescent="0.2">
      <c r="A518" s="3">
        <v>4190.2422064080201</v>
      </c>
      <c r="B518" s="1">
        <v>-0.282825747608279</v>
      </c>
      <c r="C518" s="4">
        <v>2.84533251370143E-5</v>
      </c>
      <c r="D518" s="7">
        <v>8.2052485170067005E-4</v>
      </c>
      <c r="E518" s="1" t="s">
        <v>1530</v>
      </c>
      <c r="F518" s="1" t="s">
        <v>1531</v>
      </c>
      <c r="G518" s="1">
        <v>21351</v>
      </c>
      <c r="H518" s="6" t="str">
        <f>HYPERLINK("http://www.ensembl.org/Mus_musculus/Gene/Summary?db=core;g=ENSMUSG00000025503","ENSMUSG00000025503")</f>
        <v>ENSMUSG00000025503</v>
      </c>
      <c r="I518" s="6" t="str">
        <f>HYPERLINK("http://www.informatics.jax.org/marker/MGI:1274789","MGI:1274789")</f>
        <v>MGI:1274789</v>
      </c>
      <c r="J518" s="7" t="s">
        <v>12</v>
      </c>
    </row>
    <row r="519" spans="1:10" x14ac:dyDescent="0.2">
      <c r="A519" s="3">
        <v>905.37777714855497</v>
      </c>
      <c r="B519" s="1">
        <v>-0.37224643566785798</v>
      </c>
      <c r="C519" s="4">
        <v>2.9410065472049201E-5</v>
      </c>
      <c r="D519" s="7">
        <v>8.4645844686741505E-4</v>
      </c>
      <c r="E519" s="1" t="s">
        <v>1160</v>
      </c>
      <c r="F519" s="1" t="s">
        <v>1161</v>
      </c>
      <c r="G519" s="1">
        <v>80281</v>
      </c>
      <c r="H519" s="6" t="str">
        <f>HYPERLINK("http://www.ensembl.org/Mus_musculus/Gene/Summary?db=core;g=ENSMUSG00000062127","ENSMUSG00000062127")</f>
        <v>ENSMUSG00000062127</v>
      </c>
      <c r="I519" s="6" t="str">
        <f>HYPERLINK("http://www.informatics.jax.org/marker/MGI:1933137","MGI:1933137")</f>
        <v>MGI:1933137</v>
      </c>
      <c r="J519" s="7" t="s">
        <v>12</v>
      </c>
    </row>
    <row r="520" spans="1:10" x14ac:dyDescent="0.2">
      <c r="A520" s="3">
        <v>568.87369235438996</v>
      </c>
      <c r="B520" s="1">
        <v>-0.31466449747537001</v>
      </c>
      <c r="C520" s="4">
        <v>2.9559766046588799E-5</v>
      </c>
      <c r="D520" s="7">
        <v>8.4910860129148601E-4</v>
      </c>
      <c r="E520" s="1" t="s">
        <v>1374</v>
      </c>
      <c r="F520" s="1" t="s">
        <v>1375</v>
      </c>
      <c r="G520" s="1">
        <v>27355</v>
      </c>
      <c r="H520" s="6" t="str">
        <f>HYPERLINK("http://www.ensembl.org/Mus_musculus/Gene/Summary?db=core;g=ENSMUSG00000020092","ENSMUSG00000020092")</f>
        <v>ENSMUSG00000020092</v>
      </c>
      <c r="I520" s="6" t="str">
        <f>HYPERLINK("http://www.informatics.jax.org/marker/MGI:1351623","MGI:1351623")</f>
        <v>MGI:1351623</v>
      </c>
      <c r="J520" s="7" t="s">
        <v>12</v>
      </c>
    </row>
    <row r="521" spans="1:10" x14ac:dyDescent="0.2">
      <c r="A521" s="3">
        <v>1385.46018541886</v>
      </c>
      <c r="B521" s="1">
        <v>0.214246154803131</v>
      </c>
      <c r="C521" s="4">
        <v>2.9698527750186901E-5</v>
      </c>
      <c r="D521" s="7">
        <v>8.5143483448785E-4</v>
      </c>
      <c r="E521" s="1" t="s">
        <v>2692</v>
      </c>
      <c r="F521" s="1" t="s">
        <v>2693</v>
      </c>
      <c r="G521" s="1">
        <v>66523</v>
      </c>
      <c r="H521" s="6" t="str">
        <f>HYPERLINK("http://www.ensembl.org/Mus_musculus/Gene/Summary?db=core;g=ENSMUSG00000031984","ENSMUSG00000031984")</f>
        <v>ENSMUSG00000031984</v>
      </c>
      <c r="I521" s="6" t="str">
        <f>HYPERLINK("http://www.informatics.jax.org/marker/MGI:1913773","MGI:1913773")</f>
        <v>MGI:1913773</v>
      </c>
      <c r="J521" s="7" t="s">
        <v>12</v>
      </c>
    </row>
    <row r="522" spans="1:10" x14ac:dyDescent="0.2">
      <c r="A522" s="3">
        <v>329.78416744860601</v>
      </c>
      <c r="B522" s="1">
        <v>-0.44188894845779503</v>
      </c>
      <c r="C522" s="4">
        <v>3.01108636399622E-5</v>
      </c>
      <c r="D522" s="7">
        <v>8.6157997397763597E-4</v>
      </c>
      <c r="E522" s="1" t="s">
        <v>957</v>
      </c>
      <c r="F522" s="1" t="s">
        <v>958</v>
      </c>
      <c r="G522" s="1">
        <v>66447</v>
      </c>
      <c r="H522" s="6" t="str">
        <f>HYPERLINK("http://www.ensembl.org/Mus_musculus/Gene/Summary?db=core;g=ENSMUSG00000026688","ENSMUSG00000026688")</f>
        <v>ENSMUSG00000026688</v>
      </c>
      <c r="I522" s="6" t="str">
        <f>HYPERLINK("http://www.informatics.jax.org/marker/MGI:1913697","MGI:1913697")</f>
        <v>MGI:1913697</v>
      </c>
      <c r="J522" s="7" t="s">
        <v>12</v>
      </c>
    </row>
    <row r="523" spans="1:10" x14ac:dyDescent="0.2">
      <c r="A523" s="3">
        <v>841.26252919066496</v>
      </c>
      <c r="B523" s="1">
        <v>-0.25200850391724999</v>
      </c>
      <c r="C523" s="4">
        <v>3.0878229628168298E-5</v>
      </c>
      <c r="D523" s="7">
        <v>8.8182479031141095E-4</v>
      </c>
      <c r="E523" s="1" t="s">
        <v>1656</v>
      </c>
      <c r="F523" s="1" t="s">
        <v>1657</v>
      </c>
      <c r="G523" s="1">
        <v>22235</v>
      </c>
      <c r="H523" s="6" t="str">
        <f>HYPERLINK("http://www.ensembl.org/Mus_musculus/Gene/Summary?db=core;g=ENSMUSG00000029201","ENSMUSG00000029201")</f>
        <v>ENSMUSG00000029201</v>
      </c>
      <c r="I523" s="6" t="str">
        <f>HYPERLINK("http://www.informatics.jax.org/marker/MGI:1306785","MGI:1306785")</f>
        <v>MGI:1306785</v>
      </c>
      <c r="J523" s="7" t="s">
        <v>12</v>
      </c>
    </row>
    <row r="524" spans="1:10" x14ac:dyDescent="0.2">
      <c r="A524" s="3">
        <v>125.011619875184</v>
      </c>
      <c r="B524" s="1">
        <v>-0.94994136463519196</v>
      </c>
      <c r="C524" s="4">
        <v>3.1122209716777498E-5</v>
      </c>
      <c r="D524" s="7">
        <v>8.8707327347472501E-4</v>
      </c>
      <c r="E524" s="1" t="s">
        <v>373</v>
      </c>
      <c r="F524" s="1" t="s">
        <v>374</v>
      </c>
      <c r="G524" s="1">
        <v>11813</v>
      </c>
      <c r="H524" s="6" t="str">
        <f>HYPERLINK("http://www.ensembl.org/Mus_musculus/Gene/Summary?db=core;g=ENSMUSG00000002992","ENSMUSG00000002992")</f>
        <v>ENSMUSG00000002992</v>
      </c>
      <c r="I524" s="6" t="str">
        <f>HYPERLINK("http://www.informatics.jax.org/marker/MGI:88054","MGI:88054")</f>
        <v>MGI:88054</v>
      </c>
      <c r="J524" s="7" t="s">
        <v>12</v>
      </c>
    </row>
    <row r="525" spans="1:10" x14ac:dyDescent="0.2">
      <c r="A525" s="3">
        <v>1784.3828884826801</v>
      </c>
      <c r="B525" s="1">
        <v>-0.222912279876537</v>
      </c>
      <c r="C525" s="4">
        <v>3.1503929871929998E-5</v>
      </c>
      <c r="D525" s="7">
        <v>8.9621990461922704E-4</v>
      </c>
      <c r="E525" s="1" t="s">
        <v>1804</v>
      </c>
      <c r="F525" s="1" t="s">
        <v>1805</v>
      </c>
      <c r="G525" s="1">
        <v>12336</v>
      </c>
      <c r="H525" s="6" t="str">
        <f>HYPERLINK("http://www.ensembl.org/Mus_musculus/Gene/Summary?db=core;g=ENSMUSG00000001794","ENSMUSG00000001794")</f>
        <v>ENSMUSG00000001794</v>
      </c>
      <c r="I525" s="6" t="str">
        <f>HYPERLINK("http://www.informatics.jax.org/marker/MGI:88266","MGI:88266")</f>
        <v>MGI:88266</v>
      </c>
      <c r="J525" s="7" t="s">
        <v>12</v>
      </c>
    </row>
    <row r="526" spans="1:10" x14ac:dyDescent="0.2">
      <c r="A526" s="3">
        <v>397.81977698100701</v>
      </c>
      <c r="B526" s="1">
        <v>0.41321139284732</v>
      </c>
      <c r="C526" s="4">
        <v>3.1709308523761298E-5</v>
      </c>
      <c r="D526" s="7">
        <v>9.0032441311396305E-4</v>
      </c>
      <c r="E526" s="1" t="s">
        <v>3150</v>
      </c>
      <c r="F526" s="1" t="s">
        <v>3151</v>
      </c>
      <c r="G526" s="1">
        <v>70335</v>
      </c>
      <c r="H526" s="6" t="str">
        <f>HYPERLINK("http://www.ensembl.org/Mus_musculus/Gene/Summary?db=core;g=ENSMUSG00000035504","ENSMUSG00000035504")</f>
        <v>ENSMUSG00000035504</v>
      </c>
      <c r="I526" s="6" t="str">
        <f>HYPERLINK("http://www.informatics.jax.org/marker/MGI:1917585","MGI:1917585")</f>
        <v>MGI:1917585</v>
      </c>
      <c r="J526" s="7" t="s">
        <v>12</v>
      </c>
    </row>
    <row r="527" spans="1:10" x14ac:dyDescent="0.2">
      <c r="A527" s="3">
        <v>373.66230126829402</v>
      </c>
      <c r="B527" s="1">
        <v>-0.35327375331571498</v>
      </c>
      <c r="C527" s="4">
        <v>3.19189065521075E-5</v>
      </c>
      <c r="D527" s="7">
        <v>9.0453270567664797E-4</v>
      </c>
      <c r="E527" s="1" t="s">
        <v>1234</v>
      </c>
      <c r="F527" s="1" t="s">
        <v>1235</v>
      </c>
      <c r="G527" s="1">
        <v>26879</v>
      </c>
      <c r="H527" s="6" t="str">
        <f>HYPERLINK("http://www.ensembl.org/Mus_musculus/Gene/Summary?db=core;g=ENSMUSG00000043300","ENSMUSG00000043300")</f>
        <v>ENSMUSG00000043300</v>
      </c>
      <c r="I527" s="6" t="str">
        <f>HYPERLINK("http://www.informatics.jax.org/marker/MGI:1349405","MGI:1349405")</f>
        <v>MGI:1349405</v>
      </c>
      <c r="J527" s="7" t="s">
        <v>12</v>
      </c>
    </row>
    <row r="528" spans="1:10" x14ac:dyDescent="0.2">
      <c r="A528" s="3">
        <v>1442.15242395928</v>
      </c>
      <c r="B528" s="1">
        <v>-1.7164368023051899</v>
      </c>
      <c r="C528" s="4">
        <v>3.2042692189974103E-5</v>
      </c>
      <c r="D528" s="7">
        <v>9.0629771998360401E-4</v>
      </c>
      <c r="E528" s="1" t="s">
        <v>87</v>
      </c>
      <c r="F528" s="1" t="s">
        <v>88</v>
      </c>
      <c r="G528" s="1">
        <v>18126</v>
      </c>
      <c r="H528" s="6" t="str">
        <f>HYPERLINK("http://www.ensembl.org/Mus_musculus/Gene/Summary?db=core;g=ENSMUSG00000020826","ENSMUSG00000020826")</f>
        <v>ENSMUSG00000020826</v>
      </c>
      <c r="I528" s="6" t="str">
        <f>HYPERLINK("http://www.informatics.jax.org/marker/MGI:97361","MGI:97361")</f>
        <v>MGI:97361</v>
      </c>
      <c r="J528" s="7" t="s">
        <v>12</v>
      </c>
    </row>
    <row r="529" spans="1:10" x14ac:dyDescent="0.2">
      <c r="A529" s="3">
        <v>106.21805789846201</v>
      </c>
      <c r="B529" s="1">
        <v>-0.75027697901096801</v>
      </c>
      <c r="C529" s="4">
        <v>3.2297392897724703E-5</v>
      </c>
      <c r="D529" s="7">
        <v>9.1175168915875798E-4</v>
      </c>
      <c r="E529" s="1" t="s">
        <v>522</v>
      </c>
      <c r="F529" s="1" t="s">
        <v>523</v>
      </c>
      <c r="G529" s="1">
        <v>74614</v>
      </c>
      <c r="H529" s="6" t="str">
        <f>HYPERLINK("http://www.ensembl.org/Mus_musculus/Gene/Summary?db=core;g=ENSMUSG00000027670","ENSMUSG00000027670")</f>
        <v>ENSMUSG00000027670</v>
      </c>
      <c r="I529" s="6" t="str">
        <f>HYPERLINK("http://www.informatics.jax.org/marker/MGI:1921864","MGI:1921864")</f>
        <v>MGI:1921864</v>
      </c>
      <c r="J529" s="7" t="s">
        <v>12</v>
      </c>
    </row>
    <row r="530" spans="1:10" x14ac:dyDescent="0.2">
      <c r="A530" s="3">
        <v>42.938682453253399</v>
      </c>
      <c r="B530" s="1">
        <v>-0.76790431040677898</v>
      </c>
      <c r="C530" s="4">
        <v>3.34795823969699E-5</v>
      </c>
      <c r="D530" s="7">
        <v>9.4151741641555103E-4</v>
      </c>
      <c r="E530" s="1" t="s">
        <v>502</v>
      </c>
      <c r="F530" s="1" t="s">
        <v>503</v>
      </c>
      <c r="G530" s="1">
        <v>78908</v>
      </c>
      <c r="H530" s="6" t="str">
        <f>HYPERLINK("http://www.ensembl.org/Mus_musculus/Gene/Summary?db=core;g=ENSMUSG00000042035","ENSMUSG00000042035")</f>
        <v>ENSMUSG00000042035</v>
      </c>
      <c r="I530" s="6" t="str">
        <f>HYPERLINK("http://www.informatics.jax.org/marker/MGI:1926158","MGI:1926158")</f>
        <v>MGI:1926158</v>
      </c>
      <c r="J530" s="7" t="s">
        <v>12</v>
      </c>
    </row>
    <row r="531" spans="1:10" x14ac:dyDescent="0.2">
      <c r="A531" s="3">
        <v>671.47769358378696</v>
      </c>
      <c r="B531" s="1">
        <v>-0.227137246509138</v>
      </c>
      <c r="C531" s="4">
        <v>3.3474956172430599E-5</v>
      </c>
      <c r="D531" s="7">
        <v>9.4151741641555103E-4</v>
      </c>
      <c r="E531" s="1" t="s">
        <v>1782</v>
      </c>
      <c r="F531" s="1" t="s">
        <v>1783</v>
      </c>
      <c r="G531" s="1">
        <v>56469</v>
      </c>
      <c r="H531" s="6" t="str">
        <f>HYPERLINK("http://www.ensembl.org/Mus_musculus/Gene/Summary?db=core;g=ENSMUSG00000032405","ENSMUSG00000032405")</f>
        <v>ENSMUSG00000032405</v>
      </c>
      <c r="I531" s="6" t="str">
        <f>HYPERLINK("http://www.informatics.jax.org/marker/MGI:1913125","MGI:1913125")</f>
        <v>MGI:1913125</v>
      </c>
      <c r="J531" s="7" t="s">
        <v>12</v>
      </c>
    </row>
    <row r="532" spans="1:10" x14ac:dyDescent="0.2">
      <c r="A532" s="3">
        <v>7869.6926081696802</v>
      </c>
      <c r="B532" s="1">
        <v>-0.444281521572372</v>
      </c>
      <c r="C532" s="4">
        <v>3.3567961451615702E-5</v>
      </c>
      <c r="D532" s="7">
        <v>9.4220472371620804E-4</v>
      </c>
      <c r="E532" s="1" t="s">
        <v>949</v>
      </c>
      <c r="F532" s="1" t="s">
        <v>950</v>
      </c>
      <c r="G532" s="1">
        <v>21928</v>
      </c>
      <c r="H532" s="6" t="str">
        <f>HYPERLINK("http://www.ensembl.org/Mus_musculus/Gene/Summary?db=core;g=ENSMUSG00000021281","ENSMUSG00000021281")</f>
        <v>ENSMUSG00000021281</v>
      </c>
      <c r="I532" s="6" t="str">
        <f>HYPERLINK("http://www.informatics.jax.org/marker/MGI:104960","MGI:104960")</f>
        <v>MGI:104960</v>
      </c>
      <c r="J532" s="7" t="s">
        <v>12</v>
      </c>
    </row>
    <row r="533" spans="1:10" x14ac:dyDescent="0.2">
      <c r="A533" s="3">
        <v>2287.4073779760201</v>
      </c>
      <c r="B533" s="1">
        <v>0.17958729107174601</v>
      </c>
      <c r="C533" s="4">
        <v>3.3645827888553103E-5</v>
      </c>
      <c r="D533" s="7">
        <v>9.4259490449756305E-4</v>
      </c>
      <c r="E533" s="1" t="s">
        <v>2488</v>
      </c>
      <c r="F533" s="1" t="s">
        <v>2489</v>
      </c>
      <c r="G533" s="1">
        <v>57750</v>
      </c>
      <c r="H533" s="6" t="str">
        <f>HYPERLINK("http://www.ensembl.org/Mus_musculus/Gene/Summary?db=core;g=ENSMUSG00000026019","ENSMUSG00000026019")</f>
        <v>ENSMUSG00000026019</v>
      </c>
      <c r="I533" s="6" t="str">
        <f>HYPERLINK("http://www.informatics.jax.org/marker/MGI:1927241","MGI:1927241")</f>
        <v>MGI:1927241</v>
      </c>
      <c r="J533" s="7" t="s">
        <v>12</v>
      </c>
    </row>
    <row r="534" spans="1:10" x14ac:dyDescent="0.2">
      <c r="A534" s="3">
        <v>379.907102447157</v>
      </c>
      <c r="B534" s="1">
        <v>-0.32684803676761998</v>
      </c>
      <c r="C534" s="4">
        <v>3.3841704306963801E-5</v>
      </c>
      <c r="D534" s="7">
        <v>9.4628340544102105E-4</v>
      </c>
      <c r="E534" s="1" t="s">
        <v>1326</v>
      </c>
      <c r="F534" s="1" t="s">
        <v>1327</v>
      </c>
      <c r="G534" s="1">
        <v>60364</v>
      </c>
      <c r="H534" s="6" t="str">
        <f>HYPERLINK("http://www.ensembl.org/Mus_musculus/Gene/Summary?db=core;g=ENSMUSG00000022960","ENSMUSG00000022960")</f>
        <v>ENSMUSG00000022960</v>
      </c>
      <c r="I534" s="6" t="str">
        <f>HYPERLINK("http://www.informatics.jax.org/marker/MGI:1890621","MGI:1890621")</f>
        <v>MGI:1890621</v>
      </c>
      <c r="J534" s="7" t="s">
        <v>12</v>
      </c>
    </row>
    <row r="535" spans="1:10" x14ac:dyDescent="0.2">
      <c r="A535" s="3">
        <v>27.340414029470999</v>
      </c>
      <c r="B535" s="1">
        <v>-1.03686794274977</v>
      </c>
      <c r="C535" s="4">
        <v>3.4078383665336502E-5</v>
      </c>
      <c r="D535" s="7">
        <v>9.5109670775075602E-4</v>
      </c>
      <c r="E535" s="1" t="s">
        <v>319</v>
      </c>
      <c r="F535" s="1" t="s">
        <v>320</v>
      </c>
      <c r="G535" s="1" t="s">
        <v>45</v>
      </c>
      <c r="H535" s="6" t="str">
        <f>HYPERLINK("http://www.ensembl.org/Mus_musculus/Gene/Summary?db=core;g=ENSMUSG00000075611","ENSMUSG00000075611")</f>
        <v>ENSMUSG00000075611</v>
      </c>
      <c r="I535" s="6" t="str">
        <f>HYPERLINK("http://www.informatics.jax.org/marker/MGI:2144683","MGI:2144683")</f>
        <v>MGI:2144683</v>
      </c>
      <c r="J535" s="7" t="s">
        <v>321</v>
      </c>
    </row>
    <row r="536" spans="1:10" x14ac:dyDescent="0.2">
      <c r="A536" s="3">
        <v>112.822373766697</v>
      </c>
      <c r="B536" s="1">
        <v>0.63507756110301095</v>
      </c>
      <c r="C536" s="4">
        <v>3.4595292406658602E-5</v>
      </c>
      <c r="D536" s="7">
        <v>9.6369797524484095E-4</v>
      </c>
      <c r="E536" s="1" t="s">
        <v>3252</v>
      </c>
      <c r="F536" s="1" t="s">
        <v>3253</v>
      </c>
      <c r="G536" s="1">
        <v>14073</v>
      </c>
      <c r="H536" s="6" t="str">
        <f>HYPERLINK("http://www.ensembl.org/Mus_musculus/Gene/Summary?db=core;g=ENSMUSG00000034171","ENSMUSG00000034171")</f>
        <v>ENSMUSG00000034171</v>
      </c>
      <c r="I536" s="6" t="str">
        <f>HYPERLINK("http://www.informatics.jax.org/marker/MGI:109609","MGI:109609")</f>
        <v>MGI:109609</v>
      </c>
      <c r="J536" s="7" t="s">
        <v>12</v>
      </c>
    </row>
    <row r="537" spans="1:10" x14ac:dyDescent="0.2">
      <c r="A537" s="3">
        <v>737.36633395595402</v>
      </c>
      <c r="B537" s="1">
        <v>-0.238365376205984</v>
      </c>
      <c r="C537" s="4">
        <v>3.50660261353656E-5</v>
      </c>
      <c r="D537" s="7">
        <v>9.7496785119009105E-4</v>
      </c>
      <c r="E537" s="1" t="s">
        <v>1716</v>
      </c>
      <c r="F537" s="1" t="s">
        <v>1717</v>
      </c>
      <c r="G537" s="1">
        <v>67581</v>
      </c>
      <c r="H537" s="6" t="str">
        <f>HYPERLINK("http://www.ensembl.org/Mus_musculus/Gene/Summary?db=core;g=ENSMUSG00000022749","ENSMUSG00000022749")</f>
        <v>ENSMUSG00000022749</v>
      </c>
      <c r="I537" s="6" t="str">
        <f>HYPERLINK("http://www.informatics.jax.org/marker/MGI:1914831","MGI:1914831")</f>
        <v>MGI:1914831</v>
      </c>
      <c r="J537" s="7" t="s">
        <v>12</v>
      </c>
    </row>
    <row r="538" spans="1:10" x14ac:dyDescent="0.2">
      <c r="A538" s="3">
        <v>6315.7563844049</v>
      </c>
      <c r="B538" s="1">
        <v>0.14989844532927801</v>
      </c>
      <c r="C538" s="4">
        <v>3.6879611038906197E-5</v>
      </c>
      <c r="D538" s="7">
        <v>1.02346129617575E-3</v>
      </c>
      <c r="E538" s="1" t="s">
        <v>2320</v>
      </c>
      <c r="F538" s="1" t="s">
        <v>2321</v>
      </c>
      <c r="G538" s="1">
        <v>225363</v>
      </c>
      <c r="H538" s="6" t="str">
        <f>HYPERLINK("http://www.ensembl.org/Mus_musculus/Gene/Summary?db=core;g=ENSMUSG00000024360","ENSMUSG00000024360")</f>
        <v>ENSMUSG00000024360</v>
      </c>
      <c r="I538" s="6" t="str">
        <f>HYPERLINK("http://www.informatics.jax.org/marker/MGI:2385071","MGI:2385071")</f>
        <v>MGI:2385071</v>
      </c>
      <c r="J538" s="7" t="s">
        <v>12</v>
      </c>
    </row>
    <row r="539" spans="1:10" x14ac:dyDescent="0.2">
      <c r="A539" s="3">
        <v>2892.3612648017902</v>
      </c>
      <c r="B539" s="1">
        <v>-0.231604824177087</v>
      </c>
      <c r="C539" s="4">
        <v>3.69905396052014E-5</v>
      </c>
      <c r="D539" s="7">
        <v>1.0246101346282901E-3</v>
      </c>
      <c r="E539" s="1" t="s">
        <v>1752</v>
      </c>
      <c r="F539" s="1" t="s">
        <v>1753</v>
      </c>
      <c r="G539" s="1">
        <v>328572</v>
      </c>
      <c r="H539" s="6" t="str">
        <f>HYPERLINK("http://www.ensembl.org/Mus_musculus/Gene/Summary?db=core;g=ENSMUSG00000055024","ENSMUSG00000055024")</f>
        <v>ENSMUSG00000055024</v>
      </c>
      <c r="I539" s="6" t="str">
        <f>HYPERLINK("http://www.informatics.jax.org/marker/MGI:1276116","MGI:1276116")</f>
        <v>MGI:1276116</v>
      </c>
      <c r="J539" s="7" t="s">
        <v>12</v>
      </c>
    </row>
    <row r="540" spans="1:10" x14ac:dyDescent="0.2">
      <c r="A540" s="3">
        <v>119.689927071081</v>
      </c>
      <c r="B540" s="1">
        <v>-0.491260332420417</v>
      </c>
      <c r="C540" s="4">
        <v>3.7140902641734598E-5</v>
      </c>
      <c r="D540" s="7">
        <v>1.0268449180649199E-3</v>
      </c>
      <c r="E540" s="1" t="s">
        <v>855</v>
      </c>
      <c r="F540" s="1" t="s">
        <v>856</v>
      </c>
      <c r="G540" s="1">
        <v>76281</v>
      </c>
      <c r="H540" s="6" t="str">
        <f>HYPERLINK("http://www.ensembl.org/Mus_musculus/Gene/Summary?db=core;g=ENSMUSG00000040158","ENSMUSG00000040158")</f>
        <v>ENSMUSG00000040158</v>
      </c>
      <c r="I540" s="6" t="str">
        <f>HYPERLINK("http://www.informatics.jax.org/marker/MGI:1923531","MGI:1923531")</f>
        <v>MGI:1923531</v>
      </c>
      <c r="J540" s="7" t="s">
        <v>12</v>
      </c>
    </row>
    <row r="541" spans="1:10" x14ac:dyDescent="0.2">
      <c r="A541" s="3">
        <v>1165.5933293924099</v>
      </c>
      <c r="B541" s="1">
        <v>-1.5973730413398199</v>
      </c>
      <c r="C541" s="4">
        <v>3.7806402731160998E-5</v>
      </c>
      <c r="D541" s="7">
        <v>1.0432867989632699E-3</v>
      </c>
      <c r="E541" s="1" t="s">
        <v>112</v>
      </c>
      <c r="F541" s="1" t="s">
        <v>113</v>
      </c>
      <c r="G541" s="1">
        <v>15957</v>
      </c>
      <c r="H541" s="6" t="str">
        <f>HYPERLINK("http://www.ensembl.org/Mus_musculus/Gene/Summary?db=core;g=ENSMUSG00000034459","ENSMUSG00000034459")</f>
        <v>ENSMUSG00000034459</v>
      </c>
      <c r="I541" s="6" t="str">
        <f>HYPERLINK("http://www.informatics.jax.org/marker/MGI:99450","MGI:99450")</f>
        <v>MGI:99450</v>
      </c>
      <c r="J541" s="7" t="s">
        <v>12</v>
      </c>
    </row>
    <row r="542" spans="1:10" x14ac:dyDescent="0.2">
      <c r="A542" s="3">
        <v>1552.4878182189</v>
      </c>
      <c r="B542" s="1">
        <v>-0.17896617334853099</v>
      </c>
      <c r="C542" s="4">
        <v>3.8393673610636701E-5</v>
      </c>
      <c r="D542" s="7">
        <v>1.0575124753763401E-3</v>
      </c>
      <c r="E542" s="1" t="s">
        <v>2018</v>
      </c>
      <c r="F542" s="1" t="s">
        <v>2019</v>
      </c>
      <c r="G542" s="1">
        <v>56697</v>
      </c>
      <c r="H542" s="6" t="str">
        <f>HYPERLINK("http://www.ensembl.org/Mus_musculus/Gene/Summary?db=core;g=ENSMUSG00000047804","ENSMUSG00000047804")</f>
        <v>ENSMUSG00000047804</v>
      </c>
      <c r="I542" s="6" t="str">
        <f>HYPERLINK("http://www.informatics.jax.org/marker/MGI:1890218","MGI:1890218")</f>
        <v>MGI:1890218</v>
      </c>
      <c r="J542" s="7" t="s">
        <v>12</v>
      </c>
    </row>
    <row r="543" spans="1:10" x14ac:dyDescent="0.2">
      <c r="A543" s="3">
        <v>278.40991070128501</v>
      </c>
      <c r="B543" s="1">
        <v>-0.59061126112870299</v>
      </c>
      <c r="C543" s="4">
        <v>3.9244364756518798E-5</v>
      </c>
      <c r="D543" s="7">
        <v>1.07892716241056E-3</v>
      </c>
      <c r="E543" s="1" t="s">
        <v>689</v>
      </c>
      <c r="F543" s="1" t="s">
        <v>690</v>
      </c>
      <c r="G543" s="1">
        <v>64685</v>
      </c>
      <c r="H543" s="6" t="str">
        <f>HYPERLINK("http://www.ensembl.org/Mus_musculus/Gene/Summary?db=core;g=ENSMUSG00000026946","ENSMUSG00000026946")</f>
        <v>ENSMUSG00000026946</v>
      </c>
      <c r="I543" s="6" t="str">
        <f>HYPERLINK("http://www.informatics.jax.org/marker/MGI:1928368","MGI:1928368")</f>
        <v>MGI:1928368</v>
      </c>
      <c r="J543" s="7" t="s">
        <v>12</v>
      </c>
    </row>
    <row r="544" spans="1:10" x14ac:dyDescent="0.2">
      <c r="A544" s="3">
        <v>858.88357496394497</v>
      </c>
      <c r="B544" s="1">
        <v>-0.43098334396343602</v>
      </c>
      <c r="C544" s="4">
        <v>3.9736524368806203E-5</v>
      </c>
      <c r="D544" s="7">
        <v>1.09042350670154E-3</v>
      </c>
      <c r="E544" s="1" t="s">
        <v>1021</v>
      </c>
      <c r="F544" s="1" t="s">
        <v>1022</v>
      </c>
      <c r="G544" s="1">
        <v>27403</v>
      </c>
      <c r="H544" s="6" t="str">
        <f>HYPERLINK("http://www.ensembl.org/Mus_musculus/Gene/Summary?db=core;g=ENSMUSG00000035722","ENSMUSG00000035722")</f>
        <v>ENSMUSG00000035722</v>
      </c>
      <c r="I544" s="6" t="str">
        <f>HYPERLINK("http://www.informatics.jax.org/marker/MGI:1351646","MGI:1351646")</f>
        <v>MGI:1351646</v>
      </c>
      <c r="J544" s="7" t="s">
        <v>12</v>
      </c>
    </row>
    <row r="545" spans="1:10" x14ac:dyDescent="0.2">
      <c r="A545" s="3">
        <v>64.701133377913493</v>
      </c>
      <c r="B545" s="1">
        <v>0.62183152214474802</v>
      </c>
      <c r="C545" s="4">
        <v>3.9829516163136803E-5</v>
      </c>
      <c r="D545" s="7">
        <v>1.0909437735687399E-3</v>
      </c>
      <c r="E545" s="1" t="s">
        <v>3250</v>
      </c>
      <c r="F545" s="1" t="s">
        <v>3251</v>
      </c>
      <c r="G545" s="1">
        <v>72514</v>
      </c>
      <c r="H545" s="6" t="str">
        <f>HYPERLINK("http://www.ensembl.org/Mus_musculus/Gene/Summary?db=core;g=ENSMUSG00000047632","ENSMUSG00000047632")</f>
        <v>ENSMUSG00000047632</v>
      </c>
      <c r="I545" s="6" t="str">
        <f>HYPERLINK("http://www.informatics.jax.org/marker/MGI:1919764","MGI:1919764")</f>
        <v>MGI:1919764</v>
      </c>
      <c r="J545" s="7" t="s">
        <v>12</v>
      </c>
    </row>
    <row r="546" spans="1:10" x14ac:dyDescent="0.2">
      <c r="A546" s="3">
        <v>916.55472410335904</v>
      </c>
      <c r="B546" s="1">
        <v>0.23677465602939399</v>
      </c>
      <c r="C546" s="4">
        <v>4.0196317251822502E-5</v>
      </c>
      <c r="D546" s="7">
        <v>1.0989479239756101E-3</v>
      </c>
      <c r="E546" s="1" t="s">
        <v>2824</v>
      </c>
      <c r="F546" s="1" t="s">
        <v>2825</v>
      </c>
      <c r="G546" s="1">
        <v>56422</v>
      </c>
      <c r="H546" s="6" t="str">
        <f>HYPERLINK("http://www.ensembl.org/Mus_musculus/Gene/Summary?db=core;g=ENSMUSG00000019977","ENSMUSG00000019977")</f>
        <v>ENSMUSG00000019977</v>
      </c>
      <c r="I546" s="6" t="str">
        <f>HYPERLINK("http://www.informatics.jax.org/marker/MGI:1891704","MGI:1891704")</f>
        <v>MGI:1891704</v>
      </c>
      <c r="J546" s="7" t="s">
        <v>12</v>
      </c>
    </row>
    <row r="547" spans="1:10" x14ac:dyDescent="0.2">
      <c r="A547" s="3">
        <v>273.49324087337999</v>
      </c>
      <c r="B547" s="1">
        <v>0.43532679657579498</v>
      </c>
      <c r="C547" s="4">
        <v>4.1039133680781401E-5</v>
      </c>
      <c r="D547" s="7">
        <v>1.1199123591111E-3</v>
      </c>
      <c r="E547" s="1" t="s">
        <v>3162</v>
      </c>
      <c r="F547" s="1" t="s">
        <v>3163</v>
      </c>
      <c r="G547" s="1">
        <v>329384</v>
      </c>
      <c r="H547" s="6" t="str">
        <f>HYPERLINK("http://www.ensembl.org/Mus_musculus/Gene/Summary?db=core;g=ENSMUSG00000053746","ENSMUSG00000053746")</f>
        <v>ENSMUSG00000053746</v>
      </c>
      <c r="I547" s="6" t="str">
        <f>HYPERLINK("http://www.informatics.jax.org/marker/MGI:1913779","MGI:1913779")</f>
        <v>MGI:1913779</v>
      </c>
      <c r="J547" s="7" t="s">
        <v>12</v>
      </c>
    </row>
    <row r="548" spans="1:10" x14ac:dyDescent="0.2">
      <c r="A548" s="3">
        <v>166.66117866839801</v>
      </c>
      <c r="B548" s="1">
        <v>-0.92054566658328496</v>
      </c>
      <c r="C548" s="4">
        <v>4.2123723199748503E-5</v>
      </c>
      <c r="D548" s="7">
        <v>1.1473848152892699E-3</v>
      </c>
      <c r="E548" s="1" t="s">
        <v>391</v>
      </c>
      <c r="F548" s="1" t="s">
        <v>392</v>
      </c>
      <c r="G548" s="1">
        <v>434484</v>
      </c>
      <c r="H548" s="6" t="str">
        <f>HYPERLINK("http://www.ensembl.org/Mus_musculus/Gene/Summary?db=core;g=ENSMUSG00000070031","ENSMUSG00000070031")</f>
        <v>ENSMUSG00000070031</v>
      </c>
      <c r="I548" s="6" t="str">
        <f>HYPERLINK("http://www.informatics.jax.org/marker/MGI:3702467","MGI:3702467")</f>
        <v>MGI:3702467</v>
      </c>
      <c r="J548" s="7" t="s">
        <v>12</v>
      </c>
    </row>
    <row r="549" spans="1:10" x14ac:dyDescent="0.2">
      <c r="A549" s="3">
        <v>53.877708120905197</v>
      </c>
      <c r="B549" s="1">
        <v>0.56067716534974199</v>
      </c>
      <c r="C549" s="4">
        <v>4.2448471618688199E-5</v>
      </c>
      <c r="D549" s="7">
        <v>1.15409719146308E-3</v>
      </c>
      <c r="E549" s="1" t="s">
        <v>3228</v>
      </c>
      <c r="F549" s="1" t="s">
        <v>3229</v>
      </c>
      <c r="G549" s="1">
        <v>238024</v>
      </c>
      <c r="H549" s="6" t="str">
        <f>HYPERLINK("http://www.ensembl.org/Mus_musculus/Gene/Summary?db=core;g=ENSMUSG00000039253","ENSMUSG00000039253")</f>
        <v>ENSMUSG00000039253</v>
      </c>
      <c r="I549" s="6" t="str">
        <f>HYPERLINK("http://www.informatics.jax.org/marker/MGI:2679256","MGI:2679256")</f>
        <v>MGI:2679256</v>
      </c>
      <c r="J549" s="7" t="s">
        <v>12</v>
      </c>
    </row>
    <row r="550" spans="1:10" x14ac:dyDescent="0.2">
      <c r="A550" s="3">
        <v>502.88107245651202</v>
      </c>
      <c r="B550" s="1">
        <v>-0.37983618497742799</v>
      </c>
      <c r="C550" s="4">
        <v>4.2641294890604401E-5</v>
      </c>
      <c r="D550" s="7">
        <v>1.1572046436610401E-3</v>
      </c>
      <c r="E550" s="1" t="s">
        <v>1136</v>
      </c>
      <c r="F550" s="1" t="s">
        <v>1137</v>
      </c>
      <c r="G550" s="1">
        <v>140742</v>
      </c>
      <c r="H550" s="6" t="str">
        <f>HYPERLINK("http://www.ensembl.org/Mus_musculus/Gene/Summary?db=core;g=ENSMUSG00000038332","ENSMUSG00000038332")</f>
        <v>ENSMUSG00000038332</v>
      </c>
      <c r="I550" s="6" t="str">
        <f>HYPERLINK("http://www.informatics.jax.org/marker/MGI:2155278","MGI:2155278")</f>
        <v>MGI:2155278</v>
      </c>
      <c r="J550" s="7" t="s">
        <v>12</v>
      </c>
    </row>
    <row r="551" spans="1:10" x14ac:dyDescent="0.2">
      <c r="A551" s="3">
        <v>598.78788319161004</v>
      </c>
      <c r="B551" s="1">
        <v>-0.56669009091184297</v>
      </c>
      <c r="C551" s="4">
        <v>4.3153515009567502E-5</v>
      </c>
      <c r="D551" s="7">
        <v>1.1680517000450001E-3</v>
      </c>
      <c r="E551" s="1" t="s">
        <v>733</v>
      </c>
      <c r="F551" s="1" t="s">
        <v>734</v>
      </c>
      <c r="G551" s="1">
        <v>22151</v>
      </c>
      <c r="H551" s="6" t="str">
        <f>HYPERLINK("http://www.ensembl.org/Mus_musculus/Gene/Summary?db=core;g=ENSMUSG00000058672","ENSMUSG00000058672")</f>
        <v>ENSMUSG00000058672</v>
      </c>
      <c r="I551" s="6" t="str">
        <f>HYPERLINK("http://www.informatics.jax.org/marker/MGI:107861","MGI:107861")</f>
        <v>MGI:107861</v>
      </c>
      <c r="J551" s="7" t="s">
        <v>12</v>
      </c>
    </row>
    <row r="552" spans="1:10" x14ac:dyDescent="0.2">
      <c r="A552" s="3">
        <v>1462.7273756675199</v>
      </c>
      <c r="B552" s="1">
        <v>-0.56098438169106501</v>
      </c>
      <c r="C552" s="4">
        <v>4.3199523379786001E-5</v>
      </c>
      <c r="D552" s="7">
        <v>1.1680517000450001E-3</v>
      </c>
      <c r="E552" s="1" t="s">
        <v>747</v>
      </c>
      <c r="F552" s="1" t="s">
        <v>748</v>
      </c>
      <c r="G552" s="1">
        <v>16419</v>
      </c>
      <c r="H552" s="6" t="str">
        <f>HYPERLINK("http://www.ensembl.org/Mus_musculus/Gene/Summary?db=core;g=ENSMUSG00000022817","ENSMUSG00000022817")</f>
        <v>ENSMUSG00000022817</v>
      </c>
      <c r="I552" s="6" t="str">
        <f>HYPERLINK("http://www.informatics.jax.org/marker/MGI:96614","MGI:96614")</f>
        <v>MGI:96614</v>
      </c>
      <c r="J552" s="7" t="s">
        <v>12</v>
      </c>
    </row>
    <row r="553" spans="1:10" x14ac:dyDescent="0.2">
      <c r="A553" s="3">
        <v>91.335071999011305</v>
      </c>
      <c r="B553" s="1">
        <v>-0.44671999290873399</v>
      </c>
      <c r="C553" s="4">
        <v>4.35115524690522E-5</v>
      </c>
      <c r="D553" s="7">
        <v>1.17218690527231E-3</v>
      </c>
      <c r="E553" s="1" t="s">
        <v>939</v>
      </c>
      <c r="F553" s="1" t="s">
        <v>940</v>
      </c>
      <c r="G553" s="1">
        <v>20667</v>
      </c>
      <c r="H553" s="6" t="str">
        <f>HYPERLINK("http://www.ensembl.org/Mus_musculus/Gene/Summary?db=core;g=ENSMUSG00000051817","ENSMUSG00000051817")</f>
        <v>ENSMUSG00000051817</v>
      </c>
      <c r="I553" s="6" t="str">
        <f>HYPERLINK("http://www.informatics.jax.org/marker/MGI:98360","MGI:98360")</f>
        <v>MGI:98360</v>
      </c>
      <c r="J553" s="7" t="s">
        <v>12</v>
      </c>
    </row>
    <row r="554" spans="1:10" x14ac:dyDescent="0.2">
      <c r="A554" s="3">
        <v>241.27705075272601</v>
      </c>
      <c r="B554" s="1">
        <v>-0.38300593270434102</v>
      </c>
      <c r="C554" s="4">
        <v>4.3438065332246401E-5</v>
      </c>
      <c r="D554" s="7">
        <v>1.17218690527231E-3</v>
      </c>
      <c r="E554" s="1" t="s">
        <v>1131</v>
      </c>
      <c r="F554" s="1" t="s">
        <v>1132</v>
      </c>
      <c r="G554" s="1">
        <v>66815</v>
      </c>
      <c r="H554" s="6" t="str">
        <f>HYPERLINK("http://www.ensembl.org/Mus_musculus/Gene/Summary?db=core;g=ENSMUSG00000027994","ENSMUSG00000027994")</f>
        <v>ENSMUSG00000027994</v>
      </c>
      <c r="I554" s="6" t="str">
        <f>HYPERLINK("http://www.informatics.jax.org/marker/MGI:1914065","MGI:1914065")</f>
        <v>MGI:1914065</v>
      </c>
      <c r="J554" s="7" t="s">
        <v>12</v>
      </c>
    </row>
    <row r="555" spans="1:10" x14ac:dyDescent="0.2">
      <c r="A555" s="3">
        <v>346.99703008443902</v>
      </c>
      <c r="B555" s="1">
        <v>-0.782200429023588</v>
      </c>
      <c r="C555" s="4">
        <v>4.3715563035556902E-5</v>
      </c>
      <c r="D555" s="7">
        <v>1.1733925990746201E-3</v>
      </c>
      <c r="E555" s="1" t="s">
        <v>488</v>
      </c>
      <c r="F555" s="1" t="s">
        <v>489</v>
      </c>
      <c r="G555" s="1">
        <v>257632</v>
      </c>
      <c r="H555" s="6" t="str">
        <f>HYPERLINK("http://www.ensembl.org/Mus_musculus/Gene/Summary?db=core;g=ENSMUSG00000055994","ENSMUSG00000055994")</f>
        <v>ENSMUSG00000055994</v>
      </c>
      <c r="I555" s="6" t="str">
        <f>HYPERLINK("http://www.informatics.jax.org/marker/MGI:2429397","MGI:2429397")</f>
        <v>MGI:2429397</v>
      </c>
      <c r="J555" s="7" t="s">
        <v>12</v>
      </c>
    </row>
    <row r="556" spans="1:10" x14ac:dyDescent="0.2">
      <c r="A556" s="3">
        <v>3.7306139305636101</v>
      </c>
      <c r="B556" s="1">
        <v>1.76324276890987</v>
      </c>
      <c r="C556" s="4">
        <v>4.36431392650771E-5</v>
      </c>
      <c r="D556" s="7">
        <v>1.1733925990746201E-3</v>
      </c>
      <c r="E556" s="1" t="s">
        <v>3367</v>
      </c>
      <c r="F556" s="1" t="s">
        <v>3368</v>
      </c>
      <c r="G556" s="1">
        <v>13867</v>
      </c>
      <c r="H556" s="6" t="str">
        <f>HYPERLINK("http://www.ensembl.org/Mus_musculus/Gene/Summary?db=core;g=ENSMUSG00000018166","ENSMUSG00000018166")</f>
        <v>ENSMUSG00000018166</v>
      </c>
      <c r="I556" s="6" t="str">
        <f>HYPERLINK("http://www.informatics.jax.org/marker/MGI:95411","MGI:95411")</f>
        <v>MGI:95411</v>
      </c>
      <c r="J556" s="7" t="s">
        <v>12</v>
      </c>
    </row>
    <row r="557" spans="1:10" x14ac:dyDescent="0.2">
      <c r="A557" s="3">
        <v>1645.64549605151</v>
      </c>
      <c r="B557" s="1">
        <v>-0.25821550181356601</v>
      </c>
      <c r="C557" s="4">
        <v>4.3998446234139098E-5</v>
      </c>
      <c r="D557" s="7">
        <v>1.1788383703750401E-3</v>
      </c>
      <c r="E557" s="1" t="s">
        <v>1624</v>
      </c>
      <c r="F557" s="1" t="s">
        <v>1625</v>
      </c>
      <c r="G557" s="1">
        <v>15900</v>
      </c>
      <c r="H557" s="6" t="str">
        <f>HYPERLINK("http://www.ensembl.org/Mus_musculus/Gene/Summary?db=core;g=ENSMUSG00000041515","ENSMUSG00000041515")</f>
        <v>ENSMUSG00000041515</v>
      </c>
      <c r="I557" s="6" t="str">
        <f>HYPERLINK("http://www.informatics.jax.org/marker/MGI:96395","MGI:96395")</f>
        <v>MGI:96395</v>
      </c>
      <c r="J557" s="7" t="s">
        <v>12</v>
      </c>
    </row>
    <row r="558" spans="1:10" x14ac:dyDescent="0.2">
      <c r="A558" s="3">
        <v>4610.6685467371999</v>
      </c>
      <c r="B558" s="1">
        <v>-0.44935414323796702</v>
      </c>
      <c r="C558" s="4">
        <v>4.4854044435687099E-5</v>
      </c>
      <c r="D558" s="7">
        <v>1.19958112305678E-3</v>
      </c>
      <c r="E558" s="1" t="s">
        <v>931</v>
      </c>
      <c r="F558" s="1" t="s">
        <v>932</v>
      </c>
      <c r="G558" s="1">
        <v>11669</v>
      </c>
      <c r="H558" s="6" t="str">
        <f>HYPERLINK("http://www.ensembl.org/Mus_musculus/Gene/Summary?db=core;g=ENSMUSG00000029455","ENSMUSG00000029455")</f>
        <v>ENSMUSG00000029455</v>
      </c>
      <c r="I558" s="6" t="str">
        <f>HYPERLINK("http://www.informatics.jax.org/marker/MGI:99600","MGI:99600")</f>
        <v>MGI:99600</v>
      </c>
      <c r="J558" s="7" t="s">
        <v>12</v>
      </c>
    </row>
    <row r="559" spans="1:10" x14ac:dyDescent="0.2">
      <c r="A559" s="3">
        <v>4.8868364347371402</v>
      </c>
      <c r="B559" s="1">
        <v>1.78987834038336</v>
      </c>
      <c r="C559" s="4">
        <v>4.5418363066074903E-5</v>
      </c>
      <c r="D559" s="7">
        <v>1.21247282272044E-3</v>
      </c>
      <c r="E559" s="1" t="s">
        <v>3371</v>
      </c>
      <c r="F559" s="1" t="s">
        <v>3372</v>
      </c>
      <c r="G559" s="1">
        <v>24066</v>
      </c>
      <c r="H559" s="6" t="str">
        <f>HYPERLINK("http://www.ensembl.org/Mus_musculus/Gene/Summary?db=core;g=ENSMUSG00000024427","ENSMUSG00000024427")</f>
        <v>ENSMUSG00000024427</v>
      </c>
      <c r="I559" s="6" t="str">
        <f>HYPERLINK("http://www.informatics.jax.org/marker/MGI:1345144","MGI:1345144")</f>
        <v>MGI:1345144</v>
      </c>
      <c r="J559" s="7" t="s">
        <v>12</v>
      </c>
    </row>
    <row r="560" spans="1:10" x14ac:dyDescent="0.2">
      <c r="A560" s="3">
        <v>2344.82370504144</v>
      </c>
      <c r="B560" s="1">
        <v>0.20071976902275701</v>
      </c>
      <c r="C560" s="4">
        <v>4.6775948165984602E-5</v>
      </c>
      <c r="D560" s="7">
        <v>1.2464563692114799E-3</v>
      </c>
      <c r="E560" s="1" t="s">
        <v>2606</v>
      </c>
      <c r="F560" s="1" t="s">
        <v>2607</v>
      </c>
      <c r="G560" s="1">
        <v>19069</v>
      </c>
      <c r="H560" s="6" t="str">
        <f>HYPERLINK("http://www.ensembl.org/Mus_musculus/Gene/Summary?db=core;g=ENSMUSG00000040667","ENSMUSG00000040667")</f>
        <v>ENSMUSG00000040667</v>
      </c>
      <c r="I560" s="6" t="str">
        <f>HYPERLINK("http://www.informatics.jax.org/marker/MGI:104900","MGI:104900")</f>
        <v>MGI:104900</v>
      </c>
      <c r="J560" s="7" t="s">
        <v>12</v>
      </c>
    </row>
    <row r="561" spans="1:10" x14ac:dyDescent="0.2">
      <c r="A561" s="3">
        <v>58.150138703230198</v>
      </c>
      <c r="B561" s="1">
        <v>-0.76637816427552896</v>
      </c>
      <c r="C561" s="4">
        <v>4.7083208553651802E-5</v>
      </c>
      <c r="D561" s="7">
        <v>1.2523793524307099E-3</v>
      </c>
      <c r="E561" s="1" t="s">
        <v>504</v>
      </c>
      <c r="F561" s="1" t="s">
        <v>505</v>
      </c>
      <c r="G561" s="1">
        <v>622675</v>
      </c>
      <c r="H561" s="6" t="str">
        <f>HYPERLINK("http://www.ensembl.org/Mus_musculus/Gene/Summary?db=core;g=ENSMUSG00000071064","ENSMUSG00000071064")</f>
        <v>ENSMUSG00000071064</v>
      </c>
      <c r="I561" s="6" t="str">
        <f>HYPERLINK("http://www.informatics.jax.org/marker/MGI:2444807","MGI:2444807")</f>
        <v>MGI:2444807</v>
      </c>
      <c r="J561" s="7" t="s">
        <v>12</v>
      </c>
    </row>
    <row r="562" spans="1:10" x14ac:dyDescent="0.2">
      <c r="A562" s="3">
        <v>196.16348745927499</v>
      </c>
      <c r="B562" s="1">
        <v>-0.60937083018785199</v>
      </c>
      <c r="C562" s="4">
        <v>4.7723252707380199E-5</v>
      </c>
      <c r="D562" s="7">
        <v>1.26483786312222E-3</v>
      </c>
      <c r="E562" s="1" t="s">
        <v>664</v>
      </c>
      <c r="F562" s="1" t="s">
        <v>665</v>
      </c>
      <c r="G562" s="1">
        <v>11981</v>
      </c>
      <c r="H562" s="6" t="str">
        <f>HYPERLINK("http://www.ensembl.org/Mus_musculus/Gene/Summary?db=core;g=ENSMUSG00000027546","ENSMUSG00000027546")</f>
        <v>ENSMUSG00000027546</v>
      </c>
      <c r="I562" s="6" t="str">
        <f>HYPERLINK("http://www.informatics.jax.org/marker/MGI:1330826","MGI:1330826")</f>
        <v>MGI:1330826</v>
      </c>
      <c r="J562" s="7" t="s">
        <v>12</v>
      </c>
    </row>
    <row r="563" spans="1:10" x14ac:dyDescent="0.2">
      <c r="A563" s="3">
        <v>8.1063825994748697</v>
      </c>
      <c r="B563" s="1">
        <v>1.43275010833979</v>
      </c>
      <c r="C563" s="4">
        <v>4.7658789751610703E-5</v>
      </c>
      <c r="D563" s="7">
        <v>1.26483786312222E-3</v>
      </c>
      <c r="E563" s="1" t="s">
        <v>3347</v>
      </c>
      <c r="F563" s="1" t="s">
        <v>3348</v>
      </c>
      <c r="G563" s="1" t="s">
        <v>45</v>
      </c>
      <c r="H563" s="6" t="str">
        <f>HYPERLINK("http://www.ensembl.org/Mus_musculus/Gene/Summary?db=core;g=ENSMUSG00000097848","ENSMUSG00000097848")</f>
        <v>ENSMUSG00000097848</v>
      </c>
      <c r="I563" s="6" t="str">
        <f>HYPERLINK("http://www.informatics.jax.org/marker/MGI:2685653","MGI:2685653")</f>
        <v>MGI:2685653</v>
      </c>
      <c r="J563" s="7" t="s">
        <v>95</v>
      </c>
    </row>
    <row r="564" spans="1:10" x14ac:dyDescent="0.2">
      <c r="A564" s="3">
        <v>1252.9131463215799</v>
      </c>
      <c r="B564" s="1">
        <v>-0.57753447789787504</v>
      </c>
      <c r="C564" s="4">
        <v>4.8904930144546202E-5</v>
      </c>
      <c r="D564" s="7">
        <v>1.29382953430886E-3</v>
      </c>
      <c r="E564" s="1" t="s">
        <v>713</v>
      </c>
      <c r="F564" s="1" t="s">
        <v>714</v>
      </c>
      <c r="G564" s="1">
        <v>231712</v>
      </c>
      <c r="H564" s="6" t="str">
        <f>HYPERLINK("http://www.ensembl.org/Mus_musculus/Gene/Summary?db=core;g=ENSMUSG00000042726","ENSMUSG00000042726")</f>
        <v>ENSMUSG00000042726</v>
      </c>
      <c r="I564" s="6" t="str">
        <f>HYPERLINK("http://www.informatics.jax.org/marker/MGI:1923551","MGI:1923551")</f>
        <v>MGI:1923551</v>
      </c>
      <c r="J564" s="7" t="s">
        <v>12</v>
      </c>
    </row>
    <row r="565" spans="1:10" x14ac:dyDescent="0.2">
      <c r="A565" s="3">
        <v>8.0111826062890401</v>
      </c>
      <c r="B565" s="1">
        <v>-1.67635612378141</v>
      </c>
      <c r="C565" s="4">
        <v>4.9085484231571102E-5</v>
      </c>
      <c r="D565" s="7">
        <v>1.2939600995285001E-3</v>
      </c>
      <c r="E565" s="1" t="s">
        <v>93</v>
      </c>
      <c r="F565" s="1" t="s">
        <v>94</v>
      </c>
      <c r="G565" s="1" t="s">
        <v>45</v>
      </c>
      <c r="H565" s="6" t="str">
        <f>HYPERLINK("http://www.ensembl.org/Mus_musculus/Gene/Summary?db=core;g=ENSMUSG00000085146","ENSMUSG00000085146")</f>
        <v>ENSMUSG00000085146</v>
      </c>
      <c r="I565" s="6" t="str">
        <f>HYPERLINK("http://www.informatics.jax.org/marker/MGI:2446636","MGI:2446636")</f>
        <v>MGI:2446636</v>
      </c>
      <c r="J565" s="7" t="s">
        <v>95</v>
      </c>
    </row>
    <row r="566" spans="1:10" x14ac:dyDescent="0.2">
      <c r="A566" s="3">
        <v>310.40189889679999</v>
      </c>
      <c r="B566" s="1">
        <v>-0.69778882617427496</v>
      </c>
      <c r="C566" s="4">
        <v>4.9082630138353899E-5</v>
      </c>
      <c r="D566" s="7">
        <v>1.2939600995285001E-3</v>
      </c>
      <c r="E566" s="1" t="s">
        <v>562</v>
      </c>
      <c r="F566" s="1" t="s">
        <v>563</v>
      </c>
      <c r="G566" s="1">
        <v>19204</v>
      </c>
      <c r="H566" s="6" t="str">
        <f>HYPERLINK("http://www.ensembl.org/Mus_musculus/Gene/Summary?db=core;g=ENSMUSG00000056529","ENSMUSG00000056529")</f>
        <v>ENSMUSG00000056529</v>
      </c>
      <c r="I566" s="6" t="str">
        <f>HYPERLINK("http://www.informatics.jax.org/marker/MGI:106066","MGI:106066")</f>
        <v>MGI:106066</v>
      </c>
      <c r="J566" s="7" t="s">
        <v>12</v>
      </c>
    </row>
    <row r="567" spans="1:10" x14ac:dyDescent="0.2">
      <c r="A567" s="3">
        <v>620.66449425932399</v>
      </c>
      <c r="B567" s="1">
        <v>0.28887961044264898</v>
      </c>
      <c r="C567" s="4">
        <v>4.9392924189968699E-5</v>
      </c>
      <c r="D567" s="7">
        <v>1.2997395193988901E-3</v>
      </c>
      <c r="E567" s="1" t="s">
        <v>2982</v>
      </c>
      <c r="F567" s="1" t="s">
        <v>2983</v>
      </c>
      <c r="G567" s="1">
        <v>73340</v>
      </c>
      <c r="H567" s="6" t="str">
        <f>HYPERLINK("http://www.ensembl.org/Mus_musculus/Gene/Summary?db=core;g=ENSMUSG00000022421","ENSMUSG00000022421")</f>
        <v>ENSMUSG00000022421</v>
      </c>
      <c r="I567" s="6" t="str">
        <f>HYPERLINK("http://www.informatics.jax.org/marker/MGI:1920590","MGI:1920590")</f>
        <v>MGI:1920590</v>
      </c>
      <c r="J567" s="7" t="s">
        <v>12</v>
      </c>
    </row>
    <row r="568" spans="1:10" x14ac:dyDescent="0.2">
      <c r="A568" s="3">
        <v>981.88583700263905</v>
      </c>
      <c r="B568" s="1">
        <v>-0.243634176918298</v>
      </c>
      <c r="C568" s="4">
        <v>4.9536716935746401E-5</v>
      </c>
      <c r="D568" s="7">
        <v>1.30119975180955E-3</v>
      </c>
      <c r="E568" s="1" t="s">
        <v>1696</v>
      </c>
      <c r="F568" s="1" t="s">
        <v>1697</v>
      </c>
      <c r="G568" s="1">
        <v>108735</v>
      </c>
      <c r="H568" s="6" t="str">
        <f>HYPERLINK("http://www.ensembl.org/Mus_musculus/Gene/Summary?db=core;g=ENSMUSG00000040848","ENSMUSG00000040848")</f>
        <v>ENSMUSG00000040848</v>
      </c>
      <c r="I568" s="6" t="str">
        <f>HYPERLINK("http://www.informatics.jax.org/marker/MGI:1917362","MGI:1917362")</f>
        <v>MGI:1917362</v>
      </c>
      <c r="J568" s="7" t="s">
        <v>12</v>
      </c>
    </row>
    <row r="569" spans="1:10" x14ac:dyDescent="0.2">
      <c r="A569" s="3">
        <v>1397.9801409541601</v>
      </c>
      <c r="B569" s="1">
        <v>0.29116212803194502</v>
      </c>
      <c r="C569" s="4">
        <v>4.9781394178821402E-5</v>
      </c>
      <c r="D569" s="7">
        <v>1.30530004380625E-3</v>
      </c>
      <c r="E569" s="1" t="s">
        <v>2986</v>
      </c>
      <c r="F569" s="1" t="s">
        <v>2987</v>
      </c>
      <c r="G569" s="1">
        <v>27966</v>
      </c>
      <c r="H569" s="6" t="str">
        <f>HYPERLINK("http://www.ensembl.org/Mus_musculus/Gene/Summary?db=core;g=ENSMUSG00000041506","ENSMUSG00000041506")</f>
        <v>ENSMUSG00000041506</v>
      </c>
      <c r="I569" s="6" t="str">
        <f>HYPERLINK("http://www.informatics.jax.org/marker/MGI:2384313","MGI:2384313")</f>
        <v>MGI:2384313</v>
      </c>
      <c r="J569" s="7" t="s">
        <v>12</v>
      </c>
    </row>
    <row r="570" spans="1:10" x14ac:dyDescent="0.2">
      <c r="A570" s="3">
        <v>2682.4343642171398</v>
      </c>
      <c r="B570" s="1">
        <v>0.172709588714753</v>
      </c>
      <c r="C570" s="4">
        <v>5.0104592689886299E-5</v>
      </c>
      <c r="D570" s="7">
        <v>1.3114409909026001E-3</v>
      </c>
      <c r="E570" s="1" t="s">
        <v>2440</v>
      </c>
      <c r="F570" s="1" t="s">
        <v>2441</v>
      </c>
      <c r="G570" s="1">
        <v>226414</v>
      </c>
      <c r="H570" s="6" t="str">
        <f>HYPERLINK("http://www.ensembl.org/Mus_musculus/Gene/Summary?db=core;g=ENSMUSG00000026356","ENSMUSG00000026356")</f>
        <v>ENSMUSG00000026356</v>
      </c>
      <c r="I570" s="6" t="str">
        <f>HYPERLINK("http://www.informatics.jax.org/marker/MGI:2442544","MGI:2442544")</f>
        <v>MGI:2442544</v>
      </c>
      <c r="J570" s="7" t="s">
        <v>12</v>
      </c>
    </row>
    <row r="571" spans="1:10" x14ac:dyDescent="0.2">
      <c r="A571" s="3">
        <v>625.05882990302496</v>
      </c>
      <c r="B571" s="1">
        <v>0.58215335849653005</v>
      </c>
      <c r="C571" s="4">
        <v>5.0685355237203003E-5</v>
      </c>
      <c r="D571" s="7">
        <v>1.3242897070486199E-3</v>
      </c>
      <c r="E571" s="1" t="s">
        <v>3236</v>
      </c>
      <c r="F571" s="1" t="s">
        <v>3237</v>
      </c>
      <c r="G571" s="1">
        <v>17750</v>
      </c>
      <c r="H571" s="6" t="str">
        <f>HYPERLINK("http://www.ensembl.org/Mus_musculus/Gene/Summary?db=core;g=ENSMUSG00000031762","ENSMUSG00000031762")</f>
        <v>ENSMUSG00000031762</v>
      </c>
      <c r="I571" s="6" t="str">
        <f>HYPERLINK("http://www.informatics.jax.org/marker/MGI:97172","MGI:97172")</f>
        <v>MGI:97172</v>
      </c>
      <c r="J571" s="7" t="s">
        <v>12</v>
      </c>
    </row>
    <row r="572" spans="1:10" x14ac:dyDescent="0.2">
      <c r="A572" s="3">
        <v>13.701518241034</v>
      </c>
      <c r="B572" s="1">
        <v>-1.1053565359261499</v>
      </c>
      <c r="C572" s="4">
        <v>5.2229929744604701E-5</v>
      </c>
      <c r="D572" s="7">
        <v>1.3606472056214101E-3</v>
      </c>
      <c r="E572" s="1" t="s">
        <v>263</v>
      </c>
      <c r="F572" s="1" t="s">
        <v>264</v>
      </c>
      <c r="G572" s="1">
        <v>75604</v>
      </c>
      <c r="H572" s="6" t="str">
        <f>HYPERLINK("http://www.ensembl.org/Mus_musculus/Gene/Summary?db=core;g=ENSMUSG00000018919","ENSMUSG00000018919")</f>
        <v>ENSMUSG00000018919</v>
      </c>
      <c r="I572" s="6" t="str">
        <f>HYPERLINK("http://www.informatics.jax.org/marker/MGI:1922854","MGI:1922854")</f>
        <v>MGI:1922854</v>
      </c>
      <c r="J572" s="7" t="s">
        <v>12</v>
      </c>
    </row>
    <row r="573" spans="1:10" x14ac:dyDescent="0.2">
      <c r="A573" s="3">
        <v>2006.65951264964</v>
      </c>
      <c r="B573" s="1">
        <v>0.27413232757566702</v>
      </c>
      <c r="C573" s="4">
        <v>5.2261557979215302E-5</v>
      </c>
      <c r="D573" s="7">
        <v>1.3606472056214101E-3</v>
      </c>
      <c r="E573" s="1" t="s">
        <v>2948</v>
      </c>
      <c r="F573" s="1" t="s">
        <v>2949</v>
      </c>
      <c r="G573" s="1">
        <v>71846</v>
      </c>
      <c r="H573" s="6" t="str">
        <f>HYPERLINK("http://www.ensembl.org/Mus_musculus/Gene/Summary?db=core;g=ENSMUSG00000003824","ENSMUSG00000003824")</f>
        <v>ENSMUSG00000003824</v>
      </c>
      <c r="I573" s="6" t="str">
        <f>HYPERLINK("http://www.informatics.jax.org/marker/MGI:1919096","MGI:1919096")</f>
        <v>MGI:1919096</v>
      </c>
      <c r="J573" s="7" t="s">
        <v>12</v>
      </c>
    </row>
    <row r="574" spans="1:10" x14ac:dyDescent="0.2">
      <c r="A574" s="3">
        <v>1706.67809555801</v>
      </c>
      <c r="B574" s="1">
        <v>-0.34450503482560202</v>
      </c>
      <c r="C574" s="4">
        <v>5.2804664282137799E-5</v>
      </c>
      <c r="D574" s="7">
        <v>1.37236249181937E-3</v>
      </c>
      <c r="E574" s="1" t="s">
        <v>1266</v>
      </c>
      <c r="F574" s="1" t="s">
        <v>1267</v>
      </c>
      <c r="G574" s="1">
        <v>12549</v>
      </c>
      <c r="H574" s="6" t="str">
        <f>HYPERLINK("http://www.ensembl.org/Mus_musculus/Gene/Summary?db=core;g=ENSMUSG00000022799","ENSMUSG00000022799")</f>
        <v>ENSMUSG00000022799</v>
      </c>
      <c r="I574" s="6" t="str">
        <f>HYPERLINK("http://www.informatics.jax.org/marker/MGI:1333857","MGI:1333857")</f>
        <v>MGI:1333857</v>
      </c>
      <c r="J574" s="7" t="s">
        <v>12</v>
      </c>
    </row>
    <row r="575" spans="1:10" x14ac:dyDescent="0.2">
      <c r="A575" s="3">
        <v>2233.3026875523501</v>
      </c>
      <c r="B575" s="1">
        <v>-0.225243991188215</v>
      </c>
      <c r="C575" s="4">
        <v>5.3998709593081797E-5</v>
      </c>
      <c r="D575" s="7">
        <v>1.40092426859798E-3</v>
      </c>
      <c r="E575" s="1" t="s">
        <v>1790</v>
      </c>
      <c r="F575" s="1" t="s">
        <v>1791</v>
      </c>
      <c r="G575" s="1">
        <v>11773</v>
      </c>
      <c r="H575" s="6" t="str">
        <f>HYPERLINK("http://www.ensembl.org/Mus_musculus/Gene/Summary?db=core;g=ENSMUSG00000022841","ENSMUSG00000022841")</f>
        <v>ENSMUSG00000022841</v>
      </c>
      <c r="I575" s="6" t="str">
        <f>HYPERLINK("http://www.informatics.jax.org/marker/MGI:1298405","MGI:1298405")</f>
        <v>MGI:1298405</v>
      </c>
      <c r="J575" s="7" t="s">
        <v>12</v>
      </c>
    </row>
    <row r="576" spans="1:10" x14ac:dyDescent="0.2">
      <c r="A576" s="3">
        <v>808.72933333110495</v>
      </c>
      <c r="B576" s="1">
        <v>-0.304939293873494</v>
      </c>
      <c r="C576" s="4">
        <v>5.5156992341811403E-5</v>
      </c>
      <c r="D576" s="7">
        <v>1.4284594712635E-3</v>
      </c>
      <c r="E576" s="1" t="s">
        <v>1436</v>
      </c>
      <c r="F576" s="1" t="s">
        <v>1437</v>
      </c>
      <c r="G576" s="1">
        <v>68480</v>
      </c>
      <c r="H576" s="6" t="str">
        <f>HYPERLINK("http://www.ensembl.org/Mus_musculus/Gene/Summary?db=core;g=ENSMUSG00000037960","ENSMUSG00000037960")</f>
        <v>ENSMUSG00000037960</v>
      </c>
      <c r="I576" s="6" t="str">
        <f>HYPERLINK("http://www.informatics.jax.org/marker/MGI:1915730","MGI:1915730")</f>
        <v>MGI:1915730</v>
      </c>
      <c r="J576" s="7" t="s">
        <v>12</v>
      </c>
    </row>
    <row r="577" spans="1:10" x14ac:dyDescent="0.2">
      <c r="A577" s="3">
        <v>2160.8713255217499</v>
      </c>
      <c r="B577" s="1">
        <v>-0.61210889691322401</v>
      </c>
      <c r="C577" s="4">
        <v>5.5597104003417298E-5</v>
      </c>
      <c r="D577" s="7">
        <v>1.43733144665677E-3</v>
      </c>
      <c r="E577" s="1" t="s">
        <v>658</v>
      </c>
      <c r="F577" s="1" t="s">
        <v>659</v>
      </c>
      <c r="G577" s="1">
        <v>80719</v>
      </c>
      <c r="H577" s="6" t="str">
        <f>HYPERLINK("http://www.ensembl.org/Mus_musculus/Gene/Summary?db=core;g=ENSMUSG00000035004","ENSMUSG00000035004")</f>
        <v>ENSMUSG00000035004</v>
      </c>
      <c r="I577" s="6" t="str">
        <f>HYPERLINK("http://www.informatics.jax.org/marker/MGI:1891393","MGI:1891393")</f>
        <v>MGI:1891393</v>
      </c>
      <c r="J577" s="7" t="s">
        <v>12</v>
      </c>
    </row>
    <row r="578" spans="1:10" x14ac:dyDescent="0.2">
      <c r="A578" s="3">
        <v>114.423345491639</v>
      </c>
      <c r="B578" s="1">
        <v>-0.91131478467712002</v>
      </c>
      <c r="C578" s="4">
        <v>5.6549677090519601E-5</v>
      </c>
      <c r="D578" s="7">
        <v>1.45706220392226E-3</v>
      </c>
      <c r="E578" s="1" t="s">
        <v>401</v>
      </c>
      <c r="F578" s="1" t="s">
        <v>402</v>
      </c>
      <c r="G578" s="1">
        <v>233571</v>
      </c>
      <c r="H578" s="6" t="str">
        <f>HYPERLINK("http://www.ensembl.org/Mus_musculus/Gene/Summary?db=core;g=ENSMUSG00000048779","ENSMUSG00000048779")</f>
        <v>ENSMUSG00000048779</v>
      </c>
      <c r="I578" s="6" t="str">
        <f>HYPERLINK("http://www.informatics.jax.org/marker/MGI:2673874","MGI:2673874")</f>
        <v>MGI:2673874</v>
      </c>
      <c r="J578" s="7" t="s">
        <v>12</v>
      </c>
    </row>
    <row r="579" spans="1:10" x14ac:dyDescent="0.2">
      <c r="A579" s="3">
        <v>511.53240636332799</v>
      </c>
      <c r="B579" s="1">
        <v>0.27038335196284702</v>
      </c>
      <c r="C579" s="4">
        <v>5.6558060575701101E-5</v>
      </c>
      <c r="D579" s="7">
        <v>1.45706220392226E-3</v>
      </c>
      <c r="E579" s="1" t="s">
        <v>2938</v>
      </c>
      <c r="F579" s="1" t="s">
        <v>2939</v>
      </c>
      <c r="G579" s="1">
        <v>217837</v>
      </c>
      <c r="H579" s="6" t="str">
        <f>HYPERLINK("http://www.ensembl.org/Mus_musculus/Gene/Summary?db=core;g=ENSMUSG00000057963","ENSMUSG00000057963")</f>
        <v>ENSMUSG00000057963</v>
      </c>
      <c r="I579" s="6" t="str">
        <f>HYPERLINK("http://www.informatics.jax.org/marker/MGI:2446159","MGI:2446159")</f>
        <v>MGI:2446159</v>
      </c>
      <c r="J579" s="7" t="s">
        <v>12</v>
      </c>
    </row>
    <row r="580" spans="1:10" x14ac:dyDescent="0.2">
      <c r="A580" s="3">
        <v>1478.58265715576</v>
      </c>
      <c r="B580" s="1">
        <v>-0.44272125708945398</v>
      </c>
      <c r="C580" s="4">
        <v>5.7102719460914201E-5</v>
      </c>
      <c r="D580" s="7">
        <v>1.46852648163356E-3</v>
      </c>
      <c r="E580" s="1" t="s">
        <v>953</v>
      </c>
      <c r="F580" s="1" t="s">
        <v>954</v>
      </c>
      <c r="G580" s="1">
        <v>56489</v>
      </c>
      <c r="H580" s="6" t="str">
        <f>HYPERLINK("http://www.ensembl.org/Mus_musculus/Gene/Summary?db=core;g=ENSMUSG00000042349","ENSMUSG00000042349")</f>
        <v>ENSMUSG00000042349</v>
      </c>
      <c r="I580" s="6" t="str">
        <f>HYPERLINK("http://www.informatics.jax.org/marker/MGI:1929612","MGI:1929612")</f>
        <v>MGI:1929612</v>
      </c>
      <c r="J580" s="7" t="s">
        <v>12</v>
      </c>
    </row>
    <row r="581" spans="1:10" x14ac:dyDescent="0.2">
      <c r="A581" s="3">
        <v>131.429520217446</v>
      </c>
      <c r="B581" s="1">
        <v>-0.73407981377974896</v>
      </c>
      <c r="C581" s="4">
        <v>5.7473170937847797E-5</v>
      </c>
      <c r="D581" s="7">
        <v>1.4717458266629399E-3</v>
      </c>
      <c r="E581" s="1" t="s">
        <v>534</v>
      </c>
      <c r="F581" s="1" t="s">
        <v>535</v>
      </c>
      <c r="G581" s="1">
        <v>246277</v>
      </c>
      <c r="H581" s="6" t="str">
        <f>HYPERLINK("http://www.ensembl.org/Mus_musculus/Gene/Summary?db=core;g=ENSMUSG00000023044","ENSMUSG00000023044")</f>
        <v>ENSMUSG00000023044</v>
      </c>
      <c r="I581" s="6" t="str">
        <f>HYPERLINK("http://www.informatics.jax.org/marker/MGI:2180098","MGI:2180098")</f>
        <v>MGI:2180098</v>
      </c>
      <c r="J581" s="7" t="s">
        <v>12</v>
      </c>
    </row>
    <row r="582" spans="1:10" x14ac:dyDescent="0.2">
      <c r="A582" s="3">
        <v>640.87212098523298</v>
      </c>
      <c r="B582" s="1">
        <v>-0.319017504528259</v>
      </c>
      <c r="C582" s="4">
        <v>5.7627398343140499E-5</v>
      </c>
      <c r="D582" s="7">
        <v>1.4717458266629399E-3</v>
      </c>
      <c r="E582" s="1" t="s">
        <v>1352</v>
      </c>
      <c r="F582" s="1" t="s">
        <v>1353</v>
      </c>
      <c r="G582" s="1">
        <v>11666</v>
      </c>
      <c r="H582" s="6" t="str">
        <f>HYPERLINK("http://www.ensembl.org/Mus_musculus/Gene/Summary?db=core;g=ENSMUSG00000031378","ENSMUSG00000031378")</f>
        <v>ENSMUSG00000031378</v>
      </c>
      <c r="I582" s="6" t="str">
        <f>HYPERLINK("http://www.informatics.jax.org/marker/MGI:1349215","MGI:1349215")</f>
        <v>MGI:1349215</v>
      </c>
      <c r="J582" s="7" t="s">
        <v>12</v>
      </c>
    </row>
    <row r="583" spans="1:10" x14ac:dyDescent="0.2">
      <c r="A583" s="3">
        <v>295.91600805904397</v>
      </c>
      <c r="B583" s="1">
        <v>-0.30989769823541502</v>
      </c>
      <c r="C583" s="4">
        <v>5.7589063355234803E-5</v>
      </c>
      <c r="D583" s="7">
        <v>1.4717458266629399E-3</v>
      </c>
      <c r="E583" s="1" t="s">
        <v>1398</v>
      </c>
      <c r="F583" s="1" t="s">
        <v>1399</v>
      </c>
      <c r="G583" s="1">
        <v>72053</v>
      </c>
      <c r="H583" s="6" t="str">
        <f>HYPERLINK("http://www.ensembl.org/Mus_musculus/Gene/Summary?db=core;g=ENSMUSG00000034757","ENSMUSG00000034757")</f>
        <v>ENSMUSG00000034757</v>
      </c>
      <c r="I583" s="6" t="str">
        <f>HYPERLINK("http://www.informatics.jax.org/marker/MGI:1919303","MGI:1919303")</f>
        <v>MGI:1919303</v>
      </c>
      <c r="J583" s="7" t="s">
        <v>12</v>
      </c>
    </row>
    <row r="584" spans="1:10" x14ac:dyDescent="0.2">
      <c r="A584" s="3">
        <v>21.037485393049401</v>
      </c>
      <c r="B584" s="1">
        <v>0.88520517146947597</v>
      </c>
      <c r="C584" s="4">
        <v>5.75995502837822E-5</v>
      </c>
      <c r="D584" s="7">
        <v>1.4717458266629399E-3</v>
      </c>
      <c r="E584" s="1" t="s">
        <v>3300</v>
      </c>
      <c r="F584" s="1" t="s">
        <v>3301</v>
      </c>
      <c r="G584" s="1">
        <v>12481</v>
      </c>
      <c r="H584" s="6" t="str">
        <f>HYPERLINK("http://www.ensembl.org/Mus_musculus/Gene/Summary?db=core;g=ENSMUSG00000027863","ENSMUSG00000027863")</f>
        <v>ENSMUSG00000027863</v>
      </c>
      <c r="I584" s="6" t="str">
        <f>HYPERLINK("http://www.informatics.jax.org/marker/MGI:88320","MGI:88320")</f>
        <v>MGI:88320</v>
      </c>
      <c r="J584" s="7" t="s">
        <v>12</v>
      </c>
    </row>
    <row r="585" spans="1:10" x14ac:dyDescent="0.2">
      <c r="A585" s="3">
        <v>178.771980905725</v>
      </c>
      <c r="B585" s="1">
        <v>0.368128280698725</v>
      </c>
      <c r="C585" s="4">
        <v>5.7858958168280403E-5</v>
      </c>
      <c r="D585" s="7">
        <v>1.4751031272798999E-3</v>
      </c>
      <c r="E585" s="1" t="s">
        <v>3116</v>
      </c>
      <c r="F585" s="1" t="s">
        <v>3117</v>
      </c>
      <c r="G585" s="1">
        <v>20187</v>
      </c>
      <c r="H585" s="6" t="str">
        <f>HYPERLINK("http://www.ensembl.org/Mus_musculus/Gene/Summary?db=core;g=ENSMUSG00000032547","ENSMUSG00000032547")</f>
        <v>ENSMUSG00000032547</v>
      </c>
      <c r="I585" s="6" t="str">
        <f>HYPERLINK("http://www.informatics.jax.org/marker/MGI:101766","MGI:101766")</f>
        <v>MGI:101766</v>
      </c>
      <c r="J585" s="7" t="s">
        <v>12</v>
      </c>
    </row>
    <row r="586" spans="1:10" x14ac:dyDescent="0.2">
      <c r="A586" s="3">
        <v>1189.0390142090901</v>
      </c>
      <c r="B586" s="1">
        <v>-0.52523518374686096</v>
      </c>
      <c r="C586" s="4">
        <v>5.8879165234438101E-5</v>
      </c>
      <c r="D586" s="7">
        <v>1.4961407812452601E-3</v>
      </c>
      <c r="E586" s="1" t="s">
        <v>803</v>
      </c>
      <c r="F586" s="1" t="s">
        <v>804</v>
      </c>
      <c r="G586" s="1">
        <v>73690</v>
      </c>
      <c r="H586" s="6" t="str">
        <f>HYPERLINK("http://www.ensembl.org/Mus_musculus/Gene/Summary?db=core;g=ENSMUSG00000056888","ENSMUSG00000056888")</f>
        <v>ENSMUSG00000056888</v>
      </c>
      <c r="I586" s="6" t="str">
        <f>HYPERLINK("http://www.informatics.jax.org/marker/MGI:1920940","MGI:1920940")</f>
        <v>MGI:1920940</v>
      </c>
      <c r="J586" s="7" t="s">
        <v>12</v>
      </c>
    </row>
    <row r="587" spans="1:10" x14ac:dyDescent="0.2">
      <c r="A587" s="3">
        <v>2147.8313966268302</v>
      </c>
      <c r="B587" s="1">
        <v>-0.224852104815878</v>
      </c>
      <c r="C587" s="4">
        <v>5.8887191444235397E-5</v>
      </c>
      <c r="D587" s="7">
        <v>1.4961407812452601E-3</v>
      </c>
      <c r="E587" s="1" t="s">
        <v>1796</v>
      </c>
      <c r="F587" s="1" t="s">
        <v>1797</v>
      </c>
      <c r="G587" s="1">
        <v>105722</v>
      </c>
      <c r="H587" s="6" t="str">
        <f>HYPERLINK("http://www.ensembl.org/Mus_musculus/Gene/Summary?db=core;g=ENSMUSG00000064210","ENSMUSG00000064210")</f>
        <v>ENSMUSG00000064210</v>
      </c>
      <c r="I587" s="6" t="str">
        <f>HYPERLINK("http://www.informatics.jax.org/marker/MGI:2145890","MGI:2145890")</f>
        <v>MGI:2145890</v>
      </c>
      <c r="J587" s="7" t="s">
        <v>12</v>
      </c>
    </row>
    <row r="588" spans="1:10" x14ac:dyDescent="0.2">
      <c r="A588" s="3">
        <v>2834.1443343287901</v>
      </c>
      <c r="B588" s="1">
        <v>-0.358987103666912</v>
      </c>
      <c r="C588" s="4">
        <v>5.9741384296589E-5</v>
      </c>
      <c r="D588" s="7">
        <v>1.5152307039492899E-3</v>
      </c>
      <c r="E588" s="1" t="s">
        <v>1208</v>
      </c>
      <c r="F588" s="1" t="s">
        <v>1209</v>
      </c>
      <c r="G588" s="1">
        <v>277360</v>
      </c>
      <c r="H588" s="6" t="str">
        <f>HYPERLINK("http://www.ensembl.org/Mus_musculus/Gene/Summary?db=core;g=ENSMUSG00000039621","ENSMUSG00000039621")</f>
        <v>ENSMUSG00000039621</v>
      </c>
      <c r="I588" s="6" t="str">
        <f>HYPERLINK("http://www.informatics.jax.org/marker/MGI:3040696","MGI:3040696")</f>
        <v>MGI:3040696</v>
      </c>
      <c r="J588" s="7" t="s">
        <v>12</v>
      </c>
    </row>
    <row r="589" spans="1:10" x14ac:dyDescent="0.2">
      <c r="A589" s="3">
        <v>834.14521474919798</v>
      </c>
      <c r="B589" s="1">
        <v>-0.23391821584167899</v>
      </c>
      <c r="C589" s="4">
        <v>6.0362586457636701E-5</v>
      </c>
      <c r="D589" s="7">
        <v>1.5283557973191299E-3</v>
      </c>
      <c r="E589" s="1" t="s">
        <v>1742</v>
      </c>
      <c r="F589" s="1" t="s">
        <v>1743</v>
      </c>
      <c r="G589" s="1">
        <v>52822</v>
      </c>
      <c r="H589" s="6" t="str">
        <f>HYPERLINK("http://www.ensembl.org/Mus_musculus/Gene/Summary?db=core;g=ENSMUSG00000029291","ENSMUSG00000029291")</f>
        <v>ENSMUSG00000029291</v>
      </c>
      <c r="I589" s="6" t="str">
        <f>HYPERLINK("http://www.informatics.jax.org/marker/MGI:106484","MGI:106484")</f>
        <v>MGI:106484</v>
      </c>
      <c r="J589" s="7" t="s">
        <v>12</v>
      </c>
    </row>
    <row r="590" spans="1:10" x14ac:dyDescent="0.2">
      <c r="A590" s="3">
        <v>205.381244011739</v>
      </c>
      <c r="B590" s="1">
        <v>0.33820220668190099</v>
      </c>
      <c r="C590" s="4">
        <v>6.2816274172025404E-5</v>
      </c>
      <c r="D590" s="7">
        <v>1.5877540586603199E-3</v>
      </c>
      <c r="E590" s="1" t="s">
        <v>3074</v>
      </c>
      <c r="F590" s="1" t="s">
        <v>3075</v>
      </c>
      <c r="G590" s="1">
        <v>228839</v>
      </c>
      <c r="H590" s="6" t="str">
        <f>HYPERLINK("http://www.ensembl.org/Mus_musculus/Gene/Summary?db=core;g=ENSMUSG00000062175","ENSMUSG00000062175")</f>
        <v>ENSMUSG00000062175</v>
      </c>
      <c r="I590" s="6" t="str">
        <f>HYPERLINK("http://www.informatics.jax.org/marker/MGI:1915299","MGI:1915299")</f>
        <v>MGI:1915299</v>
      </c>
      <c r="J590" s="7" t="s">
        <v>12</v>
      </c>
    </row>
    <row r="591" spans="1:10" x14ac:dyDescent="0.2">
      <c r="A591" s="3">
        <v>1849.4656453938801</v>
      </c>
      <c r="B591" s="1">
        <v>-0.34840094318570303</v>
      </c>
      <c r="C591" s="4">
        <v>6.2925785838589999E-5</v>
      </c>
      <c r="D591" s="7">
        <v>1.5877985960915499E-3</v>
      </c>
      <c r="E591" s="1" t="s">
        <v>1252</v>
      </c>
      <c r="F591" s="1" t="s">
        <v>1253</v>
      </c>
      <c r="G591" s="1">
        <v>16155</v>
      </c>
      <c r="H591" s="6" t="str">
        <f>HYPERLINK("http://www.ensembl.org/Mus_musculus/Gene/Summary?db=core;g=ENSMUSG00000022969","ENSMUSG00000022969")</f>
        <v>ENSMUSG00000022969</v>
      </c>
      <c r="I591" s="6" t="str">
        <f>HYPERLINK("http://www.informatics.jax.org/marker/MGI:109380","MGI:109380")</f>
        <v>MGI:109380</v>
      </c>
      <c r="J591" s="7" t="s">
        <v>12</v>
      </c>
    </row>
    <row r="592" spans="1:10" x14ac:dyDescent="0.2">
      <c r="A592" s="3">
        <v>115.599943065506</v>
      </c>
      <c r="B592" s="1">
        <v>-0.451885905675246</v>
      </c>
      <c r="C592" s="4">
        <v>6.4347016864106803E-5</v>
      </c>
      <c r="D592" s="7">
        <v>1.6208848555717601E-3</v>
      </c>
      <c r="E592" s="1" t="s">
        <v>927</v>
      </c>
      <c r="F592" s="1" t="s">
        <v>928</v>
      </c>
      <c r="G592" s="1">
        <v>74166</v>
      </c>
      <c r="H592" s="6" t="str">
        <f>HYPERLINK("http://www.ensembl.org/Mus_musculus/Gene/Summary?db=core;g=ENSMUSG00000031791","ENSMUSG00000031791")</f>
        <v>ENSMUSG00000031791</v>
      </c>
      <c r="I592" s="6" t="str">
        <f>HYPERLINK("http://www.informatics.jax.org/marker/MGI:1921416","MGI:1921416")</f>
        <v>MGI:1921416</v>
      </c>
      <c r="J592" s="7" t="s">
        <v>12</v>
      </c>
    </row>
    <row r="593" spans="1:10" x14ac:dyDescent="0.2">
      <c r="A593" s="3">
        <v>1082.3931042541899</v>
      </c>
      <c r="B593" s="1">
        <v>-0.26383573631228802</v>
      </c>
      <c r="C593" s="4">
        <v>6.4911390698327602E-5</v>
      </c>
      <c r="D593" s="7">
        <v>1.63231101250948E-3</v>
      </c>
      <c r="E593" s="1" t="s">
        <v>1604</v>
      </c>
      <c r="F593" s="1" t="s">
        <v>1605</v>
      </c>
      <c r="G593" s="1">
        <v>13732</v>
      </c>
      <c r="H593" s="6" t="str">
        <f>HYPERLINK("http://www.ensembl.org/Mus_musculus/Gene/Summary?db=core;g=ENSMUSG00000040212","ENSMUSG00000040212")</f>
        <v>ENSMUSG00000040212</v>
      </c>
      <c r="I593" s="6" t="str">
        <f>HYPERLINK("http://www.informatics.jax.org/marker/MGI:1098729","MGI:1098729")</f>
        <v>MGI:1098729</v>
      </c>
      <c r="J593" s="7" t="s">
        <v>12</v>
      </c>
    </row>
    <row r="594" spans="1:10" x14ac:dyDescent="0.2">
      <c r="A594" s="3">
        <v>806.40738925963001</v>
      </c>
      <c r="B594" s="1">
        <v>-0.305718166502709</v>
      </c>
      <c r="C594" s="4">
        <v>6.51900776815006E-5</v>
      </c>
      <c r="D594" s="7">
        <v>1.63652637941157E-3</v>
      </c>
      <c r="E594" s="1" t="s">
        <v>1428</v>
      </c>
      <c r="F594" s="1" t="s">
        <v>1429</v>
      </c>
      <c r="G594" s="1">
        <v>227801</v>
      </c>
      <c r="H594" s="6" t="str">
        <f>HYPERLINK("http://www.ensembl.org/Mus_musculus/Gene/Summary?db=core;g=ENSMUSG00000035392","ENSMUSG00000035392")</f>
        <v>ENSMUSG00000035392</v>
      </c>
      <c r="I594" s="6" t="str">
        <f>HYPERLINK("http://www.informatics.jax.org/marker/MGI:2442794","MGI:2442794")</f>
        <v>MGI:2442794</v>
      </c>
      <c r="J594" s="7" t="s">
        <v>12</v>
      </c>
    </row>
    <row r="595" spans="1:10" x14ac:dyDescent="0.2">
      <c r="A595" s="3">
        <v>4303.81845932136</v>
      </c>
      <c r="B595" s="1">
        <v>0.20838174046699701</v>
      </c>
      <c r="C595" s="4">
        <v>6.5598546753385897E-5</v>
      </c>
      <c r="D595" s="7">
        <v>1.6439799063909799E-3</v>
      </c>
      <c r="E595" s="1" t="s">
        <v>2654</v>
      </c>
      <c r="F595" s="1" t="s">
        <v>2655</v>
      </c>
      <c r="G595" s="1">
        <v>72515</v>
      </c>
      <c r="H595" s="6" t="str">
        <f>HYPERLINK("http://www.ensembl.org/Mus_musculus/Gene/Summary?db=core;g=ENSMUSG00000041057","ENSMUSG00000041057")</f>
        <v>ENSMUSG00000041057</v>
      </c>
      <c r="I595" s="6" t="str">
        <f>HYPERLINK("http://www.informatics.jax.org/marker/MGI:1919765","MGI:1919765")</f>
        <v>MGI:1919765</v>
      </c>
      <c r="J595" s="7" t="s">
        <v>12</v>
      </c>
    </row>
    <row r="596" spans="1:10" x14ac:dyDescent="0.2">
      <c r="A596" s="3">
        <v>866.50269520234599</v>
      </c>
      <c r="B596" s="1">
        <v>-0.576572739737507</v>
      </c>
      <c r="C596" s="4">
        <v>6.6281982215904203E-5</v>
      </c>
      <c r="D596" s="7">
        <v>1.65267561748488E-3</v>
      </c>
      <c r="E596" s="1" t="s">
        <v>715</v>
      </c>
      <c r="F596" s="1" t="s">
        <v>716</v>
      </c>
      <c r="G596" s="1">
        <v>245126</v>
      </c>
      <c r="H596" s="6" t="str">
        <f>HYPERLINK("http://www.ensembl.org/Mus_musculus/Gene/Summary?db=core;g=ENSMUSG00000053338","ENSMUSG00000053338")</f>
        <v>ENSMUSG00000053338</v>
      </c>
      <c r="I596" s="6" t="str">
        <f>HYPERLINK("http://www.informatics.jax.org/marker/MGI:2442280","MGI:2442280")</f>
        <v>MGI:2442280</v>
      </c>
      <c r="J596" s="7" t="s">
        <v>12</v>
      </c>
    </row>
    <row r="597" spans="1:10" x14ac:dyDescent="0.2">
      <c r="A597" s="3">
        <v>150.78859230125099</v>
      </c>
      <c r="B597" s="1">
        <v>-0.40238772267564699</v>
      </c>
      <c r="C597" s="4">
        <v>6.6060563686029807E-5</v>
      </c>
      <c r="D597" s="7">
        <v>1.65267561748488E-3</v>
      </c>
      <c r="E597" s="1" t="s">
        <v>1095</v>
      </c>
      <c r="F597" s="1" t="s">
        <v>1096</v>
      </c>
      <c r="G597" s="1">
        <v>58223</v>
      </c>
      <c r="H597" s="6" t="str">
        <f>HYPERLINK("http://www.ensembl.org/Mus_musculus/Gene/Summary?db=core;g=ENSMUSG00000025355","ENSMUSG00000025355")</f>
        <v>ENSMUSG00000025355</v>
      </c>
      <c r="I597" s="6" t="str">
        <f>HYPERLINK("http://www.informatics.jax.org/marker/MGI:1927899","MGI:1927899")</f>
        <v>MGI:1927899</v>
      </c>
      <c r="J597" s="7" t="s">
        <v>12</v>
      </c>
    </row>
    <row r="598" spans="1:10" x14ac:dyDescent="0.2">
      <c r="A598" s="3">
        <v>4236.7899967940102</v>
      </c>
      <c r="B598" s="1">
        <v>-0.276668246112037</v>
      </c>
      <c r="C598" s="4">
        <v>6.6239672598054997E-5</v>
      </c>
      <c r="D598" s="7">
        <v>1.65267561748488E-3</v>
      </c>
      <c r="E598" s="1" t="s">
        <v>1552</v>
      </c>
      <c r="F598" s="1" t="s">
        <v>1553</v>
      </c>
      <c r="G598" s="1">
        <v>115488166</v>
      </c>
      <c r="H598" s="6" t="str">
        <f>HYPERLINK("http://www.ensembl.org/Mus_musculus/Gene/Summary?db=core;g=ENSMUSG00000021451","ENSMUSG00000021451")</f>
        <v>ENSMUSG00000021451</v>
      </c>
      <c r="I598" s="6" t="str">
        <f>HYPERLINK("http://www.informatics.jax.org/marker/MGI:109244","MGI:109244")</f>
        <v>MGI:109244</v>
      </c>
      <c r="J598" s="7" t="s">
        <v>12</v>
      </c>
    </row>
    <row r="599" spans="1:10" x14ac:dyDescent="0.2">
      <c r="A599" s="3">
        <v>2470.7575397323599</v>
      </c>
      <c r="B599" s="1">
        <v>0.29366330450321498</v>
      </c>
      <c r="C599" s="4">
        <v>6.7598317857458506E-5</v>
      </c>
      <c r="D599" s="7">
        <v>1.6826500201816E-3</v>
      </c>
      <c r="E599" s="1" t="s">
        <v>2994</v>
      </c>
      <c r="F599" s="1" t="s">
        <v>2995</v>
      </c>
      <c r="G599" s="1">
        <v>57258</v>
      </c>
      <c r="H599" s="6" t="str">
        <f>HYPERLINK("http://www.ensembl.org/Mus_musculus/Gene/Summary?db=core;g=ENSMUSG00000021952","ENSMUSG00000021952")</f>
        <v>ENSMUSG00000021952</v>
      </c>
      <c r="I599" s="6" t="str">
        <f>HYPERLINK("http://www.informatics.jax.org/marker/MGI:1888526","MGI:1888526")</f>
        <v>MGI:1888526</v>
      </c>
      <c r="J599" s="7" t="s">
        <v>12</v>
      </c>
    </row>
    <row r="600" spans="1:10" x14ac:dyDescent="0.2">
      <c r="A600" s="3">
        <v>801.81300408036498</v>
      </c>
      <c r="B600" s="1">
        <v>0.22452786187545801</v>
      </c>
      <c r="C600" s="4">
        <v>6.7725871807101506E-5</v>
      </c>
      <c r="D600" s="7">
        <v>1.6829822039619699E-3</v>
      </c>
      <c r="E600" s="1" t="s">
        <v>2752</v>
      </c>
      <c r="F600" s="1" t="s">
        <v>2753</v>
      </c>
      <c r="G600" s="1">
        <v>68966</v>
      </c>
      <c r="H600" s="6" t="str">
        <f>HYPERLINK("http://www.ensembl.org/Mus_musculus/Gene/Summary?db=core;g=ENSMUSG00000022204","ENSMUSG00000022204")</f>
        <v>ENSMUSG00000022204</v>
      </c>
      <c r="I600" s="6" t="str">
        <f>HYPERLINK("http://www.informatics.jax.org/marker/MGI:1916216","MGI:1916216")</f>
        <v>MGI:1916216</v>
      </c>
      <c r="J600" s="7" t="s">
        <v>12</v>
      </c>
    </row>
    <row r="601" spans="1:10" x14ac:dyDescent="0.2">
      <c r="A601" s="3">
        <v>8043.7193867002698</v>
      </c>
      <c r="B601" s="1">
        <v>0.19879911148659199</v>
      </c>
      <c r="C601" s="4">
        <v>6.9309954073627702E-5</v>
      </c>
      <c r="D601" s="7">
        <v>1.7194469414629301E-3</v>
      </c>
      <c r="E601" s="1" t="s">
        <v>2588</v>
      </c>
      <c r="F601" s="1" t="s">
        <v>2589</v>
      </c>
      <c r="G601" s="1">
        <v>22334</v>
      </c>
      <c r="H601" s="6" t="str">
        <f>HYPERLINK("http://www.ensembl.org/Mus_musculus/Gene/Summary?db=core;g=ENSMUSG00000021771","ENSMUSG00000021771")</f>
        <v>ENSMUSG00000021771</v>
      </c>
      <c r="I601" s="6" t="str">
        <f>HYPERLINK("http://www.informatics.jax.org/marker/MGI:106915","MGI:106915")</f>
        <v>MGI:106915</v>
      </c>
      <c r="J601" s="7" t="s">
        <v>12</v>
      </c>
    </row>
    <row r="602" spans="1:10" x14ac:dyDescent="0.2">
      <c r="A602" s="3">
        <v>8537.6359843975897</v>
      </c>
      <c r="B602" s="1">
        <v>-0.22306286750999399</v>
      </c>
      <c r="C602" s="4">
        <v>7.0593453747500097E-5</v>
      </c>
      <c r="D602" s="7">
        <v>1.74834476373641E-3</v>
      </c>
      <c r="E602" s="1" t="s">
        <v>1800</v>
      </c>
      <c r="F602" s="1" t="s">
        <v>1801</v>
      </c>
      <c r="G602" s="1">
        <v>65972</v>
      </c>
      <c r="H602" s="6" t="str">
        <f>HYPERLINK("http://www.ensembl.org/Mus_musculus/Gene/Summary?db=core;g=ENSMUSG00000031838","ENSMUSG00000031838")</f>
        <v>ENSMUSG00000031838</v>
      </c>
      <c r="I602" s="6" t="str">
        <f>HYPERLINK("http://www.informatics.jax.org/marker/MGI:2137648","MGI:2137648")</f>
        <v>MGI:2137648</v>
      </c>
      <c r="J602" s="7" t="s">
        <v>190</v>
      </c>
    </row>
    <row r="603" spans="1:10" x14ac:dyDescent="0.2">
      <c r="A603" s="3">
        <v>7.9594615445730401</v>
      </c>
      <c r="B603" s="1">
        <v>-1.28495620229337</v>
      </c>
      <c r="C603" s="4">
        <v>7.1664228771692803E-5</v>
      </c>
      <c r="D603" s="7">
        <v>1.7718860321806499E-3</v>
      </c>
      <c r="E603" s="1" t="s">
        <v>188</v>
      </c>
      <c r="F603" s="1" t="s">
        <v>189</v>
      </c>
      <c r="G603" s="1" t="s">
        <v>45</v>
      </c>
      <c r="H603" s="6" t="str">
        <f>HYPERLINK("http://www.ensembl.org/Mus_musculus/Gene/Summary?db=core;g=ENSMUSG00000084896","ENSMUSG00000084896")</f>
        <v>ENSMUSG00000084896</v>
      </c>
      <c r="I603" s="6" t="str">
        <f>HYPERLINK("http://www.informatics.jax.org/marker/MGI:3705198","MGI:3705198")</f>
        <v>MGI:3705198</v>
      </c>
      <c r="J603" s="7" t="s">
        <v>190</v>
      </c>
    </row>
    <row r="604" spans="1:10" x14ac:dyDescent="0.2">
      <c r="A604" s="3">
        <v>2766.4513838765902</v>
      </c>
      <c r="B604" s="1">
        <v>0.18996007666543999</v>
      </c>
      <c r="C604" s="4">
        <v>7.2331050088434901E-5</v>
      </c>
      <c r="D604" s="7">
        <v>1.78418892938051E-3</v>
      </c>
      <c r="E604" s="1" t="s">
        <v>2526</v>
      </c>
      <c r="F604" s="1" t="s">
        <v>2527</v>
      </c>
      <c r="G604" s="1">
        <v>30877</v>
      </c>
      <c r="H604" s="6" t="str">
        <f>HYPERLINK("http://www.ensembl.org/Mus_musculus/Gene/Summary?db=core;g=ENSMUSG00000042354","ENSMUSG00000042354")</f>
        <v>ENSMUSG00000042354</v>
      </c>
      <c r="I604" s="6" t="str">
        <f>HYPERLINK("http://www.informatics.jax.org/marker/MGI:1353651","MGI:1353651")</f>
        <v>MGI:1353651</v>
      </c>
      <c r="J604" s="7" t="s">
        <v>12</v>
      </c>
    </row>
    <row r="605" spans="1:10" x14ac:dyDescent="0.2">
      <c r="A605" s="3">
        <v>1251.0613056940001</v>
      </c>
      <c r="B605" s="1">
        <v>0.21402265266616499</v>
      </c>
      <c r="C605" s="4">
        <v>7.2403975282949796E-5</v>
      </c>
      <c r="D605" s="7">
        <v>1.78418892938051E-3</v>
      </c>
      <c r="E605" s="1" t="s">
        <v>2688</v>
      </c>
      <c r="F605" s="1" t="s">
        <v>2689</v>
      </c>
      <c r="G605" s="1">
        <v>57753</v>
      </c>
      <c r="H605" s="6" t="str">
        <f>HYPERLINK("http://www.ensembl.org/Mus_musculus/Gene/Summary?db=core;g=ENSMUSG00000024999","ENSMUSG00000024999")</f>
        <v>ENSMUSG00000024999</v>
      </c>
      <c r="I605" s="6" t="str">
        <f>HYPERLINK("http://www.informatics.jax.org/marker/MGI:1932610","MGI:1932610")</f>
        <v>MGI:1932610</v>
      </c>
      <c r="J605" s="7" t="s">
        <v>12</v>
      </c>
    </row>
    <row r="606" spans="1:10" x14ac:dyDescent="0.2">
      <c r="A606" s="3">
        <v>265.36741570303701</v>
      </c>
      <c r="B606" s="1">
        <v>0.42400732317663697</v>
      </c>
      <c r="C606" s="4">
        <v>7.3942469851135799E-5</v>
      </c>
      <c r="D606" s="7">
        <v>1.8190588242509801E-3</v>
      </c>
      <c r="E606" s="1" t="s">
        <v>3156</v>
      </c>
      <c r="F606" s="1" t="s">
        <v>3157</v>
      </c>
      <c r="G606" s="1">
        <v>319670</v>
      </c>
      <c r="H606" s="6" t="str">
        <f>HYPERLINK("http://www.ensembl.org/Mus_musculus/Gene/Summary?db=core;g=ENSMUSG00000051166","ENSMUSG00000051166")</f>
        <v>ENSMUSG00000051166</v>
      </c>
      <c r="I606" s="6" t="str">
        <f>HYPERLINK("http://www.informatics.jax.org/marker/MGI:2442513","MGI:2442513")</f>
        <v>MGI:2442513</v>
      </c>
      <c r="J606" s="7" t="s">
        <v>12</v>
      </c>
    </row>
    <row r="607" spans="1:10" x14ac:dyDescent="0.2">
      <c r="A607" s="3">
        <v>15.6681715256911</v>
      </c>
      <c r="B607" s="1">
        <v>-1.08190022477832</v>
      </c>
      <c r="C607" s="4">
        <v>7.5264986300355505E-5</v>
      </c>
      <c r="D607" s="7">
        <v>1.8485080635367299E-3</v>
      </c>
      <c r="E607" s="1" t="s">
        <v>275</v>
      </c>
      <c r="F607" s="1" t="s">
        <v>276</v>
      </c>
      <c r="G607" s="1">
        <v>140571</v>
      </c>
      <c r="H607" s="6" t="str">
        <f>HYPERLINK("http://www.ensembl.org/Mus_musculus/Gene/Summary?db=core;g=ENSMUSG00000031385","ENSMUSG00000031385")</f>
        <v>ENSMUSG00000031385</v>
      </c>
      <c r="I607" s="6" t="str">
        <f>HYPERLINK("http://www.informatics.jax.org/marker/MGI:2154240","MGI:2154240")</f>
        <v>MGI:2154240</v>
      </c>
      <c r="J607" s="7" t="s">
        <v>12</v>
      </c>
    </row>
    <row r="608" spans="1:10" x14ac:dyDescent="0.2">
      <c r="A608" s="3">
        <v>479.98911001968798</v>
      </c>
      <c r="B608" s="1">
        <v>0.25958530105351901</v>
      </c>
      <c r="C608" s="4">
        <v>7.5515467617844997E-5</v>
      </c>
      <c r="D608" s="7">
        <v>1.85157392814736E-3</v>
      </c>
      <c r="E608" s="1" t="s">
        <v>2904</v>
      </c>
      <c r="F608" s="1" t="s">
        <v>2905</v>
      </c>
      <c r="G608" s="1">
        <v>14083</v>
      </c>
      <c r="H608" s="6" t="str">
        <f>HYPERLINK("http://www.ensembl.org/Mus_musculus/Gene/Summary?db=core;g=ENSMUSG00000022607","ENSMUSG00000022607")</f>
        <v>ENSMUSG00000022607</v>
      </c>
      <c r="I608" s="6" t="str">
        <f>HYPERLINK("http://www.informatics.jax.org/marker/MGI:95481","MGI:95481")</f>
        <v>MGI:95481</v>
      </c>
      <c r="J608" s="7" t="s">
        <v>12</v>
      </c>
    </row>
    <row r="609" spans="1:10" x14ac:dyDescent="0.2">
      <c r="A609" s="3">
        <v>2975.7228932552898</v>
      </c>
      <c r="B609" s="1">
        <v>0.199658733761856</v>
      </c>
      <c r="C609" s="4">
        <v>7.6250656350661399E-5</v>
      </c>
      <c r="D609" s="7">
        <v>1.86649447173313E-3</v>
      </c>
      <c r="E609" s="1" t="s">
        <v>2602</v>
      </c>
      <c r="F609" s="1" t="s">
        <v>2603</v>
      </c>
      <c r="G609" s="1">
        <v>67493</v>
      </c>
      <c r="H609" s="6" t="str">
        <f>HYPERLINK("http://www.ensembl.org/Mus_musculus/Gene/Summary?db=core;g=ENSMUSG00000010554","ENSMUSG00000010554")</f>
        <v>ENSMUSG00000010554</v>
      </c>
      <c r="I609" s="6" t="str">
        <f>HYPERLINK("http://www.informatics.jax.org/marker/MGI:1914743","MGI:1914743")</f>
        <v>MGI:1914743</v>
      </c>
      <c r="J609" s="7" t="s">
        <v>12</v>
      </c>
    </row>
    <row r="610" spans="1:10" x14ac:dyDescent="0.2">
      <c r="A610" s="3">
        <v>261.453125867881</v>
      </c>
      <c r="B610" s="1">
        <v>-0.56878040453715295</v>
      </c>
      <c r="C610" s="4">
        <v>7.6592809811734205E-5</v>
      </c>
      <c r="D610" s="7">
        <v>1.87176060594646E-3</v>
      </c>
      <c r="E610" s="1" t="s">
        <v>729</v>
      </c>
      <c r="F610" s="1" t="s">
        <v>730</v>
      </c>
      <c r="G610" s="1">
        <v>66734</v>
      </c>
      <c r="H610" s="6" t="str">
        <f>HYPERLINK("http://www.ensembl.org/Mus_musculus/Gene/Summary?db=core;g=ENSMUSG00000027602","ENSMUSG00000027602")</f>
        <v>ENSMUSG00000027602</v>
      </c>
      <c r="I610" s="6" t="str">
        <f>HYPERLINK("http://www.informatics.jax.org/marker/MGI:1915661","MGI:1915661")</f>
        <v>MGI:1915661</v>
      </c>
      <c r="J610" s="7" t="s">
        <v>12</v>
      </c>
    </row>
    <row r="611" spans="1:10" x14ac:dyDescent="0.2">
      <c r="A611" s="3">
        <v>547.84358928185998</v>
      </c>
      <c r="B611" s="1">
        <v>-0.453514569789641</v>
      </c>
      <c r="C611" s="4">
        <v>7.7915312256359104E-5</v>
      </c>
      <c r="D611" s="7">
        <v>1.900927220877E-3</v>
      </c>
      <c r="E611" s="1" t="s">
        <v>923</v>
      </c>
      <c r="F611" s="1" t="s">
        <v>924</v>
      </c>
      <c r="G611" s="1">
        <v>52855</v>
      </c>
      <c r="H611" s="6" t="str">
        <f>HYPERLINK("http://www.ensembl.org/Mus_musculus/Gene/Summary?db=core;g=ENSMUSG00000055541","ENSMUSG00000055541")</f>
        <v>ENSMUSG00000055541</v>
      </c>
      <c r="I611" s="6" t="str">
        <f>HYPERLINK("http://www.informatics.jax.org/marker/MGI:105492","MGI:105492")</f>
        <v>MGI:105492</v>
      </c>
      <c r="J611" s="7" t="s">
        <v>12</v>
      </c>
    </row>
    <row r="612" spans="1:10" x14ac:dyDescent="0.2">
      <c r="A612" s="3">
        <v>765.17861268370496</v>
      </c>
      <c r="B612" s="1">
        <v>-0.42973681108206402</v>
      </c>
      <c r="C612" s="4">
        <v>7.8292092888069105E-5</v>
      </c>
      <c r="D612" s="7">
        <v>1.9069624476009701E-3</v>
      </c>
      <c r="E612" s="1" t="s">
        <v>1027</v>
      </c>
      <c r="F612" s="1" t="s">
        <v>1028</v>
      </c>
      <c r="G612" s="1">
        <v>170753</v>
      </c>
      <c r="H612" s="6" t="str">
        <f>HYPERLINK("http://www.ensembl.org/Mus_musculus/Gene/Summary?db=core;g=ENSMUSG00000040209","ENSMUSG00000040209")</f>
        <v>ENSMUSG00000040209</v>
      </c>
      <c r="I612" s="6" t="str">
        <f>HYPERLINK("http://www.informatics.jax.org/marker/MGI:2180715","MGI:2180715")</f>
        <v>MGI:2180715</v>
      </c>
      <c r="J612" s="7" t="s">
        <v>12</v>
      </c>
    </row>
    <row r="613" spans="1:10" x14ac:dyDescent="0.2">
      <c r="A613" s="3">
        <v>695.10617903139405</v>
      </c>
      <c r="B613" s="1">
        <v>-0.51963131389430295</v>
      </c>
      <c r="C613" s="4">
        <v>7.9063192344381306E-5</v>
      </c>
      <c r="D613" s="7">
        <v>1.9225663405722799E-3</v>
      </c>
      <c r="E613" s="1" t="s">
        <v>811</v>
      </c>
      <c r="F613" s="1" t="s">
        <v>812</v>
      </c>
      <c r="G613" s="1">
        <v>78749</v>
      </c>
      <c r="H613" s="6" t="str">
        <f>HYPERLINK("http://www.ensembl.org/Mus_musculus/Gene/Summary?db=core;g=ENSMUSG00000043336","ENSMUSG00000043336")</f>
        <v>ENSMUSG00000043336</v>
      </c>
      <c r="I613" s="6" t="str">
        <f>HYPERLINK("http://www.informatics.jax.org/marker/MGI:1925999","MGI:1925999")</f>
        <v>MGI:1925999</v>
      </c>
      <c r="J613" s="7" t="s">
        <v>12</v>
      </c>
    </row>
    <row r="614" spans="1:10" x14ac:dyDescent="0.2">
      <c r="A614" s="3">
        <v>337.93083613755499</v>
      </c>
      <c r="B614" s="1">
        <v>0.27848883696572702</v>
      </c>
      <c r="C614" s="4">
        <v>7.9981522990723894E-5</v>
      </c>
      <c r="D614" s="7">
        <v>1.9416931182723301E-3</v>
      </c>
      <c r="E614" s="1" t="s">
        <v>2960</v>
      </c>
      <c r="F614" s="1" t="s">
        <v>2961</v>
      </c>
      <c r="G614" s="1">
        <v>353282</v>
      </c>
      <c r="H614" s="6" t="str">
        <f>HYPERLINK("http://www.ensembl.org/Mus_musculus/Gene/Summary?db=core;g=ENSMUSG00000061186","ENSMUSG00000061186")</f>
        <v>ENSMUSG00000061186</v>
      </c>
      <c r="I614" s="6" t="str">
        <f>HYPERLINK("http://www.informatics.jax.org/marker/MGI:2447794","MGI:2447794")</f>
        <v>MGI:2447794</v>
      </c>
      <c r="J614" s="7" t="s">
        <v>12</v>
      </c>
    </row>
    <row r="615" spans="1:10" x14ac:dyDescent="0.2">
      <c r="A615" s="3">
        <v>5021.1094580467498</v>
      </c>
      <c r="B615" s="1">
        <v>-0.25298173366473198</v>
      </c>
      <c r="C615" s="4">
        <v>8.0485982956929406E-5</v>
      </c>
      <c r="D615" s="7">
        <v>1.950726060614E-3</v>
      </c>
      <c r="E615" s="1" t="s">
        <v>1646</v>
      </c>
      <c r="F615" s="1" t="s">
        <v>1647</v>
      </c>
      <c r="G615" s="1">
        <v>18173</v>
      </c>
      <c r="H615" s="6" t="str">
        <f>HYPERLINK("http://www.ensembl.org/Mus_musculus/Gene/Summary?db=core;g=ENSMUSG00000026177","ENSMUSG00000026177")</f>
        <v>ENSMUSG00000026177</v>
      </c>
      <c r="I615" s="6" t="str">
        <f>HYPERLINK("http://www.informatics.jax.org/marker/MGI:1345275","MGI:1345275")</f>
        <v>MGI:1345275</v>
      </c>
      <c r="J615" s="7" t="s">
        <v>12</v>
      </c>
    </row>
    <row r="616" spans="1:10" x14ac:dyDescent="0.2">
      <c r="A616" s="3">
        <v>407.88263325673603</v>
      </c>
      <c r="B616" s="1">
        <v>-0.382670007988065</v>
      </c>
      <c r="C616" s="4">
        <v>8.1087872893540996E-5</v>
      </c>
      <c r="D616" s="7">
        <v>1.9585246383044099E-3</v>
      </c>
      <c r="E616" s="1" t="s">
        <v>1133</v>
      </c>
      <c r="F616" s="1" t="s">
        <v>1134</v>
      </c>
      <c r="G616" s="1">
        <v>320534</v>
      </c>
      <c r="H616" s="6" t="str">
        <f>HYPERLINK("http://www.ensembl.org/Mus_musculus/Gene/Summary?db=core;g=ENSMUSG00000045980","ENSMUSG00000045980")</f>
        <v>ENSMUSG00000045980</v>
      </c>
      <c r="I616" s="6" t="str">
        <f>HYPERLINK("http://www.informatics.jax.org/marker/MGI:2444222","MGI:2444222")</f>
        <v>MGI:2444222</v>
      </c>
      <c r="J616" s="7" t="s">
        <v>12</v>
      </c>
    </row>
    <row r="617" spans="1:10" x14ac:dyDescent="0.2">
      <c r="A617" s="3">
        <v>642.71875604491402</v>
      </c>
      <c r="B617" s="1">
        <v>-0.28097539200092903</v>
      </c>
      <c r="C617" s="4">
        <v>8.1206470820032194E-5</v>
      </c>
      <c r="D617" s="7">
        <v>1.9585246383044099E-3</v>
      </c>
      <c r="E617" s="1" t="s">
        <v>1540</v>
      </c>
      <c r="F617" s="1" t="s">
        <v>1541</v>
      </c>
      <c r="G617" s="1">
        <v>71371</v>
      </c>
      <c r="H617" s="6" t="str">
        <f>HYPERLINK("http://www.ensembl.org/Mus_musculus/Gene/Summary?db=core;g=ENSMUSG00000019947","ENSMUSG00000019947")</f>
        <v>ENSMUSG00000019947</v>
      </c>
      <c r="I617" s="6" t="str">
        <f>HYPERLINK("http://www.informatics.jax.org/marker/MGI:2175912","MGI:2175912")</f>
        <v>MGI:2175912</v>
      </c>
      <c r="J617" s="7" t="s">
        <v>12</v>
      </c>
    </row>
    <row r="618" spans="1:10" x14ac:dyDescent="0.2">
      <c r="A618" s="3">
        <v>7859.22603141937</v>
      </c>
      <c r="B618" s="1">
        <v>0.142427220624328</v>
      </c>
      <c r="C618" s="4">
        <v>8.0966361702170206E-5</v>
      </c>
      <c r="D618" s="7">
        <v>1.9585246383044099E-3</v>
      </c>
      <c r="E618" s="1" t="s">
        <v>2280</v>
      </c>
      <c r="F618" s="1" t="s">
        <v>2281</v>
      </c>
      <c r="G618" s="1">
        <v>12461</v>
      </c>
      <c r="H618" s="6" t="str">
        <f>HYPERLINK("http://www.ensembl.org/Mus_musculus/Gene/Summary?db=core;g=ENSMUSG00000034024","ENSMUSG00000034024")</f>
        <v>ENSMUSG00000034024</v>
      </c>
      <c r="I618" s="6" t="str">
        <f>HYPERLINK("http://www.informatics.jax.org/marker/MGI:107186","MGI:107186")</f>
        <v>MGI:107186</v>
      </c>
      <c r="J618" s="7" t="s">
        <v>12</v>
      </c>
    </row>
    <row r="619" spans="1:10" x14ac:dyDescent="0.2">
      <c r="A619" s="3">
        <v>92.483078533858006</v>
      </c>
      <c r="B619" s="1">
        <v>-0.70155342117653996</v>
      </c>
      <c r="C619" s="4">
        <v>8.2211614205740605E-5</v>
      </c>
      <c r="D619" s="7">
        <v>1.9795267106794E-3</v>
      </c>
      <c r="E619" s="1" t="s">
        <v>556</v>
      </c>
      <c r="F619" s="1" t="s">
        <v>557</v>
      </c>
      <c r="G619" s="1" t="s">
        <v>45</v>
      </c>
      <c r="H619" s="6" t="str">
        <f>HYPERLINK("http://www.ensembl.org/Mus_musculus/Gene/Summary?db=core;g=ENSMUSG00000109675","ENSMUSG00000109675")</f>
        <v>ENSMUSG00000109675</v>
      </c>
      <c r="I619" s="6" t="str">
        <f>HYPERLINK("http://www.informatics.jax.org/marker/MGI:3646632","MGI:3646632")</f>
        <v>MGI:3646632</v>
      </c>
      <c r="J619" s="7" t="s">
        <v>215</v>
      </c>
    </row>
    <row r="620" spans="1:10" x14ac:dyDescent="0.2">
      <c r="A620" s="3">
        <v>657.8084761197</v>
      </c>
      <c r="B620" s="1">
        <v>0.25862384339282801</v>
      </c>
      <c r="C620" s="4">
        <v>8.2635709395275294E-5</v>
      </c>
      <c r="D620" s="7">
        <v>1.9864923550551002E-3</v>
      </c>
      <c r="E620" s="1" t="s">
        <v>2900</v>
      </c>
      <c r="F620" s="1" t="s">
        <v>2901</v>
      </c>
      <c r="G620" s="1">
        <v>74600</v>
      </c>
      <c r="H620" s="6" t="str">
        <f>HYPERLINK("http://www.ensembl.org/Mus_musculus/Gene/Summary?db=core;g=ENSMUSG00000037531","ENSMUSG00000037531")</f>
        <v>ENSMUSG00000037531</v>
      </c>
      <c r="I620" s="6" t="str">
        <f>HYPERLINK("http://www.informatics.jax.org/marker/MGI:1921850","MGI:1921850")</f>
        <v>MGI:1921850</v>
      </c>
      <c r="J620" s="7" t="s">
        <v>12</v>
      </c>
    </row>
    <row r="621" spans="1:10" x14ac:dyDescent="0.2">
      <c r="A621" s="3">
        <v>882.36382141003196</v>
      </c>
      <c r="B621" s="1">
        <v>0.19093114407012399</v>
      </c>
      <c r="C621" s="4">
        <v>8.2944247463556602E-5</v>
      </c>
      <c r="D621" s="7">
        <v>1.9906619391253598E-3</v>
      </c>
      <c r="E621" s="1" t="s">
        <v>2540</v>
      </c>
      <c r="F621" s="1" t="s">
        <v>2541</v>
      </c>
      <c r="G621" s="1">
        <v>106628</v>
      </c>
      <c r="H621" s="6" t="str">
        <f>HYPERLINK("http://www.ensembl.org/Mus_musculus/Gene/Summary?db=core;g=ENSMUSG00000019487","ENSMUSG00000019487")</f>
        <v>ENSMUSG00000019487</v>
      </c>
      <c r="I621" s="6" t="str">
        <f>HYPERLINK("http://www.informatics.jax.org/marker/MGI:2146901","MGI:2146901")</f>
        <v>MGI:2146901</v>
      </c>
      <c r="J621" s="7" t="s">
        <v>12</v>
      </c>
    </row>
    <row r="622" spans="1:10" x14ac:dyDescent="0.2">
      <c r="A622" s="3">
        <v>9.4692270429814407</v>
      </c>
      <c r="B622" s="1">
        <v>-1.25956387727856</v>
      </c>
      <c r="C622" s="4">
        <v>8.6181781880851005E-5</v>
      </c>
      <c r="D622" s="7">
        <v>2.06499957365239E-3</v>
      </c>
      <c r="E622" s="1" t="s">
        <v>203</v>
      </c>
      <c r="F622" s="1" t="s">
        <v>204</v>
      </c>
      <c r="G622" s="1">
        <v>80891</v>
      </c>
      <c r="H622" s="6" t="str">
        <f>HYPERLINK("http://www.ensembl.org/Mus_musculus/Gene/Summary?db=core;g=ENSMUSG00000015852","ENSMUSG00000015852")</f>
        <v>ENSMUSG00000015852</v>
      </c>
      <c r="I622" s="6" t="str">
        <f>HYPERLINK("http://www.informatics.jax.org/marker/MGI:1933397","MGI:1933397")</f>
        <v>MGI:1933397</v>
      </c>
      <c r="J622" s="7" t="s">
        <v>12</v>
      </c>
    </row>
    <row r="623" spans="1:10" x14ac:dyDescent="0.2">
      <c r="A623" s="3">
        <v>474.83639075564997</v>
      </c>
      <c r="B623" s="1">
        <v>0.30989189238347098</v>
      </c>
      <c r="C623" s="4">
        <v>8.6917047382483795E-5</v>
      </c>
      <c r="D623" s="7">
        <v>2.0792363802407199E-3</v>
      </c>
      <c r="E623" s="1" t="s">
        <v>3014</v>
      </c>
      <c r="F623" s="1" t="s">
        <v>3015</v>
      </c>
      <c r="G623" s="1">
        <v>54369</v>
      </c>
      <c r="H623" s="6" t="str">
        <f>HYPERLINK("http://www.ensembl.org/Mus_musculus/Gene/Summary?db=core;g=ENSMUSG00000032478","ENSMUSG00000032478")</f>
        <v>ENSMUSG00000032478</v>
      </c>
      <c r="I623" s="6" t="str">
        <f>HYPERLINK("http://www.informatics.jax.org/marker/MGI:1861676","MGI:1861676")</f>
        <v>MGI:1861676</v>
      </c>
      <c r="J623" s="7" t="s">
        <v>12</v>
      </c>
    </row>
    <row r="624" spans="1:10" x14ac:dyDescent="0.2">
      <c r="A624" s="3">
        <v>200.88577239706899</v>
      </c>
      <c r="B624" s="1">
        <v>-0.35201390513464298</v>
      </c>
      <c r="C624" s="4">
        <v>8.7796843220703302E-5</v>
      </c>
      <c r="D624" s="7">
        <v>2.0960307565545499E-3</v>
      </c>
      <c r="E624" s="1" t="s">
        <v>1236</v>
      </c>
      <c r="F624" s="1" t="s">
        <v>1237</v>
      </c>
      <c r="G624" s="1">
        <v>71795</v>
      </c>
      <c r="H624" s="6" t="str">
        <f>HYPERLINK("http://www.ensembl.org/Mus_musculus/Gene/Summary?db=core;g=ENSMUSG00000040430","ENSMUSG00000040430")</f>
        <v>ENSMUSG00000040430</v>
      </c>
      <c r="I624" s="6" t="str">
        <f>HYPERLINK("http://www.informatics.jax.org/marker/MGI:1919045","MGI:1919045")</f>
        <v>MGI:1919045</v>
      </c>
      <c r="J624" s="7" t="s">
        <v>12</v>
      </c>
    </row>
    <row r="625" spans="1:10" x14ac:dyDescent="0.2">
      <c r="A625" s="3">
        <v>51.144707540493002</v>
      </c>
      <c r="B625" s="1">
        <v>0.84704241218089205</v>
      </c>
      <c r="C625" s="4">
        <v>8.7903570002084298E-5</v>
      </c>
      <c r="D625" s="7">
        <v>2.0960307565545499E-3</v>
      </c>
      <c r="E625" s="1" t="s">
        <v>3298</v>
      </c>
      <c r="F625" s="1" t="s">
        <v>3299</v>
      </c>
      <c r="G625" s="1">
        <v>319710</v>
      </c>
      <c r="H625" s="6" t="str">
        <f>HYPERLINK("http://www.ensembl.org/Mus_musculus/Gene/Summary?db=core;g=ENSMUSG00000048285","ENSMUSG00000048285")</f>
        <v>ENSMUSG00000048285</v>
      </c>
      <c r="I625" s="6" t="str">
        <f>HYPERLINK("http://www.informatics.jax.org/marker/MGI:2442579","MGI:2442579")</f>
        <v>MGI:2442579</v>
      </c>
      <c r="J625" s="7" t="s">
        <v>12</v>
      </c>
    </row>
    <row r="626" spans="1:10" x14ac:dyDescent="0.2">
      <c r="A626" s="3">
        <v>1068.19549227633</v>
      </c>
      <c r="B626" s="1">
        <v>-0.24019720407418399</v>
      </c>
      <c r="C626" s="4">
        <v>8.8426702779826694E-5</v>
      </c>
      <c r="D626" s="7">
        <v>2.10509837183122E-3</v>
      </c>
      <c r="E626" s="1" t="s">
        <v>1708</v>
      </c>
      <c r="F626" s="1" t="s">
        <v>1709</v>
      </c>
      <c r="G626" s="1">
        <v>11977</v>
      </c>
      <c r="H626" s="6" t="str">
        <f>HYPERLINK("http://www.ensembl.org/Mus_musculus/Gene/Summary?db=core;g=ENSMUSG00000033792","ENSMUSG00000033792")</f>
        <v>ENSMUSG00000033792</v>
      </c>
      <c r="I626" s="6" t="str">
        <f>HYPERLINK("http://www.informatics.jax.org/marker/MGI:99400","MGI:99400")</f>
        <v>MGI:99400</v>
      </c>
      <c r="J626" s="7" t="s">
        <v>12</v>
      </c>
    </row>
    <row r="627" spans="1:10" x14ac:dyDescent="0.2">
      <c r="A627" s="3">
        <v>2182.8007884896201</v>
      </c>
      <c r="B627" s="1">
        <v>0.23297173346046901</v>
      </c>
      <c r="C627" s="4">
        <v>8.9859909632344201E-5</v>
      </c>
      <c r="D627" s="7">
        <v>2.13576714248746E-3</v>
      </c>
      <c r="E627" s="1" t="s">
        <v>2804</v>
      </c>
      <c r="F627" s="1" t="s">
        <v>2805</v>
      </c>
      <c r="G627" s="1">
        <v>18102</v>
      </c>
      <c r="H627" s="6" t="str">
        <f>HYPERLINK("http://www.ensembl.org/Mus_musculus/Gene/Summary?db=core;g=ENSMUSG00000037601","ENSMUSG00000037601")</f>
        <v>ENSMUSG00000037601</v>
      </c>
      <c r="I627" s="6" t="str">
        <f>HYPERLINK("http://www.informatics.jax.org/marker/MGI:97355","MGI:97355")</f>
        <v>MGI:97355</v>
      </c>
      <c r="J627" s="7" t="s">
        <v>12</v>
      </c>
    </row>
    <row r="628" spans="1:10" x14ac:dyDescent="0.2">
      <c r="A628" s="3">
        <v>879.89573420041904</v>
      </c>
      <c r="B628" s="1">
        <v>0.20244063508615501</v>
      </c>
      <c r="C628" s="4">
        <v>9.0011305279729599E-5</v>
      </c>
      <c r="D628" s="7">
        <v>2.1359204421933899E-3</v>
      </c>
      <c r="E628" s="1" t="s">
        <v>2616</v>
      </c>
      <c r="F628" s="1" t="s">
        <v>2617</v>
      </c>
      <c r="G628" s="1">
        <v>50933</v>
      </c>
      <c r="H628" s="6" t="str">
        <f>HYPERLINK("http://www.ensembl.org/Mus_musculus/Gene/Summary?db=core;g=ENSMUSG00000022111","ENSMUSG00000022111")</f>
        <v>ENSMUSG00000022111</v>
      </c>
      <c r="I628" s="6" t="str">
        <f>HYPERLINK("http://www.informatics.jax.org/marker/MGI:1355274","MGI:1355274")</f>
        <v>MGI:1355274</v>
      </c>
      <c r="J628" s="7" t="s">
        <v>12</v>
      </c>
    </row>
    <row r="629" spans="1:10" x14ac:dyDescent="0.2">
      <c r="A629" s="3">
        <v>364.48694636387597</v>
      </c>
      <c r="B629" s="1">
        <v>0.32686534946055001</v>
      </c>
      <c r="C629" s="4">
        <v>9.1086637553814702E-5</v>
      </c>
      <c r="D629" s="7">
        <v>2.15796252571224E-3</v>
      </c>
      <c r="E629" s="1" t="s">
        <v>3042</v>
      </c>
      <c r="F629" s="1" t="s">
        <v>3043</v>
      </c>
      <c r="G629" s="1">
        <v>22032</v>
      </c>
      <c r="H629" s="6" t="str">
        <f>HYPERLINK("http://www.ensembl.org/Mus_musculus/Gene/Summary?db=core;g=ENSMUSG00000017386","ENSMUSG00000017386")</f>
        <v>ENSMUSG00000017386</v>
      </c>
      <c r="I629" s="6" t="str">
        <f>HYPERLINK("http://www.informatics.jax.org/marker/MGI:1202880","MGI:1202880")</f>
        <v>MGI:1202880</v>
      </c>
      <c r="J629" s="7" t="s">
        <v>12</v>
      </c>
    </row>
    <row r="630" spans="1:10" x14ac:dyDescent="0.2">
      <c r="A630" s="3">
        <v>802.01683210589204</v>
      </c>
      <c r="B630" s="1">
        <v>-0.332812950102502</v>
      </c>
      <c r="C630" s="4">
        <v>9.1275587790187396E-5</v>
      </c>
      <c r="D630" s="7">
        <v>2.15896799626999E-3</v>
      </c>
      <c r="E630" s="1" t="s">
        <v>1292</v>
      </c>
      <c r="F630" s="1" t="s">
        <v>1293</v>
      </c>
      <c r="G630" s="1">
        <v>16568</v>
      </c>
      <c r="H630" s="6" t="str">
        <f>HYPERLINK("http://www.ensembl.org/Mus_musculus/Gene/Summary?db=core;g=ENSMUSG00000018395","ENSMUSG00000018395")</f>
        <v>ENSMUSG00000018395</v>
      </c>
      <c r="I630" s="6" t="str">
        <f>HYPERLINK("http://www.informatics.jax.org/marker/MGI:107689","MGI:107689")</f>
        <v>MGI:107689</v>
      </c>
      <c r="J630" s="7" t="s">
        <v>12</v>
      </c>
    </row>
    <row r="631" spans="1:10" x14ac:dyDescent="0.2">
      <c r="A631" s="3">
        <v>338.60511575355599</v>
      </c>
      <c r="B631" s="1">
        <v>-0.65108896280895001</v>
      </c>
      <c r="C631" s="4">
        <v>9.1433259713105802E-5</v>
      </c>
      <c r="D631" s="7">
        <v>2.1592315947633499E-3</v>
      </c>
      <c r="E631" s="1" t="s">
        <v>600</v>
      </c>
      <c r="F631" s="1" t="s">
        <v>601</v>
      </c>
      <c r="G631" s="1">
        <v>19252</v>
      </c>
      <c r="H631" s="6" t="str">
        <f>HYPERLINK("http://www.ensembl.org/Mus_musculus/Gene/Summary?db=core;g=ENSMUSG00000024190","ENSMUSG00000024190")</f>
        <v>ENSMUSG00000024190</v>
      </c>
      <c r="I631" s="6" t="str">
        <f>HYPERLINK("http://www.informatics.jax.org/marker/MGI:105120","MGI:105120")</f>
        <v>MGI:105120</v>
      </c>
      <c r="J631" s="7" t="s">
        <v>12</v>
      </c>
    </row>
    <row r="632" spans="1:10" x14ac:dyDescent="0.2">
      <c r="A632" s="3">
        <v>1874.47641910225</v>
      </c>
      <c r="B632" s="1">
        <v>0.20482120333280401</v>
      </c>
      <c r="C632" s="4">
        <v>9.2486682100399297E-5</v>
      </c>
      <c r="D632" s="7">
        <v>2.1806139958903798E-3</v>
      </c>
      <c r="E632" s="1" t="s">
        <v>2634</v>
      </c>
      <c r="F632" s="1" t="s">
        <v>2635</v>
      </c>
      <c r="G632" s="1">
        <v>14870</v>
      </c>
      <c r="H632" s="6" t="str">
        <f>HYPERLINK("http://www.ensembl.org/Mus_musculus/Gene/Summary?db=core;g=ENSMUSG00000060803","ENSMUSG00000060803")</f>
        <v>ENSMUSG00000060803</v>
      </c>
      <c r="I632" s="6" t="str">
        <f>HYPERLINK("http://www.informatics.jax.org/marker/MGI:95865","MGI:95865")</f>
        <v>MGI:95865</v>
      </c>
      <c r="J632" s="7" t="s">
        <v>12</v>
      </c>
    </row>
    <row r="633" spans="1:10" x14ac:dyDescent="0.2">
      <c r="A633" s="3">
        <v>477.70063687183699</v>
      </c>
      <c r="B633" s="1">
        <v>-0.39644366074427601</v>
      </c>
      <c r="C633" s="4">
        <v>9.3652928358066504E-5</v>
      </c>
      <c r="D633" s="7">
        <v>2.2045839493362099E-3</v>
      </c>
      <c r="E633" s="1" t="s">
        <v>1111</v>
      </c>
      <c r="F633" s="1" t="s">
        <v>1112</v>
      </c>
      <c r="G633" s="1">
        <v>100532</v>
      </c>
      <c r="H633" s="6" t="str">
        <f>HYPERLINK("http://www.ensembl.org/Mus_musculus/Gene/Summary?db=core;g=ENSMUSG00000047881","ENSMUSG00000047881")</f>
        <v>ENSMUSG00000047881</v>
      </c>
      <c r="I633" s="6" t="str">
        <f>HYPERLINK("http://www.informatics.jax.org/marker/MGI:2140767","MGI:2140767")</f>
        <v>MGI:2140767</v>
      </c>
      <c r="J633" s="7" t="s">
        <v>12</v>
      </c>
    </row>
    <row r="634" spans="1:10" x14ac:dyDescent="0.2">
      <c r="A634" s="3">
        <v>16.564722057621101</v>
      </c>
      <c r="B634" s="1">
        <v>-1.1357514230402601</v>
      </c>
      <c r="C634" s="4">
        <v>9.4029635665499801E-5</v>
      </c>
      <c r="D634" s="7">
        <v>2.2099213894207401E-3</v>
      </c>
      <c r="E634" s="1" t="s">
        <v>241</v>
      </c>
      <c r="F634" s="1" t="s">
        <v>242</v>
      </c>
      <c r="G634" s="1">
        <v>11425</v>
      </c>
      <c r="H634" s="6" t="str">
        <f>HYPERLINK("http://www.ensembl.org/Mus_musculus/Gene/Summary?db=core;g=ENSMUSG00000074336","ENSMUSG00000074336")</f>
        <v>ENSMUSG00000074336</v>
      </c>
      <c r="I634" s="6" t="str">
        <f>HYPERLINK("http://www.informatics.jax.org/marker/MGI:87878","MGI:87878")</f>
        <v>MGI:87878</v>
      </c>
      <c r="J634" s="7" t="s">
        <v>12</v>
      </c>
    </row>
    <row r="635" spans="1:10" x14ac:dyDescent="0.2">
      <c r="A635" s="3">
        <v>47.271267081658102</v>
      </c>
      <c r="B635" s="1">
        <v>-0.63044565598103597</v>
      </c>
      <c r="C635" s="4">
        <v>9.4797678478039194E-5</v>
      </c>
      <c r="D635" s="7">
        <v>2.2244245064528402E-3</v>
      </c>
      <c r="E635" s="1" t="s">
        <v>622</v>
      </c>
      <c r="F635" s="1" t="s">
        <v>623</v>
      </c>
      <c r="G635" s="1">
        <v>76467</v>
      </c>
      <c r="H635" s="6" t="str">
        <f>HYPERLINK("http://www.ensembl.org/Mus_musculus/Gene/Summary?db=core;g=ENSMUSG00000023094","ENSMUSG00000023094")</f>
        <v>ENSMUSG00000023094</v>
      </c>
      <c r="I635" s="6" t="str">
        <f>HYPERLINK("http://www.informatics.jax.org/marker/MGI:1923717","MGI:1923717")</f>
        <v>MGI:1923717</v>
      </c>
      <c r="J635" s="7" t="s">
        <v>12</v>
      </c>
    </row>
    <row r="636" spans="1:10" x14ac:dyDescent="0.2">
      <c r="A636" s="3">
        <v>89.221764355912995</v>
      </c>
      <c r="B636" s="1">
        <v>-0.84958763880537702</v>
      </c>
      <c r="C636" s="4">
        <v>9.6882855589788103E-5</v>
      </c>
      <c r="D636" s="7">
        <v>2.2697388870764998E-3</v>
      </c>
      <c r="E636" s="1" t="s">
        <v>440</v>
      </c>
      <c r="F636" s="1" t="s">
        <v>441</v>
      </c>
      <c r="G636" s="1">
        <v>30805</v>
      </c>
      <c r="H636" s="6" t="str">
        <f>HYPERLINK("http://www.ensembl.org/Mus_musculus/Gene/Summary?db=core;g=ENSMUSG00000020334","ENSMUSG00000020334")</f>
        <v>ENSMUSG00000020334</v>
      </c>
      <c r="I636" s="6" t="str">
        <f>HYPERLINK("http://www.informatics.jax.org/marker/MGI:1353479","MGI:1353479")</f>
        <v>MGI:1353479</v>
      </c>
      <c r="J636" s="7" t="s">
        <v>12</v>
      </c>
    </row>
    <row r="637" spans="1:10" x14ac:dyDescent="0.2">
      <c r="A637" s="3">
        <v>881.57058844082701</v>
      </c>
      <c r="B637" s="1">
        <v>-0.26229036894784402</v>
      </c>
      <c r="C637" s="4">
        <v>9.8277101078468005E-5</v>
      </c>
      <c r="D637" s="7">
        <v>2.29357659578643E-3</v>
      </c>
      <c r="E637" s="1" t="s">
        <v>1610</v>
      </c>
      <c r="F637" s="1" t="s">
        <v>1611</v>
      </c>
      <c r="G637" s="1">
        <v>381413</v>
      </c>
      <c r="H637" s="6" t="str">
        <f>HYPERLINK("http://www.ensembl.org/Mus_musculus/Gene/Summary?db=core;g=ENSMUSG00000040133","ENSMUSG00000040133")</f>
        <v>ENSMUSG00000040133</v>
      </c>
      <c r="I637" s="6" t="str">
        <f>HYPERLINK("http://www.informatics.jax.org/marker/MGI:2685858","MGI:2685858")</f>
        <v>MGI:2685858</v>
      </c>
      <c r="J637" s="7" t="s">
        <v>12</v>
      </c>
    </row>
    <row r="638" spans="1:10" x14ac:dyDescent="0.2">
      <c r="A638" s="3">
        <v>2394.1866671951002</v>
      </c>
      <c r="B638" s="1">
        <v>0.143982776921636</v>
      </c>
      <c r="C638" s="4">
        <v>9.8407062398408999E-5</v>
      </c>
      <c r="D638" s="7">
        <v>2.29357659578643E-3</v>
      </c>
      <c r="E638" s="1" t="s">
        <v>2286</v>
      </c>
      <c r="F638" s="1" t="s">
        <v>2287</v>
      </c>
      <c r="G638" s="1">
        <v>18176</v>
      </c>
      <c r="H638" s="6" t="str">
        <f>HYPERLINK("http://www.ensembl.org/Mus_musculus/Gene/Summary?db=core;g=ENSMUSG00000027852","ENSMUSG00000027852")</f>
        <v>ENSMUSG00000027852</v>
      </c>
      <c r="I638" s="6" t="str">
        <f>HYPERLINK("http://www.informatics.jax.org/marker/MGI:97376","MGI:97376")</f>
        <v>MGI:97376</v>
      </c>
      <c r="J638" s="7" t="s">
        <v>12</v>
      </c>
    </row>
    <row r="639" spans="1:10" x14ac:dyDescent="0.2">
      <c r="A639" s="3">
        <v>23271.201841108901</v>
      </c>
      <c r="B639" s="1">
        <v>0.22699461380823099</v>
      </c>
      <c r="C639" s="4">
        <v>9.8522936016070102E-5</v>
      </c>
      <c r="D639" s="7">
        <v>2.29357659578643E-3</v>
      </c>
      <c r="E639" s="1" t="s">
        <v>2774</v>
      </c>
      <c r="F639" s="1" t="s">
        <v>2775</v>
      </c>
      <c r="G639" s="1">
        <v>18148</v>
      </c>
      <c r="H639" s="6" t="str">
        <f>HYPERLINK("http://www.ensembl.org/Mus_musculus/Gene/Summary?db=core;g=ENSMUSG00000057113","ENSMUSG00000057113")</f>
        <v>ENSMUSG00000057113</v>
      </c>
      <c r="I639" s="6" t="str">
        <f>HYPERLINK("http://www.informatics.jax.org/marker/MGI:106184","MGI:106184")</f>
        <v>MGI:106184</v>
      </c>
      <c r="J639" s="7" t="s">
        <v>12</v>
      </c>
    </row>
    <row r="640" spans="1:10" x14ac:dyDescent="0.2">
      <c r="A640" s="3">
        <v>628.468373593313</v>
      </c>
      <c r="B640" s="1">
        <v>0.27272482950969101</v>
      </c>
      <c r="C640" s="4">
        <v>9.8407606941973807E-5</v>
      </c>
      <c r="D640" s="7">
        <v>2.29357659578643E-3</v>
      </c>
      <c r="E640" s="1" t="s">
        <v>2942</v>
      </c>
      <c r="F640" s="1" t="s">
        <v>2943</v>
      </c>
      <c r="G640" s="1">
        <v>68048</v>
      </c>
      <c r="H640" s="6" t="str">
        <f>HYPERLINK("http://www.ensembl.org/Mus_musculus/Gene/Summary?db=core;g=ENSMUSG00000030609","ENSMUSG00000030609")</f>
        <v>ENSMUSG00000030609</v>
      </c>
      <c r="I640" s="6" t="str">
        <f>HYPERLINK("http://www.informatics.jax.org/marker/MGI:1915298","MGI:1915298")</f>
        <v>MGI:1915298</v>
      </c>
      <c r="J640" s="7" t="s">
        <v>12</v>
      </c>
    </row>
    <row r="641" spans="1:10" x14ac:dyDescent="0.2">
      <c r="A641" s="3">
        <v>957.52625801087197</v>
      </c>
      <c r="B641" s="1">
        <v>0.20845890225555</v>
      </c>
      <c r="C641" s="4">
        <v>9.92584326519589E-5</v>
      </c>
      <c r="D641" s="7">
        <v>2.3070540434688698E-3</v>
      </c>
      <c r="E641" s="1" t="s">
        <v>2638</v>
      </c>
      <c r="F641" s="1" t="s">
        <v>2639</v>
      </c>
      <c r="G641" s="1">
        <v>99650</v>
      </c>
      <c r="H641" s="6" t="str">
        <f>HYPERLINK("http://www.ensembl.org/Mus_musculus/Gene/Summary?db=core;g=ENSMUSG00000027942","ENSMUSG00000027942")</f>
        <v>ENSMUSG00000027942</v>
      </c>
      <c r="I641" s="6" t="str">
        <f>HYPERLINK("http://www.informatics.jax.org/marker/MGI:1914027","MGI:1914027")</f>
        <v>MGI:1914027</v>
      </c>
      <c r="J641" s="7" t="s">
        <v>12</v>
      </c>
    </row>
    <row r="642" spans="1:10" x14ac:dyDescent="0.2">
      <c r="A642" s="3">
        <v>5620.0746934997796</v>
      </c>
      <c r="B642" s="1">
        <v>-0.238875799659303</v>
      </c>
      <c r="C642" s="4">
        <v>9.9597578699022406E-5</v>
      </c>
      <c r="D642" s="7">
        <v>2.31129121213983E-3</v>
      </c>
      <c r="E642" s="1" t="s">
        <v>1710</v>
      </c>
      <c r="F642" s="1" t="s">
        <v>1711</v>
      </c>
      <c r="G642" s="1">
        <v>17969</v>
      </c>
      <c r="H642" s="6" t="str">
        <f>HYPERLINK("http://www.ensembl.org/Mus_musculus/Gene/Summary?db=core;g=ENSMUSG00000015950","ENSMUSG00000015950")</f>
        <v>ENSMUSG00000015950</v>
      </c>
      <c r="I642" s="6" t="str">
        <f>HYPERLINK("http://www.informatics.jax.org/marker/MGI:97283","MGI:97283")</f>
        <v>MGI:97283</v>
      </c>
      <c r="J642" s="7" t="s">
        <v>12</v>
      </c>
    </row>
    <row r="643" spans="1:10" x14ac:dyDescent="0.2">
      <c r="A643" s="3">
        <v>3413.3499848117599</v>
      </c>
      <c r="B643" s="1">
        <v>-0.355729926967079</v>
      </c>
      <c r="C643" s="1">
        <v>1.00026728572448E-4</v>
      </c>
      <c r="D643" s="7">
        <v>2.31760042805596E-3</v>
      </c>
      <c r="E643" s="1" t="s">
        <v>1218</v>
      </c>
      <c r="F643" s="1" t="s">
        <v>1219</v>
      </c>
      <c r="G643" s="1">
        <v>72145</v>
      </c>
      <c r="H643" s="6" t="str">
        <f>HYPERLINK("http://www.ensembl.org/Mus_musculus/Gene/Summary?db=core;g=ENSMUSG00000043940","ENSMUSG00000043940")</f>
        <v>ENSMUSG00000043940</v>
      </c>
      <c r="I643" s="6" t="str">
        <f>HYPERLINK("http://www.informatics.jax.org/marker/MGI:1096875","MGI:1096875")</f>
        <v>MGI:1096875</v>
      </c>
      <c r="J643" s="7" t="s">
        <v>12</v>
      </c>
    </row>
    <row r="644" spans="1:10" x14ac:dyDescent="0.2">
      <c r="A644" s="3">
        <v>589.13782300654202</v>
      </c>
      <c r="B644" s="1">
        <v>-0.271360724103898</v>
      </c>
      <c r="C644" s="1">
        <v>1.0227116226284101E-4</v>
      </c>
      <c r="D644" s="7">
        <v>2.36588359043207E-3</v>
      </c>
      <c r="E644" s="1" t="s">
        <v>1566</v>
      </c>
      <c r="F644" s="1" t="s">
        <v>1567</v>
      </c>
      <c r="G644" s="1">
        <v>71148</v>
      </c>
      <c r="H644" s="6" t="str">
        <f>HYPERLINK("http://www.ensembl.org/Mus_musculus/Gene/Summary?db=core;g=ENSMUSG00000028522","ENSMUSG00000028522")</f>
        <v>ENSMUSG00000028522</v>
      </c>
      <c r="I644" s="6" t="str">
        <f>HYPERLINK("http://www.informatics.jax.org/marker/MGI:1918398","MGI:1918398")</f>
        <v>MGI:1918398</v>
      </c>
      <c r="J644" s="7" t="s">
        <v>12</v>
      </c>
    </row>
    <row r="645" spans="1:10" x14ac:dyDescent="0.2">
      <c r="A645" s="3">
        <v>72.6083541437158</v>
      </c>
      <c r="B645" s="1">
        <v>-1.12555159113054</v>
      </c>
      <c r="C645" s="1">
        <v>1.0395100082190301E-4</v>
      </c>
      <c r="D645" s="7">
        <v>2.3912513626574402E-3</v>
      </c>
      <c r="E645" s="1" t="s">
        <v>251</v>
      </c>
      <c r="F645" s="1" t="s">
        <v>252</v>
      </c>
      <c r="G645" s="1">
        <v>83382</v>
      </c>
      <c r="H645" s="6" t="str">
        <f>HYPERLINK("http://www.ensembl.org/Mus_musculus/Gene/Summary?db=core;g=ENSMUSG00000030474","ENSMUSG00000030474")</f>
        <v>ENSMUSG00000030474</v>
      </c>
      <c r="I645" s="6" t="str">
        <f>HYPERLINK("http://www.informatics.jax.org/marker/MGI:1932475","MGI:1932475")</f>
        <v>MGI:1932475</v>
      </c>
      <c r="J645" s="7" t="s">
        <v>12</v>
      </c>
    </row>
    <row r="646" spans="1:10" x14ac:dyDescent="0.2">
      <c r="A646" s="3">
        <v>159.74309648780101</v>
      </c>
      <c r="B646" s="1">
        <v>-0.52155820321172497</v>
      </c>
      <c r="C646" s="1">
        <v>1.0412277896817201E-4</v>
      </c>
      <c r="D646" s="7">
        <v>2.3912513626574402E-3</v>
      </c>
      <c r="E646" s="1" t="s">
        <v>807</v>
      </c>
      <c r="F646" s="1" t="s">
        <v>808</v>
      </c>
      <c r="G646" s="1">
        <v>74354</v>
      </c>
      <c r="H646" s="6" t="str">
        <f>HYPERLINK("http://www.ensembl.org/Mus_musculus/Gene/Summary?db=core;g=ENSMUSG00000056215","ENSMUSG00000056215")</f>
        <v>ENSMUSG00000056215</v>
      </c>
      <c r="I646" s="6" t="str">
        <f>HYPERLINK("http://www.informatics.jax.org/marker/MGI:1921604","MGI:1921604")</f>
        <v>MGI:1921604</v>
      </c>
      <c r="J646" s="7" t="s">
        <v>12</v>
      </c>
    </row>
    <row r="647" spans="1:10" x14ac:dyDescent="0.2">
      <c r="A647" s="3">
        <v>1533.817877687</v>
      </c>
      <c r="B647" s="1">
        <v>-0.50146071673060399</v>
      </c>
      <c r="C647" s="1">
        <v>1.04179110669522E-4</v>
      </c>
      <c r="D647" s="7">
        <v>2.3912513626574402E-3</v>
      </c>
      <c r="E647" s="1" t="s">
        <v>829</v>
      </c>
      <c r="F647" s="1" t="s">
        <v>830</v>
      </c>
      <c r="G647" s="1">
        <v>279572</v>
      </c>
      <c r="H647" s="6" t="str">
        <f>HYPERLINK("http://www.ensembl.org/Mus_musculus/Gene/Summary?db=core;g=ENSMUSG00000033777","ENSMUSG00000033777")</f>
        <v>ENSMUSG00000033777</v>
      </c>
      <c r="I647" s="6" t="str">
        <f>HYPERLINK("http://www.informatics.jax.org/marker/MGI:3045213","MGI:3045213")</f>
        <v>MGI:3045213</v>
      </c>
      <c r="J647" s="7" t="s">
        <v>12</v>
      </c>
    </row>
    <row r="648" spans="1:10" x14ac:dyDescent="0.2">
      <c r="A648" s="3">
        <v>660.21257289315395</v>
      </c>
      <c r="B648" s="1">
        <v>-0.40080314905765602</v>
      </c>
      <c r="C648" s="1">
        <v>1.03773386022111E-4</v>
      </c>
      <c r="D648" s="7">
        <v>2.3912513626574402E-3</v>
      </c>
      <c r="E648" s="1" t="s">
        <v>1103</v>
      </c>
      <c r="F648" s="1" t="s">
        <v>1104</v>
      </c>
      <c r="G648" s="1">
        <v>170756</v>
      </c>
      <c r="H648" s="6" t="str">
        <f>HYPERLINK("http://www.ensembl.org/Mus_musculus/Gene/Summary?db=core;g=ENSMUSG00000032754","ENSMUSG00000032754")</f>
        <v>ENSMUSG00000032754</v>
      </c>
      <c r="I648" s="6" t="str">
        <f>HYPERLINK("http://www.informatics.jax.org/marker/MGI:2180781","MGI:2180781")</f>
        <v>MGI:2180781</v>
      </c>
      <c r="J648" s="7" t="s">
        <v>12</v>
      </c>
    </row>
    <row r="649" spans="1:10" x14ac:dyDescent="0.2">
      <c r="A649" s="3">
        <v>3605.2980413789501</v>
      </c>
      <c r="B649" s="1">
        <v>-0.188689563095398</v>
      </c>
      <c r="C649" s="1">
        <v>1.03546412303655E-4</v>
      </c>
      <c r="D649" s="7">
        <v>2.3912513626574402E-3</v>
      </c>
      <c r="E649" s="1" t="s">
        <v>1968</v>
      </c>
      <c r="F649" s="1" t="s">
        <v>1969</v>
      </c>
      <c r="G649" s="1">
        <v>20660</v>
      </c>
      <c r="H649" s="6" t="str">
        <f>HYPERLINK("http://www.ensembl.org/Mus_musculus/Gene/Summary?db=core;g=ENSMUSG00000049313","ENSMUSG00000049313")</f>
        <v>ENSMUSG00000049313</v>
      </c>
      <c r="I649" s="6" t="str">
        <f>HYPERLINK("http://www.informatics.jax.org/marker/MGI:1202296","MGI:1202296")</f>
        <v>MGI:1202296</v>
      </c>
      <c r="J649" s="7" t="s">
        <v>12</v>
      </c>
    </row>
    <row r="650" spans="1:10" x14ac:dyDescent="0.2">
      <c r="A650" s="3">
        <v>3132.0053222861702</v>
      </c>
      <c r="B650" s="1">
        <v>-0.190945159304413</v>
      </c>
      <c r="C650" s="1">
        <v>1.06437413350391E-4</v>
      </c>
      <c r="D650" s="7">
        <v>2.4392872832525001E-3</v>
      </c>
      <c r="E650" s="1" t="s">
        <v>1958</v>
      </c>
      <c r="F650" s="1" t="s">
        <v>1959</v>
      </c>
      <c r="G650" s="1">
        <v>245877</v>
      </c>
      <c r="H650" s="6" t="str">
        <f>HYPERLINK("http://www.ensembl.org/Mus_musculus/Gene/Summary?db=core;g=ENSMUSG00000028849","ENSMUSG00000028849")</f>
        <v>ENSMUSG00000028849</v>
      </c>
      <c r="I650" s="6" t="str">
        <f>HYPERLINK("http://www.informatics.jax.org/marker/MGI:2384297","MGI:2384297")</f>
        <v>MGI:2384297</v>
      </c>
      <c r="J650" s="7" t="s">
        <v>12</v>
      </c>
    </row>
    <row r="651" spans="1:10" x14ac:dyDescent="0.2">
      <c r="A651" s="3">
        <v>729.96494057625</v>
      </c>
      <c r="B651" s="1">
        <v>0.26116817376324097</v>
      </c>
      <c r="C651" s="1">
        <v>1.0693638184417999E-4</v>
      </c>
      <c r="D651" s="7">
        <v>2.4469169609562698E-3</v>
      </c>
      <c r="E651" s="1" t="s">
        <v>2912</v>
      </c>
      <c r="F651" s="1" t="s">
        <v>2913</v>
      </c>
      <c r="G651" s="1">
        <v>399510</v>
      </c>
      <c r="H651" s="6" t="str">
        <f>HYPERLINK("http://www.ensembl.org/Mus_musculus/Gene/Summary?db=core;g=ENSMUSG00000034761","ENSMUSG00000034761")</f>
        <v>ENSMUSG00000034761</v>
      </c>
      <c r="I651" s="6" t="str">
        <f>HYPERLINK("http://www.informatics.jax.org/marker/MGI:1925503","MGI:1925503")</f>
        <v>MGI:1925503</v>
      </c>
      <c r="J651" s="7" t="s">
        <v>12</v>
      </c>
    </row>
    <row r="652" spans="1:10" x14ac:dyDescent="0.2">
      <c r="A652" s="3">
        <v>1139.71682738349</v>
      </c>
      <c r="B652" s="1">
        <v>-0.212842900113874</v>
      </c>
      <c r="C652" s="1">
        <v>1.0745679451125201E-4</v>
      </c>
      <c r="D652" s="7">
        <v>2.4550129052989399E-3</v>
      </c>
      <c r="E652" s="1" t="s">
        <v>1850</v>
      </c>
      <c r="F652" s="1" t="s">
        <v>1851</v>
      </c>
      <c r="G652" s="1">
        <v>17096</v>
      </c>
      <c r="H652" s="6" t="str">
        <f>HYPERLINK("http://www.ensembl.org/Mus_musculus/Gene/Summary?db=core;g=ENSMUSG00000042228","ENSMUSG00000042228")</f>
        <v>ENSMUSG00000042228</v>
      </c>
      <c r="I652" s="6" t="str">
        <f>HYPERLINK("http://www.informatics.jax.org/marker/MGI:96892","MGI:96892")</f>
        <v>MGI:96892</v>
      </c>
      <c r="J652" s="7" t="s">
        <v>12</v>
      </c>
    </row>
    <row r="653" spans="1:10" x14ac:dyDescent="0.2">
      <c r="A653" s="3">
        <v>198.964153066129</v>
      </c>
      <c r="B653" s="1">
        <v>-0.49532009765544399</v>
      </c>
      <c r="C653" s="1">
        <v>1.08103391308182E-4</v>
      </c>
      <c r="D653" s="7">
        <v>2.4612355435734701E-3</v>
      </c>
      <c r="E653" s="1" t="s">
        <v>841</v>
      </c>
      <c r="F653" s="1" t="s">
        <v>842</v>
      </c>
      <c r="G653" s="1">
        <v>27029</v>
      </c>
      <c r="H653" s="6" t="str">
        <f>HYPERLINK("http://www.ensembl.org/Mus_musculus/Gene/Summary?db=core;g=ENSMUSG00000005043","ENSMUSG00000005043")</f>
        <v>ENSMUSG00000005043</v>
      </c>
      <c r="I653" s="6" t="str">
        <f>HYPERLINK("http://www.informatics.jax.org/marker/MGI:1350341","MGI:1350341")</f>
        <v>MGI:1350341</v>
      </c>
      <c r="J653" s="7" t="s">
        <v>12</v>
      </c>
    </row>
    <row r="654" spans="1:10" x14ac:dyDescent="0.2">
      <c r="A654" s="3">
        <v>329.17069701855002</v>
      </c>
      <c r="B654" s="1">
        <v>0.44159972286592802</v>
      </c>
      <c r="C654" s="1">
        <v>1.07920088513694E-4</v>
      </c>
      <c r="D654" s="7">
        <v>2.4612355435734701E-3</v>
      </c>
      <c r="E654" s="1" t="s">
        <v>3172</v>
      </c>
      <c r="F654" s="1" t="s">
        <v>3173</v>
      </c>
      <c r="G654" s="1">
        <v>214575</v>
      </c>
      <c r="H654" s="6" t="str">
        <f>HYPERLINK("http://www.ensembl.org/Mus_musculus/Gene/Summary?db=core;g=ENSMUSG00000060985","ENSMUSG00000060985")</f>
        <v>ENSMUSG00000060985</v>
      </c>
      <c r="I654" s="6" t="str">
        <f>HYPERLINK("http://www.informatics.jax.org/marker/MGI:2684949","MGI:2684949")</f>
        <v>MGI:2684949</v>
      </c>
      <c r="J654" s="7" t="s">
        <v>12</v>
      </c>
    </row>
    <row r="655" spans="1:10" x14ac:dyDescent="0.2">
      <c r="A655" s="3">
        <v>55.6094416613142</v>
      </c>
      <c r="B655" s="1">
        <v>0.55724059643078905</v>
      </c>
      <c r="C655" s="1">
        <v>1.0823022748613E-4</v>
      </c>
      <c r="D655" s="7">
        <v>2.4612355435734701E-3</v>
      </c>
      <c r="E655" s="1" t="s">
        <v>3226</v>
      </c>
      <c r="F655" s="1" t="s">
        <v>3227</v>
      </c>
      <c r="G655" s="1">
        <v>328232</v>
      </c>
      <c r="H655" s="6" t="str">
        <f>HYPERLINK("http://www.ensembl.org/Mus_musculus/Gene/Summary?db=core;g=ENSMUSG00000051335","ENSMUSG00000051335")</f>
        <v>ENSMUSG00000051335</v>
      </c>
      <c r="I655" s="6" t="str">
        <f>HYPERLINK("http://www.informatics.jax.org/marker/MGI:2145304","MGI:2145304")</f>
        <v>MGI:2145304</v>
      </c>
      <c r="J655" s="7" t="s">
        <v>12</v>
      </c>
    </row>
    <row r="656" spans="1:10" x14ac:dyDescent="0.2">
      <c r="A656" s="3">
        <v>2299.7389515994601</v>
      </c>
      <c r="B656" s="1">
        <v>0.24121461725287899</v>
      </c>
      <c r="C656" s="1">
        <v>1.09572776932166E-4</v>
      </c>
      <c r="D656" s="7">
        <v>2.4879267193719402E-3</v>
      </c>
      <c r="E656" s="1" t="s">
        <v>2846</v>
      </c>
      <c r="F656" s="1" t="s">
        <v>2847</v>
      </c>
      <c r="G656" s="1">
        <v>56190</v>
      </c>
      <c r="H656" s="6" t="str">
        <f>HYPERLINK("http://www.ensembl.org/Mus_musculus/Gene/Summary?db=core;g=ENSMUSG00000027510","ENSMUSG00000027510")</f>
        <v>ENSMUSG00000027510</v>
      </c>
      <c r="I656" s="6" t="str">
        <f>HYPERLINK("http://www.informatics.jax.org/marker/MGI:1889294","MGI:1889294")</f>
        <v>MGI:1889294</v>
      </c>
      <c r="J656" s="7" t="s">
        <v>12</v>
      </c>
    </row>
    <row r="657" spans="1:10" x14ac:dyDescent="0.2">
      <c r="A657" s="3">
        <v>1637.91898961368</v>
      </c>
      <c r="B657" s="1">
        <v>0.199461177608177</v>
      </c>
      <c r="C657" s="1">
        <v>1.10641995738895E-4</v>
      </c>
      <c r="D657" s="7">
        <v>2.50448609709425E-3</v>
      </c>
      <c r="E657" s="1" t="s">
        <v>2598</v>
      </c>
      <c r="F657" s="1" t="s">
        <v>2599</v>
      </c>
      <c r="G657" s="1">
        <v>227715</v>
      </c>
      <c r="H657" s="6" t="str">
        <f>HYPERLINK("http://www.ensembl.org/Mus_musculus/Gene/Summary?db=core;g=ENSMUSG00000039356","ENSMUSG00000039356")</f>
        <v>ENSMUSG00000039356</v>
      </c>
      <c r="I657" s="6" t="str">
        <f>HYPERLINK("http://www.informatics.jax.org/marker/MGI:2385133","MGI:2385133")</f>
        <v>MGI:2385133</v>
      </c>
      <c r="J657" s="7" t="s">
        <v>12</v>
      </c>
    </row>
    <row r="658" spans="1:10" x14ac:dyDescent="0.2">
      <c r="A658" s="3">
        <v>107.26667282506401</v>
      </c>
      <c r="B658" s="1">
        <v>0.66654994778072596</v>
      </c>
      <c r="C658" s="1">
        <v>1.10624251308938E-4</v>
      </c>
      <c r="D658" s="7">
        <v>2.50448609709425E-3</v>
      </c>
      <c r="E658" s="1" t="s">
        <v>3254</v>
      </c>
      <c r="F658" s="1" t="s">
        <v>3255</v>
      </c>
      <c r="G658" s="1">
        <v>74155</v>
      </c>
      <c r="H658" s="6" t="str">
        <f>HYPERLINK("http://www.ensembl.org/Mus_musculus/Gene/Summary?db=core;g=ENSMUSG00000028967","ENSMUSG00000028967")</f>
        <v>ENSMUSG00000028967</v>
      </c>
      <c r="I658" s="6" t="str">
        <f>HYPERLINK("http://www.informatics.jax.org/marker/MGI:1921405","MGI:1921405")</f>
        <v>MGI:1921405</v>
      </c>
      <c r="J658" s="7" t="s">
        <v>12</v>
      </c>
    </row>
    <row r="659" spans="1:10" x14ac:dyDescent="0.2">
      <c r="A659" s="3">
        <v>763.74052951792305</v>
      </c>
      <c r="B659" s="1">
        <v>-0.51314432335611104</v>
      </c>
      <c r="C659" s="1">
        <v>1.1179219621947801E-4</v>
      </c>
      <c r="D659" s="7">
        <v>2.5266408028991301E-3</v>
      </c>
      <c r="E659" s="1" t="s">
        <v>817</v>
      </c>
      <c r="F659" s="1" t="s">
        <v>818</v>
      </c>
      <c r="G659" s="1">
        <v>384309</v>
      </c>
      <c r="H659" s="6" t="str">
        <f>HYPERLINK("http://www.ensembl.org/Mus_musculus/Gene/Summary?db=core;g=ENSMUSG00000043279","ENSMUSG00000043279")</f>
        <v>ENSMUSG00000043279</v>
      </c>
      <c r="I659" s="6" t="str">
        <f>HYPERLINK("http://www.informatics.jax.org/marker/MGI:2685298","MGI:2685298")</f>
        <v>MGI:2685298</v>
      </c>
      <c r="J659" s="7" t="s">
        <v>12</v>
      </c>
    </row>
    <row r="660" spans="1:10" x14ac:dyDescent="0.2">
      <c r="A660" s="3">
        <v>15440.8229087945</v>
      </c>
      <c r="B660" s="1">
        <v>0.199004907474327</v>
      </c>
      <c r="C660" s="1">
        <v>1.12019726119156E-4</v>
      </c>
      <c r="D660" s="7">
        <v>2.5279061012126701E-3</v>
      </c>
      <c r="E660" s="1" t="s">
        <v>2594</v>
      </c>
      <c r="F660" s="1" t="s">
        <v>2595</v>
      </c>
      <c r="G660" s="1">
        <v>56086</v>
      </c>
      <c r="H660" s="6" t="str">
        <f>HYPERLINK("http://www.ensembl.org/Mus_musculus/Gene/Summary?db=core;g=ENSMUSG00000054766","ENSMUSG00000054766")</f>
        <v>ENSMUSG00000054766</v>
      </c>
      <c r="I660" s="6" t="str">
        <f>HYPERLINK("http://www.informatics.jax.org/marker/MGI:1860267","MGI:1860267")</f>
        <v>MGI:1860267</v>
      </c>
      <c r="J660" s="7" t="s">
        <v>12</v>
      </c>
    </row>
    <row r="661" spans="1:10" x14ac:dyDescent="0.2">
      <c r="A661" s="3">
        <v>406.41472071926597</v>
      </c>
      <c r="B661" s="1">
        <v>-1.3873160501517401</v>
      </c>
      <c r="C661" s="1">
        <v>1.1293544214446101E-4</v>
      </c>
      <c r="D661" s="7">
        <v>2.54136091539764E-3</v>
      </c>
      <c r="E661" s="1" t="s">
        <v>148</v>
      </c>
      <c r="F661" s="1" t="s">
        <v>149</v>
      </c>
      <c r="G661" s="1">
        <v>327978</v>
      </c>
      <c r="H661" s="6" t="str">
        <f>HYPERLINK("http://www.ensembl.org/Mus_musculus/Gene/Summary?db=core;g=ENSMUSG00000054404","ENSMUSG00000054404")</f>
        <v>ENSMUSG00000054404</v>
      </c>
      <c r="I661" s="6" t="str">
        <f>HYPERLINK("http://www.informatics.jax.org/marker/MGI:1329004","MGI:1329004")</f>
        <v>MGI:1329004</v>
      </c>
      <c r="J661" s="7" t="s">
        <v>12</v>
      </c>
    </row>
    <row r="662" spans="1:10" x14ac:dyDescent="0.2">
      <c r="A662" s="3">
        <v>247.30567898257999</v>
      </c>
      <c r="B662" s="1">
        <v>-0.38166760096517899</v>
      </c>
      <c r="C662" s="1">
        <v>1.12960871307373E-4</v>
      </c>
      <c r="D662" s="7">
        <v>2.54136091539764E-3</v>
      </c>
      <c r="E662" s="1" t="s">
        <v>1135</v>
      </c>
      <c r="F662" s="1" t="s">
        <v>45</v>
      </c>
      <c r="G662" s="1" t="s">
        <v>45</v>
      </c>
      <c r="H662" s="6" t="str">
        <f>HYPERLINK("http://www.ensembl.org/Mus_musculus/Gene/Summary?db=core;g=ENSMUSG00000095742","ENSMUSG00000095742")</f>
        <v>ENSMUSG00000095742</v>
      </c>
      <c r="I662" s="1" t="s">
        <v>45</v>
      </c>
      <c r="J662" s="7" t="s">
        <v>12</v>
      </c>
    </row>
    <row r="663" spans="1:10" x14ac:dyDescent="0.2">
      <c r="A663" s="3">
        <v>234.15607341004801</v>
      </c>
      <c r="B663" s="1">
        <v>0.34405284061934999</v>
      </c>
      <c r="C663" s="1">
        <v>1.14586049631535E-4</v>
      </c>
      <c r="D663" s="7">
        <v>2.5739939441620299E-3</v>
      </c>
      <c r="E663" s="1" t="s">
        <v>3080</v>
      </c>
      <c r="F663" s="1" t="s">
        <v>3081</v>
      </c>
      <c r="G663" s="1">
        <v>70153</v>
      </c>
      <c r="H663" s="6" t="str">
        <f>HYPERLINK("http://www.ensembl.org/Mus_musculus/Gene/Summary?db=core;g=ENSMUSG00000021550","ENSMUSG00000021550")</f>
        <v>ENSMUSG00000021550</v>
      </c>
      <c r="I663" s="6" t="str">
        <f>HYPERLINK("http://www.informatics.jax.org/marker/MGI:1917403","MGI:1917403")</f>
        <v>MGI:1917403</v>
      </c>
      <c r="J663" s="7" t="s">
        <v>12</v>
      </c>
    </row>
    <row r="664" spans="1:10" x14ac:dyDescent="0.2">
      <c r="A664" s="3">
        <v>4390.0338948176104</v>
      </c>
      <c r="B664" s="1">
        <v>0.147978124344017</v>
      </c>
      <c r="C664" s="1">
        <v>1.20501200055034E-4</v>
      </c>
      <c r="D664" s="7">
        <v>2.70274837749009E-3</v>
      </c>
      <c r="E664" s="1" t="s">
        <v>2308</v>
      </c>
      <c r="F664" s="1" t="s">
        <v>2309</v>
      </c>
      <c r="G664" s="1">
        <v>20624</v>
      </c>
      <c r="H664" s="6" t="str">
        <f>HYPERLINK("http://www.ensembl.org/Mus_musculus/Gene/Summary?db=core;g=ENSMUSG00000020929","ENSMUSG00000020929")</f>
        <v>ENSMUSG00000020929</v>
      </c>
      <c r="I664" s="6" t="str">
        <f>HYPERLINK("http://www.informatics.jax.org/marker/MGI:1336880","MGI:1336880")</f>
        <v>MGI:1336880</v>
      </c>
      <c r="J664" s="7" t="s">
        <v>12</v>
      </c>
    </row>
    <row r="665" spans="1:10" x14ac:dyDescent="0.2">
      <c r="A665" s="3">
        <v>1608.79748218138</v>
      </c>
      <c r="B665" s="1">
        <v>-0.38587083056286398</v>
      </c>
      <c r="C665" s="1">
        <v>1.21203376317743E-4</v>
      </c>
      <c r="D665" s="7">
        <v>2.71436619060526E-3</v>
      </c>
      <c r="E665" s="1" t="s">
        <v>1127</v>
      </c>
      <c r="F665" s="1" t="s">
        <v>1128</v>
      </c>
      <c r="G665" s="1">
        <v>104759</v>
      </c>
      <c r="H665" s="6" t="str">
        <f>HYPERLINK("http://www.ensembl.org/Mus_musculus/Gene/Summary?db=core;g=ENSMUSG00000052160","ENSMUSG00000052160")</f>
        <v>ENSMUSG00000052160</v>
      </c>
      <c r="I665" s="6" t="str">
        <f>HYPERLINK("http://www.informatics.jax.org/marker/MGI:2144765","MGI:2144765")</f>
        <v>MGI:2144765</v>
      </c>
      <c r="J665" s="7" t="s">
        <v>12</v>
      </c>
    </row>
    <row r="666" spans="1:10" x14ac:dyDescent="0.2">
      <c r="A666" s="3">
        <v>1373.2042220134799</v>
      </c>
      <c r="B666" s="1">
        <v>-0.20476935480555999</v>
      </c>
      <c r="C666" s="1">
        <v>1.21680890562249E-4</v>
      </c>
      <c r="D666" s="7">
        <v>2.7209250429822401E-3</v>
      </c>
      <c r="E666" s="1" t="s">
        <v>1886</v>
      </c>
      <c r="F666" s="1" t="s">
        <v>1887</v>
      </c>
      <c r="G666" s="1">
        <v>216161</v>
      </c>
      <c r="H666" s="6" t="str">
        <f>HYPERLINK("http://www.ensembl.org/Mus_musculus/Gene/Summary?db=core;g=ENSMUSG00000035673","ENSMUSG00000035673")</f>
        <v>ENSMUSG00000035673</v>
      </c>
      <c r="I666" s="6" t="str">
        <f>HYPERLINK("http://www.informatics.jax.org/marker/MGI:2448490","MGI:2448490")</f>
        <v>MGI:2448490</v>
      </c>
      <c r="J666" s="7" t="s">
        <v>12</v>
      </c>
    </row>
    <row r="667" spans="1:10" x14ac:dyDescent="0.2">
      <c r="A667" s="3">
        <v>172.429504084543</v>
      </c>
      <c r="B667" s="1">
        <v>0.34160270695913197</v>
      </c>
      <c r="C667" s="1">
        <v>1.28689964312473E-4</v>
      </c>
      <c r="D667" s="7">
        <v>2.8732959304675698E-3</v>
      </c>
      <c r="E667" s="1" t="s">
        <v>3078</v>
      </c>
      <c r="F667" s="1" t="s">
        <v>3079</v>
      </c>
      <c r="G667" s="1">
        <v>111175</v>
      </c>
      <c r="H667" s="6" t="str">
        <f>HYPERLINK("http://www.ensembl.org/Mus_musculus/Gene/Summary?db=core;g=ENSMUSG00000026189","ENSMUSG00000026189")</f>
        <v>ENSMUSG00000026189</v>
      </c>
      <c r="I667" s="6" t="str">
        <f>HYPERLINK("http://www.informatics.jax.org/marker/MGI:2148199","MGI:2148199")</f>
        <v>MGI:2148199</v>
      </c>
      <c r="J667" s="7" t="s">
        <v>12</v>
      </c>
    </row>
    <row r="668" spans="1:10" x14ac:dyDescent="0.2">
      <c r="A668" s="3">
        <v>625.96001595016696</v>
      </c>
      <c r="B668" s="1">
        <v>0.22959225938080099</v>
      </c>
      <c r="C668" s="1">
        <v>1.29489945024799E-4</v>
      </c>
      <c r="D668" s="7">
        <v>2.88678340376011E-3</v>
      </c>
      <c r="E668" s="1" t="s">
        <v>2788</v>
      </c>
      <c r="F668" s="1" t="s">
        <v>2789</v>
      </c>
      <c r="G668" s="1">
        <v>108067</v>
      </c>
      <c r="H668" s="6" t="str">
        <f>HYPERLINK("http://www.ensembl.org/Mus_musculus/Gene/Summary?db=core;g=ENSMUSG00000028683","ENSMUSG00000028683")</f>
        <v>ENSMUSG00000028683</v>
      </c>
      <c r="I668" s="6" t="str">
        <f>HYPERLINK("http://www.informatics.jax.org/marker/MGI:1313286","MGI:1313286")</f>
        <v>MGI:1313286</v>
      </c>
      <c r="J668" s="7" t="s">
        <v>12</v>
      </c>
    </row>
    <row r="669" spans="1:10" x14ac:dyDescent="0.2">
      <c r="A669" s="3">
        <v>285.406495458493</v>
      </c>
      <c r="B669" s="1">
        <v>0.32231221259652998</v>
      </c>
      <c r="C669" s="1">
        <v>1.3086894011656499E-4</v>
      </c>
      <c r="D669" s="7">
        <v>2.9131188845282398E-3</v>
      </c>
      <c r="E669" s="1" t="s">
        <v>3030</v>
      </c>
      <c r="F669" s="1" t="s">
        <v>3031</v>
      </c>
      <c r="G669" s="1">
        <v>57432</v>
      </c>
      <c r="H669" s="6" t="str">
        <f>HYPERLINK("http://www.ensembl.org/Mus_musculus/Gene/Summary?db=core;g=ENSMUSG00000027387","ENSMUSG00000027387")</f>
        <v>ENSMUSG00000027387</v>
      </c>
      <c r="I669" s="6" t="str">
        <f>HYPERLINK("http://www.informatics.jax.org/marker/MGI:1930128","MGI:1930128")</f>
        <v>MGI:1930128</v>
      </c>
      <c r="J669" s="7" t="s">
        <v>12</v>
      </c>
    </row>
    <row r="670" spans="1:10" x14ac:dyDescent="0.2">
      <c r="A670" s="3">
        <v>115.254392018434</v>
      </c>
      <c r="B670" s="1">
        <v>-0.432608072902472</v>
      </c>
      <c r="C670" s="1">
        <v>1.3196295886563501E-4</v>
      </c>
      <c r="D670" s="7">
        <v>2.9330409680904902E-3</v>
      </c>
      <c r="E670" s="1" t="s">
        <v>997</v>
      </c>
      <c r="F670" s="1" t="s">
        <v>998</v>
      </c>
      <c r="G670" s="1">
        <v>12569</v>
      </c>
      <c r="H670" s="6" t="str">
        <f>HYPERLINK("http://www.ensembl.org/Mus_musculus/Gene/Summary?db=core;g=ENSMUSG00000048895","ENSMUSG00000048895")</f>
        <v>ENSMUSG00000048895</v>
      </c>
      <c r="I670" s="6" t="str">
        <f>HYPERLINK("http://www.informatics.jax.org/marker/MGI:101764","MGI:101764")</f>
        <v>MGI:101764</v>
      </c>
      <c r="J670" s="7" t="s">
        <v>12</v>
      </c>
    </row>
    <row r="671" spans="1:10" x14ac:dyDescent="0.2">
      <c r="A671" s="3">
        <v>1149.9080321967899</v>
      </c>
      <c r="B671" s="1">
        <v>-0.50704689228273003</v>
      </c>
      <c r="C671" s="1">
        <v>1.3366125771994099E-4</v>
      </c>
      <c r="D671" s="7">
        <v>2.9663136954232801E-3</v>
      </c>
      <c r="E671" s="1" t="s">
        <v>821</v>
      </c>
      <c r="F671" s="1" t="s">
        <v>822</v>
      </c>
      <c r="G671" s="1">
        <v>64294</v>
      </c>
      <c r="H671" s="6" t="str">
        <f>HYPERLINK("http://www.ensembl.org/Mus_musculus/Gene/Summary?db=core;g=ENSMUSG00000026223","ENSMUSG00000026223")</f>
        <v>ENSMUSG00000026223</v>
      </c>
      <c r="I671" s="6" t="str">
        <f>HYPERLINK("http://www.informatics.jax.org/marker/MGI:1927594","MGI:1927594")</f>
        <v>MGI:1927594</v>
      </c>
      <c r="J671" s="7" t="s">
        <v>12</v>
      </c>
    </row>
    <row r="672" spans="1:10" x14ac:dyDescent="0.2">
      <c r="A672" s="3">
        <v>3853.2638837487202</v>
      </c>
      <c r="B672" s="1">
        <v>-0.264939618271677</v>
      </c>
      <c r="C672" s="1">
        <v>1.3468192205897601E-4</v>
      </c>
      <c r="D672" s="7">
        <v>2.9844703811444601E-3</v>
      </c>
      <c r="E672" s="1" t="s">
        <v>1600</v>
      </c>
      <c r="F672" s="1" t="s">
        <v>1601</v>
      </c>
      <c r="G672" s="1">
        <v>71085</v>
      </c>
      <c r="H672" s="6" t="str">
        <f>HYPERLINK("http://www.ensembl.org/Mus_musculus/Gene/Summary?db=core;g=ENSMUSG00000025154","ENSMUSG00000025154")</f>
        <v>ENSMUSG00000025154</v>
      </c>
      <c r="I672" s="6" t="str">
        <f>HYPERLINK("http://www.informatics.jax.org/marker/MGI:1918335","MGI:1918335")</f>
        <v>MGI:1918335</v>
      </c>
      <c r="J672" s="7" t="s">
        <v>12</v>
      </c>
    </row>
    <row r="673" spans="1:10" x14ac:dyDescent="0.2">
      <c r="A673" s="3">
        <v>947.43100380567796</v>
      </c>
      <c r="B673" s="1">
        <v>-0.240771791839549</v>
      </c>
      <c r="C673" s="1">
        <v>1.3489392781893301E-4</v>
      </c>
      <c r="D673" s="7">
        <v>2.9846800605702701E-3</v>
      </c>
      <c r="E673" s="1" t="s">
        <v>1702</v>
      </c>
      <c r="F673" s="1" t="s">
        <v>1703</v>
      </c>
      <c r="G673" s="1">
        <v>24017</v>
      </c>
      <c r="H673" s="6" t="str">
        <f>HYPERLINK("http://www.ensembl.org/Mus_musculus/Gene/Summary?db=core;g=ENSMUSG00000036503","ENSMUSG00000036503")</f>
        <v>ENSMUSG00000036503</v>
      </c>
      <c r="I673" s="6" t="str">
        <f>HYPERLINK("http://www.informatics.jax.org/marker/MGI:1346341","MGI:1346341")</f>
        <v>MGI:1346341</v>
      </c>
      <c r="J673" s="7" t="s">
        <v>12</v>
      </c>
    </row>
    <row r="674" spans="1:10" x14ac:dyDescent="0.2">
      <c r="A674" s="3">
        <v>5731.2446228805502</v>
      </c>
      <c r="B674" s="1">
        <v>0.22290127723565401</v>
      </c>
      <c r="C674" s="1">
        <v>1.3522213416755901E-4</v>
      </c>
      <c r="D674" s="7">
        <v>2.9874563254769799E-3</v>
      </c>
      <c r="E674" s="1" t="s">
        <v>2742</v>
      </c>
      <c r="F674" s="1" t="s">
        <v>2743</v>
      </c>
      <c r="G674" s="1">
        <v>20501</v>
      </c>
      <c r="H674" s="6" t="str">
        <f>HYPERLINK("http://www.ensembl.org/Mus_musculus/Gene/Summary?db=core;g=ENSMUSG00000032902","ENSMUSG00000032902")</f>
        <v>ENSMUSG00000032902</v>
      </c>
      <c r="I674" s="6" t="str">
        <f>HYPERLINK("http://www.informatics.jax.org/marker/MGI:106013","MGI:106013")</f>
        <v>MGI:106013</v>
      </c>
      <c r="J674" s="7" t="s">
        <v>12</v>
      </c>
    </row>
    <row r="675" spans="1:10" x14ac:dyDescent="0.2">
      <c r="A675" s="3">
        <v>1037.1395481276199</v>
      </c>
      <c r="B675" s="1">
        <v>0.20929919126454199</v>
      </c>
      <c r="C675" s="1">
        <v>1.3546740889315101E-4</v>
      </c>
      <c r="D675" s="7">
        <v>2.98839481654113E-3</v>
      </c>
      <c r="E675" s="1" t="s">
        <v>2662</v>
      </c>
      <c r="F675" s="1" t="s">
        <v>2663</v>
      </c>
      <c r="G675" s="1">
        <v>28035</v>
      </c>
      <c r="H675" s="6" t="str">
        <f>HYPERLINK("http://www.ensembl.org/Mus_musculus/Gene/Summary?db=core;g=ENSMUSG00000056305","ENSMUSG00000056305")</f>
        <v>ENSMUSG00000056305</v>
      </c>
      <c r="I675" s="6" t="str">
        <f>HYPERLINK("http://www.informatics.jax.org/marker/MGI:107622","MGI:107622")</f>
        <v>MGI:107622</v>
      </c>
      <c r="J675" s="7" t="s">
        <v>12</v>
      </c>
    </row>
    <row r="676" spans="1:10" x14ac:dyDescent="0.2">
      <c r="A676" s="3">
        <v>689.13100690313104</v>
      </c>
      <c r="B676" s="1">
        <v>-0.25233362125137498</v>
      </c>
      <c r="C676" s="1">
        <v>1.3675344611823199E-4</v>
      </c>
      <c r="D676" s="7">
        <v>3.0122552795190899E-3</v>
      </c>
      <c r="E676" s="1" t="s">
        <v>1654</v>
      </c>
      <c r="F676" s="1" t="s">
        <v>1655</v>
      </c>
      <c r="G676" s="1">
        <v>216169</v>
      </c>
      <c r="H676" s="6" t="str">
        <f>HYPERLINK("http://www.ensembl.org/Mus_musculus/Gene/Summary?db=core;g=ENSMUSG00000003346","ENSMUSG00000003346")</f>
        <v>ENSMUSG00000003346</v>
      </c>
      <c r="I676" s="6" t="str">
        <f>HYPERLINK("http://www.informatics.jax.org/marker/MGI:106388","MGI:106388")</f>
        <v>MGI:106388</v>
      </c>
      <c r="J676" s="7" t="s">
        <v>12</v>
      </c>
    </row>
    <row r="677" spans="1:10" x14ac:dyDescent="0.2">
      <c r="A677" s="3">
        <v>2505.7892705381701</v>
      </c>
      <c r="B677" s="1">
        <v>-0.19095020561708401</v>
      </c>
      <c r="C677" s="1">
        <v>1.3767801448518599E-4</v>
      </c>
      <c r="D677" s="7">
        <v>3.0280943603786699E-3</v>
      </c>
      <c r="E677" s="1" t="s">
        <v>1956</v>
      </c>
      <c r="F677" s="1" t="s">
        <v>1957</v>
      </c>
      <c r="G677" s="1">
        <v>15194</v>
      </c>
      <c r="H677" s="6" t="str">
        <f>HYPERLINK("http://www.ensembl.org/Mus_musculus/Gene/Summary?db=core;g=ENSMUSG00000029104","ENSMUSG00000029104")</f>
        <v>ENSMUSG00000029104</v>
      </c>
      <c r="I677" s="6" t="str">
        <f>HYPERLINK("http://www.informatics.jax.org/marker/MGI:96067","MGI:96067")</f>
        <v>MGI:96067</v>
      </c>
      <c r="J677" s="7" t="s">
        <v>12</v>
      </c>
    </row>
    <row r="678" spans="1:10" x14ac:dyDescent="0.2">
      <c r="A678" s="3">
        <v>1411.8793364129299</v>
      </c>
      <c r="B678" s="1">
        <v>-0.27376218414513398</v>
      </c>
      <c r="C678" s="1">
        <v>1.39139745728251E-4</v>
      </c>
      <c r="D678" s="7">
        <v>3.0556830000767702E-3</v>
      </c>
      <c r="E678" s="1" t="s">
        <v>1558</v>
      </c>
      <c r="F678" s="1" t="s">
        <v>1559</v>
      </c>
      <c r="G678" s="1">
        <v>17237</v>
      </c>
      <c r="H678" s="6" t="str">
        <f>HYPERLINK("http://www.ensembl.org/Mus_musculus/Gene/Summary?db=core;g=ENSMUSG00000022517","ENSMUSG00000022517")</f>
        <v>ENSMUSG00000022517</v>
      </c>
      <c r="I678" s="6" t="str">
        <f>HYPERLINK("http://www.informatics.jax.org/marker/MGI:2447670","MGI:2447670")</f>
        <v>MGI:2447670</v>
      </c>
      <c r="J678" s="7" t="s">
        <v>12</v>
      </c>
    </row>
    <row r="679" spans="1:10" x14ac:dyDescent="0.2">
      <c r="A679" s="3">
        <v>812.35641081410597</v>
      </c>
      <c r="B679" s="1">
        <v>-0.32936895647933101</v>
      </c>
      <c r="C679" s="1">
        <v>1.4007454646377401E-4</v>
      </c>
      <c r="D679" s="7">
        <v>3.0716346974556299E-3</v>
      </c>
      <c r="E679" s="1" t="s">
        <v>1308</v>
      </c>
      <c r="F679" s="1" t="s">
        <v>1309</v>
      </c>
      <c r="G679" s="1">
        <v>26382</v>
      </c>
      <c r="H679" s="6" t="str">
        <f>HYPERLINK("http://www.ensembl.org/Mus_musculus/Gene/Summary?db=core;g=ENSMUSG00000024013","ENSMUSG00000024013")</f>
        <v>ENSMUSG00000024013</v>
      </c>
      <c r="I679" s="6" t="str">
        <f>HYPERLINK("http://www.informatics.jax.org/marker/MGI:1347084","MGI:1347084")</f>
        <v>MGI:1347084</v>
      </c>
      <c r="J679" s="7" t="s">
        <v>12</v>
      </c>
    </row>
    <row r="680" spans="1:10" x14ac:dyDescent="0.2">
      <c r="A680" s="3">
        <v>7431.4208925345401</v>
      </c>
      <c r="B680" s="1">
        <v>0.189600015829896</v>
      </c>
      <c r="C680" s="1">
        <v>1.4054972078608499E-4</v>
      </c>
      <c r="D680" s="7">
        <v>3.0774750156073601E-3</v>
      </c>
      <c r="E680" s="1" t="s">
        <v>2522</v>
      </c>
      <c r="F680" s="1" t="s">
        <v>2523</v>
      </c>
      <c r="G680" s="1">
        <v>107513</v>
      </c>
      <c r="H680" s="6" t="str">
        <f>HYPERLINK("http://www.ensembl.org/Mus_musculus/Gene/Summary?db=core;g=ENSMUSG00000021427","ENSMUSG00000021427")</f>
        <v>ENSMUSG00000021427</v>
      </c>
      <c r="I680" s="6" t="str">
        <f>HYPERLINK("http://www.informatics.jax.org/marker/MGI:105082","MGI:105082")</f>
        <v>MGI:105082</v>
      </c>
      <c r="J680" s="7" t="s">
        <v>12</v>
      </c>
    </row>
    <row r="681" spans="1:10" x14ac:dyDescent="0.2">
      <c r="A681" s="3">
        <v>15.208503857734501</v>
      </c>
      <c r="B681" s="1">
        <v>1.09093046867119</v>
      </c>
      <c r="C681" s="1">
        <v>1.4262151413644401E-4</v>
      </c>
      <c r="D681" s="7">
        <v>3.11820568592677E-3</v>
      </c>
      <c r="E681" s="1" t="s">
        <v>3325</v>
      </c>
      <c r="F681" s="1" t="s">
        <v>3326</v>
      </c>
      <c r="G681" s="1">
        <v>216456</v>
      </c>
      <c r="H681" s="6" t="str">
        <f>HYPERLINK("http://www.ensembl.org/Mus_musculus/Gene/Summary?db=core;g=ENSMUSG00000044005","ENSMUSG00000044005")</f>
        <v>ENSMUSG00000044005</v>
      </c>
      <c r="I681" s="6" t="str">
        <f>HYPERLINK("http://www.informatics.jax.org/marker/MGI:2143539","MGI:2143539")</f>
        <v>MGI:2143539</v>
      </c>
      <c r="J681" s="7" t="s">
        <v>12</v>
      </c>
    </row>
    <row r="682" spans="1:10" x14ac:dyDescent="0.2">
      <c r="A682" s="3">
        <v>673.38331934874498</v>
      </c>
      <c r="B682" s="1">
        <v>0.24906156856808701</v>
      </c>
      <c r="C682" s="1">
        <v>1.43098793044107E-4</v>
      </c>
      <c r="D682" s="7">
        <v>3.1240056508117899E-3</v>
      </c>
      <c r="E682" s="1" t="s">
        <v>2872</v>
      </c>
      <c r="F682" s="1" t="s">
        <v>2873</v>
      </c>
      <c r="G682" s="1">
        <v>54645</v>
      </c>
      <c r="H682" s="6" t="str">
        <f>HYPERLINK("http://www.ensembl.org/Mus_musculus/Gene/Summary?db=core;g=ENSMUSG00000031153","ENSMUSG00000031153")</f>
        <v>ENSMUSG00000031153</v>
      </c>
      <c r="I682" s="6" t="str">
        <f>HYPERLINK("http://www.informatics.jax.org/marker/MGI:1859616","MGI:1859616")</f>
        <v>MGI:1859616</v>
      </c>
      <c r="J682" s="7" t="s">
        <v>12</v>
      </c>
    </row>
    <row r="683" spans="1:10" x14ac:dyDescent="0.2">
      <c r="A683" s="3">
        <v>275.477103038255</v>
      </c>
      <c r="B683" s="1">
        <v>-0.56525180071214398</v>
      </c>
      <c r="C683" s="1">
        <v>1.4549747024136301E-4</v>
      </c>
      <c r="D683" s="7">
        <v>3.1716726649064098E-3</v>
      </c>
      <c r="E683" s="1" t="s">
        <v>737</v>
      </c>
      <c r="F683" s="1" t="s">
        <v>738</v>
      </c>
      <c r="G683" s="1">
        <v>15216</v>
      </c>
      <c r="H683" s="6" t="str">
        <f>HYPERLINK("http://www.ensembl.org/Mus_musculus/Gene/Summary?db=core;g=ENSMUSG00000006611","ENSMUSG00000006611")</f>
        <v>ENSMUSG00000006611</v>
      </c>
      <c r="I683" s="6" t="str">
        <f>HYPERLINK("http://www.informatics.jax.org/marker/MGI:109191","MGI:109191")</f>
        <v>MGI:109191</v>
      </c>
      <c r="J683" s="7" t="s">
        <v>12</v>
      </c>
    </row>
    <row r="684" spans="1:10" x14ac:dyDescent="0.2">
      <c r="A684" s="3">
        <v>1093.0239451376599</v>
      </c>
      <c r="B684" s="1">
        <v>-0.43692360541270098</v>
      </c>
      <c r="C684" s="1">
        <v>1.45807331563309E-4</v>
      </c>
      <c r="D684" s="7">
        <v>3.1728572771110202E-3</v>
      </c>
      <c r="E684" s="1" t="s">
        <v>973</v>
      </c>
      <c r="F684" s="1" t="s">
        <v>974</v>
      </c>
      <c r="G684" s="1">
        <v>320982</v>
      </c>
      <c r="H684" s="6" t="str">
        <f>HYPERLINK("http://www.ensembl.org/Mus_musculus/Gene/Summary?db=core;g=ENSMUSG00000049866","ENSMUSG00000049866")</f>
        <v>ENSMUSG00000049866</v>
      </c>
      <c r="I684" s="6" t="str">
        <f>HYPERLINK("http://www.informatics.jax.org/marker/MGI:2445172","MGI:2445172")</f>
        <v>MGI:2445172</v>
      </c>
      <c r="J684" s="7" t="s">
        <v>12</v>
      </c>
    </row>
    <row r="685" spans="1:10" x14ac:dyDescent="0.2">
      <c r="A685" s="3">
        <v>1537.3537980072099</v>
      </c>
      <c r="B685" s="1">
        <v>-0.218854875757833</v>
      </c>
      <c r="C685" s="1">
        <v>1.4617812670154599E-4</v>
      </c>
      <c r="D685" s="7">
        <v>3.1728572771110202E-3</v>
      </c>
      <c r="E685" s="1" t="s">
        <v>1822</v>
      </c>
      <c r="F685" s="1" t="s">
        <v>1823</v>
      </c>
      <c r="G685" s="1">
        <v>217684</v>
      </c>
      <c r="H685" s="6" t="str">
        <f>HYPERLINK("http://www.ensembl.org/Mus_musculus/Gene/Summary?db=core;g=ENSMUSG00000021133","ENSMUSG00000021133")</f>
        <v>ENSMUSG00000021133</v>
      </c>
      <c r="I685" s="6" t="str">
        <f>HYPERLINK("http://www.informatics.jax.org/marker/MGI:2444661","MGI:2444661")</f>
        <v>MGI:2444661</v>
      </c>
      <c r="J685" s="7" t="s">
        <v>12</v>
      </c>
    </row>
    <row r="686" spans="1:10" x14ac:dyDescent="0.2">
      <c r="A686" s="3">
        <v>15876.91061915</v>
      </c>
      <c r="B686" s="1">
        <v>0.146800544635834</v>
      </c>
      <c r="C686" s="1">
        <v>1.4716955806726601E-4</v>
      </c>
      <c r="D686" s="7">
        <v>3.1728572771110202E-3</v>
      </c>
      <c r="E686" s="1" t="s">
        <v>2304</v>
      </c>
      <c r="F686" s="1" t="s">
        <v>2305</v>
      </c>
      <c r="G686" s="1">
        <v>18432</v>
      </c>
      <c r="H686" s="6" t="str">
        <f>HYPERLINK("http://www.ensembl.org/Mus_musculus/Gene/Summary?db=core;g=ENSMUSG00000040463","ENSMUSG00000040463")</f>
        <v>ENSMUSG00000040463</v>
      </c>
      <c r="I686" s="6" t="str">
        <f>HYPERLINK("http://www.informatics.jax.org/marker/MGI:106181","MGI:106181")</f>
        <v>MGI:106181</v>
      </c>
      <c r="J686" s="7" t="s">
        <v>12</v>
      </c>
    </row>
    <row r="687" spans="1:10" x14ac:dyDescent="0.2">
      <c r="A687" s="3">
        <v>762.62922772339698</v>
      </c>
      <c r="B687" s="1">
        <v>0.20257361772166099</v>
      </c>
      <c r="C687" s="1">
        <v>1.4642719221166501E-4</v>
      </c>
      <c r="D687" s="7">
        <v>3.1728572771110202E-3</v>
      </c>
      <c r="E687" s="1" t="s">
        <v>2620</v>
      </c>
      <c r="F687" s="1" t="s">
        <v>2621</v>
      </c>
      <c r="G687" s="1">
        <v>70333</v>
      </c>
      <c r="H687" s="6" t="str">
        <f>HYPERLINK("http://www.ensembl.org/Mus_musculus/Gene/Summary?db=core;g=ENSMUSG00000047649","ENSMUSG00000047649")</f>
        <v>ENSMUSG00000047649</v>
      </c>
      <c r="I687" s="6" t="str">
        <f>HYPERLINK("http://www.informatics.jax.org/marker/MGI:1917583","MGI:1917583")</f>
        <v>MGI:1917583</v>
      </c>
      <c r="J687" s="7" t="s">
        <v>12</v>
      </c>
    </row>
    <row r="688" spans="1:10" x14ac:dyDescent="0.2">
      <c r="A688" s="3">
        <v>789.69347478996599</v>
      </c>
      <c r="B688" s="1">
        <v>0.202872762765307</v>
      </c>
      <c r="C688" s="1">
        <v>1.46738553043401E-4</v>
      </c>
      <c r="D688" s="7">
        <v>3.1728572771110202E-3</v>
      </c>
      <c r="E688" s="1" t="s">
        <v>2624</v>
      </c>
      <c r="F688" s="1" t="s">
        <v>2625</v>
      </c>
      <c r="G688" s="1">
        <v>77048</v>
      </c>
      <c r="H688" s="6" t="str">
        <f>HYPERLINK("http://www.ensembl.org/Mus_musculus/Gene/Summary?db=core;g=ENSMUSG00000020024","ENSMUSG00000020024")</f>
        <v>ENSMUSG00000020024</v>
      </c>
      <c r="I688" s="6" t="str">
        <f>HYPERLINK("http://www.informatics.jax.org/marker/MGI:1924298","MGI:1924298")</f>
        <v>MGI:1924298</v>
      </c>
      <c r="J688" s="7" t="s">
        <v>12</v>
      </c>
    </row>
    <row r="689" spans="1:10" x14ac:dyDescent="0.2">
      <c r="A689" s="3">
        <v>865.53976316395995</v>
      </c>
      <c r="B689" s="1">
        <v>0.225082486890051</v>
      </c>
      <c r="C689" s="1">
        <v>1.4660130402450699E-4</v>
      </c>
      <c r="D689" s="7">
        <v>3.1728572771110202E-3</v>
      </c>
      <c r="E689" s="1" t="s">
        <v>2756</v>
      </c>
      <c r="F689" s="1" t="s">
        <v>2757</v>
      </c>
      <c r="G689" s="1">
        <v>12497</v>
      </c>
      <c r="H689" s="6" t="str">
        <f>HYPERLINK("http://www.ensembl.org/Mus_musculus/Gene/Summary?db=core;g=ENSMUSG00000033068","ENSMUSG00000033068")</f>
        <v>ENSMUSG00000033068</v>
      </c>
      <c r="I689" s="6" t="str">
        <f>HYPERLINK("http://www.informatics.jax.org/marker/MGI:1202295","MGI:1202295")</f>
        <v>MGI:1202295</v>
      </c>
      <c r="J689" s="7" t="s">
        <v>12</v>
      </c>
    </row>
    <row r="690" spans="1:10" x14ac:dyDescent="0.2">
      <c r="A690" s="3">
        <v>410.17042063528203</v>
      </c>
      <c r="B690" s="1">
        <v>0.31699025026102501</v>
      </c>
      <c r="C690" s="1">
        <v>1.4726067321186101E-4</v>
      </c>
      <c r="D690" s="7">
        <v>3.1728572771110202E-3</v>
      </c>
      <c r="E690" s="1" t="s">
        <v>3020</v>
      </c>
      <c r="F690" s="1" t="s">
        <v>3021</v>
      </c>
      <c r="G690" s="1">
        <v>230234</v>
      </c>
      <c r="H690" s="6" t="str">
        <f>HYPERLINK("http://www.ensembl.org/Mus_musculus/Gene/Summary?db=core;g=ENSMUSG00000038827","ENSMUSG00000038827")</f>
        <v>ENSMUSG00000038827</v>
      </c>
      <c r="I690" s="6" t="str">
        <f>HYPERLINK("http://www.informatics.jax.org/marker/MGI:2677850","MGI:2677850")</f>
        <v>MGI:2677850</v>
      </c>
      <c r="J690" s="7" t="s">
        <v>12</v>
      </c>
    </row>
    <row r="691" spans="1:10" x14ac:dyDescent="0.2">
      <c r="A691" s="3">
        <v>1076.4898914267901</v>
      </c>
      <c r="B691" s="1">
        <v>0.34483033198412999</v>
      </c>
      <c r="C691" s="1">
        <v>1.4727431986590199E-4</v>
      </c>
      <c r="D691" s="7">
        <v>3.1728572771110202E-3</v>
      </c>
      <c r="E691" s="1" t="s">
        <v>3084</v>
      </c>
      <c r="F691" s="1" t="s">
        <v>3085</v>
      </c>
      <c r="G691" s="1">
        <v>223775</v>
      </c>
      <c r="H691" s="6" t="str">
        <f>HYPERLINK("http://www.ensembl.org/Mus_musculus/Gene/Summary?db=core;g=ENSMUSG00000035828","ENSMUSG00000035828")</f>
        <v>ENSMUSG00000035828</v>
      </c>
      <c r="I691" s="6" t="str">
        <f>HYPERLINK("http://www.informatics.jax.org/marker/MGI:1355297","MGI:1355297")</f>
        <v>MGI:1355297</v>
      </c>
      <c r="J691" s="7" t="s">
        <v>12</v>
      </c>
    </row>
    <row r="692" spans="1:10" x14ac:dyDescent="0.2">
      <c r="A692" s="3">
        <v>632.55303352850501</v>
      </c>
      <c r="B692" s="1">
        <v>-0.32791323657496302</v>
      </c>
      <c r="C692" s="1">
        <v>1.4831995441600299E-4</v>
      </c>
      <c r="D692" s="7">
        <v>3.1907194865317102E-3</v>
      </c>
      <c r="E692" s="1" t="s">
        <v>1320</v>
      </c>
      <c r="F692" s="1" t="s">
        <v>1321</v>
      </c>
      <c r="G692" s="1">
        <v>19414</v>
      </c>
      <c r="H692" s="6" t="str">
        <f>HYPERLINK("http://www.ensembl.org/Mus_musculus/Gene/Summary?db=core;g=ENSMUSG00000031453","ENSMUSG00000031453")</f>
        <v>ENSMUSG00000031453</v>
      </c>
      <c r="I692" s="6" t="str">
        <f>HYPERLINK("http://www.informatics.jax.org/marker/MGI:1197013","MGI:1197013")</f>
        <v>MGI:1197013</v>
      </c>
      <c r="J692" s="7" t="s">
        <v>12</v>
      </c>
    </row>
    <row r="693" spans="1:10" x14ac:dyDescent="0.2">
      <c r="A693" s="3">
        <v>1204.52670565734</v>
      </c>
      <c r="B693" s="1">
        <v>0.190315427582682</v>
      </c>
      <c r="C693" s="1">
        <v>1.4938824405901299E-4</v>
      </c>
      <c r="D693" s="7">
        <v>3.2043452175452999E-3</v>
      </c>
      <c r="E693" s="1" t="s">
        <v>2536</v>
      </c>
      <c r="F693" s="1" t="s">
        <v>2537</v>
      </c>
      <c r="G693" s="1">
        <v>67619</v>
      </c>
      <c r="H693" s="6" t="str">
        <f>HYPERLINK("http://www.ensembl.org/Mus_musculus/Gene/Summary?db=core;g=ENSMUSG00000003848","ENSMUSG00000003848")</f>
        <v>ENSMUSG00000003848</v>
      </c>
      <c r="I693" s="6" t="str">
        <f>HYPERLINK("http://www.informatics.jax.org/marker/MGI:1914869","MGI:1914869")</f>
        <v>MGI:1914869</v>
      </c>
      <c r="J693" s="7" t="s">
        <v>12</v>
      </c>
    </row>
    <row r="694" spans="1:10" x14ac:dyDescent="0.2">
      <c r="A694" s="3">
        <v>3070.6447934657499</v>
      </c>
      <c r="B694" s="1">
        <v>0.21036177145193199</v>
      </c>
      <c r="C694" s="1">
        <v>1.4927807248735699E-4</v>
      </c>
      <c r="D694" s="7">
        <v>3.2043452175452999E-3</v>
      </c>
      <c r="E694" s="1" t="s">
        <v>2676</v>
      </c>
      <c r="F694" s="1" t="s">
        <v>2677</v>
      </c>
      <c r="G694" s="1">
        <v>15469</v>
      </c>
      <c r="H694" s="6" t="str">
        <f>HYPERLINK("http://www.ensembl.org/Mus_musculus/Gene/Summary?db=core;g=ENSMUSG00000109324","ENSMUSG00000109324")</f>
        <v>ENSMUSG00000109324</v>
      </c>
      <c r="I694" s="6" t="str">
        <f>HYPERLINK("http://www.informatics.jax.org/marker/MGI:107846","MGI:107846")</f>
        <v>MGI:107846</v>
      </c>
      <c r="J694" s="7" t="s">
        <v>12</v>
      </c>
    </row>
    <row r="695" spans="1:10" x14ac:dyDescent="0.2">
      <c r="A695" s="3">
        <v>936.13445125110297</v>
      </c>
      <c r="B695" s="1">
        <v>0.227215990630177</v>
      </c>
      <c r="C695" s="1">
        <v>1.503226167642E-4</v>
      </c>
      <c r="D695" s="7">
        <v>3.2197006986006602E-3</v>
      </c>
      <c r="E695" s="1" t="s">
        <v>2778</v>
      </c>
      <c r="F695" s="1" t="s">
        <v>2779</v>
      </c>
      <c r="G695" s="1">
        <v>76688</v>
      </c>
      <c r="H695" s="6" t="str">
        <f>HYPERLINK("http://www.ensembl.org/Mus_musculus/Gene/Summary?db=core;g=ENSMUSG00000038671","ENSMUSG00000038671")</f>
        <v>ENSMUSG00000038671</v>
      </c>
      <c r="I695" s="6" t="str">
        <f>HYPERLINK("http://www.informatics.jax.org/marker/MGI:1923938","MGI:1923938")</f>
        <v>MGI:1923938</v>
      </c>
      <c r="J695" s="7" t="s">
        <v>12</v>
      </c>
    </row>
    <row r="696" spans="1:10" x14ac:dyDescent="0.2">
      <c r="A696" s="3">
        <v>2114.2920144470399</v>
      </c>
      <c r="B696" s="1">
        <v>0.194707172187531</v>
      </c>
      <c r="C696" s="1">
        <v>1.5095320328233701E-4</v>
      </c>
      <c r="D696" s="7">
        <v>3.2285143738294999E-3</v>
      </c>
      <c r="E696" s="1" t="s">
        <v>2568</v>
      </c>
      <c r="F696" s="1" t="s">
        <v>2569</v>
      </c>
      <c r="G696" s="1">
        <v>54196</v>
      </c>
      <c r="H696" s="6" t="str">
        <f>HYPERLINK("http://www.ensembl.org/Mus_musculus/Gene/Summary?db=core;g=ENSMUSG00000022194","ENSMUSG00000022194")</f>
        <v>ENSMUSG00000022194</v>
      </c>
      <c r="I696" s="6" t="str">
        <f>HYPERLINK("http://www.informatics.jax.org/marker/MGI:1859158","MGI:1859158")</f>
        <v>MGI:1859158</v>
      </c>
      <c r="J696" s="7" t="s">
        <v>12</v>
      </c>
    </row>
    <row r="697" spans="1:10" x14ac:dyDescent="0.2">
      <c r="A697" s="3">
        <v>49.619666773627998</v>
      </c>
      <c r="B697" s="1">
        <v>-0.65271299510112801</v>
      </c>
      <c r="C697" s="1">
        <v>1.5421315217731699E-4</v>
      </c>
      <c r="D697" s="7">
        <v>3.28869031908095E-3</v>
      </c>
      <c r="E697" s="1" t="s">
        <v>596</v>
      </c>
      <c r="F697" s="1" t="s">
        <v>597</v>
      </c>
      <c r="G697" s="1">
        <v>20540</v>
      </c>
      <c r="H697" s="6" t="str">
        <f>HYPERLINK("http://www.ensembl.org/Mus_musculus/Gene/Summary?db=core;g=ENSMUSG00000000958","ENSMUSG00000000958")</f>
        <v>ENSMUSG00000000958</v>
      </c>
      <c r="I697" s="6" t="str">
        <f>HYPERLINK("http://www.informatics.jax.org/marker/MGI:1337120","MGI:1337120")</f>
        <v>MGI:1337120</v>
      </c>
      <c r="J697" s="7" t="s">
        <v>12</v>
      </c>
    </row>
    <row r="698" spans="1:10" x14ac:dyDescent="0.2">
      <c r="A698" s="3">
        <v>485.24047861234499</v>
      </c>
      <c r="B698" s="1">
        <v>0.225245193706717</v>
      </c>
      <c r="C698" s="1">
        <v>1.5403365798375099E-4</v>
      </c>
      <c r="D698" s="7">
        <v>3.28869031908095E-3</v>
      </c>
      <c r="E698" s="1" t="s">
        <v>2758</v>
      </c>
      <c r="F698" s="1" t="s">
        <v>2759</v>
      </c>
      <c r="G698" s="1">
        <v>66960</v>
      </c>
      <c r="H698" s="6" t="str">
        <f>HYPERLINK("http://www.ensembl.org/Mus_musculus/Gene/Summary?db=core;g=ENSMUSG00000026767","ENSMUSG00000026767")</f>
        <v>ENSMUSG00000026767</v>
      </c>
      <c r="I698" s="6" t="str">
        <f>HYPERLINK("http://www.informatics.jax.org/marker/MGI:1914210","MGI:1914210")</f>
        <v>MGI:1914210</v>
      </c>
      <c r="J698" s="7" t="s">
        <v>12</v>
      </c>
    </row>
    <row r="699" spans="1:10" x14ac:dyDescent="0.2">
      <c r="A699" s="3">
        <v>1380.5306603927299</v>
      </c>
      <c r="B699" s="1">
        <v>0.23223525191154501</v>
      </c>
      <c r="C699" s="1">
        <v>1.5480682614322E-4</v>
      </c>
      <c r="D699" s="7">
        <v>3.2965800434197798E-3</v>
      </c>
      <c r="E699" s="1" t="s">
        <v>2800</v>
      </c>
      <c r="F699" s="1" t="s">
        <v>2801</v>
      </c>
      <c r="G699" s="1">
        <v>72554</v>
      </c>
      <c r="H699" s="6" t="str">
        <f>HYPERLINK("http://www.ensembl.org/Mus_musculus/Gene/Summary?db=core;g=ENSMUSG00000063785","ENSMUSG00000063785")</f>
        <v>ENSMUSG00000063785</v>
      </c>
      <c r="I699" s="6" t="str">
        <f>HYPERLINK("http://www.informatics.jax.org/marker/MGI:1919804","MGI:1919804")</f>
        <v>MGI:1919804</v>
      </c>
      <c r="J699" s="7" t="s">
        <v>12</v>
      </c>
    </row>
    <row r="700" spans="1:10" x14ac:dyDescent="0.2">
      <c r="A700" s="3">
        <v>1006.30953835482</v>
      </c>
      <c r="B700" s="1">
        <v>0.20350737877469499</v>
      </c>
      <c r="C700" s="1">
        <v>1.5651291333832899E-4</v>
      </c>
      <c r="D700" s="7">
        <v>3.3281014299474999E-3</v>
      </c>
      <c r="E700" s="1" t="s">
        <v>2628</v>
      </c>
      <c r="F700" s="1" t="s">
        <v>2629</v>
      </c>
      <c r="G700" s="1">
        <v>76080</v>
      </c>
      <c r="H700" s="6" t="str">
        <f>HYPERLINK("http://www.ensembl.org/Mus_musculus/Gene/Summary?db=core;g=ENSMUSG00000017679","ENSMUSG00000017679")</f>
        <v>ENSMUSG00000017679</v>
      </c>
      <c r="I700" s="6" t="str">
        <f>HYPERLINK("http://www.informatics.jax.org/marker/MGI:1923330","MGI:1923330")</f>
        <v>MGI:1923330</v>
      </c>
      <c r="J700" s="7" t="s">
        <v>12</v>
      </c>
    </row>
    <row r="701" spans="1:10" x14ac:dyDescent="0.2">
      <c r="A701" s="3">
        <v>635.61982143759894</v>
      </c>
      <c r="B701" s="1">
        <v>-0.26809820211790802</v>
      </c>
      <c r="C701" s="1">
        <v>1.5680647493157801E-4</v>
      </c>
      <c r="D701" s="7">
        <v>3.32953921410913E-3</v>
      </c>
      <c r="E701" s="1" t="s">
        <v>1584</v>
      </c>
      <c r="F701" s="1" t="s">
        <v>1585</v>
      </c>
      <c r="G701" s="1">
        <v>13496</v>
      </c>
      <c r="H701" s="6" t="str">
        <f>HYPERLINK("http://www.ensembl.org/Mus_musculus/Gene/Summary?db=core;g=ENSMUSG00000019564","ENSMUSG00000019564")</f>
        <v>ENSMUSG00000019564</v>
      </c>
      <c r="I701" s="6" t="str">
        <f>HYPERLINK("http://www.informatics.jax.org/marker/MGI:1328360","MGI:1328360")</f>
        <v>MGI:1328360</v>
      </c>
      <c r="J701" s="7" t="s">
        <v>12</v>
      </c>
    </row>
    <row r="702" spans="1:10" x14ac:dyDescent="0.2">
      <c r="A702" s="3">
        <v>2989.4143422816101</v>
      </c>
      <c r="B702" s="1">
        <v>0.19639503822748799</v>
      </c>
      <c r="C702" s="1">
        <v>1.5729446782253E-4</v>
      </c>
      <c r="D702" s="7">
        <v>3.3350953637881898E-3</v>
      </c>
      <c r="E702" s="1" t="s">
        <v>2574</v>
      </c>
      <c r="F702" s="1" t="s">
        <v>2575</v>
      </c>
      <c r="G702" s="1">
        <v>53333</v>
      </c>
      <c r="H702" s="6" t="str">
        <f>HYPERLINK("http://www.ensembl.org/Mus_musculus/Gene/Summary?db=core;g=ENSMUSG00000002984","ENSMUSG00000002984")</f>
        <v>ENSMUSG00000002984</v>
      </c>
      <c r="I702" s="6" t="str">
        <f>HYPERLINK("http://www.informatics.jax.org/marker/MGI:1858259","MGI:1858259")</f>
        <v>MGI:1858259</v>
      </c>
      <c r="J702" s="7" t="s">
        <v>12</v>
      </c>
    </row>
    <row r="703" spans="1:10" x14ac:dyDescent="0.2">
      <c r="A703" s="3">
        <v>774.45253984287399</v>
      </c>
      <c r="B703" s="1">
        <v>-0.22101346830983001</v>
      </c>
      <c r="C703" s="1">
        <v>1.57621853960357E-4</v>
      </c>
      <c r="D703" s="7">
        <v>3.33723511488481E-3</v>
      </c>
      <c r="E703" s="1" t="s">
        <v>1810</v>
      </c>
      <c r="F703" s="1" t="s">
        <v>1811</v>
      </c>
      <c r="G703" s="1">
        <v>27049</v>
      </c>
      <c r="H703" s="6" t="str">
        <f>HYPERLINK("http://www.ensembl.org/Mus_musculus/Gene/Summary?db=core;g=ENSMUSG00000003382","ENSMUSG00000003382")</f>
        <v>ENSMUSG00000003382</v>
      </c>
      <c r="I703" s="6" t="str">
        <f>HYPERLINK("http://www.informatics.jax.org/marker/MGI:1350926","MGI:1350926")</f>
        <v>MGI:1350926</v>
      </c>
      <c r="J703" s="7" t="s">
        <v>12</v>
      </c>
    </row>
    <row r="704" spans="1:10" x14ac:dyDescent="0.2">
      <c r="A704" s="3">
        <v>748.45174284949803</v>
      </c>
      <c r="B704" s="1">
        <v>-0.37628061346445302</v>
      </c>
      <c r="C704" s="1">
        <v>1.5914179233872801E-4</v>
      </c>
      <c r="D704" s="7">
        <v>3.35976139241189E-3</v>
      </c>
      <c r="E704" s="1" t="s">
        <v>1150</v>
      </c>
      <c r="F704" s="1" t="s">
        <v>1151</v>
      </c>
      <c r="G704" s="1">
        <v>74096</v>
      </c>
      <c r="H704" s="6" t="str">
        <f>HYPERLINK("http://www.ensembl.org/Mus_musculus/Gene/Summary?db=core;g=ENSMUSG00000064267","ENSMUSG00000064267")</f>
        <v>ENSMUSG00000064267</v>
      </c>
      <c r="I704" s="6" t="str">
        <f>HYPERLINK("http://www.informatics.jax.org/marker/MGI:1921346","MGI:1921346")</f>
        <v>MGI:1921346</v>
      </c>
      <c r="J704" s="7" t="s">
        <v>12</v>
      </c>
    </row>
    <row r="705" spans="1:10" x14ac:dyDescent="0.2">
      <c r="A705" s="3">
        <v>4466.9753820803298</v>
      </c>
      <c r="B705" s="1">
        <v>-0.18985127267263199</v>
      </c>
      <c r="C705" s="1">
        <v>1.5904808664273301E-4</v>
      </c>
      <c r="D705" s="7">
        <v>3.35976139241189E-3</v>
      </c>
      <c r="E705" s="1" t="s">
        <v>1962</v>
      </c>
      <c r="F705" s="1" t="s">
        <v>1963</v>
      </c>
      <c r="G705" s="1">
        <v>19354</v>
      </c>
      <c r="H705" s="6" t="str">
        <f>HYPERLINK("http://www.ensembl.org/Mus_musculus/Gene/Summary?db=core;g=ENSMUSG00000033220","ENSMUSG00000033220")</f>
        <v>ENSMUSG00000033220</v>
      </c>
      <c r="I705" s="6" t="str">
        <f>HYPERLINK("http://www.informatics.jax.org/marker/MGI:97846","MGI:97846")</f>
        <v>MGI:97846</v>
      </c>
      <c r="J705" s="7" t="s">
        <v>12</v>
      </c>
    </row>
    <row r="706" spans="1:10" x14ac:dyDescent="0.2">
      <c r="A706" s="3">
        <v>1484.5847510724</v>
      </c>
      <c r="B706" s="1">
        <v>0.159339933814174</v>
      </c>
      <c r="C706" s="1">
        <v>1.5981519808930299E-4</v>
      </c>
      <c r="D706" s="7">
        <v>3.3691513004920799E-3</v>
      </c>
      <c r="E706" s="1" t="s">
        <v>2368</v>
      </c>
      <c r="F706" s="1" t="s">
        <v>2369</v>
      </c>
      <c r="G706" s="1">
        <v>66244</v>
      </c>
      <c r="H706" s="6" t="str">
        <f>HYPERLINK("http://www.ensembl.org/Mus_musculus/Gene/Summary?db=core;g=ENSMUSG00000020982","ENSMUSG00000020982")</f>
        <v>ENSMUSG00000020982</v>
      </c>
      <c r="I706" s="6" t="str">
        <f>HYPERLINK("http://www.informatics.jax.org/marker/MGI:1918305","MGI:1918305")</f>
        <v>MGI:1918305</v>
      </c>
      <c r="J706" s="7" t="s">
        <v>12</v>
      </c>
    </row>
    <row r="707" spans="1:10" x14ac:dyDescent="0.2">
      <c r="A707" s="3">
        <v>1127.0633694906701</v>
      </c>
      <c r="B707" s="1">
        <v>0.33000634564647302</v>
      </c>
      <c r="C707" s="1">
        <v>1.60355969794193E-4</v>
      </c>
      <c r="D707" s="7">
        <v>3.3757222441246201E-3</v>
      </c>
      <c r="E707" s="1" t="s">
        <v>3054</v>
      </c>
      <c r="F707" s="1" t="s">
        <v>3055</v>
      </c>
      <c r="G707" s="1">
        <v>14287</v>
      </c>
      <c r="H707" s="6" t="str">
        <f>HYPERLINK("http://www.ensembl.org/Mus_musculus/Gene/Summary?db=core;g=ENSMUSG00000009566","ENSMUSG00000009566")</f>
        <v>ENSMUSG00000009566</v>
      </c>
      <c r="I707" s="6" t="str">
        <f>HYPERLINK("http://www.informatics.jax.org/marker/MGI:95576","MGI:95576")</f>
        <v>MGI:95576</v>
      </c>
      <c r="J707" s="7" t="s">
        <v>12</v>
      </c>
    </row>
    <row r="708" spans="1:10" x14ac:dyDescent="0.2">
      <c r="A708" s="3">
        <v>4379.13085917632</v>
      </c>
      <c r="B708" s="1">
        <v>-0.17121307105081501</v>
      </c>
      <c r="C708" s="1">
        <v>1.6157287124578501E-4</v>
      </c>
      <c r="D708" s="7">
        <v>3.3964876329213699E-3</v>
      </c>
      <c r="E708" s="1" t="s">
        <v>2052</v>
      </c>
      <c r="F708" s="1" t="s">
        <v>2053</v>
      </c>
      <c r="G708" s="1">
        <v>20397</v>
      </c>
      <c r="H708" s="6" t="str">
        <f>HYPERLINK("http://www.ensembl.org/Mus_musculus/Gene/Summary?db=core;g=ENSMUSG00000020097","ENSMUSG00000020097")</f>
        <v>ENSMUSG00000020097</v>
      </c>
      <c r="I708" s="6" t="str">
        <f>HYPERLINK("http://www.informatics.jax.org/marker/MGI:1261415","MGI:1261415")</f>
        <v>MGI:1261415</v>
      </c>
      <c r="J708" s="7" t="s">
        <v>12</v>
      </c>
    </row>
    <row r="709" spans="1:10" x14ac:dyDescent="0.2">
      <c r="A709" s="3">
        <v>2040.4614803418899</v>
      </c>
      <c r="B709" s="1">
        <v>0.19345055507679099</v>
      </c>
      <c r="C709" s="1">
        <v>1.6466078342027799E-4</v>
      </c>
      <c r="D709" s="7">
        <v>3.4564690947026001E-3</v>
      </c>
      <c r="E709" s="1" t="s">
        <v>2556</v>
      </c>
      <c r="F709" s="1" t="s">
        <v>2557</v>
      </c>
      <c r="G709" s="1">
        <v>99480</v>
      </c>
      <c r="H709" s="6" t="str">
        <f>HYPERLINK("http://www.ensembl.org/Mus_musculus/Gene/Summary?db=core;g=ENSMUSG00000039756","ENSMUSG00000039756")</f>
        <v>ENSMUSG00000039756</v>
      </c>
      <c r="I709" s="6" t="str">
        <f>HYPERLINK("http://www.informatics.jax.org/marker/MGI:1923173","MGI:1923173")</f>
        <v>MGI:1923173</v>
      </c>
      <c r="J709" s="7" t="s">
        <v>12</v>
      </c>
    </row>
    <row r="710" spans="1:10" x14ac:dyDescent="0.2">
      <c r="A710" s="3">
        <v>172.05945582934999</v>
      </c>
      <c r="B710" s="1">
        <v>-0.45811084302468902</v>
      </c>
      <c r="C710" s="1">
        <v>1.6608214751315901E-4</v>
      </c>
      <c r="D710" s="7">
        <v>3.4813464093227898E-3</v>
      </c>
      <c r="E710" s="1" t="s">
        <v>915</v>
      </c>
      <c r="F710" s="1" t="s">
        <v>916</v>
      </c>
      <c r="G710" s="1">
        <v>77128</v>
      </c>
      <c r="H710" s="6" t="str">
        <f>HYPERLINK("http://www.ensembl.org/Mus_musculus/Gene/Summary?db=core;g=ENSMUSG00000048249","ENSMUSG00000048249")</f>
        <v>ENSMUSG00000048249</v>
      </c>
      <c r="I710" s="6" t="str">
        <f>HYPERLINK("http://www.informatics.jax.org/marker/MGI:1924378","MGI:1924378")</f>
        <v>MGI:1924378</v>
      </c>
      <c r="J710" s="7" t="s">
        <v>12</v>
      </c>
    </row>
    <row r="711" spans="1:10" x14ac:dyDescent="0.2">
      <c r="A711" s="3">
        <v>407.81516656592203</v>
      </c>
      <c r="B711" s="1">
        <v>-1.4280226359999799</v>
      </c>
      <c r="C711" s="1">
        <v>1.6713369575764399E-4</v>
      </c>
      <c r="D711" s="7">
        <v>3.49220307870095E-3</v>
      </c>
      <c r="E711" s="1" t="s">
        <v>136</v>
      </c>
      <c r="F711" s="1" t="s">
        <v>137</v>
      </c>
      <c r="G711" s="1">
        <v>229900</v>
      </c>
      <c r="H711" s="6" t="str">
        <f>HYPERLINK("http://www.ensembl.org/Mus_musculus/Gene/Summary?db=core;g=ENSMUSG00000040253","ENSMUSG00000040253")</f>
        <v>ENSMUSG00000040253</v>
      </c>
      <c r="I711" s="6" t="str">
        <f>HYPERLINK("http://www.informatics.jax.org/marker/MGI:2444421","MGI:2444421")</f>
        <v>MGI:2444421</v>
      </c>
      <c r="J711" s="7" t="s">
        <v>12</v>
      </c>
    </row>
    <row r="712" spans="1:10" x14ac:dyDescent="0.2">
      <c r="A712" s="3">
        <v>15641.658353168001</v>
      </c>
      <c r="B712" s="1">
        <v>-0.79866334616293</v>
      </c>
      <c r="C712" s="1">
        <v>1.6728706923153201E-4</v>
      </c>
      <c r="D712" s="7">
        <v>3.49220307870095E-3</v>
      </c>
      <c r="E712" s="1" t="s">
        <v>480</v>
      </c>
      <c r="F712" s="1" t="s">
        <v>481</v>
      </c>
      <c r="G712" s="1">
        <v>672511</v>
      </c>
      <c r="H712" s="6" t="str">
        <f>HYPERLINK("http://www.ensembl.org/Mus_musculus/Gene/Summary?db=core;g=ENSMUSG00000070327","ENSMUSG00000070327")</f>
        <v>ENSMUSG00000070327</v>
      </c>
      <c r="I712" s="6" t="str">
        <f>HYPERLINK("http://www.informatics.jax.org/marker/MGI:1289196","MGI:1289196")</f>
        <v>MGI:1289196</v>
      </c>
      <c r="J712" s="7" t="s">
        <v>12</v>
      </c>
    </row>
    <row r="713" spans="1:10" x14ac:dyDescent="0.2">
      <c r="A713" s="3">
        <v>1258.5268513798001</v>
      </c>
      <c r="B713" s="1">
        <v>-0.213288119704133</v>
      </c>
      <c r="C713" s="1">
        <v>1.6731103240790401E-4</v>
      </c>
      <c r="D713" s="7">
        <v>3.49220307870095E-3</v>
      </c>
      <c r="E713" s="1" t="s">
        <v>1846</v>
      </c>
      <c r="F713" s="1" t="s">
        <v>1847</v>
      </c>
      <c r="G713" s="1">
        <v>76799</v>
      </c>
      <c r="H713" s="6" t="str">
        <f>HYPERLINK("http://www.ensembl.org/Mus_musculus/Gene/Summary?db=core;g=ENSMUSG00000028797","ENSMUSG00000028797")</f>
        <v>ENSMUSG00000028797</v>
      </c>
      <c r="I713" s="6" t="str">
        <f>HYPERLINK("http://www.informatics.jax.org/marker/MGI:1924049","MGI:1924049")</f>
        <v>MGI:1924049</v>
      </c>
      <c r="J713" s="7" t="s">
        <v>12</v>
      </c>
    </row>
    <row r="714" spans="1:10" x14ac:dyDescent="0.2">
      <c r="A714" s="3">
        <v>2692.2609286317502</v>
      </c>
      <c r="B714" s="1">
        <v>-0.18550721701383899</v>
      </c>
      <c r="C714" s="1">
        <v>1.6805882476270701E-4</v>
      </c>
      <c r="D714" s="7">
        <v>3.5028498468221299E-3</v>
      </c>
      <c r="E714" s="1" t="s">
        <v>1988</v>
      </c>
      <c r="F714" s="1" t="s">
        <v>1989</v>
      </c>
      <c r="G714" s="1">
        <v>54673</v>
      </c>
      <c r="H714" s="6" t="str">
        <f>HYPERLINK("http://www.ensembl.org/Mus_musculus/Gene/Summary?db=core;g=ENSMUSG00000037062","ENSMUSG00000037062")</f>
        <v>ENSMUSG00000037062</v>
      </c>
      <c r="I714" s="6" t="str">
        <f>HYPERLINK("http://www.informatics.jax.org/marker/MGI:1859730","MGI:1859730")</f>
        <v>MGI:1859730</v>
      </c>
      <c r="J714" s="7" t="s">
        <v>12</v>
      </c>
    </row>
    <row r="715" spans="1:10" x14ac:dyDescent="0.2">
      <c r="A715" s="3">
        <v>569.05955208476303</v>
      </c>
      <c r="B715" s="1">
        <v>-0.410861787088182</v>
      </c>
      <c r="C715" s="1">
        <v>1.6883372677807399E-4</v>
      </c>
      <c r="D715" s="7">
        <v>3.5140307878555E-3</v>
      </c>
      <c r="E715" s="1" t="s">
        <v>1065</v>
      </c>
      <c r="F715" s="1" t="s">
        <v>1066</v>
      </c>
      <c r="G715" s="1">
        <v>77777</v>
      </c>
      <c r="H715" s="6" t="str">
        <f>HYPERLINK("http://www.ensembl.org/Mus_musculus/Gene/Summary?db=core;g=ENSMUSG00000079685","ENSMUSG00000079685")</f>
        <v>ENSMUSG00000079685</v>
      </c>
      <c r="I715" s="6" t="str">
        <f>HYPERLINK("http://www.informatics.jax.org/marker/MGI:1925027","MGI:1925027")</f>
        <v>MGI:1925027</v>
      </c>
      <c r="J715" s="7" t="s">
        <v>12</v>
      </c>
    </row>
    <row r="716" spans="1:10" x14ac:dyDescent="0.2">
      <c r="A716" s="3">
        <v>612.283756491124</v>
      </c>
      <c r="B716" s="1">
        <v>-0.26622901029947499</v>
      </c>
      <c r="C716" s="1">
        <v>1.7000992213979201E-4</v>
      </c>
      <c r="D716" s="7">
        <v>3.5335207512721899E-3</v>
      </c>
      <c r="E716" s="1" t="s">
        <v>1594</v>
      </c>
      <c r="F716" s="1" t="s">
        <v>1595</v>
      </c>
      <c r="G716" s="1">
        <v>84113</v>
      </c>
      <c r="H716" s="6" t="str">
        <f>HYPERLINK("http://www.ensembl.org/Mus_musculus/Gene/Summary?db=core;g=ENSMUSG00000038502","ENSMUSG00000038502")</f>
        <v>ENSMUSG00000038502</v>
      </c>
      <c r="I716" s="6" t="str">
        <f>HYPERLINK("http://www.informatics.jax.org/marker/MGI:1933946","MGI:1933946")</f>
        <v>MGI:1933946</v>
      </c>
      <c r="J716" s="7" t="s">
        <v>12</v>
      </c>
    </row>
    <row r="717" spans="1:10" x14ac:dyDescent="0.2">
      <c r="A717" s="3">
        <v>1894.9178732999701</v>
      </c>
      <c r="B717" s="1">
        <v>-0.197606726415512</v>
      </c>
      <c r="C717" s="1">
        <v>1.71544097375657E-4</v>
      </c>
      <c r="D717" s="7">
        <v>3.5603856604615302E-3</v>
      </c>
      <c r="E717" s="1" t="s">
        <v>1926</v>
      </c>
      <c r="F717" s="1" t="s">
        <v>1927</v>
      </c>
      <c r="G717" s="1">
        <v>56356</v>
      </c>
      <c r="H717" s="6" t="str">
        <f>HYPERLINK("http://www.ensembl.org/Mus_musculus/Gene/Summary?db=core;g=ENSMUSG00000011884","ENSMUSG00000011884")</f>
        <v>ENSMUSG00000011884</v>
      </c>
      <c r="I717" s="6" t="str">
        <f>HYPERLINK("http://www.informatics.jax.org/marker/MGI:1929253","MGI:1929253")</f>
        <v>MGI:1929253</v>
      </c>
      <c r="J717" s="7" t="s">
        <v>12</v>
      </c>
    </row>
    <row r="718" spans="1:10" x14ac:dyDescent="0.2">
      <c r="A718" s="3">
        <v>475.15939855520702</v>
      </c>
      <c r="B718" s="1">
        <v>-0.36856092281945202</v>
      </c>
      <c r="C718" s="1">
        <v>1.7191742244559999E-4</v>
      </c>
      <c r="D718" s="7">
        <v>3.5631155234294699E-3</v>
      </c>
      <c r="E718" s="1" t="s">
        <v>1180</v>
      </c>
      <c r="F718" s="1" t="s">
        <v>1181</v>
      </c>
      <c r="G718" s="1">
        <v>170460</v>
      </c>
      <c r="H718" s="6" t="str">
        <f>HYPERLINK("http://www.ensembl.org/Mus_musculus/Gene/Summary?db=core;g=ENSMUSG00000046027","ENSMUSG00000046027")</f>
        <v>ENSMUSG00000046027</v>
      </c>
      <c r="I718" s="6" t="str">
        <f>HYPERLINK("http://www.informatics.jax.org/marker/MGI:2156765","MGI:2156765")</f>
        <v>MGI:2156765</v>
      </c>
      <c r="J718" s="7" t="s">
        <v>12</v>
      </c>
    </row>
    <row r="719" spans="1:10" x14ac:dyDescent="0.2">
      <c r="A719" s="3">
        <v>3518.3939046445098</v>
      </c>
      <c r="B719" s="1">
        <v>-0.23231908191894499</v>
      </c>
      <c r="C719" s="1">
        <v>1.72254874511727E-4</v>
      </c>
      <c r="D719" s="7">
        <v>3.56509526798429E-3</v>
      </c>
      <c r="E719" s="1" t="s">
        <v>1744</v>
      </c>
      <c r="F719" s="1" t="s">
        <v>1745</v>
      </c>
      <c r="G719" s="1">
        <v>24136</v>
      </c>
      <c r="H719" s="6" t="str">
        <f>HYPERLINK("http://www.ensembl.org/Mus_musculus/Gene/Summary?db=core;g=ENSMUSG00000026872","ENSMUSG00000026872")</f>
        <v>ENSMUSG00000026872</v>
      </c>
      <c r="I719" s="6" t="str">
        <f>HYPERLINK("http://www.informatics.jax.org/marker/MGI:1344407","MGI:1344407")</f>
        <v>MGI:1344407</v>
      </c>
      <c r="J719" s="7" t="s">
        <v>12</v>
      </c>
    </row>
    <row r="720" spans="1:10" x14ac:dyDescent="0.2">
      <c r="A720" s="3">
        <v>4.9190300176902202</v>
      </c>
      <c r="B720" s="1">
        <v>1.59601989144205</v>
      </c>
      <c r="C720" s="1">
        <v>1.76313510628378E-4</v>
      </c>
      <c r="D720" s="7">
        <v>3.6439774090038998E-3</v>
      </c>
      <c r="E720" s="1" t="s">
        <v>3355</v>
      </c>
      <c r="F720" s="1" t="s">
        <v>3356</v>
      </c>
      <c r="G720" s="1">
        <v>16526</v>
      </c>
      <c r="H720" s="6" t="str">
        <f>HYPERLINK("http://www.ensembl.org/Mus_musculus/Gene/Summary?db=core;g=ENSMUSG00000037624","ENSMUSG00000037624")</f>
        <v>ENSMUSG00000037624</v>
      </c>
      <c r="I720" s="6" t="str">
        <f>HYPERLINK("http://www.informatics.jax.org/marker/MGI:109366","MGI:109366")</f>
        <v>MGI:109366</v>
      </c>
      <c r="J720" s="7" t="s">
        <v>12</v>
      </c>
    </row>
    <row r="721" spans="1:10" x14ac:dyDescent="0.2">
      <c r="A721" s="3">
        <v>538.78039062214305</v>
      </c>
      <c r="B721" s="1">
        <v>-0.24407732237225399</v>
      </c>
      <c r="C721" s="1">
        <v>1.8276977406939799E-4</v>
      </c>
      <c r="D721" s="7">
        <v>3.77212239591968E-3</v>
      </c>
      <c r="E721" s="1" t="s">
        <v>1694</v>
      </c>
      <c r="F721" s="1" t="s">
        <v>1695</v>
      </c>
      <c r="G721" s="1">
        <v>56807</v>
      </c>
      <c r="H721" s="6" t="str">
        <f>HYPERLINK("http://www.ensembl.org/Mus_musculus/Gene/Summary?db=core;g=ENSMUSG00000040722","ENSMUSG00000040722")</f>
        <v>ENSMUSG00000040722</v>
      </c>
      <c r="I721" s="6" t="str">
        <f>HYPERLINK("http://www.informatics.jax.org/marker/MGI:1928948","MGI:1928948")</f>
        <v>MGI:1928948</v>
      </c>
      <c r="J721" s="7" t="s">
        <v>12</v>
      </c>
    </row>
    <row r="722" spans="1:10" x14ac:dyDescent="0.2">
      <c r="A722" s="3">
        <v>4984.6451296823998</v>
      </c>
      <c r="B722" s="1">
        <v>-0.15744984191422701</v>
      </c>
      <c r="C722" s="1">
        <v>1.8421101154885499E-4</v>
      </c>
      <c r="D722" s="7">
        <v>3.7965503023551402E-3</v>
      </c>
      <c r="E722" s="1" t="s">
        <v>2100</v>
      </c>
      <c r="F722" s="1" t="s">
        <v>2101</v>
      </c>
      <c r="G722" s="1">
        <v>11842</v>
      </c>
      <c r="H722" s="6" t="str">
        <f>HYPERLINK("http://www.ensembl.org/Mus_musculus/Gene/Summary?db=core;g=ENSMUSG00000051853","ENSMUSG00000051853")</f>
        <v>ENSMUSG00000051853</v>
      </c>
      <c r="I722" s="6" t="str">
        <f>HYPERLINK("http://www.informatics.jax.org/marker/MGI:99432","MGI:99432")</f>
        <v>MGI:99432</v>
      </c>
      <c r="J722" s="7" t="s">
        <v>12</v>
      </c>
    </row>
    <row r="723" spans="1:10" x14ac:dyDescent="0.2">
      <c r="A723" s="3">
        <v>965.18918624267906</v>
      </c>
      <c r="B723" s="1">
        <v>0.246208959522139</v>
      </c>
      <c r="C723" s="1">
        <v>1.8455315595303299E-4</v>
      </c>
      <c r="D723" s="7">
        <v>3.7967508506346901E-3</v>
      </c>
      <c r="E723" s="1" t="s">
        <v>2864</v>
      </c>
      <c r="F723" s="1" t="s">
        <v>2865</v>
      </c>
      <c r="G723" s="1">
        <v>19707</v>
      </c>
      <c r="H723" s="6" t="str">
        <f>HYPERLINK("http://www.ensembl.org/Mus_musculus/Gene/Summary?db=core;g=ENSMUSG00000019854","ENSMUSG00000019854")</f>
        <v>ENSMUSG00000019854</v>
      </c>
      <c r="I723" s="6" t="str">
        <f>HYPERLINK("http://www.informatics.jax.org/marker/MGI:1196373","MGI:1196373")</f>
        <v>MGI:1196373</v>
      </c>
      <c r="J723" s="7" t="s">
        <v>12</v>
      </c>
    </row>
    <row r="724" spans="1:10" x14ac:dyDescent="0.2">
      <c r="A724" s="3">
        <v>1197.9543924116099</v>
      </c>
      <c r="B724" s="1">
        <v>0.26965661422260101</v>
      </c>
      <c r="C724" s="1">
        <v>1.8473604505327601E-4</v>
      </c>
      <c r="D724" s="7">
        <v>3.7967508506346901E-3</v>
      </c>
      <c r="E724" s="1" t="s">
        <v>2932</v>
      </c>
      <c r="F724" s="1" t="s">
        <v>2933</v>
      </c>
      <c r="G724" s="1">
        <v>22003</v>
      </c>
      <c r="H724" s="6" t="str">
        <f>HYPERLINK("http://www.ensembl.org/Mus_musculus/Gene/Summary?db=core;g=ENSMUSG00000032366","ENSMUSG00000032366")</f>
        <v>ENSMUSG00000032366</v>
      </c>
      <c r="I724" s="6" t="str">
        <f>HYPERLINK("http://www.informatics.jax.org/marker/MGI:98809","MGI:98809")</f>
        <v>MGI:98809</v>
      </c>
      <c r="J724" s="7" t="s">
        <v>12</v>
      </c>
    </row>
    <row r="725" spans="1:10" x14ac:dyDescent="0.2">
      <c r="A725" s="3">
        <v>578.36409276601296</v>
      </c>
      <c r="B725" s="1">
        <v>0.209486162308124</v>
      </c>
      <c r="C725" s="1">
        <v>1.8506251187177299E-4</v>
      </c>
      <c r="D725" s="7">
        <v>3.7981631962986698E-3</v>
      </c>
      <c r="E725" s="1" t="s">
        <v>2664</v>
      </c>
      <c r="F725" s="1" t="s">
        <v>2665</v>
      </c>
      <c r="G725" s="1">
        <v>66399</v>
      </c>
      <c r="H725" s="6" t="str">
        <f>HYPERLINK("http://www.ensembl.org/Mus_musculus/Gene/Summary?db=core;g=ENSMUSG00000040521","ENSMUSG00000040521")</f>
        <v>ENSMUSG00000040521</v>
      </c>
      <c r="I725" s="6" t="str">
        <f>HYPERLINK("http://www.informatics.jax.org/marker/MGI:1913649","MGI:1913649")</f>
        <v>MGI:1913649</v>
      </c>
      <c r="J725" s="7" t="s">
        <v>12</v>
      </c>
    </row>
    <row r="726" spans="1:10" x14ac:dyDescent="0.2">
      <c r="A726" s="3">
        <v>683.90879696598802</v>
      </c>
      <c r="B726" s="1">
        <v>0.24546596551449601</v>
      </c>
      <c r="C726" s="1">
        <v>1.8689122648695499E-4</v>
      </c>
      <c r="D726" s="7">
        <v>3.8303603804057998E-3</v>
      </c>
      <c r="E726" s="1" t="s">
        <v>2856</v>
      </c>
      <c r="F726" s="1" t="s">
        <v>2857</v>
      </c>
      <c r="G726" s="1">
        <v>226823</v>
      </c>
      <c r="H726" s="6" t="str">
        <f>HYPERLINK("http://www.ensembl.org/Mus_musculus/Gene/Summary?db=core;g=ENSMUSG00000026608","ENSMUSG00000026608")</f>
        <v>ENSMUSG00000026608</v>
      </c>
      <c r="I726" s="6" t="str">
        <f>HYPERLINK("http://www.informatics.jax.org/marker/MGI:2444629","MGI:2444629")</f>
        <v>MGI:2444629</v>
      </c>
      <c r="J726" s="7" t="s">
        <v>12</v>
      </c>
    </row>
    <row r="727" spans="1:10" x14ac:dyDescent="0.2">
      <c r="A727" s="3">
        <v>268.23863230977798</v>
      </c>
      <c r="B727" s="1">
        <v>-0.30847410444769402</v>
      </c>
      <c r="C727" s="1">
        <v>1.8783725046482599E-4</v>
      </c>
      <c r="D727" s="7">
        <v>3.8409063411305399E-3</v>
      </c>
      <c r="E727" s="1" t="s">
        <v>1410</v>
      </c>
      <c r="F727" s="1" t="s">
        <v>1411</v>
      </c>
      <c r="G727" s="1">
        <v>73086</v>
      </c>
      <c r="H727" s="6" t="str">
        <f>HYPERLINK("http://www.ensembl.org/Mus_musculus/Gene/Summary?db=core;g=ENSMUSG00000021180","ENSMUSG00000021180")</f>
        <v>ENSMUSG00000021180</v>
      </c>
      <c r="I727" s="6" t="str">
        <f>HYPERLINK("http://www.informatics.jax.org/marker/MGI:1920336","MGI:1920336")</f>
        <v>MGI:1920336</v>
      </c>
      <c r="J727" s="7" t="s">
        <v>12</v>
      </c>
    </row>
    <row r="728" spans="1:10" x14ac:dyDescent="0.2">
      <c r="A728" s="3">
        <v>932.88260337193901</v>
      </c>
      <c r="B728" s="1">
        <v>0.17668311704390199</v>
      </c>
      <c r="C728" s="1">
        <v>1.8792708143017901E-4</v>
      </c>
      <c r="D728" s="7">
        <v>3.8409063411305399E-3</v>
      </c>
      <c r="E728" s="1" t="s">
        <v>2470</v>
      </c>
      <c r="F728" s="1" t="s">
        <v>2471</v>
      </c>
      <c r="G728" s="1">
        <v>70285</v>
      </c>
      <c r="H728" s="6" t="str">
        <f>HYPERLINK("http://www.ensembl.org/Mus_musculus/Gene/Summary?db=core;g=ENSMUSG00000028187","ENSMUSG00000028187")</f>
        <v>ENSMUSG00000028187</v>
      </c>
      <c r="I728" s="6" t="str">
        <f>HYPERLINK("http://www.informatics.jax.org/marker/MGI:1917535","MGI:1917535")</f>
        <v>MGI:1917535</v>
      </c>
      <c r="J728" s="7" t="s">
        <v>12</v>
      </c>
    </row>
    <row r="729" spans="1:10" x14ac:dyDescent="0.2">
      <c r="A729" s="3">
        <v>425.12120636938101</v>
      </c>
      <c r="B729" s="1">
        <v>-0.32467590625927101</v>
      </c>
      <c r="C729" s="1">
        <v>1.8953220267833501E-4</v>
      </c>
      <c r="D729" s="7">
        <v>3.86834700646529E-3</v>
      </c>
      <c r="E729" s="1" t="s">
        <v>1336</v>
      </c>
      <c r="F729" s="1" t="s">
        <v>1337</v>
      </c>
      <c r="G729" s="1">
        <v>66609</v>
      </c>
      <c r="H729" s="6" t="str">
        <f>HYPERLINK("http://www.ensembl.org/Mus_musculus/Gene/Summary?db=core;g=ENSMUSG00000058240","ENSMUSG00000058240")</f>
        <v>ENSMUSG00000058240</v>
      </c>
      <c r="I729" s="6" t="str">
        <f>HYPERLINK("http://www.informatics.jax.org/marker/MGI:1913859","MGI:1913859")</f>
        <v>MGI:1913859</v>
      </c>
      <c r="J729" s="7" t="s">
        <v>12</v>
      </c>
    </row>
    <row r="730" spans="1:10" x14ac:dyDescent="0.2">
      <c r="A730" s="3">
        <v>168.972521993828</v>
      </c>
      <c r="B730" s="1">
        <v>-0.48872160916766699</v>
      </c>
      <c r="C730" s="1">
        <v>1.9059862836497799E-4</v>
      </c>
      <c r="D730" s="7">
        <v>3.8793665574396699E-3</v>
      </c>
      <c r="E730" s="1" t="s">
        <v>863</v>
      </c>
      <c r="F730" s="1" t="s">
        <v>864</v>
      </c>
      <c r="G730" s="1">
        <v>268515</v>
      </c>
      <c r="H730" s="6" t="str">
        <f>HYPERLINK("http://www.ensembl.org/Mus_musculus/Gene/Summary?db=core;g=ENSMUSG00000039741","ENSMUSG00000039741")</f>
        <v>ENSMUSG00000039741</v>
      </c>
      <c r="I730" s="6" t="str">
        <f>HYPERLINK("http://www.informatics.jax.org/marker/MGI:2679272","MGI:2679272")</f>
        <v>MGI:2679272</v>
      </c>
      <c r="J730" s="7" t="s">
        <v>12</v>
      </c>
    </row>
    <row r="731" spans="1:10" x14ac:dyDescent="0.2">
      <c r="A731" s="3">
        <v>141.84623600716199</v>
      </c>
      <c r="B731" s="1">
        <v>0.42947652501154299</v>
      </c>
      <c r="C731" s="1">
        <v>1.9055416981729399E-4</v>
      </c>
      <c r="D731" s="7">
        <v>3.8793665574396699E-3</v>
      </c>
      <c r="E731" s="1" t="s">
        <v>3160</v>
      </c>
      <c r="F731" s="1" t="s">
        <v>3161</v>
      </c>
      <c r="G731" s="1">
        <v>116972</v>
      </c>
      <c r="H731" s="6" t="str">
        <f>HYPERLINK("http://www.ensembl.org/Mus_musculus/Gene/Summary?db=core;g=ENSMUSG00000069808","ENSMUSG00000069808")</f>
        <v>ENSMUSG00000069808</v>
      </c>
      <c r="I731" s="6" t="str">
        <f>HYPERLINK("http://www.informatics.jax.org/marker/MGI:2151840","MGI:2151840")</f>
        <v>MGI:2151840</v>
      </c>
      <c r="J731" s="7" t="s">
        <v>12</v>
      </c>
    </row>
    <row r="732" spans="1:10" x14ac:dyDescent="0.2">
      <c r="A732" s="3">
        <v>47.565331331800003</v>
      </c>
      <c r="B732" s="1">
        <v>-0.89404306751483198</v>
      </c>
      <c r="C732" s="1">
        <v>1.91607877582295E-4</v>
      </c>
      <c r="D732" s="7">
        <v>3.8945292193830298E-3</v>
      </c>
      <c r="E732" s="1" t="s">
        <v>413</v>
      </c>
      <c r="F732" s="1" t="s">
        <v>414</v>
      </c>
      <c r="G732" s="1">
        <v>231125</v>
      </c>
      <c r="H732" s="6" t="str">
        <f>HYPERLINK("http://www.ensembl.org/Mus_musculus/Gene/Summary?db=core;g=ENSMUSG00000037224","ENSMUSG00000037224")</f>
        <v>ENSMUSG00000037224</v>
      </c>
      <c r="I732" s="6" t="str">
        <f>HYPERLINK("http://www.informatics.jax.org/marker/MGI:2684992","MGI:2684992")</f>
        <v>MGI:2684992</v>
      </c>
      <c r="J732" s="7" t="s">
        <v>12</v>
      </c>
    </row>
    <row r="733" spans="1:10" x14ac:dyDescent="0.2">
      <c r="A733" s="3">
        <v>1887.8492828380899</v>
      </c>
      <c r="B733" s="1">
        <v>0.144706585077782</v>
      </c>
      <c r="C733" s="1">
        <v>1.91923472865107E-4</v>
      </c>
      <c r="D733" s="7">
        <v>3.89557065584052E-3</v>
      </c>
      <c r="E733" s="1" t="s">
        <v>2292</v>
      </c>
      <c r="F733" s="1" t="s">
        <v>2293</v>
      </c>
      <c r="G733" s="1">
        <v>433702</v>
      </c>
      <c r="H733" s="6" t="str">
        <f>HYPERLINK("http://www.ensembl.org/Mus_musculus/Gene/Summary?db=core;g=ENSMUSG00000028330","ENSMUSG00000028330")</f>
        <v>ENSMUSG00000028330</v>
      </c>
      <c r="I733" s="6" t="str">
        <f>HYPERLINK("http://www.informatics.jax.org/marker/MGI:1891840","MGI:1891840")</f>
        <v>MGI:1891840</v>
      </c>
      <c r="J733" s="7" t="s">
        <v>12</v>
      </c>
    </row>
    <row r="734" spans="1:10" x14ac:dyDescent="0.2">
      <c r="A734" s="3">
        <v>1350.2281368804099</v>
      </c>
      <c r="B734" s="1">
        <v>0.16484968224831301</v>
      </c>
      <c r="C734" s="1">
        <v>1.9597727601037399E-4</v>
      </c>
      <c r="D734" s="7">
        <v>3.9723812094757498E-3</v>
      </c>
      <c r="E734" s="1" t="s">
        <v>2398</v>
      </c>
      <c r="F734" s="1" t="s">
        <v>2399</v>
      </c>
      <c r="G734" s="1">
        <v>67755</v>
      </c>
      <c r="H734" s="6" t="str">
        <f>HYPERLINK("http://www.ensembl.org/Mus_musculus/Gene/Summary?db=core;g=ENSMUSG00000030204","ENSMUSG00000030204")</f>
        <v>ENSMUSG00000030204</v>
      </c>
      <c r="I734" s="6" t="str">
        <f>HYPERLINK("http://www.informatics.jax.org/marker/MGI:1915005","MGI:1915005")</f>
        <v>MGI:1915005</v>
      </c>
      <c r="J734" s="7" t="s">
        <v>12</v>
      </c>
    </row>
    <row r="735" spans="1:10" x14ac:dyDescent="0.2">
      <c r="A735" s="3">
        <v>3615.45669841368</v>
      </c>
      <c r="B735" s="1">
        <v>0.25511363776381002</v>
      </c>
      <c r="C735" s="1">
        <v>1.96571854085477E-4</v>
      </c>
      <c r="D735" s="7">
        <v>3.97895994753239E-3</v>
      </c>
      <c r="E735" s="1" t="s">
        <v>2886</v>
      </c>
      <c r="F735" s="1" t="s">
        <v>2887</v>
      </c>
      <c r="G735" s="1">
        <v>80879</v>
      </c>
      <c r="H735" s="6" t="str">
        <f>HYPERLINK("http://www.ensembl.org/Mus_musculus/Gene/Summary?db=core;g=ENSMUSG00000025161","ENSMUSG00000025161")</f>
        <v>ENSMUSG00000025161</v>
      </c>
      <c r="I735" s="6" t="str">
        <f>HYPERLINK("http://www.informatics.jax.org/marker/MGI:1933438","MGI:1933438")</f>
        <v>MGI:1933438</v>
      </c>
      <c r="J735" s="7" t="s">
        <v>12</v>
      </c>
    </row>
    <row r="736" spans="1:10" x14ac:dyDescent="0.2">
      <c r="A736" s="3">
        <v>10680.6634309239</v>
      </c>
      <c r="B736" s="1">
        <v>-0.42513540365639702</v>
      </c>
      <c r="C736" s="1">
        <v>1.97512675287785E-4</v>
      </c>
      <c r="D736" s="7">
        <v>3.9925195926485604E-3</v>
      </c>
      <c r="E736" s="1" t="s">
        <v>1039</v>
      </c>
      <c r="F736" s="1" t="s">
        <v>1040</v>
      </c>
      <c r="G736" s="1">
        <v>12978</v>
      </c>
      <c r="H736" s="6" t="str">
        <f>HYPERLINK("http://www.ensembl.org/Mus_musculus/Gene/Summary?db=core;g=ENSMUSG00000024621","ENSMUSG00000024621")</f>
        <v>ENSMUSG00000024621</v>
      </c>
      <c r="I736" s="6" t="str">
        <f>HYPERLINK("http://www.informatics.jax.org/marker/MGI:1339758","MGI:1339758")</f>
        <v>MGI:1339758</v>
      </c>
      <c r="J736" s="7" t="s">
        <v>12</v>
      </c>
    </row>
    <row r="737" spans="1:10" x14ac:dyDescent="0.2">
      <c r="A737" s="3">
        <v>1862.18719002688</v>
      </c>
      <c r="B737" s="1">
        <v>-0.35896973553110301</v>
      </c>
      <c r="C737" s="1">
        <v>1.98072762971393E-4</v>
      </c>
      <c r="D737" s="7">
        <v>3.9964257737447597E-3</v>
      </c>
      <c r="E737" s="1" t="s">
        <v>1210</v>
      </c>
      <c r="F737" s="1" t="s">
        <v>1211</v>
      </c>
      <c r="G737" s="1">
        <v>216799</v>
      </c>
      <c r="H737" s="6" t="str">
        <f>HYPERLINK("http://www.ensembl.org/Mus_musculus/Gene/Summary?db=core;g=ENSMUSG00000032691","ENSMUSG00000032691")</f>
        <v>ENSMUSG00000032691</v>
      </c>
      <c r="I737" s="6" t="str">
        <f>HYPERLINK("http://www.informatics.jax.org/marker/MGI:2653833","MGI:2653833")</f>
        <v>MGI:2653833</v>
      </c>
      <c r="J737" s="7" t="s">
        <v>12</v>
      </c>
    </row>
    <row r="738" spans="1:10" x14ac:dyDescent="0.2">
      <c r="A738" s="3">
        <v>596.80366663681502</v>
      </c>
      <c r="B738" s="1">
        <v>-0.35431345542274001</v>
      </c>
      <c r="C738" s="1">
        <v>1.9829181623728001E-4</v>
      </c>
      <c r="D738" s="7">
        <v>3.9964257737447597E-3</v>
      </c>
      <c r="E738" s="1" t="s">
        <v>1224</v>
      </c>
      <c r="F738" s="1" t="s">
        <v>1225</v>
      </c>
      <c r="G738" s="1">
        <v>11749</v>
      </c>
      <c r="H738" s="6" t="str">
        <f>HYPERLINK("http://www.ensembl.org/Mus_musculus/Gene/Summary?db=core;g=ENSMUSG00000018340","ENSMUSG00000018340")</f>
        <v>ENSMUSG00000018340</v>
      </c>
      <c r="I738" s="6" t="str">
        <f>HYPERLINK("http://www.informatics.jax.org/marker/MGI:88255","MGI:88255")</f>
        <v>MGI:88255</v>
      </c>
      <c r="J738" s="7" t="s">
        <v>12</v>
      </c>
    </row>
    <row r="739" spans="1:10" x14ac:dyDescent="0.2">
      <c r="A739" s="3">
        <v>1599.91078186185</v>
      </c>
      <c r="B739" s="1">
        <v>0.17391668549106601</v>
      </c>
      <c r="C739" s="1">
        <v>1.9851952133422701E-4</v>
      </c>
      <c r="D739" s="7">
        <v>3.9964257737447597E-3</v>
      </c>
      <c r="E739" s="1" t="s">
        <v>2450</v>
      </c>
      <c r="F739" s="1" t="s">
        <v>2451</v>
      </c>
      <c r="G739" s="1">
        <v>99982</v>
      </c>
      <c r="H739" s="6" t="str">
        <f>HYPERLINK("http://www.ensembl.org/Mus_musculus/Gene/Summary?db=core;g=ENSMUSG00000036940","ENSMUSG00000036940")</f>
        <v>ENSMUSG00000036940</v>
      </c>
      <c r="I739" s="6" t="str">
        <f>HYPERLINK("http://www.informatics.jax.org/marker/MGI:1196256","MGI:1196256")</f>
        <v>MGI:1196256</v>
      </c>
      <c r="J739" s="7" t="s">
        <v>12</v>
      </c>
    </row>
    <row r="740" spans="1:10" x14ac:dyDescent="0.2">
      <c r="A740" s="3">
        <v>1804.3684016156501</v>
      </c>
      <c r="B740" s="1">
        <v>-0.21219387725825301</v>
      </c>
      <c r="C740" s="1">
        <v>1.9883716314331501E-4</v>
      </c>
      <c r="D740" s="7">
        <v>3.9973593943791099E-3</v>
      </c>
      <c r="E740" s="1" t="s">
        <v>1852</v>
      </c>
      <c r="F740" s="1" t="s">
        <v>1853</v>
      </c>
      <c r="G740" s="1">
        <v>224273</v>
      </c>
      <c r="H740" s="6" t="str">
        <f>HYPERLINK("http://www.ensembl.org/Mus_musculus/Gene/Summary?db=core;g=ENSMUSG00000022723","ENSMUSG00000022723")</f>
        <v>ENSMUSG00000022723</v>
      </c>
      <c r="I740" s="6" t="str">
        <f>HYPERLINK("http://www.informatics.jax.org/marker/MGI:2676311","MGI:2676311")</f>
        <v>MGI:2676311</v>
      </c>
      <c r="J740" s="7" t="s">
        <v>12</v>
      </c>
    </row>
    <row r="741" spans="1:10" x14ac:dyDescent="0.2">
      <c r="A741" s="3">
        <v>1190.6252933281701</v>
      </c>
      <c r="B741" s="1">
        <v>-0.183885479255044</v>
      </c>
      <c r="C741" s="1">
        <v>2.01601564810895E-4</v>
      </c>
      <c r="D741" s="7">
        <v>4.0474123420345303E-3</v>
      </c>
      <c r="E741" s="1" t="s">
        <v>1992</v>
      </c>
      <c r="F741" s="1" t="s">
        <v>1993</v>
      </c>
      <c r="G741" s="1">
        <v>66700</v>
      </c>
      <c r="H741" s="6" t="str">
        <f>HYPERLINK("http://www.ensembl.org/Mus_musculus/Gene/Summary?db=core;g=ENSMUSG00000053119","ENSMUSG00000053119")</f>
        <v>ENSMUSG00000053119</v>
      </c>
      <c r="I741" s="6" t="str">
        <f>HYPERLINK("http://www.informatics.jax.org/marker/MGI:1913950","MGI:1913950")</f>
        <v>MGI:1913950</v>
      </c>
      <c r="J741" s="7" t="s">
        <v>12</v>
      </c>
    </row>
    <row r="742" spans="1:10" x14ac:dyDescent="0.2">
      <c r="A742" s="3">
        <v>265.59751242902399</v>
      </c>
      <c r="B742" s="1">
        <v>0.38494864968810799</v>
      </c>
      <c r="C742" s="1">
        <v>2.02044455903979E-4</v>
      </c>
      <c r="D742" s="7">
        <v>4.0507851730626201E-3</v>
      </c>
      <c r="E742" s="1" t="s">
        <v>3132</v>
      </c>
      <c r="F742" s="1" t="s">
        <v>3133</v>
      </c>
      <c r="G742" s="1">
        <v>22158</v>
      </c>
      <c r="H742" s="6" t="str">
        <f>HYPERLINK("http://www.ensembl.org/Mus_musculus/Gene/Summary?db=core;g=ENSMUSG00000001521","ENSMUSG00000001521")</f>
        <v>ENSMUSG00000001521</v>
      </c>
      <c r="I742" s="6" t="str">
        <f>HYPERLINK("http://www.informatics.jax.org/marker/MGI:1329045","MGI:1329045")</f>
        <v>MGI:1329045</v>
      </c>
      <c r="J742" s="7" t="s">
        <v>12</v>
      </c>
    </row>
    <row r="743" spans="1:10" x14ac:dyDescent="0.2">
      <c r="A743" s="3">
        <v>1841.8151015922599</v>
      </c>
      <c r="B743" s="1">
        <v>0.17789201256034201</v>
      </c>
      <c r="C743" s="1">
        <v>2.0387992770187999E-4</v>
      </c>
      <c r="D743" s="7">
        <v>4.0820307263789504E-3</v>
      </c>
      <c r="E743" s="1" t="s">
        <v>2472</v>
      </c>
      <c r="F743" s="1" t="s">
        <v>2473</v>
      </c>
      <c r="G743" s="1">
        <v>105372</v>
      </c>
      <c r="H743" s="6" t="str">
        <f>HYPERLINK("http://www.ensembl.org/Mus_musculus/Gene/Summary?db=core;g=ENSMUSG00000041747","ENSMUSG00000041747")</f>
        <v>ENSMUSG00000041747</v>
      </c>
      <c r="I743" s="6" t="str">
        <f>HYPERLINK("http://www.informatics.jax.org/marker/MGI:2145443","MGI:2145443")</f>
        <v>MGI:2145443</v>
      </c>
      <c r="J743" s="7" t="s">
        <v>12</v>
      </c>
    </row>
    <row r="744" spans="1:10" x14ac:dyDescent="0.2">
      <c r="A744" s="3">
        <v>1427.0906968863701</v>
      </c>
      <c r="B744" s="1">
        <v>-0.31498181007243797</v>
      </c>
      <c r="C744" s="1">
        <v>2.04620011770275E-4</v>
      </c>
      <c r="D744" s="7">
        <v>4.0857459260796401E-3</v>
      </c>
      <c r="E744" s="1" t="s">
        <v>1372</v>
      </c>
      <c r="F744" s="1" t="s">
        <v>1373</v>
      </c>
      <c r="G744" s="1">
        <v>15204</v>
      </c>
      <c r="H744" s="6" t="str">
        <f>HYPERLINK("http://www.ensembl.org/Mus_musculus/Gene/Summary?db=core;g=ENSMUSG00000030451","ENSMUSG00000030451")</f>
        <v>ENSMUSG00000030451</v>
      </c>
      <c r="I744" s="6" t="str">
        <f>HYPERLINK("http://www.informatics.jax.org/marker/MGI:103234","MGI:103234")</f>
        <v>MGI:103234</v>
      </c>
      <c r="J744" s="7" t="s">
        <v>12</v>
      </c>
    </row>
    <row r="745" spans="1:10" x14ac:dyDescent="0.2">
      <c r="A745" s="3">
        <v>2103.03252879719</v>
      </c>
      <c r="B745" s="1">
        <v>-0.24869618374649399</v>
      </c>
      <c r="C745" s="1">
        <v>2.04580306891632E-4</v>
      </c>
      <c r="D745" s="7">
        <v>4.0857459260796401E-3</v>
      </c>
      <c r="E745" s="1" t="s">
        <v>1666</v>
      </c>
      <c r="F745" s="1" t="s">
        <v>1667</v>
      </c>
      <c r="G745" s="1">
        <v>14645</v>
      </c>
      <c r="H745" s="6" t="str">
        <f>HYPERLINK("http://www.ensembl.org/Mus_musculus/Gene/Summary?db=core;g=ENSMUSG00000026473","ENSMUSG00000026473")</f>
        <v>ENSMUSG00000026473</v>
      </c>
      <c r="I745" s="6" t="str">
        <f>HYPERLINK("http://www.informatics.jax.org/marker/MGI:95739","MGI:95739")</f>
        <v>MGI:95739</v>
      </c>
      <c r="J745" s="7" t="s">
        <v>12</v>
      </c>
    </row>
    <row r="746" spans="1:10" x14ac:dyDescent="0.2">
      <c r="A746" s="3">
        <v>92.743973867997695</v>
      </c>
      <c r="B746" s="1">
        <v>0.51229666325810697</v>
      </c>
      <c r="C746" s="1">
        <v>2.06652729492941E-4</v>
      </c>
      <c r="D746" s="7">
        <v>4.1207505031231198E-3</v>
      </c>
      <c r="E746" s="1" t="s">
        <v>3200</v>
      </c>
      <c r="F746" s="1" t="s">
        <v>3201</v>
      </c>
      <c r="G746" s="1" t="s">
        <v>45</v>
      </c>
      <c r="H746" s="6" t="str">
        <f>HYPERLINK("http://www.ensembl.org/Mus_musculus/Gene/Summary?db=core;g=ENSMUSG00000033852","ENSMUSG00000033852")</f>
        <v>ENSMUSG00000033852</v>
      </c>
      <c r="I746" s="6" t="str">
        <f>HYPERLINK("http://www.informatics.jax.org/marker/MGI:5547778","MGI:5547778")</f>
        <v>MGI:5547778</v>
      </c>
      <c r="J746" s="7" t="s">
        <v>12</v>
      </c>
    </row>
    <row r="747" spans="1:10" x14ac:dyDescent="0.2">
      <c r="A747" s="3">
        <v>187.76307964441301</v>
      </c>
      <c r="B747" s="1">
        <v>-0.49566380189909198</v>
      </c>
      <c r="C747" s="1">
        <v>2.07371617391249E-4</v>
      </c>
      <c r="D747" s="7">
        <v>4.1294975052397799E-3</v>
      </c>
      <c r="E747" s="1" t="s">
        <v>839</v>
      </c>
      <c r="F747" s="1" t="s">
        <v>840</v>
      </c>
      <c r="G747" s="1">
        <v>108767</v>
      </c>
      <c r="H747" s="6" t="str">
        <f>HYPERLINK("http://www.ensembl.org/Mus_musculus/Gene/Summary?db=core;g=ENSMUSG00000040128","ENSMUSG00000040128")</f>
        <v>ENSMUSG00000040128</v>
      </c>
      <c r="I747" s="6" t="str">
        <f>HYPERLINK("http://www.informatics.jax.org/marker/MGI:1917838","MGI:1917838")</f>
        <v>MGI:1917838</v>
      </c>
      <c r="J747" s="7" t="s">
        <v>12</v>
      </c>
    </row>
    <row r="748" spans="1:10" x14ac:dyDescent="0.2">
      <c r="A748" s="3">
        <v>814.66028084490495</v>
      </c>
      <c r="B748" s="1">
        <v>-0.28972111227630798</v>
      </c>
      <c r="C748" s="1">
        <v>2.12767803559709E-4</v>
      </c>
      <c r="D748" s="7">
        <v>4.2312366440700102E-3</v>
      </c>
      <c r="E748" s="1" t="s">
        <v>1498</v>
      </c>
      <c r="F748" s="1" t="s">
        <v>1499</v>
      </c>
      <c r="G748" s="1">
        <v>18806</v>
      </c>
      <c r="H748" s="6" t="str">
        <f>HYPERLINK("http://www.ensembl.org/Mus_musculus/Gene/Summary?db=core;g=ENSMUSG00000020828","ENSMUSG00000020828")</f>
        <v>ENSMUSG00000020828</v>
      </c>
      <c r="I748" s="6" t="str">
        <f>HYPERLINK("http://www.informatics.jax.org/marker/MGI:892877","MGI:892877")</f>
        <v>MGI:892877</v>
      </c>
      <c r="J748" s="7" t="s">
        <v>12</v>
      </c>
    </row>
    <row r="749" spans="1:10" x14ac:dyDescent="0.2">
      <c r="A749" s="3">
        <v>1338.1599504834001</v>
      </c>
      <c r="B749" s="1">
        <v>0.15359823062251701</v>
      </c>
      <c r="C749" s="1">
        <v>2.13349281139673E-4</v>
      </c>
      <c r="D749" s="7">
        <v>4.2370822195070398E-3</v>
      </c>
      <c r="E749" s="1" t="s">
        <v>2336</v>
      </c>
      <c r="F749" s="1" t="s">
        <v>2337</v>
      </c>
      <c r="G749" s="1">
        <v>105504</v>
      </c>
      <c r="H749" s="6" t="str">
        <f>HYPERLINK("http://www.ensembl.org/Mus_musculus/Gene/Summary?db=core;g=ENSMUSG00000061244","ENSMUSG00000061244")</f>
        <v>ENSMUSG00000061244</v>
      </c>
      <c r="I749" s="6" t="str">
        <f>HYPERLINK("http://www.informatics.jax.org/marker/MGI:2145645","MGI:2145645")</f>
        <v>MGI:2145645</v>
      </c>
      <c r="J749" s="7" t="s">
        <v>12</v>
      </c>
    </row>
    <row r="750" spans="1:10" x14ac:dyDescent="0.2">
      <c r="A750" s="3">
        <v>183.12294330882099</v>
      </c>
      <c r="B750" s="1">
        <v>-0.39825101191985401</v>
      </c>
      <c r="C750" s="1">
        <v>2.1619040119707399E-4</v>
      </c>
      <c r="D750" s="7">
        <v>4.2877277954779004E-3</v>
      </c>
      <c r="E750" s="1" t="s">
        <v>1107</v>
      </c>
      <c r="F750" s="1" t="s">
        <v>1108</v>
      </c>
      <c r="G750" s="1">
        <v>22644</v>
      </c>
      <c r="H750" s="6" t="str">
        <f>HYPERLINK("http://www.ensembl.org/Mus_musculus/Gene/Summary?db=core;g=ENSMUSG00000052656","ENSMUSG00000052656")</f>
        <v>ENSMUSG00000052656</v>
      </c>
      <c r="I750" s="6" t="str">
        <f>HYPERLINK("http://www.informatics.jax.org/marker/MGI:109483","MGI:109483")</f>
        <v>MGI:109483</v>
      </c>
      <c r="J750" s="7" t="s">
        <v>12</v>
      </c>
    </row>
    <row r="751" spans="1:10" x14ac:dyDescent="0.2">
      <c r="A751" s="3">
        <v>7303.3808035584998</v>
      </c>
      <c r="B751" s="1">
        <v>0.19066062073422099</v>
      </c>
      <c r="C751" s="1">
        <v>2.17278399142525E-4</v>
      </c>
      <c r="D751" s="7">
        <v>4.3035140991454996E-3</v>
      </c>
      <c r="E751" s="1" t="s">
        <v>2538</v>
      </c>
      <c r="F751" s="1" t="s">
        <v>2539</v>
      </c>
      <c r="G751" s="1">
        <v>20810</v>
      </c>
      <c r="H751" s="6" t="str">
        <f>HYPERLINK("http://www.ensembl.org/Mus_musculus/Gene/Summary?db=core;g=ENSMUSG00000006442","ENSMUSG00000006442")</f>
        <v>ENSMUSG00000006442</v>
      </c>
      <c r="I751" s="6" t="str">
        <f>HYPERLINK("http://www.informatics.jax.org/marker/MGI:102690","MGI:102690")</f>
        <v>MGI:102690</v>
      </c>
      <c r="J751" s="7" t="s">
        <v>12</v>
      </c>
    </row>
    <row r="752" spans="1:10" x14ac:dyDescent="0.2">
      <c r="A752" s="3">
        <v>364.41316228943202</v>
      </c>
      <c r="B752" s="1">
        <v>-0.77833707380428396</v>
      </c>
      <c r="C752" s="1">
        <v>2.1929136423772601E-4</v>
      </c>
      <c r="D752" s="7">
        <v>4.3324659749538197E-3</v>
      </c>
      <c r="E752" s="1" t="s">
        <v>492</v>
      </c>
      <c r="F752" s="1" t="s">
        <v>493</v>
      </c>
      <c r="G752" s="1">
        <v>16145</v>
      </c>
      <c r="H752" s="6" t="str">
        <f>HYPERLINK("http://www.ensembl.org/Mus_musculus/Gene/Summary?db=core;g=ENSMUSG00000078853","ENSMUSG00000078853")</f>
        <v>ENSMUSG00000078853</v>
      </c>
      <c r="I752" s="6" t="str">
        <f>HYPERLINK("http://www.informatics.jax.org/marker/MGI:107729","MGI:107729")</f>
        <v>MGI:107729</v>
      </c>
      <c r="J752" s="7" t="s">
        <v>12</v>
      </c>
    </row>
    <row r="753" spans="1:10" x14ac:dyDescent="0.2">
      <c r="A753" s="3">
        <v>293.87434481661899</v>
      </c>
      <c r="B753" s="1">
        <v>-0.39292140137132298</v>
      </c>
      <c r="C753" s="1">
        <v>2.1932814992640801E-4</v>
      </c>
      <c r="D753" s="7">
        <v>4.3324659749538197E-3</v>
      </c>
      <c r="E753" s="1" t="s">
        <v>1119</v>
      </c>
      <c r="F753" s="1" t="s">
        <v>1120</v>
      </c>
      <c r="G753" s="1">
        <v>67661</v>
      </c>
      <c r="H753" s="6" t="str">
        <f>HYPERLINK("http://www.ensembl.org/Mus_musculus/Gene/Summary?db=core;g=ENSMUSG00000038564","ENSMUSG00000038564")</f>
        <v>ENSMUSG00000038564</v>
      </c>
      <c r="I753" s="6" t="str">
        <f>HYPERLINK("http://www.informatics.jax.org/marker/MGI:2682064","MGI:2682064")</f>
        <v>MGI:2682064</v>
      </c>
      <c r="J753" s="7" t="s">
        <v>12</v>
      </c>
    </row>
    <row r="754" spans="1:10" x14ac:dyDescent="0.2">
      <c r="A754" s="3">
        <v>616.74327193956901</v>
      </c>
      <c r="B754" s="1">
        <v>-0.22938569559008301</v>
      </c>
      <c r="C754" s="1">
        <v>2.2008821301089599E-4</v>
      </c>
      <c r="D754" s="7">
        <v>4.3416598486326202E-3</v>
      </c>
      <c r="E754" s="1" t="s">
        <v>1766</v>
      </c>
      <c r="F754" s="1" t="s">
        <v>1767</v>
      </c>
      <c r="G754" s="1">
        <v>20615</v>
      </c>
      <c r="H754" s="6" t="str">
        <f>HYPERLINK("http://www.ensembl.org/Mus_musculus/Gene/Summary?db=core;g=ENSMUSG00000001018","ENSMUSG00000001018")</f>
        <v>ENSMUSG00000001018</v>
      </c>
      <c r="I754" s="6" t="str">
        <f>HYPERLINK("http://www.informatics.jax.org/marker/MGI:1333745","MGI:1333745")</f>
        <v>MGI:1333745</v>
      </c>
      <c r="J754" s="7" t="s">
        <v>12</v>
      </c>
    </row>
    <row r="755" spans="1:10" x14ac:dyDescent="0.2">
      <c r="A755" s="3">
        <v>202.46211725654899</v>
      </c>
      <c r="B755" s="1">
        <v>-0.29580045865125099</v>
      </c>
      <c r="C755" s="1">
        <v>2.23356191715237E-4</v>
      </c>
      <c r="D755" s="7">
        <v>4.4002364186039198E-3</v>
      </c>
      <c r="E755" s="1" t="s">
        <v>1470</v>
      </c>
      <c r="F755" s="1" t="s">
        <v>1471</v>
      </c>
      <c r="G755" s="1">
        <v>77090</v>
      </c>
      <c r="H755" s="6" t="str">
        <f>HYPERLINK("http://www.ensembl.org/Mus_musculus/Gene/Summary?db=core;g=ENSMUSG00000002396","ENSMUSG00000002396")</f>
        <v>ENSMUSG00000002396</v>
      </c>
      <c r="I755" s="6" t="str">
        <f>HYPERLINK("http://www.informatics.jax.org/marker/MGI:1924340","MGI:1924340")</f>
        <v>MGI:1924340</v>
      </c>
      <c r="J755" s="7" t="s">
        <v>12</v>
      </c>
    </row>
    <row r="756" spans="1:10" x14ac:dyDescent="0.2">
      <c r="A756" s="3">
        <v>1632.62574202992</v>
      </c>
      <c r="B756" s="1">
        <v>0.16168137275879699</v>
      </c>
      <c r="C756" s="1">
        <v>2.2377248345400601E-4</v>
      </c>
      <c r="D756" s="7">
        <v>4.4025518240029798E-3</v>
      </c>
      <c r="E756" s="1" t="s">
        <v>2378</v>
      </c>
      <c r="F756" s="1" t="s">
        <v>2379</v>
      </c>
      <c r="G756" s="1">
        <v>217127</v>
      </c>
      <c r="H756" s="6" t="str">
        <f>HYPERLINK("http://www.ensembl.org/Mus_musculus/Gene/Summary?db=core;g=ENSMUSG00000038909","ENSMUSG00000038909")</f>
        <v>ENSMUSG00000038909</v>
      </c>
      <c r="I756" s="6" t="str">
        <f>HYPERLINK("http://www.informatics.jax.org/marker/MGI:2182799","MGI:2182799")</f>
        <v>MGI:2182799</v>
      </c>
      <c r="J756" s="7" t="s">
        <v>12</v>
      </c>
    </row>
    <row r="757" spans="1:10" x14ac:dyDescent="0.2">
      <c r="A757" s="3">
        <v>4.4658559083794902</v>
      </c>
      <c r="B757" s="1">
        <v>1.5589652732858501</v>
      </c>
      <c r="C757" s="1">
        <v>2.2434079456854801E-4</v>
      </c>
      <c r="D757" s="7">
        <v>4.4078479316828302E-3</v>
      </c>
      <c r="E757" s="1" t="s">
        <v>3353</v>
      </c>
      <c r="F757" s="1" t="s">
        <v>3354</v>
      </c>
      <c r="G757" s="1">
        <v>19885</v>
      </c>
      <c r="H757" s="6" t="str">
        <f>HYPERLINK("http://www.ensembl.org/Mus_musculus/Gene/Summary?db=core;g=ENSMUSG00000028150","ENSMUSG00000028150")</f>
        <v>ENSMUSG00000028150</v>
      </c>
      <c r="I757" s="6" t="str">
        <f>HYPERLINK("http://www.informatics.jax.org/marker/MGI:104856","MGI:104856")</f>
        <v>MGI:104856</v>
      </c>
      <c r="J757" s="7" t="s">
        <v>12</v>
      </c>
    </row>
    <row r="758" spans="1:10" x14ac:dyDescent="0.2">
      <c r="A758" s="3">
        <v>1513.78237681719</v>
      </c>
      <c r="B758" s="1">
        <v>-0.12893738383946901</v>
      </c>
      <c r="C758" s="1">
        <v>2.25950780361962E-4</v>
      </c>
      <c r="D758" s="7">
        <v>4.4335695065431001E-3</v>
      </c>
      <c r="E758" s="1" t="s">
        <v>2156</v>
      </c>
      <c r="F758" s="1" t="s">
        <v>2157</v>
      </c>
      <c r="G758" s="1">
        <v>11350</v>
      </c>
      <c r="H758" s="6" t="str">
        <f>HYPERLINK("http://www.ensembl.org/Mus_musculus/Gene/Summary?db=core;g=ENSMUSG00000026842","ENSMUSG00000026842")</f>
        <v>ENSMUSG00000026842</v>
      </c>
      <c r="I758" s="6" t="str">
        <f>HYPERLINK("http://www.informatics.jax.org/marker/MGI:87859","MGI:87859")</f>
        <v>MGI:87859</v>
      </c>
      <c r="J758" s="7" t="s">
        <v>12</v>
      </c>
    </row>
    <row r="759" spans="1:10" x14ac:dyDescent="0.2">
      <c r="A759" s="3">
        <v>664.87643083577098</v>
      </c>
      <c r="B759" s="1">
        <v>0.192560805667957</v>
      </c>
      <c r="C759" s="1">
        <v>2.2866053062771201E-4</v>
      </c>
      <c r="D759" s="7">
        <v>4.4807733767685803E-3</v>
      </c>
      <c r="E759" s="1" t="s">
        <v>2554</v>
      </c>
      <c r="F759" s="1" t="s">
        <v>2555</v>
      </c>
      <c r="G759" s="1">
        <v>218885</v>
      </c>
      <c r="H759" s="6" t="str">
        <f>HYPERLINK("http://www.ensembl.org/Mus_musculus/Gene/Summary?db=core;g=ENSMUSG00000021906","ENSMUSG00000021906")</f>
        <v>ENSMUSG00000021906</v>
      </c>
      <c r="I759" s="6" t="str">
        <f>HYPERLINK("http://www.informatics.jax.org/marker/MGI:1916953","MGI:1916953")</f>
        <v>MGI:1916953</v>
      </c>
      <c r="J759" s="7" t="s">
        <v>12</v>
      </c>
    </row>
    <row r="760" spans="1:10" x14ac:dyDescent="0.2">
      <c r="A760" s="3">
        <v>3.5209624048653199</v>
      </c>
      <c r="B760" s="1">
        <v>-1.6471548244586001</v>
      </c>
      <c r="C760" s="1">
        <v>2.29452958767598E-4</v>
      </c>
      <c r="D760" s="7">
        <v>4.4903304122168898E-3</v>
      </c>
      <c r="E760" s="1" t="s">
        <v>98</v>
      </c>
      <c r="F760" s="1" t="s">
        <v>99</v>
      </c>
      <c r="G760" s="1">
        <v>69774</v>
      </c>
      <c r="H760" s="6" t="str">
        <f>HYPERLINK("http://www.ensembl.org/Mus_musculus/Gene/Summary?db=core;g=ENSMUSG00000024677","ENSMUSG00000024677")</f>
        <v>ENSMUSG00000024677</v>
      </c>
      <c r="I760" s="6" t="str">
        <f>HYPERLINK("http://www.informatics.jax.org/marker/MGI:1917024","MGI:1917024")</f>
        <v>MGI:1917024</v>
      </c>
      <c r="J760" s="7" t="s">
        <v>12</v>
      </c>
    </row>
    <row r="761" spans="1:10" x14ac:dyDescent="0.2">
      <c r="A761" s="3">
        <v>1756.37553519475</v>
      </c>
      <c r="B761" s="1">
        <v>-0.42539716498592101</v>
      </c>
      <c r="C761" s="1">
        <v>2.2989232209801901E-4</v>
      </c>
      <c r="D761" s="7">
        <v>4.4908084631847403E-3</v>
      </c>
      <c r="E761" s="1" t="s">
        <v>1035</v>
      </c>
      <c r="F761" s="1" t="s">
        <v>1036</v>
      </c>
      <c r="G761" s="1">
        <v>14457</v>
      </c>
      <c r="H761" s="6" t="str">
        <f>HYPERLINK("http://www.ensembl.org/Mus_musculus/Gene/Summary?db=core;g=ENSMUSG00000033066","ENSMUSG00000033066")</f>
        <v>ENSMUSG00000033066</v>
      </c>
      <c r="I761" s="6" t="str">
        <f>HYPERLINK("http://www.informatics.jax.org/marker/MGI:1202388","MGI:1202388")</f>
        <v>MGI:1202388</v>
      </c>
      <c r="J761" s="7" t="s">
        <v>12</v>
      </c>
    </row>
    <row r="762" spans="1:10" x14ac:dyDescent="0.2">
      <c r="A762" s="3">
        <v>329.76392554416299</v>
      </c>
      <c r="B762" s="1">
        <v>-0.328243723769645</v>
      </c>
      <c r="C762" s="1">
        <v>2.3008688855215E-4</v>
      </c>
      <c r="D762" s="7">
        <v>4.4908084631847403E-3</v>
      </c>
      <c r="E762" s="1" t="s">
        <v>1318</v>
      </c>
      <c r="F762" s="1" t="s">
        <v>1319</v>
      </c>
      <c r="G762" s="1">
        <v>22288</v>
      </c>
      <c r="H762" s="6" t="str">
        <f>HYPERLINK("http://www.ensembl.org/Mus_musculus/Gene/Summary?db=core;g=ENSMUSG00000019820","ENSMUSG00000019820")</f>
        <v>ENSMUSG00000019820</v>
      </c>
      <c r="I762" s="6" t="str">
        <f>HYPERLINK("http://www.informatics.jax.org/marker/MGI:104631","MGI:104631")</f>
        <v>MGI:104631</v>
      </c>
      <c r="J762" s="7" t="s">
        <v>12</v>
      </c>
    </row>
    <row r="763" spans="1:10" x14ac:dyDescent="0.2">
      <c r="A763" s="3">
        <v>8256.3370291932297</v>
      </c>
      <c r="B763" s="1">
        <v>-0.46610746468847603</v>
      </c>
      <c r="C763" s="1">
        <v>2.30694701337867E-4</v>
      </c>
      <c r="D763" s="7">
        <v>4.4967157657603302E-3</v>
      </c>
      <c r="E763" s="1" t="s">
        <v>897</v>
      </c>
      <c r="F763" s="1" t="s">
        <v>898</v>
      </c>
      <c r="G763" s="1">
        <v>65221</v>
      </c>
      <c r="H763" s="6" t="str">
        <f>HYPERLINK("http://www.ensembl.org/Mus_musculus/Gene/Summary?db=core;g=ENSMUSG00000024737","ENSMUSG00000024737")</f>
        <v>ENSMUSG00000024737</v>
      </c>
      <c r="I763" s="6" t="str">
        <f>HYPERLINK("http://www.informatics.jax.org/marker/MGI:1929691","MGI:1929691")</f>
        <v>MGI:1929691</v>
      </c>
      <c r="J763" s="7" t="s">
        <v>12</v>
      </c>
    </row>
    <row r="764" spans="1:10" x14ac:dyDescent="0.2">
      <c r="A764" s="3">
        <v>3748.93508900899</v>
      </c>
      <c r="B764" s="1">
        <v>-0.20144581735865899</v>
      </c>
      <c r="C764" s="1">
        <v>2.3475922209000399E-4</v>
      </c>
      <c r="D764" s="7">
        <v>4.5698968252553497E-3</v>
      </c>
      <c r="E764" s="1" t="s">
        <v>1896</v>
      </c>
      <c r="F764" s="1" t="s">
        <v>1897</v>
      </c>
      <c r="G764" s="1">
        <v>19229</v>
      </c>
      <c r="H764" s="6" t="str">
        <f>HYPERLINK("http://www.ensembl.org/Mus_musculus/Gene/Summary?db=core;g=ENSMUSG00000059456","ENSMUSG00000059456")</f>
        <v>ENSMUSG00000059456</v>
      </c>
      <c r="I764" s="6" t="str">
        <f>HYPERLINK("http://www.informatics.jax.org/marker/MGI:104908","MGI:104908")</f>
        <v>MGI:104908</v>
      </c>
      <c r="J764" s="7" t="s">
        <v>12</v>
      </c>
    </row>
    <row r="765" spans="1:10" x14ac:dyDescent="0.2">
      <c r="A765" s="3">
        <v>952.20317623287303</v>
      </c>
      <c r="B765" s="1">
        <v>-0.28868721119924601</v>
      </c>
      <c r="C765" s="1">
        <v>2.3518334333526601E-4</v>
      </c>
      <c r="D765" s="7">
        <v>4.5721131232037996E-3</v>
      </c>
      <c r="E765" s="1" t="s">
        <v>1510</v>
      </c>
      <c r="F765" s="1" t="s">
        <v>1511</v>
      </c>
      <c r="G765" s="1">
        <v>17966</v>
      </c>
      <c r="H765" s="6" t="str">
        <f>HYPERLINK("http://www.ensembl.org/Mus_musculus/Gene/Summary?db=core;g=ENSMUSG00000017119","ENSMUSG00000017119")</f>
        <v>ENSMUSG00000017119</v>
      </c>
      <c r="I765" s="6" t="str">
        <f>HYPERLINK("http://www.informatics.jax.org/marker/MGI:108498","MGI:108498")</f>
        <v>MGI:108498</v>
      </c>
      <c r="J765" s="7" t="s">
        <v>12</v>
      </c>
    </row>
    <row r="766" spans="1:10" x14ac:dyDescent="0.2">
      <c r="A766" s="3">
        <v>1630.57391197789</v>
      </c>
      <c r="B766" s="1">
        <v>0.22619839223332899</v>
      </c>
      <c r="C766" s="1">
        <v>2.37000867449738E-4</v>
      </c>
      <c r="D766" s="7">
        <v>4.6013765253482804E-3</v>
      </c>
      <c r="E766" s="1" t="s">
        <v>2766</v>
      </c>
      <c r="F766" s="1" t="s">
        <v>2767</v>
      </c>
      <c r="G766" s="1">
        <v>78655</v>
      </c>
      <c r="H766" s="6" t="str">
        <f>HYPERLINK("http://www.ensembl.org/Mus_musculus/Gene/Summary?db=core;g=ENSMUSG00000027236","ENSMUSG00000027236")</f>
        <v>ENSMUSG00000027236</v>
      </c>
      <c r="I766" s="6" t="str">
        <f>HYPERLINK("http://www.informatics.jax.org/marker/MGI:1925905","MGI:1925905")</f>
        <v>MGI:1925905</v>
      </c>
      <c r="J766" s="7" t="s">
        <v>12</v>
      </c>
    </row>
    <row r="767" spans="1:10" x14ac:dyDescent="0.2">
      <c r="A767" s="3">
        <v>63.2375070336889</v>
      </c>
      <c r="B767" s="1">
        <v>-0.64871432341053303</v>
      </c>
      <c r="C767" s="1">
        <v>2.38637050337811E-4</v>
      </c>
      <c r="D767" s="7">
        <v>4.6270468076026004E-3</v>
      </c>
      <c r="E767" s="1" t="s">
        <v>602</v>
      </c>
      <c r="F767" s="1" t="s">
        <v>603</v>
      </c>
      <c r="G767" s="1">
        <v>60322</v>
      </c>
      <c r="H767" s="6" t="str">
        <f>HYPERLINK("http://www.ensembl.org/Mus_musculus/Gene/Summary?db=core;g=ENSMUSG00000037347","ENSMUSG00000037347")</f>
        <v>ENSMUSG00000037347</v>
      </c>
      <c r="I767" s="6" t="str">
        <f>HYPERLINK("http://www.informatics.jax.org/marker/MGI:1891767","MGI:1891767")</f>
        <v>MGI:1891767</v>
      </c>
      <c r="J767" s="7" t="s">
        <v>12</v>
      </c>
    </row>
    <row r="768" spans="1:10" x14ac:dyDescent="0.2">
      <c r="A768" s="3">
        <v>1137.2212091874701</v>
      </c>
      <c r="B768" s="1">
        <v>-0.19279714161501901</v>
      </c>
      <c r="C768" s="1">
        <v>2.3991277960893901E-4</v>
      </c>
      <c r="D768" s="7">
        <v>4.64566980330792E-3</v>
      </c>
      <c r="E768" s="1" t="s">
        <v>1948</v>
      </c>
      <c r="F768" s="1" t="s">
        <v>1949</v>
      </c>
      <c r="G768" s="1">
        <v>18747</v>
      </c>
      <c r="H768" s="6" t="str">
        <f>HYPERLINK("http://www.ensembl.org/Mus_musculus/Gene/Summary?db=core;g=ENSMUSG00000005469","ENSMUSG00000005469")</f>
        <v>ENSMUSG00000005469</v>
      </c>
      <c r="I768" s="6" t="str">
        <f>HYPERLINK("http://www.informatics.jax.org/marker/MGI:97592","MGI:97592")</f>
        <v>MGI:97592</v>
      </c>
      <c r="J768" s="7" t="s">
        <v>12</v>
      </c>
    </row>
    <row r="769" spans="1:10" x14ac:dyDescent="0.2">
      <c r="A769" s="3">
        <v>747.76388545001498</v>
      </c>
      <c r="B769" s="1">
        <v>-0.34268954507377503</v>
      </c>
      <c r="C769" s="1">
        <v>2.4659885561138502E-4</v>
      </c>
      <c r="D769" s="7">
        <v>4.7626221969716397E-3</v>
      </c>
      <c r="E769" s="1" t="s">
        <v>1268</v>
      </c>
      <c r="F769" s="1" t="s">
        <v>1269</v>
      </c>
      <c r="G769" s="1">
        <v>83409</v>
      </c>
      <c r="H769" s="6" t="str">
        <f>HYPERLINK("http://www.ensembl.org/Mus_musculus/Gene/Summary?db=core;g=ENSMUSG00000028062","ENSMUSG00000028062")</f>
        <v>ENSMUSG00000028062</v>
      </c>
      <c r="I769" s="6" t="str">
        <f>HYPERLINK("http://www.informatics.jax.org/marker/MGI:1932697","MGI:1932697")</f>
        <v>MGI:1932697</v>
      </c>
      <c r="J769" s="7" t="s">
        <v>12</v>
      </c>
    </row>
    <row r="770" spans="1:10" x14ac:dyDescent="0.2">
      <c r="A770" s="3">
        <v>378.08506340754502</v>
      </c>
      <c r="B770" s="1">
        <v>0.30753734421047402</v>
      </c>
      <c r="C770" s="1">
        <v>2.4653885611628803E-4</v>
      </c>
      <c r="D770" s="7">
        <v>4.7626221969716397E-3</v>
      </c>
      <c r="E770" s="1" t="s">
        <v>3012</v>
      </c>
      <c r="F770" s="1" t="s">
        <v>3013</v>
      </c>
      <c r="G770" s="1">
        <v>13436</v>
      </c>
      <c r="H770" s="6" t="str">
        <f>HYPERLINK("http://www.ensembl.org/Mus_musculus/Gene/Summary?db=core;g=ENSMUSG00000027478","ENSMUSG00000027478")</f>
        <v>ENSMUSG00000027478</v>
      </c>
      <c r="I770" s="6" t="str">
        <f>HYPERLINK("http://www.informatics.jax.org/marker/MGI:1261819","MGI:1261819")</f>
        <v>MGI:1261819</v>
      </c>
      <c r="J770" s="7" t="s">
        <v>12</v>
      </c>
    </row>
    <row r="771" spans="1:10" x14ac:dyDescent="0.2">
      <c r="A771" s="3">
        <v>468.37974898531598</v>
      </c>
      <c r="B771" s="1">
        <v>-0.34692567056519602</v>
      </c>
      <c r="C771" s="1">
        <v>2.48321149357519E-4</v>
      </c>
      <c r="D771" s="7">
        <v>4.7896079279220001E-3</v>
      </c>
      <c r="E771" s="1" t="s">
        <v>1258</v>
      </c>
      <c r="F771" s="1" t="s">
        <v>1259</v>
      </c>
      <c r="G771" s="1">
        <v>52120</v>
      </c>
      <c r="H771" s="6" t="str">
        <f>HYPERLINK("http://www.ensembl.org/Mus_musculus/Gene/Summary?db=core;g=ENSMUSG00000037260","ENSMUSG00000037260")</f>
        <v>ENSMUSG00000037260</v>
      </c>
      <c r="I771" s="6" t="str">
        <f>HYPERLINK("http://www.informatics.jax.org/marker/MGI:1196297","MGI:1196297")</f>
        <v>MGI:1196297</v>
      </c>
      <c r="J771" s="7" t="s">
        <v>12</v>
      </c>
    </row>
    <row r="772" spans="1:10" x14ac:dyDescent="0.2">
      <c r="A772" s="3">
        <v>207.73074569628301</v>
      </c>
      <c r="B772" s="1">
        <v>0.33485565744508999</v>
      </c>
      <c r="C772" s="1">
        <v>2.4896206406735898E-4</v>
      </c>
      <c r="D772" s="7">
        <v>4.79569277921125E-3</v>
      </c>
      <c r="E772" s="1" t="s">
        <v>3064</v>
      </c>
      <c r="F772" s="1" t="s">
        <v>3065</v>
      </c>
      <c r="G772" s="1">
        <v>231042</v>
      </c>
      <c r="H772" s="6" t="str">
        <f>HYPERLINK("http://www.ensembl.org/Mus_musculus/Gene/Summary?db=core;g=ENSMUSG00000048439","ENSMUSG00000048439")</f>
        <v>ENSMUSG00000048439</v>
      </c>
      <c r="I772" s="6" t="str">
        <f>HYPERLINK("http://www.informatics.jax.org/marker/MGI:2387631","MGI:2387631")</f>
        <v>MGI:2387631</v>
      </c>
      <c r="J772" s="7" t="s">
        <v>12</v>
      </c>
    </row>
    <row r="773" spans="1:10" x14ac:dyDescent="0.2">
      <c r="A773" s="3">
        <v>668.77119436067505</v>
      </c>
      <c r="B773" s="1">
        <v>-0.28407143521426298</v>
      </c>
      <c r="C773" s="1">
        <v>2.5350343109653898E-4</v>
      </c>
      <c r="D773" s="7">
        <v>4.8704388013540998E-3</v>
      </c>
      <c r="E773" s="1" t="s">
        <v>1524</v>
      </c>
      <c r="F773" s="1" t="s">
        <v>1525</v>
      </c>
      <c r="G773" s="1">
        <v>270163</v>
      </c>
      <c r="H773" s="6" t="str">
        <f>HYPERLINK("http://www.ensembl.org/Mus_musculus/Gene/Summary?db=core;g=ENSMUSG00000039585","ENSMUSG00000039585")</f>
        <v>ENSMUSG00000039585</v>
      </c>
      <c r="I773" s="6" t="str">
        <f>HYPERLINK("http://www.informatics.jax.org/marker/MGI:107735","MGI:107735")</f>
        <v>MGI:107735</v>
      </c>
      <c r="J773" s="7" t="s">
        <v>12</v>
      </c>
    </row>
    <row r="774" spans="1:10" x14ac:dyDescent="0.2">
      <c r="A774" s="3">
        <v>1406.46291919596</v>
      </c>
      <c r="B774" s="1">
        <v>0.198652102574881</v>
      </c>
      <c r="C774" s="1">
        <v>2.53319410244453E-4</v>
      </c>
      <c r="D774" s="7">
        <v>4.8704388013540998E-3</v>
      </c>
      <c r="E774" s="1" t="s">
        <v>2586</v>
      </c>
      <c r="F774" s="1" t="s">
        <v>2587</v>
      </c>
      <c r="G774" s="1" t="s">
        <v>45</v>
      </c>
      <c r="H774" s="6" t="str">
        <f>HYPERLINK("http://www.ensembl.org/Mus_musculus/Gene/Summary?db=core;g=ENSMUSG00000092232","ENSMUSG00000092232")</f>
        <v>ENSMUSG00000092232</v>
      </c>
      <c r="I774" s="6" t="str">
        <f>HYPERLINK("http://www.informatics.jax.org/marker/MGI:5141986","MGI:5141986")</f>
        <v>MGI:5141986</v>
      </c>
      <c r="J774" s="7" t="s">
        <v>12</v>
      </c>
    </row>
    <row r="775" spans="1:10" x14ac:dyDescent="0.2">
      <c r="A775" s="3">
        <v>5463.7980075278401</v>
      </c>
      <c r="B775" s="1">
        <v>-0.223576906348909</v>
      </c>
      <c r="C775" s="1">
        <v>2.5628115608741997E-4</v>
      </c>
      <c r="D775" s="7">
        <v>4.9173946824273796E-3</v>
      </c>
      <c r="E775" s="1" t="s">
        <v>1798</v>
      </c>
      <c r="F775" s="1" t="s">
        <v>1799</v>
      </c>
      <c r="G775" s="1">
        <v>20656</v>
      </c>
      <c r="H775" s="6" t="str">
        <f>HYPERLINK("http://www.ensembl.org/Mus_musculus/Gene/Summary?db=core;g=ENSMUSG00000006818","ENSMUSG00000006818")</f>
        <v>ENSMUSG00000006818</v>
      </c>
      <c r="I775" s="6" t="str">
        <f>HYPERLINK("http://www.informatics.jax.org/marker/MGI:98352","MGI:98352")</f>
        <v>MGI:98352</v>
      </c>
      <c r="J775" s="7" t="s">
        <v>12</v>
      </c>
    </row>
    <row r="776" spans="1:10" x14ac:dyDescent="0.2">
      <c r="A776" s="3">
        <v>9184.6740068703202</v>
      </c>
      <c r="B776" s="1">
        <v>0.15175191938453</v>
      </c>
      <c r="C776" s="1">
        <v>2.5769986639898003E-4</v>
      </c>
      <c r="D776" s="7">
        <v>4.9381862565089302E-3</v>
      </c>
      <c r="E776" s="1" t="s">
        <v>2328</v>
      </c>
      <c r="F776" s="1" t="s">
        <v>2329</v>
      </c>
      <c r="G776" s="1">
        <v>28114</v>
      </c>
      <c r="H776" s="6" t="str">
        <f>HYPERLINK("http://www.ensembl.org/Mus_musculus/Gene/Summary?db=core;g=ENSMUSG00000021595","ENSMUSG00000021595")</f>
        <v>ENSMUSG00000021595</v>
      </c>
      <c r="I776" s="6" t="str">
        <f>HYPERLINK("http://www.informatics.jax.org/marker/MGI:107252","MGI:107252")</f>
        <v>MGI:107252</v>
      </c>
      <c r="J776" s="7" t="s">
        <v>12</v>
      </c>
    </row>
    <row r="777" spans="1:10" x14ac:dyDescent="0.2">
      <c r="A777" s="3">
        <v>324.98311180640798</v>
      </c>
      <c r="B777" s="1">
        <v>0.44058005367446401</v>
      </c>
      <c r="C777" s="1">
        <v>2.5853901548864201E-4</v>
      </c>
      <c r="D777" s="7">
        <v>4.9478323795332903E-3</v>
      </c>
      <c r="E777" s="1" t="s">
        <v>3170</v>
      </c>
      <c r="F777" s="1" t="s">
        <v>3171</v>
      </c>
      <c r="G777" s="1">
        <v>277973</v>
      </c>
      <c r="H777" s="6" t="str">
        <f>HYPERLINK("http://www.ensembl.org/Mus_musculus/Gene/Summary?db=core;g=ENSMUSG00000014786","ENSMUSG00000014786")</f>
        <v>ENSMUSG00000014786</v>
      </c>
      <c r="I777" s="6" t="str">
        <f>HYPERLINK("http://www.informatics.jax.org/marker/MGI:2685542","MGI:2685542")</f>
        <v>MGI:2685542</v>
      </c>
      <c r="J777" s="7" t="s">
        <v>12</v>
      </c>
    </row>
    <row r="778" spans="1:10" x14ac:dyDescent="0.2">
      <c r="A778" s="3">
        <v>58.134985981754497</v>
      </c>
      <c r="B778" s="1">
        <v>-1.0794832278208499</v>
      </c>
      <c r="C778" s="1">
        <v>2.6014800364399199E-4</v>
      </c>
      <c r="D778" s="7">
        <v>4.9721672914369098E-3</v>
      </c>
      <c r="E778" s="1" t="s">
        <v>277</v>
      </c>
      <c r="F778" s="1" t="s">
        <v>278</v>
      </c>
      <c r="G778" s="1">
        <v>73656</v>
      </c>
      <c r="H778" s="6" t="str">
        <f>HYPERLINK("http://www.ensembl.org/Mus_musculus/Gene/Summary?db=core;g=ENSMUSG00000079419","ENSMUSG00000079419")</f>
        <v>ENSMUSG00000079419</v>
      </c>
      <c r="I778" s="6" t="str">
        <f>HYPERLINK("http://www.informatics.jax.org/marker/MGI:2385644","MGI:2385644")</f>
        <v>MGI:2385644</v>
      </c>
      <c r="J778" s="7" t="s">
        <v>12</v>
      </c>
    </row>
    <row r="779" spans="1:10" x14ac:dyDescent="0.2">
      <c r="A779" s="3">
        <v>47.087225235556403</v>
      </c>
      <c r="B779" s="1">
        <v>-0.85162278105544997</v>
      </c>
      <c r="C779" s="1">
        <v>2.63296223197716E-4</v>
      </c>
      <c r="D779" s="7">
        <v>5.0193184282555604E-3</v>
      </c>
      <c r="E779" s="1" t="s">
        <v>436</v>
      </c>
      <c r="F779" s="1" t="s">
        <v>437</v>
      </c>
      <c r="G779" s="1">
        <v>14132</v>
      </c>
      <c r="H779" s="6" t="str">
        <f>HYPERLINK("http://www.ensembl.org/Mus_musculus/Gene/Summary?db=core;g=ENSMUSG00000003420","ENSMUSG00000003420")</f>
        <v>ENSMUSG00000003420</v>
      </c>
      <c r="I779" s="6" t="str">
        <f>HYPERLINK("http://www.informatics.jax.org/marker/MGI:103017","MGI:103017")</f>
        <v>MGI:103017</v>
      </c>
      <c r="J779" s="7" t="s">
        <v>12</v>
      </c>
    </row>
    <row r="780" spans="1:10" x14ac:dyDescent="0.2">
      <c r="A780" s="3">
        <v>375.93859390577097</v>
      </c>
      <c r="B780" s="1">
        <v>-0.25134293265388702</v>
      </c>
      <c r="C780" s="1">
        <v>2.6313628431950302E-4</v>
      </c>
      <c r="D780" s="7">
        <v>5.0193184282555604E-3</v>
      </c>
      <c r="E780" s="1" t="s">
        <v>1660</v>
      </c>
      <c r="F780" s="1" t="s">
        <v>1661</v>
      </c>
      <c r="G780" s="1">
        <v>28295</v>
      </c>
      <c r="H780" s="6" t="str">
        <f>HYPERLINK("http://www.ensembl.org/Mus_musculus/Gene/Summary?db=core;g=ENSMUSG00000053329","ENSMUSG00000053329")</f>
        <v>ENSMUSG00000053329</v>
      </c>
      <c r="I780" s="6" t="str">
        <f>HYPERLINK("http://www.informatics.jax.org/marker/MGI:1351861","MGI:1351861")</f>
        <v>MGI:1351861</v>
      </c>
      <c r="J780" s="7" t="s">
        <v>12</v>
      </c>
    </row>
    <row r="781" spans="1:10" x14ac:dyDescent="0.2">
      <c r="A781" s="3">
        <v>1453.0927570808699</v>
      </c>
      <c r="B781" s="1">
        <v>0.21262341219952</v>
      </c>
      <c r="C781" s="1">
        <v>2.6365608426269602E-4</v>
      </c>
      <c r="D781" s="7">
        <v>5.0196848290634203E-3</v>
      </c>
      <c r="E781" s="1" t="s">
        <v>2680</v>
      </c>
      <c r="F781" s="1" t="s">
        <v>2681</v>
      </c>
      <c r="G781" s="1">
        <v>53414</v>
      </c>
      <c r="H781" s="6" t="str">
        <f>HYPERLINK("http://www.ensembl.org/Mus_musculus/Gene/Summary?db=core;g=ENSMUSG00000023988","ENSMUSG00000023988")</f>
        <v>ENSMUSG00000023988</v>
      </c>
      <c r="I781" s="6" t="str">
        <f>HYPERLINK("http://www.informatics.jax.org/marker/MGI:1858419","MGI:1858419")</f>
        <v>MGI:1858419</v>
      </c>
      <c r="J781" s="7" t="s">
        <v>12</v>
      </c>
    </row>
    <row r="782" spans="1:10" x14ac:dyDescent="0.2">
      <c r="A782" s="3">
        <v>715.25456563830403</v>
      </c>
      <c r="B782" s="1">
        <v>-0.313138918506985</v>
      </c>
      <c r="C782" s="1">
        <v>2.65638129169107E-4</v>
      </c>
      <c r="D782" s="7">
        <v>5.0479077501715802E-3</v>
      </c>
      <c r="E782" s="1" t="s">
        <v>1382</v>
      </c>
      <c r="F782" s="1" t="s">
        <v>1383</v>
      </c>
      <c r="G782" s="1">
        <v>93747</v>
      </c>
      <c r="H782" s="6" t="str">
        <f>HYPERLINK("http://www.ensembl.org/Mus_musculus/Gene/Summary?db=core;g=ENSMUSG00000025465","ENSMUSG00000025465")</f>
        <v>ENSMUSG00000025465</v>
      </c>
      <c r="I782" s="6" t="str">
        <f>HYPERLINK("http://www.informatics.jax.org/marker/MGI:2136460","MGI:2136460")</f>
        <v>MGI:2136460</v>
      </c>
      <c r="J782" s="7" t="s">
        <v>12</v>
      </c>
    </row>
    <row r="783" spans="1:10" x14ac:dyDescent="0.2">
      <c r="A783" s="3">
        <v>71.477572883001301</v>
      </c>
      <c r="B783" s="1">
        <v>0.60257957202761403</v>
      </c>
      <c r="C783" s="1">
        <v>2.6582358944986098E-4</v>
      </c>
      <c r="D783" s="7">
        <v>5.0479077501715802E-3</v>
      </c>
      <c r="E783" s="1" t="s">
        <v>3242</v>
      </c>
      <c r="F783" s="1" t="s">
        <v>3243</v>
      </c>
      <c r="G783" s="1">
        <v>241289</v>
      </c>
      <c r="H783" s="6" t="str">
        <f>HYPERLINK("http://www.ensembl.org/Mus_musculus/Gene/Summary?db=core;g=ENSMUSG00000035829","ENSMUSG00000035829")</f>
        <v>ENSMUSG00000035829</v>
      </c>
      <c r="I783" s="6" t="str">
        <f>HYPERLINK("http://www.informatics.jax.org/marker/MGI:2685193","MGI:2685193")</f>
        <v>MGI:2685193</v>
      </c>
      <c r="J783" s="7" t="s">
        <v>12</v>
      </c>
    </row>
    <row r="784" spans="1:10" x14ac:dyDescent="0.2">
      <c r="A784" s="3">
        <v>951.01775499344797</v>
      </c>
      <c r="B784" s="1">
        <v>-0.45654736382340899</v>
      </c>
      <c r="C784" s="1">
        <v>2.69087218737892E-4</v>
      </c>
      <c r="D784" s="7">
        <v>5.1033066349054999E-3</v>
      </c>
      <c r="E784" s="1" t="s">
        <v>917</v>
      </c>
      <c r="F784" s="1" t="s">
        <v>918</v>
      </c>
      <c r="G784" s="1">
        <v>217203</v>
      </c>
      <c r="H784" s="6" t="str">
        <f>HYPERLINK("http://www.ensembl.org/Mus_musculus/Gene/Summary?db=core;g=ENSMUSG00000034947","ENSMUSG00000034947")</f>
        <v>ENSMUSG00000034947</v>
      </c>
      <c r="I784" s="6" t="str">
        <f>HYPERLINK("http://www.informatics.jax.org/marker/MGI:1922056","MGI:1922056")</f>
        <v>MGI:1922056</v>
      </c>
      <c r="J784" s="7" t="s">
        <v>12</v>
      </c>
    </row>
    <row r="785" spans="1:10" x14ac:dyDescent="0.2">
      <c r="A785" s="3">
        <v>19.855310659800502</v>
      </c>
      <c r="B785" s="1">
        <v>-1.2034333195682601</v>
      </c>
      <c r="C785" s="1">
        <v>2.7501874584012802E-4</v>
      </c>
      <c r="D785" s="7">
        <v>5.1824504331203598E-3</v>
      </c>
      <c r="E785" s="1" t="s">
        <v>229</v>
      </c>
      <c r="F785" s="1" t="s">
        <v>230</v>
      </c>
      <c r="G785" s="1">
        <v>74646</v>
      </c>
      <c r="H785" s="6" t="str">
        <f>HYPERLINK("http://www.ensembl.org/Mus_musculus/Gene/Summary?db=core;g=ENSMUSG00000039911","ENSMUSG00000039911")</f>
        <v>ENSMUSG00000039911</v>
      </c>
      <c r="I785" s="6" t="str">
        <f>HYPERLINK("http://www.informatics.jax.org/marker/MGI:1921896","MGI:1921896")</f>
        <v>MGI:1921896</v>
      </c>
      <c r="J785" s="7" t="s">
        <v>12</v>
      </c>
    </row>
    <row r="786" spans="1:10" x14ac:dyDescent="0.2">
      <c r="A786" s="3">
        <v>562.49581528705698</v>
      </c>
      <c r="B786" s="1">
        <v>-0.76573834835487298</v>
      </c>
      <c r="C786" s="1">
        <v>2.7487243384262801E-4</v>
      </c>
      <c r="D786" s="7">
        <v>5.1824504331203598E-3</v>
      </c>
      <c r="E786" s="1" t="s">
        <v>508</v>
      </c>
      <c r="F786" s="1" t="s">
        <v>509</v>
      </c>
      <c r="G786" s="1">
        <v>21858</v>
      </c>
      <c r="H786" s="6" t="str">
        <f>HYPERLINK("http://www.ensembl.org/Mus_musculus/Gene/Summary?db=core;g=ENSMUSG00000017466","ENSMUSG00000017466")</f>
        <v>ENSMUSG00000017466</v>
      </c>
      <c r="I786" s="6" t="str">
        <f>HYPERLINK("http://www.informatics.jax.org/marker/MGI:98753","MGI:98753")</f>
        <v>MGI:98753</v>
      </c>
      <c r="J786" s="7" t="s">
        <v>12</v>
      </c>
    </row>
    <row r="787" spans="1:10" x14ac:dyDescent="0.2">
      <c r="A787" s="3">
        <v>347.263928181788</v>
      </c>
      <c r="B787" s="1">
        <v>-0.72499974269643896</v>
      </c>
      <c r="C787" s="1">
        <v>2.7483170830911602E-4</v>
      </c>
      <c r="D787" s="7">
        <v>5.1824504331203598E-3</v>
      </c>
      <c r="E787" s="1" t="s">
        <v>538</v>
      </c>
      <c r="F787" s="1" t="s">
        <v>539</v>
      </c>
      <c r="G787" s="1">
        <v>224840</v>
      </c>
      <c r="H787" s="6" t="str">
        <f>HYPERLINK("http://www.ensembl.org/Mus_musculus/Gene/Summary?db=core;g=ENSMUSG00000051682","ENSMUSG00000051682")</f>
        <v>ENSMUSG00000051682</v>
      </c>
      <c r="I787" s="6" t="str">
        <f>HYPERLINK("http://www.informatics.jax.org/marker/MGI:1923239","MGI:1923239")</f>
        <v>MGI:1923239</v>
      </c>
      <c r="J787" s="7" t="s">
        <v>12</v>
      </c>
    </row>
    <row r="788" spans="1:10" x14ac:dyDescent="0.2">
      <c r="A788" s="3">
        <v>622.54538486432102</v>
      </c>
      <c r="B788" s="1">
        <v>-0.35393775593757099</v>
      </c>
      <c r="C788" s="1">
        <v>2.7445815966353602E-4</v>
      </c>
      <c r="D788" s="7">
        <v>5.1824504331203598E-3</v>
      </c>
      <c r="E788" s="1" t="s">
        <v>1228</v>
      </c>
      <c r="F788" s="1" t="s">
        <v>1229</v>
      </c>
      <c r="G788" s="1">
        <v>71712</v>
      </c>
      <c r="H788" s="6" t="str">
        <f>HYPERLINK("http://www.ensembl.org/Mus_musculus/Gene/Summary?db=core;g=ENSMUSG00000020057","ENSMUSG00000020057")</f>
        <v>ENSMUSG00000020057</v>
      </c>
      <c r="I788" s="6" t="str">
        <f>HYPERLINK("http://www.informatics.jax.org/marker/MGI:1918962","MGI:1918962")</f>
        <v>MGI:1918962</v>
      </c>
      <c r="J788" s="7" t="s">
        <v>12</v>
      </c>
    </row>
    <row r="789" spans="1:10" x14ac:dyDescent="0.2">
      <c r="A789" s="3">
        <v>608.91630176051694</v>
      </c>
      <c r="B789" s="1">
        <v>-0.29509362053256299</v>
      </c>
      <c r="C789" s="1">
        <v>2.7420128651846402E-4</v>
      </c>
      <c r="D789" s="7">
        <v>5.1824504331203598E-3</v>
      </c>
      <c r="E789" s="1" t="s">
        <v>1472</v>
      </c>
      <c r="F789" s="1" t="s">
        <v>1473</v>
      </c>
      <c r="G789" s="1">
        <v>16190</v>
      </c>
      <c r="H789" s="6" t="str">
        <f>HYPERLINK("http://www.ensembl.org/Mus_musculus/Gene/Summary?db=core;g=ENSMUSG00000030748","ENSMUSG00000030748")</f>
        <v>ENSMUSG00000030748</v>
      </c>
      <c r="I789" s="6" t="str">
        <f>HYPERLINK("http://www.informatics.jax.org/marker/MGI:105367","MGI:105367")</f>
        <v>MGI:105367</v>
      </c>
      <c r="J789" s="7" t="s">
        <v>12</v>
      </c>
    </row>
    <row r="790" spans="1:10" x14ac:dyDescent="0.2">
      <c r="A790" s="3">
        <v>7.9645435733453596</v>
      </c>
      <c r="B790" s="1">
        <v>-1.2789052818970801</v>
      </c>
      <c r="C790" s="1">
        <v>2.76948859664154E-4</v>
      </c>
      <c r="D790" s="7">
        <v>5.2121563167445402E-3</v>
      </c>
      <c r="E790" s="1" t="s">
        <v>191</v>
      </c>
      <c r="F790" s="1" t="s">
        <v>192</v>
      </c>
      <c r="G790" s="1">
        <v>104111</v>
      </c>
      <c r="H790" s="6" t="str">
        <f>HYPERLINK("http://www.ensembl.org/Mus_musculus/Gene/Summary?db=core;g=ENSMUSG00000020654","ENSMUSG00000020654")</f>
        <v>ENSMUSG00000020654</v>
      </c>
      <c r="I790" s="6" t="str">
        <f>HYPERLINK("http://www.informatics.jax.org/marker/MGI:99675","MGI:99675")</f>
        <v>MGI:99675</v>
      </c>
      <c r="J790" s="7" t="s">
        <v>12</v>
      </c>
    </row>
    <row r="791" spans="1:10" x14ac:dyDescent="0.2">
      <c r="A791" s="3">
        <v>929.480039753558</v>
      </c>
      <c r="B791" s="1">
        <v>0.233164431001084</v>
      </c>
      <c r="C791" s="1">
        <v>2.7784962252940302E-4</v>
      </c>
      <c r="D791" s="7">
        <v>5.2224388234608198E-3</v>
      </c>
      <c r="E791" s="1" t="s">
        <v>2806</v>
      </c>
      <c r="F791" s="1" t="s">
        <v>2807</v>
      </c>
      <c r="G791" s="1">
        <v>67239</v>
      </c>
      <c r="H791" s="6" t="str">
        <f>HYPERLINK("http://www.ensembl.org/Mus_musculus/Gene/Summary?db=core;g=ENSMUSG00000038510","ENSMUSG00000038510")</f>
        <v>ENSMUSG00000038510</v>
      </c>
      <c r="I791" s="6" t="str">
        <f>HYPERLINK("http://www.informatics.jax.org/marker/MGI:1914489","MGI:1914489")</f>
        <v>MGI:1914489</v>
      </c>
      <c r="J791" s="7" t="s">
        <v>12</v>
      </c>
    </row>
    <row r="792" spans="1:10" x14ac:dyDescent="0.2">
      <c r="A792" s="3">
        <v>3052.6768361602499</v>
      </c>
      <c r="B792" s="1">
        <v>-0.83466178817061298</v>
      </c>
      <c r="C792" s="1">
        <v>2.78479540156163E-4</v>
      </c>
      <c r="D792" s="7">
        <v>5.2276108327913703E-3</v>
      </c>
      <c r="E792" s="1" t="s">
        <v>456</v>
      </c>
      <c r="F792" s="1" t="s">
        <v>457</v>
      </c>
      <c r="G792" s="1">
        <v>20303</v>
      </c>
      <c r="H792" s="6" t="str">
        <f>HYPERLINK("http://www.ensembl.org/Mus_musculus/Gene/Summary?db=core;g=ENSMUSG00000018930","ENSMUSG00000018930")</f>
        <v>ENSMUSG00000018930</v>
      </c>
      <c r="I792" s="6" t="str">
        <f>HYPERLINK("http://www.informatics.jax.org/marker/MGI:98261","MGI:98261")</f>
        <v>MGI:98261</v>
      </c>
      <c r="J792" s="7" t="s">
        <v>12</v>
      </c>
    </row>
    <row r="793" spans="1:10" x14ac:dyDescent="0.2">
      <c r="A793" s="3">
        <v>1358.13485384809</v>
      </c>
      <c r="B793" s="1">
        <v>0.23829171135388699</v>
      </c>
      <c r="C793" s="1">
        <v>2.81082094269315E-4</v>
      </c>
      <c r="D793" s="7">
        <v>5.26975285133921E-3</v>
      </c>
      <c r="E793" s="1" t="s">
        <v>2832</v>
      </c>
      <c r="F793" s="1" t="s">
        <v>2833</v>
      </c>
      <c r="G793" s="1">
        <v>66164</v>
      </c>
      <c r="H793" s="6" t="str">
        <f>HYPERLINK("http://www.ensembl.org/Mus_musculus/Gene/Summary?db=core;g=ENSMUSG00000031917","ENSMUSG00000031917")</f>
        <v>ENSMUSG00000031917</v>
      </c>
      <c r="I793" s="6" t="str">
        <f>HYPERLINK("http://www.informatics.jax.org/marker/MGI:1913414","MGI:1913414")</f>
        <v>MGI:1913414</v>
      </c>
      <c r="J793" s="7" t="s">
        <v>12</v>
      </c>
    </row>
    <row r="794" spans="1:10" x14ac:dyDescent="0.2">
      <c r="A794" s="3">
        <v>1419.6706341444699</v>
      </c>
      <c r="B794" s="1">
        <v>-0.22007165749472901</v>
      </c>
      <c r="C794" s="1">
        <v>2.8203409693518402E-4</v>
      </c>
      <c r="D794" s="7">
        <v>5.2808824046211801E-3</v>
      </c>
      <c r="E794" s="1" t="s">
        <v>1816</v>
      </c>
      <c r="F794" s="1" t="s">
        <v>1817</v>
      </c>
      <c r="G794" s="1">
        <v>14420</v>
      </c>
      <c r="H794" s="6" t="str">
        <f>HYPERLINK("http://www.ensembl.org/Mus_musculus/Gene/Summary?db=core;g=ENSMUSG00000021003","ENSMUSG00000021003")</f>
        <v>ENSMUSG00000021003</v>
      </c>
      <c r="I794" s="6" t="str">
        <f>HYPERLINK("http://www.informatics.jax.org/marker/MGI:95636","MGI:95636")</f>
        <v>MGI:95636</v>
      </c>
      <c r="J794" s="7" t="s">
        <v>12</v>
      </c>
    </row>
    <row r="795" spans="1:10" x14ac:dyDescent="0.2">
      <c r="A795" s="3">
        <v>359.11760784845097</v>
      </c>
      <c r="B795" s="1">
        <v>-1.2313603980252299</v>
      </c>
      <c r="C795" s="1">
        <v>2.8329944852100803E-4</v>
      </c>
      <c r="D795" s="7">
        <v>5.2978434941694996E-3</v>
      </c>
      <c r="E795" s="1" t="s">
        <v>220</v>
      </c>
      <c r="F795" s="1" t="s">
        <v>221</v>
      </c>
      <c r="G795" s="1">
        <v>327959</v>
      </c>
      <c r="H795" s="6" t="str">
        <f>HYPERLINK("http://www.ensembl.org/Mus_musculus/Gene/Summary?db=core;g=ENSMUSG00000040483","ENSMUSG00000040483")</f>
        <v>ENSMUSG00000040483</v>
      </c>
      <c r="I795" s="6" t="str">
        <f>HYPERLINK("http://www.informatics.jax.org/marker/MGI:3772572","MGI:3772572")</f>
        <v>MGI:3772572</v>
      </c>
      <c r="J795" s="7" t="s">
        <v>12</v>
      </c>
    </row>
    <row r="796" spans="1:10" x14ac:dyDescent="0.2">
      <c r="A796" s="3">
        <v>4756.7228155329904</v>
      </c>
      <c r="B796" s="1">
        <v>-0.398199613421369</v>
      </c>
      <c r="C796" s="1">
        <v>2.8476482464408599E-4</v>
      </c>
      <c r="D796" s="7">
        <v>5.3184974093222403E-3</v>
      </c>
      <c r="E796" s="1" t="s">
        <v>1109</v>
      </c>
      <c r="F796" s="1" t="s">
        <v>1110</v>
      </c>
      <c r="G796" s="1">
        <v>21356</v>
      </c>
      <c r="H796" s="6" t="str">
        <f>HYPERLINK("http://www.ensembl.org/Mus_musculus/Gene/Summary?db=core;g=ENSMUSG00000024308","ENSMUSG00000024308")</f>
        <v>ENSMUSG00000024308</v>
      </c>
      <c r="I796" s="6" t="str">
        <f>HYPERLINK("http://www.informatics.jax.org/marker/MGI:1201689","MGI:1201689")</f>
        <v>MGI:1201689</v>
      </c>
      <c r="J796" s="7" t="s">
        <v>12</v>
      </c>
    </row>
    <row r="797" spans="1:10" x14ac:dyDescent="0.2">
      <c r="A797" s="3">
        <v>157.43863015264699</v>
      </c>
      <c r="B797" s="1">
        <v>0.34645840680008599</v>
      </c>
      <c r="C797" s="1">
        <v>2.8659374478662899E-4</v>
      </c>
      <c r="D797" s="7">
        <v>5.3458802825009696E-3</v>
      </c>
      <c r="E797" s="1" t="s">
        <v>3088</v>
      </c>
      <c r="F797" s="1" t="s">
        <v>3089</v>
      </c>
      <c r="G797" s="1">
        <v>215707</v>
      </c>
      <c r="H797" s="6" t="str">
        <f>HYPERLINK("http://www.ensembl.org/Mus_musculus/Gene/Summary?db=core;g=ENSMUSG00000037979","ENSMUSG00000037979")</f>
        <v>ENSMUSG00000037979</v>
      </c>
      <c r="I797" s="6" t="str">
        <f>HYPERLINK("http://www.informatics.jax.org/marker/MGI:106485","MGI:106485")</f>
        <v>MGI:106485</v>
      </c>
      <c r="J797" s="7" t="s">
        <v>12</v>
      </c>
    </row>
    <row r="798" spans="1:10" x14ac:dyDescent="0.2">
      <c r="A798" s="3">
        <v>856.87096578303203</v>
      </c>
      <c r="B798" s="1">
        <v>0.194475886283659</v>
      </c>
      <c r="C798" s="1">
        <v>2.8949261820961699E-4</v>
      </c>
      <c r="D798" s="7">
        <v>5.38644418801657E-3</v>
      </c>
      <c r="E798" s="1" t="s">
        <v>2562</v>
      </c>
      <c r="F798" s="1" t="s">
        <v>2563</v>
      </c>
      <c r="G798" s="1">
        <v>80985</v>
      </c>
      <c r="H798" s="6" t="str">
        <f>HYPERLINK("http://www.ensembl.org/Mus_musculus/Gene/Summary?db=core;g=ENSMUSG00000027189","ENSMUSG00000027189")</f>
        <v>ENSMUSG00000027189</v>
      </c>
      <c r="I798" s="6" t="str">
        <f>HYPERLINK("http://www.informatics.jax.org/marker/MGI:1931835","MGI:1931835")</f>
        <v>MGI:1931835</v>
      </c>
      <c r="J798" s="7" t="s">
        <v>12</v>
      </c>
    </row>
    <row r="799" spans="1:10" x14ac:dyDescent="0.2">
      <c r="A799" s="3">
        <v>641.058536500993</v>
      </c>
      <c r="B799" s="1">
        <v>0.233267024898558</v>
      </c>
      <c r="C799" s="1">
        <v>2.8949944332988103E-4</v>
      </c>
      <c r="D799" s="7">
        <v>5.38644418801657E-3</v>
      </c>
      <c r="E799" s="1" t="s">
        <v>2808</v>
      </c>
      <c r="F799" s="1" t="s">
        <v>2809</v>
      </c>
      <c r="G799" s="1">
        <v>21341</v>
      </c>
      <c r="H799" s="6" t="str">
        <f>HYPERLINK("http://www.ensembl.org/Mus_musculus/Gene/Summary?db=core;g=ENSMUSG00000031832","ENSMUSG00000031832")</f>
        <v>ENSMUSG00000031832</v>
      </c>
      <c r="I799" s="6" t="str">
        <f>HYPERLINK("http://www.informatics.jax.org/marker/MGI:109576","MGI:109576")</f>
        <v>MGI:109576</v>
      </c>
      <c r="J799" s="7" t="s">
        <v>12</v>
      </c>
    </row>
    <row r="800" spans="1:10" x14ac:dyDescent="0.2">
      <c r="A800" s="3">
        <v>108.59952544568399</v>
      </c>
      <c r="B800" s="1">
        <v>-0.868288143487427</v>
      </c>
      <c r="C800" s="1">
        <v>2.9257037168774999E-4</v>
      </c>
      <c r="D800" s="7">
        <v>5.4110656891707496E-3</v>
      </c>
      <c r="E800" s="1" t="s">
        <v>425</v>
      </c>
      <c r="F800" s="1" t="s">
        <v>426</v>
      </c>
      <c r="G800" s="1">
        <v>74145</v>
      </c>
      <c r="H800" s="6" t="str">
        <f>HYPERLINK("http://www.ensembl.org/Mus_musculus/Gene/Summary?db=core;g=ENSMUSG00000039109","ENSMUSG00000039109")</f>
        <v>ENSMUSG00000039109</v>
      </c>
      <c r="I800" s="6" t="str">
        <f>HYPERLINK("http://www.informatics.jax.org/marker/MGI:1921395","MGI:1921395")</f>
        <v>MGI:1921395</v>
      </c>
      <c r="J800" s="7" t="s">
        <v>12</v>
      </c>
    </row>
    <row r="801" spans="1:10" x14ac:dyDescent="0.2">
      <c r="A801" s="3">
        <v>1124.7703427272199</v>
      </c>
      <c r="B801" s="1">
        <v>-0.31608392790011602</v>
      </c>
      <c r="C801" s="1">
        <v>2.9156034743515601E-4</v>
      </c>
      <c r="D801" s="7">
        <v>5.4110656891707496E-3</v>
      </c>
      <c r="E801" s="1" t="s">
        <v>1368</v>
      </c>
      <c r="F801" s="1" t="s">
        <v>1369</v>
      </c>
      <c r="G801" s="1">
        <v>57436</v>
      </c>
      <c r="H801" s="6" t="str">
        <f>HYPERLINK("http://www.ensembl.org/Mus_musculus/Gene/Summary?db=core;g=ENSMUSG00000030161","ENSMUSG00000030161")</f>
        <v>ENSMUSG00000030161</v>
      </c>
      <c r="I801" s="6" t="str">
        <f>HYPERLINK("http://www.informatics.jax.org/marker/MGI:1914980","MGI:1914980")</f>
        <v>MGI:1914980</v>
      </c>
      <c r="J801" s="7" t="s">
        <v>12</v>
      </c>
    </row>
    <row r="802" spans="1:10" x14ac:dyDescent="0.2">
      <c r="A802" s="3">
        <v>589.49813029647305</v>
      </c>
      <c r="B802" s="1">
        <v>-0.30717737308763599</v>
      </c>
      <c r="C802" s="1">
        <v>2.9265875096831499E-4</v>
      </c>
      <c r="D802" s="7">
        <v>5.4110656891707496E-3</v>
      </c>
      <c r="E802" s="1" t="s">
        <v>1426</v>
      </c>
      <c r="F802" s="1" t="s">
        <v>1427</v>
      </c>
      <c r="G802" s="1">
        <v>12506</v>
      </c>
      <c r="H802" s="6" t="str">
        <f>HYPERLINK("http://www.ensembl.org/Mus_musculus/Gene/Summary?db=core;g=ENSMUSG00000015355","ENSMUSG00000015355")</f>
        <v>ENSMUSG00000015355</v>
      </c>
      <c r="I802" s="6" t="str">
        <f>HYPERLINK("http://www.informatics.jax.org/marker/MGI:88339","MGI:88339")</f>
        <v>MGI:88339</v>
      </c>
      <c r="J802" s="7" t="s">
        <v>12</v>
      </c>
    </row>
    <row r="803" spans="1:10" x14ac:dyDescent="0.2">
      <c r="A803" s="3">
        <v>646.178146601511</v>
      </c>
      <c r="B803" s="1">
        <v>-0.25702188310792401</v>
      </c>
      <c r="C803" s="1">
        <v>2.9181696506800899E-4</v>
      </c>
      <c r="D803" s="7">
        <v>5.4110656891707496E-3</v>
      </c>
      <c r="E803" s="1" t="s">
        <v>1632</v>
      </c>
      <c r="F803" s="1" t="s">
        <v>1633</v>
      </c>
      <c r="G803" s="1">
        <v>94280</v>
      </c>
      <c r="H803" s="6" t="str">
        <f>HYPERLINK("http://www.ensembl.org/Mus_musculus/Gene/Summary?db=core;g=ENSMUSG00000025212","ENSMUSG00000025212")</f>
        <v>ENSMUSG00000025212</v>
      </c>
      <c r="I803" s="6" t="str">
        <f>HYPERLINK("http://www.informatics.jax.org/marker/MGI:2137679","MGI:2137679")</f>
        <v>MGI:2137679</v>
      </c>
      <c r="J803" s="7" t="s">
        <v>12</v>
      </c>
    </row>
    <row r="804" spans="1:10" x14ac:dyDescent="0.2">
      <c r="A804" s="3">
        <v>6717.4425468760101</v>
      </c>
      <c r="B804" s="1">
        <v>0.10111235062561</v>
      </c>
      <c r="C804" s="1">
        <v>2.9216746121210602E-4</v>
      </c>
      <c r="D804" s="7">
        <v>5.4110656891707496E-3</v>
      </c>
      <c r="E804" s="1" t="s">
        <v>2186</v>
      </c>
      <c r="F804" s="1" t="s">
        <v>2187</v>
      </c>
      <c r="G804" s="1">
        <v>66855</v>
      </c>
      <c r="H804" s="6" t="str">
        <f>HYPERLINK("http://www.ensembl.org/Mus_musculus/Gene/Summary?db=core;g=ENSMUSG00000001472","ENSMUSG00000001472")</f>
        <v>ENSMUSG00000001472</v>
      </c>
      <c r="I804" s="6" t="str">
        <f>HYPERLINK("http://www.informatics.jax.org/marker/MGI:1914105","MGI:1914105")</f>
        <v>MGI:1914105</v>
      </c>
      <c r="J804" s="7" t="s">
        <v>12</v>
      </c>
    </row>
    <row r="805" spans="1:10" x14ac:dyDescent="0.2">
      <c r="A805" s="3">
        <v>217.39626344803</v>
      </c>
      <c r="B805" s="1">
        <v>-0.65224449283229802</v>
      </c>
      <c r="C805" s="1">
        <v>2.96745076395919E-4</v>
      </c>
      <c r="D805" s="7">
        <v>5.4666507222860001E-3</v>
      </c>
      <c r="E805" s="1" t="s">
        <v>598</v>
      </c>
      <c r="F805" s="1" t="s">
        <v>599</v>
      </c>
      <c r="G805" s="1">
        <v>53945</v>
      </c>
      <c r="H805" s="6" t="str">
        <f>HYPERLINK("http://www.ensembl.org/Mus_musculus/Gene/Summary?db=core;g=ENSMUSG00000025993","ENSMUSG00000025993")</f>
        <v>ENSMUSG00000025993</v>
      </c>
      <c r="I805" s="6" t="str">
        <f>HYPERLINK("http://www.informatics.jax.org/marker/MGI:1315204","MGI:1315204")</f>
        <v>MGI:1315204</v>
      </c>
      <c r="J805" s="7" t="s">
        <v>12</v>
      </c>
    </row>
    <row r="806" spans="1:10" x14ac:dyDescent="0.2">
      <c r="A806" s="3">
        <v>1177.22117456608</v>
      </c>
      <c r="B806" s="1">
        <v>-0.217996325810449</v>
      </c>
      <c r="C806" s="1">
        <v>2.96086540363577E-4</v>
      </c>
      <c r="D806" s="7">
        <v>5.4666507222860001E-3</v>
      </c>
      <c r="E806" s="1" t="s">
        <v>1826</v>
      </c>
      <c r="F806" s="1" t="s">
        <v>1827</v>
      </c>
      <c r="G806" s="1">
        <v>245945</v>
      </c>
      <c r="H806" s="6" t="str">
        <f>HYPERLINK("http://www.ensembl.org/Mus_musculus/Gene/Summary?db=core;g=ENSMUSG00000070780","ENSMUSG00000070780")</f>
        <v>ENSMUSG00000070780</v>
      </c>
      <c r="I806" s="6" t="str">
        <f>HYPERLINK("http://www.informatics.jax.org/marker/MGI:2384294","MGI:2384294")</f>
        <v>MGI:2384294</v>
      </c>
      <c r="J806" s="7" t="s">
        <v>12</v>
      </c>
    </row>
    <row r="807" spans="1:10" x14ac:dyDescent="0.2">
      <c r="A807" s="3">
        <v>234.42917146537599</v>
      </c>
      <c r="B807" s="1">
        <v>0.298775645648098</v>
      </c>
      <c r="C807" s="1">
        <v>2.96777997952552E-4</v>
      </c>
      <c r="D807" s="7">
        <v>5.4666507222860001E-3</v>
      </c>
      <c r="E807" s="1" t="s">
        <v>3000</v>
      </c>
      <c r="F807" s="1" t="s">
        <v>3001</v>
      </c>
      <c r="G807" s="1">
        <v>72795</v>
      </c>
      <c r="H807" s="6" t="str">
        <f>HYPERLINK("http://www.ensembl.org/Mus_musculus/Gene/Summary?db=core;g=ENSMUSG00000042298","ENSMUSG00000042298")</f>
        <v>ENSMUSG00000042298</v>
      </c>
      <c r="I807" s="6" t="str">
        <f>HYPERLINK("http://www.informatics.jax.org/marker/MGI:1920045","MGI:1920045")</f>
        <v>MGI:1920045</v>
      </c>
      <c r="J807" s="7" t="s">
        <v>12</v>
      </c>
    </row>
    <row r="808" spans="1:10" x14ac:dyDescent="0.2">
      <c r="A808" s="3">
        <v>1067.1931063491199</v>
      </c>
      <c r="B808" s="1">
        <v>-0.28168951518063201</v>
      </c>
      <c r="C808" s="1">
        <v>2.9982691104933498E-4</v>
      </c>
      <c r="D808" s="7">
        <v>5.5159168055218403E-3</v>
      </c>
      <c r="E808" s="1" t="s">
        <v>1534</v>
      </c>
      <c r="F808" s="1" t="s">
        <v>1535</v>
      </c>
      <c r="G808" s="1">
        <v>17524</v>
      </c>
      <c r="H808" s="6" t="str">
        <f>HYPERLINK("http://www.ensembl.org/Mus_musculus/Gene/Summary?db=core;g=ENSMUSG00000031402","ENSMUSG00000031402")</f>
        <v>ENSMUSG00000031402</v>
      </c>
      <c r="I808" s="6" t="str">
        <f>HYPERLINK("http://www.informatics.jax.org/marker/MGI:105941","MGI:105941")</f>
        <v>MGI:105941</v>
      </c>
      <c r="J808" s="7" t="s">
        <v>12</v>
      </c>
    </row>
    <row r="809" spans="1:10" x14ac:dyDescent="0.2">
      <c r="A809" s="3">
        <v>131.67664958052299</v>
      </c>
      <c r="B809" s="1">
        <v>-0.52916530100930703</v>
      </c>
      <c r="C809" s="1">
        <v>3.0100319148592498E-4</v>
      </c>
      <c r="D809" s="7">
        <v>5.5285068658693899E-3</v>
      </c>
      <c r="E809" s="1" t="s">
        <v>797</v>
      </c>
      <c r="F809" s="1" t="s">
        <v>798</v>
      </c>
      <c r="G809" s="1">
        <v>214106</v>
      </c>
      <c r="H809" s="6" t="str">
        <f>HYPERLINK("http://www.ensembl.org/Mus_musculus/Gene/Summary?db=core;g=ENSMUSG00000058046","ENSMUSG00000058046")</f>
        <v>ENSMUSG00000058046</v>
      </c>
      <c r="I809" s="6" t="str">
        <f>HYPERLINK("http://www.informatics.jax.org/marker/MGI:3045314","MGI:3045314")</f>
        <v>MGI:3045314</v>
      </c>
      <c r="J809" s="7" t="s">
        <v>12</v>
      </c>
    </row>
    <row r="810" spans="1:10" x14ac:dyDescent="0.2">
      <c r="A810" s="3">
        <v>60.315133998981501</v>
      </c>
      <c r="B810" s="1">
        <v>-0.50372393994968301</v>
      </c>
      <c r="C810" s="1">
        <v>3.0126160513661198E-4</v>
      </c>
      <c r="D810" s="7">
        <v>5.5285068658693899E-3</v>
      </c>
      <c r="E810" s="1" t="s">
        <v>825</v>
      </c>
      <c r="F810" s="1" t="s">
        <v>826</v>
      </c>
      <c r="G810" s="1">
        <v>22377</v>
      </c>
      <c r="H810" s="6" t="str">
        <f>HYPERLINK("http://www.ensembl.org/Mus_musculus/Gene/Summary?db=core;g=ENSMUSG00000030035","ENSMUSG00000030035")</f>
        <v>ENSMUSG00000030035</v>
      </c>
      <c r="I810" s="6" t="str">
        <f>HYPERLINK("http://www.informatics.jax.org/marker/MGI:104710","MGI:104710")</f>
        <v>MGI:104710</v>
      </c>
      <c r="J810" s="7" t="s">
        <v>12</v>
      </c>
    </row>
    <row r="811" spans="1:10" x14ac:dyDescent="0.2">
      <c r="A811" s="3">
        <v>656.79912828064505</v>
      </c>
      <c r="B811" s="1">
        <v>-0.249127923525265</v>
      </c>
      <c r="C811" s="1">
        <v>3.0263097395778402E-4</v>
      </c>
      <c r="D811" s="7">
        <v>5.5398385493688196E-3</v>
      </c>
      <c r="E811" s="1" t="s">
        <v>1664</v>
      </c>
      <c r="F811" s="1" t="s">
        <v>1665</v>
      </c>
      <c r="G811" s="1">
        <v>224014</v>
      </c>
      <c r="H811" s="6" t="str">
        <f>HYPERLINK("http://www.ensembl.org/Mus_musculus/Gene/Summary?db=core;g=ENSMUSG00000022788","ENSMUSG00000022788")</f>
        <v>ENSMUSG00000022788</v>
      </c>
      <c r="I811" s="6" t="str">
        <f>HYPERLINK("http://www.informatics.jax.org/marker/MGI:2183747","MGI:2183747")</f>
        <v>MGI:2183747</v>
      </c>
      <c r="J811" s="7" t="s">
        <v>12</v>
      </c>
    </row>
    <row r="812" spans="1:10" x14ac:dyDescent="0.2">
      <c r="A812" s="3">
        <v>4234.99762296266</v>
      </c>
      <c r="B812" s="1">
        <v>0.20171899759978401</v>
      </c>
      <c r="C812" s="1">
        <v>3.0262474921498701E-4</v>
      </c>
      <c r="D812" s="7">
        <v>5.5398385493688196E-3</v>
      </c>
      <c r="E812" s="1" t="s">
        <v>2614</v>
      </c>
      <c r="F812" s="1" t="s">
        <v>2615</v>
      </c>
      <c r="G812" s="1">
        <v>19177</v>
      </c>
      <c r="H812" s="6" t="str">
        <f>HYPERLINK("http://www.ensembl.org/Mus_musculus/Gene/Summary?db=core;g=ENSMUSG00000026750","ENSMUSG00000026750")</f>
        <v>ENSMUSG00000026750</v>
      </c>
      <c r="I812" s="6" t="str">
        <f>HYPERLINK("http://www.informatics.jax.org/marker/MGI:107637","MGI:107637")</f>
        <v>MGI:107637</v>
      </c>
      <c r="J812" s="7" t="s">
        <v>12</v>
      </c>
    </row>
    <row r="813" spans="1:10" x14ac:dyDescent="0.2">
      <c r="A813" s="3">
        <v>2237.8220023876302</v>
      </c>
      <c r="B813" s="1">
        <v>-0.269262282875256</v>
      </c>
      <c r="C813" s="1">
        <v>3.0448003570235902E-4</v>
      </c>
      <c r="D813" s="7">
        <v>5.56677147160044E-3</v>
      </c>
      <c r="E813" s="1" t="s">
        <v>1578</v>
      </c>
      <c r="F813" s="1" t="s">
        <v>1579</v>
      </c>
      <c r="G813" s="1">
        <v>21985</v>
      </c>
      <c r="H813" s="6" t="str">
        <f>HYPERLINK("http://www.ensembl.org/Mus_musculus/Gene/Summary?db=core;g=ENSMUSG00000027506","ENSMUSG00000027506")</f>
        <v>ENSMUSG00000027506</v>
      </c>
      <c r="I813" s="6" t="str">
        <f>HYPERLINK("http://www.informatics.jax.org/marker/MGI:107749","MGI:107749")</f>
        <v>MGI:107749</v>
      </c>
      <c r="J813" s="7" t="s">
        <v>12</v>
      </c>
    </row>
    <row r="814" spans="1:10" x14ac:dyDescent="0.2">
      <c r="A814" s="3">
        <v>542.421030848756</v>
      </c>
      <c r="B814" s="1">
        <v>0.23672786847390501</v>
      </c>
      <c r="C814" s="1">
        <v>3.0533518186983701E-4</v>
      </c>
      <c r="D814" s="7">
        <v>5.5754885254447597E-3</v>
      </c>
      <c r="E814" s="1" t="s">
        <v>2820</v>
      </c>
      <c r="F814" s="1" t="s">
        <v>2821</v>
      </c>
      <c r="G814" s="1">
        <v>66350</v>
      </c>
      <c r="H814" s="6" t="str">
        <f>HYPERLINK("http://www.ensembl.org/Mus_musculus/Gene/Summary?db=core;g=ENSMUSG00000027999","ENSMUSG00000027999")</f>
        <v>ENSMUSG00000027999</v>
      </c>
      <c r="I814" s="6" t="str">
        <f>HYPERLINK("http://www.informatics.jax.org/marker/MGI:1913600","MGI:1913600")</f>
        <v>MGI:1913600</v>
      </c>
      <c r="J814" s="7" t="s">
        <v>12</v>
      </c>
    </row>
    <row r="815" spans="1:10" x14ac:dyDescent="0.2">
      <c r="A815" s="3">
        <v>726.49549213098203</v>
      </c>
      <c r="B815" s="1">
        <v>-0.20612696900608299</v>
      </c>
      <c r="C815" s="1">
        <v>3.0593217037553998E-4</v>
      </c>
      <c r="D815" s="7">
        <v>5.57947582011628E-3</v>
      </c>
      <c r="E815" s="1" t="s">
        <v>1882</v>
      </c>
      <c r="F815" s="1" t="s">
        <v>1883</v>
      </c>
      <c r="G815" s="1">
        <v>107568</v>
      </c>
      <c r="H815" s="6" t="str">
        <f>HYPERLINK("http://www.ensembl.org/Mus_musculus/Gene/Summary?db=core;g=ENSMUSG00000041058","ENSMUSG00000041058")</f>
        <v>ENSMUSG00000041058</v>
      </c>
      <c r="I815" s="6" t="str">
        <f>HYPERLINK("http://www.informatics.jax.org/marker/MGI:1861728","MGI:1861728")</f>
        <v>MGI:1861728</v>
      </c>
      <c r="J815" s="7" t="s">
        <v>12</v>
      </c>
    </row>
    <row r="816" spans="1:10" x14ac:dyDescent="0.2">
      <c r="A816" s="3">
        <v>8654.4258303452898</v>
      </c>
      <c r="B816" s="1">
        <v>0.155843904994305</v>
      </c>
      <c r="C816" s="1">
        <v>3.08105959426781E-4</v>
      </c>
      <c r="D816" s="7">
        <v>5.6121748060729898E-3</v>
      </c>
      <c r="E816" s="1" t="s">
        <v>2352</v>
      </c>
      <c r="F816" s="1" t="s">
        <v>2353</v>
      </c>
      <c r="G816" s="1">
        <v>227613</v>
      </c>
      <c r="H816" s="6" t="str">
        <f>HYPERLINK("http://www.ensembl.org/Mus_musculus/Gene/Summary?db=core;g=ENSMUSG00000036752","ENSMUSG00000036752")</f>
        <v>ENSMUSG00000036752</v>
      </c>
      <c r="I816" s="6" t="str">
        <f>HYPERLINK("http://www.informatics.jax.org/marker/MGI:1915472","MGI:1915472")</f>
        <v>MGI:1915472</v>
      </c>
      <c r="J816" s="7" t="s">
        <v>12</v>
      </c>
    </row>
    <row r="817" spans="1:10" x14ac:dyDescent="0.2">
      <c r="A817" s="3">
        <v>59.317874514121698</v>
      </c>
      <c r="B817" s="1">
        <v>-0.59755353728592298</v>
      </c>
      <c r="C817" s="1">
        <v>3.0989578616550501E-4</v>
      </c>
      <c r="D817" s="7">
        <v>5.6308561096607701E-3</v>
      </c>
      <c r="E817" s="1" t="s">
        <v>679</v>
      </c>
      <c r="F817" s="1" t="s">
        <v>680</v>
      </c>
      <c r="G817" s="1">
        <v>244853</v>
      </c>
      <c r="H817" s="6" t="str">
        <f>HYPERLINK("http://www.ensembl.org/Mus_musculus/Gene/Summary?db=core;g=ENSMUSG00000044229","ENSMUSG00000044229")</f>
        <v>ENSMUSG00000044229</v>
      </c>
      <c r="I817" s="6" t="str">
        <f>HYPERLINK("http://www.informatics.jax.org/marker/MGI:1924792","MGI:1924792")</f>
        <v>MGI:1924792</v>
      </c>
      <c r="J817" s="7" t="s">
        <v>12</v>
      </c>
    </row>
    <row r="818" spans="1:10" x14ac:dyDescent="0.2">
      <c r="A818" s="3">
        <v>1529.7100417075101</v>
      </c>
      <c r="B818" s="1">
        <v>-0.32911332427109102</v>
      </c>
      <c r="C818" s="1">
        <v>3.0982611443343199E-4</v>
      </c>
      <c r="D818" s="7">
        <v>5.6308561096607701E-3</v>
      </c>
      <c r="E818" s="1" t="s">
        <v>1310</v>
      </c>
      <c r="F818" s="1" t="s">
        <v>1311</v>
      </c>
      <c r="G818" s="1">
        <v>17101</v>
      </c>
      <c r="H818" s="6" t="str">
        <f>HYPERLINK("http://www.ensembl.org/Mus_musculus/Gene/Summary?db=core;g=ENSMUSG00000019726","ENSMUSG00000019726")</f>
        <v>ENSMUSG00000019726</v>
      </c>
      <c r="I818" s="6" t="str">
        <f>HYPERLINK("http://www.informatics.jax.org/marker/MGI:107448","MGI:107448")</f>
        <v>MGI:107448</v>
      </c>
      <c r="J818" s="7" t="s">
        <v>12</v>
      </c>
    </row>
    <row r="819" spans="1:10" x14ac:dyDescent="0.2">
      <c r="A819" s="3">
        <v>29.459927232618501</v>
      </c>
      <c r="B819" s="1">
        <v>-0.77381690517127399</v>
      </c>
      <c r="C819" s="1">
        <v>3.2167390976835703E-4</v>
      </c>
      <c r="D819" s="7">
        <v>5.8376683920523496E-3</v>
      </c>
      <c r="E819" s="1" t="s">
        <v>496</v>
      </c>
      <c r="F819" s="1" t="s">
        <v>497</v>
      </c>
      <c r="G819" s="1">
        <v>79565</v>
      </c>
      <c r="H819" s="6" t="str">
        <f>HYPERLINK("http://www.ensembl.org/Mus_musculus/Gene/Summary?db=core;g=ENSMUSG00000040557","ENSMUSG00000040557")</f>
        <v>ENSMUSG00000040557</v>
      </c>
      <c r="I819" s="6" t="str">
        <f>HYPERLINK("http://www.informatics.jax.org/marker/MGI:1933146","MGI:1933146")</f>
        <v>MGI:1933146</v>
      </c>
      <c r="J819" s="7" t="s">
        <v>12</v>
      </c>
    </row>
    <row r="820" spans="1:10" x14ac:dyDescent="0.2">
      <c r="A820" s="3">
        <v>8.8652576167899504</v>
      </c>
      <c r="B820" s="1">
        <v>-1.37984597921076</v>
      </c>
      <c r="C820" s="1">
        <v>3.23515396458131E-4</v>
      </c>
      <c r="D820" s="7">
        <v>5.8566620174533403E-3</v>
      </c>
      <c r="E820" s="1" t="s">
        <v>152</v>
      </c>
      <c r="F820" s="1" t="s">
        <v>153</v>
      </c>
      <c r="G820" s="1">
        <v>71918</v>
      </c>
      <c r="H820" s="6" t="str">
        <f>HYPERLINK("http://www.ensembl.org/Mus_musculus/Gene/Summary?db=core;g=ENSMUSG00000055538","ENSMUSG00000055538")</f>
        <v>ENSMUSG00000055538</v>
      </c>
      <c r="I820" s="6" t="str">
        <f>HYPERLINK("http://www.informatics.jax.org/marker/MGI:1919168","MGI:1919168")</f>
        <v>MGI:1919168</v>
      </c>
      <c r="J820" s="7" t="s">
        <v>12</v>
      </c>
    </row>
    <row r="821" spans="1:10" x14ac:dyDescent="0.2">
      <c r="A821" s="3">
        <v>689.20007816412601</v>
      </c>
      <c r="B821" s="1">
        <v>0.239799656431221</v>
      </c>
      <c r="C821" s="1">
        <v>3.2314546854899599E-4</v>
      </c>
      <c r="D821" s="7">
        <v>5.8566620174533403E-3</v>
      </c>
      <c r="E821" s="1" t="s">
        <v>2838</v>
      </c>
      <c r="F821" s="1" t="s">
        <v>2839</v>
      </c>
      <c r="G821" s="1">
        <v>68533</v>
      </c>
      <c r="H821" s="6" t="str">
        <f>HYPERLINK("http://www.ensembl.org/Mus_musculus/Gene/Summary?db=core;g=ENSMUSG00000031843","ENSMUSG00000031843")</f>
        <v>ENSMUSG00000031843</v>
      </c>
      <c r="I821" s="6" t="str">
        <f>HYPERLINK("http://www.informatics.jax.org/marker/MGI:1915783","MGI:1915783")</f>
        <v>MGI:1915783</v>
      </c>
      <c r="J821" s="7" t="s">
        <v>12</v>
      </c>
    </row>
    <row r="822" spans="1:10" x14ac:dyDescent="0.2">
      <c r="A822" s="3">
        <v>4427.0681130249804</v>
      </c>
      <c r="B822" s="1">
        <v>0.28434866125757102</v>
      </c>
      <c r="C822" s="1">
        <v>3.2421597604741399E-4</v>
      </c>
      <c r="D822" s="7">
        <v>5.8621430957480998E-3</v>
      </c>
      <c r="E822" s="1" t="s">
        <v>2976</v>
      </c>
      <c r="F822" s="1" t="s">
        <v>2977</v>
      </c>
      <c r="G822" s="1">
        <v>18263</v>
      </c>
      <c r="H822" s="6" t="str">
        <f>HYPERLINK("http://www.ensembl.org/Mus_musculus/Gene/Summary?db=core;g=ENSMUSG00000011179","ENSMUSG00000011179")</f>
        <v>ENSMUSG00000011179</v>
      </c>
      <c r="I822" s="6" t="str">
        <f>HYPERLINK("http://www.informatics.jax.org/marker/MGI:97402","MGI:97402")</f>
        <v>MGI:97402</v>
      </c>
      <c r="J822" s="7" t="s">
        <v>12</v>
      </c>
    </row>
    <row r="823" spans="1:10" x14ac:dyDescent="0.2">
      <c r="A823" s="3">
        <v>1140.16529348313</v>
      </c>
      <c r="B823" s="1">
        <v>0.21765573140894501</v>
      </c>
      <c r="C823" s="1">
        <v>3.24745997862915E-4</v>
      </c>
      <c r="D823" s="7">
        <v>5.8645306672891204E-3</v>
      </c>
      <c r="E823" s="1" t="s">
        <v>2714</v>
      </c>
      <c r="F823" s="1" t="s">
        <v>2715</v>
      </c>
      <c r="G823" s="1">
        <v>70047</v>
      </c>
      <c r="H823" s="6" t="str">
        <f>HYPERLINK("http://www.ensembl.org/Mus_musculus/Gene/Summary?db=core;g=ENSMUSG00000013736","ENSMUSG00000013736")</f>
        <v>ENSMUSG00000013736</v>
      </c>
      <c r="I823" s="6" t="str">
        <f>HYPERLINK("http://www.informatics.jax.org/marker/MGI:1917297","MGI:1917297")</f>
        <v>MGI:1917297</v>
      </c>
      <c r="J823" s="7" t="s">
        <v>12</v>
      </c>
    </row>
    <row r="824" spans="1:10" x14ac:dyDescent="0.2">
      <c r="A824" s="3">
        <v>129.48340112627599</v>
      </c>
      <c r="B824" s="1">
        <v>0.47420287812239098</v>
      </c>
      <c r="C824" s="1">
        <v>3.2520884508860701E-4</v>
      </c>
      <c r="D824" s="7">
        <v>5.8657007848540001E-3</v>
      </c>
      <c r="E824" s="1" t="s">
        <v>3184</v>
      </c>
      <c r="F824" s="1" t="s">
        <v>3185</v>
      </c>
      <c r="G824" s="1">
        <v>22772</v>
      </c>
      <c r="H824" s="6" t="str">
        <f>HYPERLINK("http://www.ensembl.org/Mus_musculus/Gene/Summary?db=core;g=ENSMUSG00000061524","ENSMUSG00000061524")</f>
        <v>ENSMUSG00000061524</v>
      </c>
      <c r="I824" s="6" t="str">
        <f>HYPERLINK("http://www.informatics.jax.org/marker/MGI:106679","MGI:106679")</f>
        <v>MGI:106679</v>
      </c>
      <c r="J824" s="7" t="s">
        <v>12</v>
      </c>
    </row>
    <row r="825" spans="1:10" x14ac:dyDescent="0.2">
      <c r="A825" s="3">
        <v>27.039201726379201</v>
      </c>
      <c r="B825" s="1">
        <v>0.82158945757139801</v>
      </c>
      <c r="C825" s="1">
        <v>3.2791944800299102E-4</v>
      </c>
      <c r="D825" s="7">
        <v>5.9073606183032597E-3</v>
      </c>
      <c r="E825" s="1" t="s">
        <v>3290</v>
      </c>
      <c r="F825" s="1" t="s">
        <v>3291</v>
      </c>
      <c r="G825" s="1">
        <v>56405</v>
      </c>
      <c r="H825" s="6" t="str">
        <f>HYPERLINK("http://www.ensembl.org/Mus_musculus/Gene/Summary?db=core;g=ENSMUSG00000018648","ENSMUSG00000018648")</f>
        <v>ENSMUSG00000018648</v>
      </c>
      <c r="I825" s="6" t="str">
        <f>HYPERLINK("http://www.informatics.jax.org/marker/MGI:1927168","MGI:1927168")</f>
        <v>MGI:1927168</v>
      </c>
      <c r="J825" s="7" t="s">
        <v>12</v>
      </c>
    </row>
    <row r="826" spans="1:10" x14ac:dyDescent="0.2">
      <c r="A826" s="3">
        <v>363.703267473035</v>
      </c>
      <c r="B826" s="1">
        <v>0.240362962927156</v>
      </c>
      <c r="C826" s="1">
        <v>3.2968384828125302E-4</v>
      </c>
      <c r="D826" s="7">
        <v>5.9318940027747796E-3</v>
      </c>
      <c r="E826" s="1" t="s">
        <v>2844</v>
      </c>
      <c r="F826" s="1" t="s">
        <v>2845</v>
      </c>
      <c r="G826" s="1">
        <v>52637</v>
      </c>
      <c r="H826" s="6" t="str">
        <f>HYPERLINK("http://www.ensembl.org/Mus_musculus/Gene/Summary?db=core;g=ENSMUSG00000037710","ENSMUSG00000037710")</f>
        <v>ENSMUSG00000037710</v>
      </c>
      <c r="I826" s="6" t="str">
        <f>HYPERLINK("http://www.informatics.jax.org/marker/MGI:1261855","MGI:1261855")</f>
        <v>MGI:1261855</v>
      </c>
      <c r="J826" s="7" t="s">
        <v>12</v>
      </c>
    </row>
    <row r="827" spans="1:10" x14ac:dyDescent="0.2">
      <c r="A827" s="3">
        <v>71.114627005064705</v>
      </c>
      <c r="B827" s="1">
        <v>-0.46748825555594897</v>
      </c>
      <c r="C827" s="1">
        <v>3.3052987997799599E-4</v>
      </c>
      <c r="D827" s="7">
        <v>5.93986379433628E-3</v>
      </c>
      <c r="E827" s="1" t="s">
        <v>893</v>
      </c>
      <c r="F827" s="1" t="s">
        <v>894</v>
      </c>
      <c r="G827" s="1">
        <v>22051</v>
      </c>
      <c r="H827" s="6" t="str">
        <f>HYPERLINK("http://www.ensembl.org/Mus_musculus/Gene/Summary?db=core;g=ENSMUSG00000023348","ENSMUSG00000023348")</f>
        <v>ENSMUSG00000023348</v>
      </c>
      <c r="I827" s="6" t="str">
        <f>HYPERLINK("http://www.informatics.jax.org/marker/MGI:1343458","MGI:1343458")</f>
        <v>MGI:1343458</v>
      </c>
      <c r="J827" s="7" t="s">
        <v>12</v>
      </c>
    </row>
    <row r="828" spans="1:10" x14ac:dyDescent="0.2">
      <c r="A828" s="3">
        <v>351.08602440427802</v>
      </c>
      <c r="B828" s="1">
        <v>-0.408632650683947</v>
      </c>
      <c r="C828" s="1">
        <v>3.3122803778783702E-4</v>
      </c>
      <c r="D828" s="7">
        <v>5.94516000589716E-3</v>
      </c>
      <c r="E828" s="1" t="s">
        <v>1073</v>
      </c>
      <c r="F828" s="1" t="s">
        <v>1074</v>
      </c>
      <c r="G828" s="1">
        <v>228608</v>
      </c>
      <c r="H828" s="6" t="str">
        <f>HYPERLINK("http://www.ensembl.org/Mus_musculus/Gene/Summary?db=core;g=ENSMUSG00000027333","ENSMUSG00000027333")</f>
        <v>ENSMUSG00000027333</v>
      </c>
      <c r="I828" s="6" t="str">
        <f>HYPERLINK("http://www.informatics.jax.org/marker/MGI:2445356","MGI:2445356")</f>
        <v>MGI:2445356</v>
      </c>
      <c r="J828" s="7" t="s">
        <v>12</v>
      </c>
    </row>
    <row r="829" spans="1:10" x14ac:dyDescent="0.2">
      <c r="A829" s="3">
        <v>6051.2476560587102</v>
      </c>
      <c r="B829" s="1">
        <v>0.13965846906950599</v>
      </c>
      <c r="C829" s="1">
        <v>3.3212345219183701E-4</v>
      </c>
      <c r="D829" s="7">
        <v>5.9539795517018299E-3</v>
      </c>
      <c r="E829" s="1" t="s">
        <v>2268</v>
      </c>
      <c r="F829" s="1" t="s">
        <v>2269</v>
      </c>
      <c r="G829" s="1">
        <v>12468</v>
      </c>
      <c r="H829" s="6" t="str">
        <f>HYPERLINK("http://www.ensembl.org/Mus_musculus/Gene/Summary?db=core;g=ENSMUSG00000030007","ENSMUSG00000030007")</f>
        <v>ENSMUSG00000030007</v>
      </c>
      <c r="I829" s="6" t="str">
        <f>HYPERLINK("http://www.informatics.jax.org/marker/MGI:107184","MGI:107184")</f>
        <v>MGI:107184</v>
      </c>
      <c r="J829" s="7" t="s">
        <v>12</v>
      </c>
    </row>
    <row r="830" spans="1:10" x14ac:dyDescent="0.2">
      <c r="A830" s="3">
        <v>6.8060267182169403</v>
      </c>
      <c r="B830" s="1">
        <v>-1.3450930166723001</v>
      </c>
      <c r="C830" s="1">
        <v>3.33121349742796E-4</v>
      </c>
      <c r="D830" s="7">
        <v>5.9642516201458898E-3</v>
      </c>
      <c r="E830" s="1" t="s">
        <v>168</v>
      </c>
      <c r="F830" s="1" t="s">
        <v>169</v>
      </c>
      <c r="G830" s="1" t="s">
        <v>45</v>
      </c>
      <c r="H830" s="6" t="str">
        <f>HYPERLINK("http://www.ensembl.org/Mus_musculus/Gene/Summary?db=core;g=ENSMUSG00000097154","ENSMUSG00000097154")</f>
        <v>ENSMUSG00000097154</v>
      </c>
      <c r="I830" s="6" t="str">
        <f>HYPERLINK("http://www.informatics.jax.org/marker/MGI:5477004","MGI:5477004")</f>
        <v>MGI:5477004</v>
      </c>
      <c r="J830" s="7" t="s">
        <v>95</v>
      </c>
    </row>
    <row r="831" spans="1:10" x14ac:dyDescent="0.2">
      <c r="A831" s="3">
        <v>1598.4453719328999</v>
      </c>
      <c r="B831" s="1">
        <v>-0.15423071659345999</v>
      </c>
      <c r="C831" s="1">
        <v>3.3350592664225099E-4</v>
      </c>
      <c r="D831" s="7">
        <v>5.9642516201458898E-3</v>
      </c>
      <c r="E831" s="1" t="s">
        <v>2114</v>
      </c>
      <c r="F831" s="1" t="s">
        <v>2115</v>
      </c>
      <c r="G831" s="1">
        <v>16396</v>
      </c>
      <c r="H831" s="6" t="str">
        <f>HYPERLINK("http://www.ensembl.org/Mus_musculus/Gene/Summary?db=core;g=ENSMUSG00000027598","ENSMUSG00000027598")</f>
        <v>ENSMUSG00000027598</v>
      </c>
      <c r="I831" s="6" t="str">
        <f>HYPERLINK("http://www.informatics.jax.org/marker/MGI:1202301","MGI:1202301")</f>
        <v>MGI:1202301</v>
      </c>
      <c r="J831" s="7" t="s">
        <v>12</v>
      </c>
    </row>
    <row r="832" spans="1:10" x14ac:dyDescent="0.2">
      <c r="A832" s="3">
        <v>15.260054763627201</v>
      </c>
      <c r="B832" s="1">
        <v>-1.07012563721924</v>
      </c>
      <c r="C832" s="1">
        <v>3.3568351729360799E-4</v>
      </c>
      <c r="D832" s="7">
        <v>5.9959179525316403E-3</v>
      </c>
      <c r="E832" s="1" t="s">
        <v>285</v>
      </c>
      <c r="F832" s="1" t="s">
        <v>286</v>
      </c>
      <c r="G832" s="1">
        <v>217169</v>
      </c>
      <c r="H832" s="6" t="str">
        <f>HYPERLINK("http://www.ensembl.org/Mus_musculus/Gene/Summary?db=core;g=ENSMUSG00000017607","ENSMUSG00000017607")</f>
        <v>ENSMUSG00000017607</v>
      </c>
      <c r="I832" s="6" t="str">
        <f>HYPERLINK("http://www.informatics.jax.org/marker/MGI:2144377","MGI:2144377")</f>
        <v>MGI:2144377</v>
      </c>
      <c r="J832" s="7" t="s">
        <v>12</v>
      </c>
    </row>
    <row r="833" spans="1:10" x14ac:dyDescent="0.2">
      <c r="A833" s="3">
        <v>41.268660937953598</v>
      </c>
      <c r="B833" s="1">
        <v>-0.70605130761150803</v>
      </c>
      <c r="C833" s="1">
        <v>3.3617973289054299E-4</v>
      </c>
      <c r="D833" s="7">
        <v>5.9975115543281299E-3</v>
      </c>
      <c r="E833" s="1" t="s">
        <v>550</v>
      </c>
      <c r="F833" s="1" t="s">
        <v>551</v>
      </c>
      <c r="G833" s="1">
        <v>14347</v>
      </c>
      <c r="H833" s="6" t="str">
        <f>HYPERLINK("http://www.ensembl.org/Mus_musculus/Gene/Summary?db=core;g=ENSMUSG00000036587","ENSMUSG00000036587")</f>
        <v>ENSMUSG00000036587</v>
      </c>
      <c r="I833" s="6" t="str">
        <f>HYPERLINK("http://www.informatics.jax.org/marker/MGI:107692","MGI:107692")</f>
        <v>MGI:107692</v>
      </c>
      <c r="J833" s="7" t="s">
        <v>12</v>
      </c>
    </row>
    <row r="834" spans="1:10" x14ac:dyDescent="0.2">
      <c r="A834" s="3">
        <v>501.01586022490102</v>
      </c>
      <c r="B834" s="1">
        <v>0.22944584604391999</v>
      </c>
      <c r="C834" s="1">
        <v>3.37738974375176E-4</v>
      </c>
      <c r="D834" s="7">
        <v>6.0180429581530703E-3</v>
      </c>
      <c r="E834" s="1" t="s">
        <v>2784</v>
      </c>
      <c r="F834" s="1" t="s">
        <v>2785</v>
      </c>
      <c r="G834" s="1">
        <v>26940</v>
      </c>
      <c r="H834" s="6" t="str">
        <f>HYPERLINK("http://www.ensembl.org/Mus_musculus/Gene/Summary?db=core;g=ENSMUSG00000066839","ENSMUSG00000066839")</f>
        <v>ENSMUSG00000066839</v>
      </c>
      <c r="I834" s="6" t="str">
        <f>HYPERLINK("http://www.informatics.jax.org/marker/MGI:1349469","MGI:1349469")</f>
        <v>MGI:1349469</v>
      </c>
      <c r="J834" s="7" t="s">
        <v>12</v>
      </c>
    </row>
    <row r="835" spans="1:10" x14ac:dyDescent="0.2">
      <c r="A835" s="3">
        <v>535.08391657313905</v>
      </c>
      <c r="B835" s="1">
        <v>0.371115045154297</v>
      </c>
      <c r="C835" s="1">
        <v>3.4241844577373101E-4</v>
      </c>
      <c r="D835" s="7">
        <v>6.0940558175382803E-3</v>
      </c>
      <c r="E835" s="1" t="s">
        <v>3118</v>
      </c>
      <c r="F835" s="1" t="s">
        <v>3119</v>
      </c>
      <c r="G835" s="1">
        <v>51789</v>
      </c>
      <c r="H835" s="6" t="str">
        <f>HYPERLINK("http://www.ensembl.org/Mus_musculus/Gene/Summary?db=core;g=ENSMUSG00000022791","ENSMUSG00000022791")</f>
        <v>ENSMUSG00000022791</v>
      </c>
      <c r="I835" s="6" t="str">
        <f>HYPERLINK("http://www.informatics.jax.org/marker/MGI:1858308","MGI:1858308")</f>
        <v>MGI:1858308</v>
      </c>
      <c r="J835" s="7" t="s">
        <v>12</v>
      </c>
    </row>
    <row r="836" spans="1:10" x14ac:dyDescent="0.2">
      <c r="A836" s="3">
        <v>75.179334164019295</v>
      </c>
      <c r="B836" s="1">
        <v>-0.63666435003727695</v>
      </c>
      <c r="C836" s="1">
        <v>3.4339224635511999E-4</v>
      </c>
      <c r="D836" s="7">
        <v>6.1040146469107902E-3</v>
      </c>
      <c r="E836" s="1" t="s">
        <v>618</v>
      </c>
      <c r="F836" s="1" t="s">
        <v>619</v>
      </c>
      <c r="G836" s="1">
        <v>13025</v>
      </c>
      <c r="H836" s="6" t="str">
        <f>HYPERLINK("http://www.ensembl.org/Mus_musculus/Gene/Summary?db=core;g=ENSMUSG00000074874","ENSMUSG00000074874")</f>
        <v>ENSMUSG00000074874</v>
      </c>
      <c r="I836" s="6" t="str">
        <f>HYPERLINK("http://www.informatics.jax.org/marker/MGI:88555","MGI:88555")</f>
        <v>MGI:88555</v>
      </c>
      <c r="J836" s="7" t="s">
        <v>12</v>
      </c>
    </row>
    <row r="837" spans="1:10" x14ac:dyDescent="0.2">
      <c r="A837" s="3">
        <v>963.96451695885605</v>
      </c>
      <c r="B837" s="1">
        <v>0.22139659289956401</v>
      </c>
      <c r="C837" s="1">
        <v>3.4876395420081697E-4</v>
      </c>
      <c r="D837" s="7">
        <v>6.1920308784376397E-3</v>
      </c>
      <c r="E837" s="1" t="s">
        <v>2736</v>
      </c>
      <c r="F837" s="1" t="s">
        <v>2737</v>
      </c>
      <c r="G837" s="1">
        <v>229603</v>
      </c>
      <c r="H837" s="6" t="str">
        <f>HYPERLINK("http://www.ensembl.org/Mus_musculus/Gene/Summary?db=core;g=ENSMUSG00000038495","ENSMUSG00000038495")</f>
        <v>ENSMUSG00000038495</v>
      </c>
      <c r="I837" s="6" t="str">
        <f>HYPERLINK("http://www.informatics.jax.org/marker/MGI:2654703","MGI:2654703")</f>
        <v>MGI:2654703</v>
      </c>
      <c r="J837" s="7" t="s">
        <v>12</v>
      </c>
    </row>
    <row r="838" spans="1:10" x14ac:dyDescent="0.2">
      <c r="A838" s="3">
        <v>3549.5766204919801</v>
      </c>
      <c r="B838" s="1">
        <v>-0.40828651607775102</v>
      </c>
      <c r="C838" s="1">
        <v>3.5086391506876298E-4</v>
      </c>
      <c r="D838" s="7">
        <v>6.2218178729883198E-3</v>
      </c>
      <c r="E838" s="1" t="s">
        <v>1075</v>
      </c>
      <c r="F838" s="1" t="s">
        <v>1076</v>
      </c>
      <c r="G838" s="1">
        <v>226101</v>
      </c>
      <c r="H838" s="6" t="str">
        <f>HYPERLINK("http://www.ensembl.org/Mus_musculus/Gene/Summary?db=core;g=ENSMUSG00000048612","ENSMUSG00000048612")</f>
        <v>ENSMUSG00000048612</v>
      </c>
      <c r="I838" s="6" t="str">
        <f>HYPERLINK("http://www.informatics.jax.org/marker/MGI:1919192","MGI:1919192")</f>
        <v>MGI:1919192</v>
      </c>
      <c r="J838" s="7" t="s">
        <v>12</v>
      </c>
    </row>
    <row r="839" spans="1:10" x14ac:dyDescent="0.2">
      <c r="A839" s="3">
        <v>1726.28820580102</v>
      </c>
      <c r="B839" s="1">
        <v>0.190095969891139</v>
      </c>
      <c r="C839" s="1">
        <v>3.52702642460278E-4</v>
      </c>
      <c r="D839" s="7">
        <v>6.2469064174214698E-3</v>
      </c>
      <c r="E839" s="1" t="s">
        <v>2530</v>
      </c>
      <c r="F839" s="1" t="s">
        <v>2531</v>
      </c>
      <c r="G839" s="1">
        <v>66413</v>
      </c>
      <c r="H839" s="6" t="str">
        <f>HYPERLINK("http://www.ensembl.org/Mus_musculus/Gene/Summary?db=core;g=ENSMUSG00000021737","ENSMUSG00000021737")</f>
        <v>ENSMUSG00000021737</v>
      </c>
      <c r="I839" s="6" t="str">
        <f>HYPERLINK("http://www.informatics.jax.org/marker/MGI:1913663","MGI:1913663")</f>
        <v>MGI:1913663</v>
      </c>
      <c r="J839" s="7" t="s">
        <v>12</v>
      </c>
    </row>
    <row r="840" spans="1:10" x14ac:dyDescent="0.2">
      <c r="A840" s="3">
        <v>1048.52499929908</v>
      </c>
      <c r="B840" s="1">
        <v>-0.22881858644446901</v>
      </c>
      <c r="C840" s="1">
        <v>3.5465276849500901E-4</v>
      </c>
      <c r="D840" s="7">
        <v>6.2739053980101498E-3</v>
      </c>
      <c r="E840" s="1" t="s">
        <v>1770</v>
      </c>
      <c r="F840" s="1" t="s">
        <v>1771</v>
      </c>
      <c r="G840" s="1">
        <v>56484</v>
      </c>
      <c r="H840" s="6" t="str">
        <f>HYPERLINK("http://www.ensembl.org/Mus_musculus/Gene/Summary?db=core;g=ENSMUSG00000048756","ENSMUSG00000048756")</f>
        <v>ENSMUSG00000048756</v>
      </c>
      <c r="I840" s="6" t="str">
        <f>HYPERLINK("http://www.informatics.jax.org/marker/MGI:1890081","MGI:1890081")</f>
        <v>MGI:1890081</v>
      </c>
      <c r="J840" s="7" t="s">
        <v>12</v>
      </c>
    </row>
    <row r="841" spans="1:10" x14ac:dyDescent="0.2">
      <c r="A841" s="3">
        <v>585.94606075980801</v>
      </c>
      <c r="B841" s="1">
        <v>-0.96853395178268298</v>
      </c>
      <c r="C841" s="1">
        <v>3.5676910782331598E-4</v>
      </c>
      <c r="D841" s="7">
        <v>6.3037764662882299E-3</v>
      </c>
      <c r="E841" s="1" t="s">
        <v>363</v>
      </c>
      <c r="F841" s="1" t="s">
        <v>364</v>
      </c>
      <c r="G841" s="1">
        <v>80861</v>
      </c>
      <c r="H841" s="6" t="str">
        <f>HYPERLINK("http://www.ensembl.org/Mus_musculus/Gene/Summary?db=core;g=ENSMUSG00000017830","ENSMUSG00000017830")</f>
        <v>ENSMUSG00000017830</v>
      </c>
      <c r="I841" s="6" t="str">
        <f>HYPERLINK("http://www.informatics.jax.org/marker/MGI:1931560","MGI:1931560")</f>
        <v>MGI:1931560</v>
      </c>
      <c r="J841" s="7" t="s">
        <v>12</v>
      </c>
    </row>
    <row r="842" spans="1:10" x14ac:dyDescent="0.2">
      <c r="A842" s="3">
        <v>165.54378390384301</v>
      </c>
      <c r="B842" s="1">
        <v>-0.38336844908732898</v>
      </c>
      <c r="C842" s="1">
        <v>3.59456146053052E-4</v>
      </c>
      <c r="D842" s="7">
        <v>6.3436476266320596E-3</v>
      </c>
      <c r="E842" s="1" t="s">
        <v>1129</v>
      </c>
      <c r="F842" s="1" t="s">
        <v>1130</v>
      </c>
      <c r="G842" s="1">
        <v>108012</v>
      </c>
      <c r="H842" s="6" t="str">
        <f>HYPERLINK("http://www.ensembl.org/Mus_musculus/Gene/Summary?db=core;g=ENSMUSG00000031367","ENSMUSG00000031367")</f>
        <v>ENSMUSG00000031367</v>
      </c>
      <c r="I842" s="6" t="str">
        <f>HYPERLINK("http://www.informatics.jax.org/marker/MGI:1889383","MGI:1889383")</f>
        <v>MGI:1889383</v>
      </c>
      <c r="J842" s="7" t="s">
        <v>12</v>
      </c>
    </row>
    <row r="843" spans="1:10" x14ac:dyDescent="0.2">
      <c r="A843" s="3">
        <v>62.691905744666002</v>
      </c>
      <c r="B843" s="1">
        <v>-0.59144407964822798</v>
      </c>
      <c r="C843" s="1">
        <v>3.6354972211478302E-4</v>
      </c>
      <c r="D843" s="7">
        <v>6.40055998217854E-3</v>
      </c>
      <c r="E843" s="1" t="s">
        <v>687</v>
      </c>
      <c r="F843" s="1" t="s">
        <v>688</v>
      </c>
      <c r="G843" s="1">
        <v>319430</v>
      </c>
      <c r="H843" s="6" t="str">
        <f>HYPERLINK("http://www.ensembl.org/Mus_musculus/Gene/Summary?db=core;g=ENSMUSG00000074361","ENSMUSG00000074361")</f>
        <v>ENSMUSG00000074361</v>
      </c>
      <c r="I843" s="6" t="str">
        <f>HYPERLINK("http://www.informatics.jax.org/marker/MGI:2442013","MGI:2442013")</f>
        <v>MGI:2442013</v>
      </c>
      <c r="J843" s="7" t="s">
        <v>12</v>
      </c>
    </row>
    <row r="844" spans="1:10" x14ac:dyDescent="0.2">
      <c r="A844" s="3">
        <v>2891.7444619784801</v>
      </c>
      <c r="B844" s="1">
        <v>0.14785977369927</v>
      </c>
      <c r="C844" s="1">
        <v>3.6340718695799802E-4</v>
      </c>
      <c r="D844" s="7">
        <v>6.40055998217854E-3</v>
      </c>
      <c r="E844" s="1" t="s">
        <v>2306</v>
      </c>
      <c r="F844" s="1" t="s">
        <v>2307</v>
      </c>
      <c r="G844" s="1">
        <v>245474</v>
      </c>
      <c r="H844" s="6" t="str">
        <f>HYPERLINK("http://www.ensembl.org/Mus_musculus/Gene/Summary?db=core;g=ENSMUSG00000031403","ENSMUSG00000031403")</f>
        <v>ENSMUSG00000031403</v>
      </c>
      <c r="I844" s="6" t="str">
        <f>HYPERLINK("http://www.informatics.jax.org/marker/MGI:1861727","MGI:1861727")</f>
        <v>MGI:1861727</v>
      </c>
      <c r="J844" s="7" t="s">
        <v>12</v>
      </c>
    </row>
    <row r="845" spans="1:10" x14ac:dyDescent="0.2">
      <c r="A845" s="3">
        <v>4.1153274060160001</v>
      </c>
      <c r="B845" s="1">
        <v>-1.5556889113182299</v>
      </c>
      <c r="C845" s="1">
        <v>3.6481609318514603E-4</v>
      </c>
      <c r="D845" s="7">
        <v>6.4075446354902501E-3</v>
      </c>
      <c r="E845" s="1" t="s">
        <v>122</v>
      </c>
      <c r="F845" s="1" t="s">
        <v>123</v>
      </c>
      <c r="G845" s="1">
        <v>71729</v>
      </c>
      <c r="H845" s="6" t="str">
        <f>HYPERLINK("http://www.ensembl.org/Mus_musculus/Gene/Summary?db=core;g=ENSMUSG00000029101","ENSMUSG00000029101")</f>
        <v>ENSMUSG00000029101</v>
      </c>
      <c r="I845" s="6" t="str">
        <f>HYPERLINK("http://www.informatics.jax.org/marker/MGI:1918979","MGI:1918979")</f>
        <v>MGI:1918979</v>
      </c>
      <c r="J845" s="7" t="s">
        <v>12</v>
      </c>
    </row>
    <row r="846" spans="1:10" x14ac:dyDescent="0.2">
      <c r="A846" s="3">
        <v>76.6429725540101</v>
      </c>
      <c r="B846" s="1">
        <v>-0.70417575236911401</v>
      </c>
      <c r="C846" s="1">
        <v>3.6456221345210497E-4</v>
      </c>
      <c r="D846" s="7">
        <v>6.4075446354902501E-3</v>
      </c>
      <c r="E846" s="1" t="s">
        <v>554</v>
      </c>
      <c r="F846" s="1" t="s">
        <v>555</v>
      </c>
      <c r="G846" s="1">
        <v>215772</v>
      </c>
      <c r="H846" s="6" t="str">
        <f>HYPERLINK("http://www.ensembl.org/Mus_musculus/Gene/Summary?db=core;g=ENSMUSG00000050994","ENSMUSG00000050994")</f>
        <v>ENSMUSG00000050994</v>
      </c>
      <c r="I846" s="6" t="str">
        <f>HYPERLINK("http://www.informatics.jax.org/marker/MGI:3605549","MGI:3605549")</f>
        <v>MGI:3605549</v>
      </c>
      <c r="J846" s="7" t="s">
        <v>12</v>
      </c>
    </row>
    <row r="847" spans="1:10" x14ac:dyDescent="0.2">
      <c r="A847" s="3">
        <v>32.369769332475599</v>
      </c>
      <c r="B847" s="1">
        <v>0.79456063272237798</v>
      </c>
      <c r="C847" s="1">
        <v>3.6557959284731501E-4</v>
      </c>
      <c r="D847" s="7">
        <v>6.4133105716643202E-3</v>
      </c>
      <c r="E847" s="1" t="s">
        <v>3282</v>
      </c>
      <c r="F847" s="1" t="s">
        <v>3283</v>
      </c>
      <c r="G847" s="1">
        <v>195209</v>
      </c>
      <c r="H847" s="6" t="str">
        <f>HYPERLINK("http://www.ensembl.org/Mus_musculus/Gene/Summary?db=core;g=ENSMUSG00000043903","ENSMUSG00000043903")</f>
        <v>ENSMUSG00000043903</v>
      </c>
      <c r="I847" s="6" t="str">
        <f>HYPERLINK("http://www.informatics.jax.org/marker/MGI:2684868","MGI:2684868")</f>
        <v>MGI:2684868</v>
      </c>
      <c r="J847" s="7" t="s">
        <v>12</v>
      </c>
    </row>
    <row r="848" spans="1:10" x14ac:dyDescent="0.2">
      <c r="A848" s="3">
        <v>550.77805256430395</v>
      </c>
      <c r="B848" s="1">
        <v>-0.41686861442960699</v>
      </c>
      <c r="C848" s="1">
        <v>3.6842503073039102E-4</v>
      </c>
      <c r="D848" s="7">
        <v>6.4555425122985004E-3</v>
      </c>
      <c r="E848" s="1" t="s">
        <v>1061</v>
      </c>
      <c r="F848" s="1" t="s">
        <v>1062</v>
      </c>
      <c r="G848" s="1">
        <v>217119</v>
      </c>
      <c r="H848" s="6" t="str">
        <f>HYPERLINK("http://www.ensembl.org/Mus_musculus/Gene/Summary?db=core;g=ENSMUSG00000020868","ENSMUSG00000020868")</f>
        <v>ENSMUSG00000020868</v>
      </c>
      <c r="I848" s="6" t="str">
        <f>HYPERLINK("http://www.informatics.jax.org/marker/MGI:2444797","MGI:2444797")</f>
        <v>MGI:2444797</v>
      </c>
      <c r="J848" s="7" t="s">
        <v>12</v>
      </c>
    </row>
    <row r="849" spans="1:10" x14ac:dyDescent="0.2">
      <c r="A849" s="3">
        <v>1179.47401147455</v>
      </c>
      <c r="B849" s="1">
        <v>0.16893924284377199</v>
      </c>
      <c r="C849" s="1">
        <v>3.6932233701014201E-4</v>
      </c>
      <c r="D849" s="7">
        <v>6.4635795227808296E-3</v>
      </c>
      <c r="E849" s="1" t="s">
        <v>2418</v>
      </c>
      <c r="F849" s="1" t="s">
        <v>2419</v>
      </c>
      <c r="G849" s="1">
        <v>244666</v>
      </c>
      <c r="H849" s="6" t="str">
        <f>HYPERLINK("http://www.ensembl.org/Mus_musculus/Gene/Summary?db=core;g=ENSMUSG00000031986","ENSMUSG00000031986")</f>
        <v>ENSMUSG00000031986</v>
      </c>
      <c r="I849" s="6" t="str">
        <f>HYPERLINK("http://www.informatics.jax.org/marker/MGI:2685351","MGI:2685351")</f>
        <v>MGI:2685351</v>
      </c>
      <c r="J849" s="7" t="s">
        <v>12</v>
      </c>
    </row>
    <row r="850" spans="1:10" x14ac:dyDescent="0.2">
      <c r="A850" s="3">
        <v>24.1862303879298</v>
      </c>
      <c r="B850" s="1">
        <v>-0.74361976562630405</v>
      </c>
      <c r="C850" s="1">
        <v>3.7076350727463801E-4</v>
      </c>
      <c r="D850" s="7">
        <v>6.48110444033103E-3</v>
      </c>
      <c r="E850" s="1" t="s">
        <v>524</v>
      </c>
      <c r="F850" s="1" t="s">
        <v>525</v>
      </c>
      <c r="G850" s="1">
        <v>16922</v>
      </c>
      <c r="H850" s="6" t="str">
        <f>HYPERLINK("http://www.ensembl.org/Mus_musculus/Gene/Summary?db=core;g=ENSMUSG00000026664","ENSMUSG00000026664")</f>
        <v>ENSMUSG00000026664</v>
      </c>
      <c r="I850" s="6" t="str">
        <f>HYPERLINK("http://www.informatics.jax.org/marker/MGI:891978","MGI:891978")</f>
        <v>MGI:891978</v>
      </c>
      <c r="J850" s="7" t="s">
        <v>12</v>
      </c>
    </row>
    <row r="851" spans="1:10" x14ac:dyDescent="0.2">
      <c r="A851" s="3">
        <v>1270.89462739086</v>
      </c>
      <c r="B851" s="1">
        <v>-0.34668107621184002</v>
      </c>
      <c r="C851" s="1">
        <v>3.7401294041812202E-4</v>
      </c>
      <c r="D851" s="7">
        <v>6.5213449494391697E-3</v>
      </c>
      <c r="E851" s="1" t="s">
        <v>1260</v>
      </c>
      <c r="F851" s="1" t="s">
        <v>1261</v>
      </c>
      <c r="G851" s="1" t="s">
        <v>45</v>
      </c>
      <c r="H851" s="6" t="str">
        <f>HYPERLINK("http://www.ensembl.org/Mus_musculus/Gene/Summary?db=core;g=ENSMUSG00000097715","ENSMUSG00000097715")</f>
        <v>ENSMUSG00000097715</v>
      </c>
      <c r="I851" s="6" t="str">
        <f>HYPERLINK("http://www.informatics.jax.org/marker/MGI:3710533","MGI:3710533")</f>
        <v>MGI:3710533</v>
      </c>
      <c r="J851" s="7" t="s">
        <v>215</v>
      </c>
    </row>
    <row r="852" spans="1:10" x14ac:dyDescent="0.2">
      <c r="A852" s="3">
        <v>227.612373052739</v>
      </c>
      <c r="B852" s="1">
        <v>-0.30720733801931399</v>
      </c>
      <c r="C852" s="1">
        <v>3.7439317502887702E-4</v>
      </c>
      <c r="D852" s="7">
        <v>6.5213449494391697E-3</v>
      </c>
      <c r="E852" s="1" t="s">
        <v>1424</v>
      </c>
      <c r="F852" s="1" t="s">
        <v>1425</v>
      </c>
      <c r="G852" s="1">
        <v>242557</v>
      </c>
      <c r="H852" s="6" t="str">
        <f>HYPERLINK("http://www.ensembl.org/Mus_musculus/Gene/Summary?db=core;g=ENSMUSG00000028550","ENSMUSG00000028550")</f>
        <v>ENSMUSG00000028550</v>
      </c>
      <c r="I852" s="6" t="str">
        <f>HYPERLINK("http://www.informatics.jax.org/marker/MGI:2651854","MGI:2651854")</f>
        <v>MGI:2651854</v>
      </c>
      <c r="J852" s="7" t="s">
        <v>12</v>
      </c>
    </row>
    <row r="853" spans="1:10" x14ac:dyDescent="0.2">
      <c r="A853" s="3">
        <v>1815.4253539726601</v>
      </c>
      <c r="B853" s="1">
        <v>0.207750611897663</v>
      </c>
      <c r="C853" s="1">
        <v>3.7391982104777698E-4</v>
      </c>
      <c r="D853" s="7">
        <v>6.5213449494391697E-3</v>
      </c>
      <c r="E853" s="1" t="s">
        <v>2648</v>
      </c>
      <c r="F853" s="1" t="s">
        <v>2649</v>
      </c>
      <c r="G853" s="1">
        <v>74111</v>
      </c>
      <c r="H853" s="6" t="str">
        <f>HYPERLINK("http://www.ensembl.org/Mus_musculus/Gene/Summary?db=core;g=ENSMUSG00000029594","ENSMUSG00000029594")</f>
        <v>ENSMUSG00000029594</v>
      </c>
      <c r="I853" s="6" t="str">
        <f>HYPERLINK("http://www.informatics.jax.org/marker/MGI:1921361","MGI:1921361")</f>
        <v>MGI:1921361</v>
      </c>
      <c r="J853" s="7" t="s">
        <v>12</v>
      </c>
    </row>
    <row r="854" spans="1:10" x14ac:dyDescent="0.2">
      <c r="A854" s="3">
        <v>323.80750739605003</v>
      </c>
      <c r="B854" s="1">
        <v>-0.319562671409583</v>
      </c>
      <c r="C854" s="1">
        <v>3.7486740705113702E-4</v>
      </c>
      <c r="D854" s="7">
        <v>6.5218962341269896E-3</v>
      </c>
      <c r="E854" s="1" t="s">
        <v>1350</v>
      </c>
      <c r="F854" s="1" t="s">
        <v>1351</v>
      </c>
      <c r="G854" s="1">
        <v>380629</v>
      </c>
      <c r="H854" s="6" t="str">
        <f>HYPERLINK("http://www.ensembl.org/Mus_musculus/Gene/Summary?db=core;g=ENSMUSG00000039879","ENSMUSG00000039879")</f>
        <v>ENSMUSG00000039879</v>
      </c>
      <c r="I854" s="6" t="str">
        <f>HYPERLINK("http://www.informatics.jax.org/marker/MGI:2685715","MGI:2685715")</f>
        <v>MGI:2685715</v>
      </c>
      <c r="J854" s="7" t="s">
        <v>12</v>
      </c>
    </row>
    <row r="855" spans="1:10" x14ac:dyDescent="0.2">
      <c r="A855" s="3">
        <v>163.82707902600399</v>
      </c>
      <c r="B855" s="1">
        <v>-0.56322694743871404</v>
      </c>
      <c r="C855" s="1">
        <v>3.7742602859489402E-4</v>
      </c>
      <c r="D855" s="7">
        <v>6.5469786346935097E-3</v>
      </c>
      <c r="E855" s="1" t="s">
        <v>741</v>
      </c>
      <c r="F855" s="1" t="s">
        <v>742</v>
      </c>
      <c r="G855" s="1">
        <v>67168</v>
      </c>
      <c r="H855" s="6" t="str">
        <f>HYPERLINK("http://www.ensembl.org/Mus_musculus/Gene/Summary?db=core;g=ENSMUSG00000033446","ENSMUSG00000033446")</f>
        <v>ENSMUSG00000033446</v>
      </c>
      <c r="I855" s="6" t="str">
        <f>HYPERLINK("http://www.informatics.jax.org/marker/MGI:1914418","MGI:1914418")</f>
        <v>MGI:1914418</v>
      </c>
      <c r="J855" s="7" t="s">
        <v>12</v>
      </c>
    </row>
    <row r="856" spans="1:10" x14ac:dyDescent="0.2">
      <c r="A856" s="3">
        <v>799.24864610705197</v>
      </c>
      <c r="B856" s="1">
        <v>-0.34723717329928599</v>
      </c>
      <c r="C856" s="1">
        <v>3.7808623901494198E-4</v>
      </c>
      <c r="D856" s="7">
        <v>6.5469786346935097E-3</v>
      </c>
      <c r="E856" s="1" t="s">
        <v>1256</v>
      </c>
      <c r="F856" s="1" t="s">
        <v>1257</v>
      </c>
      <c r="G856" s="1">
        <v>227612</v>
      </c>
      <c r="H856" s="6" t="str">
        <f>HYPERLINK("http://www.ensembl.org/Mus_musculus/Gene/Summary?db=core;g=ENSMUSG00000059555","ENSMUSG00000059555")</f>
        <v>ENSMUSG00000059555</v>
      </c>
      <c r="I856" s="6" t="str">
        <f>HYPERLINK("http://www.informatics.jax.org/marker/MGI:2442720","MGI:2442720")</f>
        <v>MGI:2442720</v>
      </c>
      <c r="J856" s="7" t="s">
        <v>12</v>
      </c>
    </row>
    <row r="857" spans="1:10" x14ac:dyDescent="0.2">
      <c r="A857" s="3">
        <v>853.57586505506094</v>
      </c>
      <c r="B857" s="1">
        <v>0.26205905588758199</v>
      </c>
      <c r="C857" s="1">
        <v>3.77873872199876E-4</v>
      </c>
      <c r="D857" s="7">
        <v>6.5469786346935097E-3</v>
      </c>
      <c r="E857" s="1" t="s">
        <v>2914</v>
      </c>
      <c r="F857" s="1" t="s">
        <v>2915</v>
      </c>
      <c r="G857" s="1">
        <v>56696</v>
      </c>
      <c r="H857" s="6" t="str">
        <f>HYPERLINK("http://www.ensembl.org/Mus_musculus/Gene/Summary?db=core;g=ENSMUSG00000021298","ENSMUSG00000021298")</f>
        <v>ENSMUSG00000021298</v>
      </c>
      <c r="I857" s="6" t="str">
        <f>HYPERLINK("http://www.informatics.jax.org/marker/MGI:1890220","MGI:1890220")</f>
        <v>MGI:1890220</v>
      </c>
      <c r="J857" s="7" t="s">
        <v>12</v>
      </c>
    </row>
    <row r="858" spans="1:10" x14ac:dyDescent="0.2">
      <c r="A858" s="3">
        <v>579.81354030477496</v>
      </c>
      <c r="B858" s="1">
        <v>0.44037914552125801</v>
      </c>
      <c r="C858" s="1">
        <v>3.77924191740429E-4</v>
      </c>
      <c r="D858" s="7">
        <v>6.5469786346935097E-3</v>
      </c>
      <c r="E858" s="1" t="s">
        <v>3168</v>
      </c>
      <c r="F858" s="1" t="s">
        <v>3169</v>
      </c>
      <c r="G858" s="1">
        <v>68339</v>
      </c>
      <c r="H858" s="6" t="str">
        <f>HYPERLINK("http://www.ensembl.org/Mus_musculus/Gene/Summary?db=core;g=ENSMUSG00000021182","ENSMUSG00000021182")</f>
        <v>ENSMUSG00000021182</v>
      </c>
      <c r="I858" s="6" t="str">
        <f>HYPERLINK("http://www.informatics.jax.org/marker/MGI:1915589","MGI:1915589")</f>
        <v>MGI:1915589</v>
      </c>
      <c r="J858" s="7" t="s">
        <v>12</v>
      </c>
    </row>
    <row r="859" spans="1:10" x14ac:dyDescent="0.2">
      <c r="A859" s="3">
        <v>774.29021380701795</v>
      </c>
      <c r="B859" s="1">
        <v>-0.207709912971836</v>
      </c>
      <c r="C859" s="1">
        <v>3.8072551374010601E-4</v>
      </c>
      <c r="D859" s="7">
        <v>6.5849426883500097E-3</v>
      </c>
      <c r="E859" s="1" t="s">
        <v>1880</v>
      </c>
      <c r="F859" s="1" t="s">
        <v>1881</v>
      </c>
      <c r="G859" s="1">
        <v>19221</v>
      </c>
      <c r="H859" s="6" t="str">
        <f>HYPERLINK("http://www.ensembl.org/Mus_musculus/Gene/Summary?db=core;g=ENSMUSG00000027864","ENSMUSG00000027864")</f>
        <v>ENSMUSG00000027864</v>
      </c>
      <c r="I859" s="6" t="str">
        <f>HYPERLINK("http://www.informatics.jax.org/marker/MGI:1277114","MGI:1277114")</f>
        <v>MGI:1277114</v>
      </c>
      <c r="J859" s="7" t="s">
        <v>12</v>
      </c>
    </row>
    <row r="860" spans="1:10" x14ac:dyDescent="0.2">
      <c r="A860" s="3">
        <v>1203.13778977212</v>
      </c>
      <c r="B860" s="1">
        <v>0.18411375806499899</v>
      </c>
      <c r="C860" s="1">
        <v>3.8336350425624999E-4</v>
      </c>
      <c r="D860" s="7">
        <v>6.6227955436343397E-3</v>
      </c>
      <c r="E860" s="1" t="s">
        <v>2506</v>
      </c>
      <c r="F860" s="1" t="s">
        <v>2507</v>
      </c>
      <c r="G860" s="1">
        <v>18108</v>
      </c>
      <c r="H860" s="6" t="str">
        <f>HYPERLINK("http://www.ensembl.org/Mus_musculus/Gene/Summary?db=core;g=ENSMUSG00000026643","ENSMUSG00000026643")</f>
        <v>ENSMUSG00000026643</v>
      </c>
      <c r="I860" s="6" t="str">
        <f>HYPERLINK("http://www.informatics.jax.org/marker/MGI:1202298","MGI:1202298")</f>
        <v>MGI:1202298</v>
      </c>
      <c r="J860" s="7" t="s">
        <v>12</v>
      </c>
    </row>
    <row r="861" spans="1:10" x14ac:dyDescent="0.2">
      <c r="A861" s="3">
        <v>2723.1924407280999</v>
      </c>
      <c r="B861" s="1">
        <v>0.209672019227262</v>
      </c>
      <c r="C861" s="1">
        <v>3.85992171433882E-4</v>
      </c>
      <c r="D861" s="7">
        <v>6.6603988738286801E-3</v>
      </c>
      <c r="E861" s="1" t="s">
        <v>2668</v>
      </c>
      <c r="F861" s="1" t="s">
        <v>2669</v>
      </c>
      <c r="G861" s="1">
        <v>100088</v>
      </c>
      <c r="H861" s="6" t="str">
        <f>HYPERLINK("http://www.ensembl.org/Mus_musculus/Gene/Summary?db=core;g=ENSMUSG00000028896","ENSMUSG00000028896")</f>
        <v>ENSMUSG00000028896</v>
      </c>
      <c r="I861" s="6" t="str">
        <f>HYPERLINK("http://www.informatics.jax.org/marker/MGI:1913989","MGI:1913989")</f>
        <v>MGI:1913989</v>
      </c>
      <c r="J861" s="7" t="s">
        <v>12</v>
      </c>
    </row>
    <row r="862" spans="1:10" x14ac:dyDescent="0.2">
      <c r="A862" s="3">
        <v>1313.117363583</v>
      </c>
      <c r="B862" s="1">
        <v>0.16701033449900399</v>
      </c>
      <c r="C862" s="1">
        <v>3.8687499942015302E-4</v>
      </c>
      <c r="D862" s="7">
        <v>6.6678245514097999E-3</v>
      </c>
      <c r="E862" s="1" t="s">
        <v>2410</v>
      </c>
      <c r="F862" s="1" t="s">
        <v>2411</v>
      </c>
      <c r="G862" s="1">
        <v>264064</v>
      </c>
      <c r="H862" s="6" t="str">
        <f>HYPERLINK("http://www.ensembl.org/Mus_musculus/Gene/Summary?db=core;g=ENSMUSG00000029635","ENSMUSG00000029635")</f>
        <v>ENSMUSG00000029635</v>
      </c>
      <c r="I862" s="6" t="str">
        <f>HYPERLINK("http://www.informatics.jax.org/marker/MGI:1196224","MGI:1196224")</f>
        <v>MGI:1196224</v>
      </c>
      <c r="J862" s="7" t="s">
        <v>12</v>
      </c>
    </row>
    <row r="863" spans="1:10" x14ac:dyDescent="0.2">
      <c r="A863" s="3">
        <v>1402.8211656783701</v>
      </c>
      <c r="B863" s="1">
        <v>-0.236205165998922</v>
      </c>
      <c r="C863" s="1">
        <v>3.8945050656119903E-4</v>
      </c>
      <c r="D863" s="7">
        <v>6.7043722718292398E-3</v>
      </c>
      <c r="E863" s="1" t="s">
        <v>1726</v>
      </c>
      <c r="F863" s="1" t="s">
        <v>1727</v>
      </c>
      <c r="G863" s="1">
        <v>140481</v>
      </c>
      <c r="H863" s="6" t="str">
        <f>HYPERLINK("http://www.ensembl.org/Mus_musculus/Gene/Summary?db=core;g=ENSMUSG00000038886","ENSMUSG00000038886")</f>
        <v>ENSMUSG00000038886</v>
      </c>
      <c r="I863" s="6" t="str">
        <f>HYPERLINK("http://www.informatics.jax.org/marker/MGI:2150656","MGI:2150656")</f>
        <v>MGI:2150656</v>
      </c>
      <c r="J863" s="7" t="s">
        <v>12</v>
      </c>
    </row>
    <row r="864" spans="1:10" x14ac:dyDescent="0.2">
      <c r="A864" s="3">
        <v>4465.5568207553197</v>
      </c>
      <c r="B864" s="1">
        <v>0.18394276261845999</v>
      </c>
      <c r="C864" s="1">
        <v>3.9026269012349199E-4</v>
      </c>
      <c r="D864" s="7">
        <v>6.7105145877010301E-3</v>
      </c>
      <c r="E864" s="1" t="s">
        <v>2502</v>
      </c>
      <c r="F864" s="1" t="s">
        <v>2503</v>
      </c>
      <c r="G864" s="1">
        <v>13665</v>
      </c>
      <c r="H864" s="6" t="str">
        <f>HYPERLINK("http://www.ensembl.org/Mus_musculus/Gene/Summary?db=core;g=ENSMUSG00000021116","ENSMUSG00000021116")</f>
        <v>ENSMUSG00000021116</v>
      </c>
      <c r="I864" s="6" t="str">
        <f>HYPERLINK("http://www.informatics.jax.org/marker/MGI:95299","MGI:95299")</f>
        <v>MGI:95299</v>
      </c>
      <c r="J864" s="7" t="s">
        <v>12</v>
      </c>
    </row>
    <row r="865" spans="1:10" x14ac:dyDescent="0.2">
      <c r="A865" s="3">
        <v>518.82637025203599</v>
      </c>
      <c r="B865" s="1">
        <v>0.20851360895908799</v>
      </c>
      <c r="C865" s="1">
        <v>3.9252741581922502E-4</v>
      </c>
      <c r="D865" s="7">
        <v>6.7337415593854404E-3</v>
      </c>
      <c r="E865" s="1" t="s">
        <v>2656</v>
      </c>
      <c r="F865" s="1" t="s">
        <v>2657</v>
      </c>
      <c r="G865" s="1">
        <v>217666</v>
      </c>
      <c r="H865" s="6" t="str">
        <f>HYPERLINK("http://www.ensembl.org/Mus_musculus/Gene/Summary?db=core;g=ENSMUSG00000020988","ENSMUSG00000020988")</f>
        <v>ENSMUSG00000020988</v>
      </c>
      <c r="I865" s="6" t="str">
        <f>HYPERLINK("http://www.informatics.jax.org/marker/MGI:2384968","MGI:2384968")</f>
        <v>MGI:2384968</v>
      </c>
      <c r="J865" s="7" t="s">
        <v>12</v>
      </c>
    </row>
    <row r="866" spans="1:10" x14ac:dyDescent="0.2">
      <c r="A866" s="3">
        <v>279.876364266081</v>
      </c>
      <c r="B866" s="1">
        <v>0.29288780303686901</v>
      </c>
      <c r="C866" s="1">
        <v>3.9241015334387801E-4</v>
      </c>
      <c r="D866" s="7">
        <v>6.7337415593854404E-3</v>
      </c>
      <c r="E866" s="1" t="s">
        <v>2992</v>
      </c>
      <c r="F866" s="1" t="s">
        <v>2993</v>
      </c>
      <c r="G866" s="1">
        <v>215999</v>
      </c>
      <c r="H866" s="6" t="str">
        <f>HYPERLINK("http://www.ensembl.org/Mus_musculus/Gene/Summary?db=core;g=ENSMUSG00000009647","ENSMUSG00000009647")</f>
        <v>ENSMUSG00000009647</v>
      </c>
      <c r="I866" s="6" t="str">
        <f>HYPERLINK("http://www.informatics.jax.org/marker/MGI:3026965","MGI:3026965")</f>
        <v>MGI:3026965</v>
      </c>
      <c r="J866" s="7" t="s">
        <v>12</v>
      </c>
    </row>
    <row r="867" spans="1:10" x14ac:dyDescent="0.2">
      <c r="A867" s="3">
        <v>50.356142270072802</v>
      </c>
      <c r="B867" s="1">
        <v>-0.56356498514160203</v>
      </c>
      <c r="C867" s="1">
        <v>3.9406387701709902E-4</v>
      </c>
      <c r="D867" s="7">
        <v>6.7522387113069498E-3</v>
      </c>
      <c r="E867" s="1" t="s">
        <v>739</v>
      </c>
      <c r="F867" s="1" t="s">
        <v>740</v>
      </c>
      <c r="G867" s="1" t="s">
        <v>45</v>
      </c>
      <c r="H867" s="6" t="str">
        <f>HYPERLINK("http://www.ensembl.org/Mus_musculus/Gene/Summary?db=core;g=ENSMUSG00000091498","ENSMUSG00000091498")</f>
        <v>ENSMUSG00000091498</v>
      </c>
      <c r="I867" s="6" t="str">
        <f>HYPERLINK("http://www.informatics.jax.org/marker/MGI:3781628","MGI:3781628")</f>
        <v>MGI:3781628</v>
      </c>
      <c r="J867" s="7" t="s">
        <v>330</v>
      </c>
    </row>
    <row r="868" spans="1:10" x14ac:dyDescent="0.2">
      <c r="A868" s="3">
        <v>1127.86544351105</v>
      </c>
      <c r="B868" s="1">
        <v>-0.175839335974939</v>
      </c>
      <c r="C868" s="1">
        <v>3.9817954812810499E-4</v>
      </c>
      <c r="D868" s="7">
        <v>6.8148360292866004E-3</v>
      </c>
      <c r="E868" s="1" t="s">
        <v>2028</v>
      </c>
      <c r="F868" s="1" t="s">
        <v>2029</v>
      </c>
      <c r="G868" s="1">
        <v>52335</v>
      </c>
      <c r="H868" s="6" t="str">
        <f>HYPERLINK("http://www.ensembl.org/Mus_musculus/Gene/Summary?db=core;g=ENSMUSG00000069895","ENSMUSG00000069895")</f>
        <v>ENSMUSG00000069895</v>
      </c>
      <c r="I868" s="6" t="str">
        <f>HYPERLINK("http://www.informatics.jax.org/marker/MGI:3694797","MGI:3694797")</f>
        <v>MGI:3694797</v>
      </c>
      <c r="J868" s="7" t="s">
        <v>12</v>
      </c>
    </row>
    <row r="869" spans="1:10" x14ac:dyDescent="0.2">
      <c r="A869" s="3">
        <v>2736.3146514043801</v>
      </c>
      <c r="B869" s="1">
        <v>-0.161245233650157</v>
      </c>
      <c r="C869" s="1">
        <v>3.9955449569967601E-4</v>
      </c>
      <c r="D869" s="7">
        <v>6.8284375731725898E-3</v>
      </c>
      <c r="E869" s="1" t="s">
        <v>2076</v>
      </c>
      <c r="F869" s="1" t="s">
        <v>2077</v>
      </c>
      <c r="G869" s="1">
        <v>17925</v>
      </c>
      <c r="H869" s="6" t="str">
        <f>HYPERLINK("http://www.ensembl.org/Mus_musculus/Gene/Summary?db=core;g=ENSMUSG00000004677","ENSMUSG00000004677")</f>
        <v>ENSMUSG00000004677</v>
      </c>
      <c r="I869" s="6" t="str">
        <f>HYPERLINK("http://www.informatics.jax.org/marker/MGI:106624","MGI:106624")</f>
        <v>MGI:106624</v>
      </c>
      <c r="J869" s="7" t="s">
        <v>12</v>
      </c>
    </row>
    <row r="870" spans="1:10" x14ac:dyDescent="0.2">
      <c r="A870" s="3">
        <v>133.55642271890099</v>
      </c>
      <c r="B870" s="1">
        <v>1.1295706252206601</v>
      </c>
      <c r="C870" s="1">
        <v>3.9990103322800903E-4</v>
      </c>
      <c r="D870" s="7">
        <v>6.8284375731725898E-3</v>
      </c>
      <c r="E870" s="1" t="s">
        <v>3329</v>
      </c>
      <c r="F870" s="1" t="s">
        <v>3330</v>
      </c>
      <c r="G870" s="1">
        <v>66222</v>
      </c>
      <c r="H870" s="6" t="str">
        <f>HYPERLINK("http://www.ensembl.org/Mus_musculus/Gene/Summary?db=core;g=ENSMUSG00000044734","ENSMUSG00000044734")</f>
        <v>ENSMUSG00000044734</v>
      </c>
      <c r="I870" s="6" t="str">
        <f>HYPERLINK("http://www.informatics.jax.org/marker/MGI:1913472","MGI:1913472")</f>
        <v>MGI:1913472</v>
      </c>
      <c r="J870" s="7" t="s">
        <v>12</v>
      </c>
    </row>
    <row r="871" spans="1:10" x14ac:dyDescent="0.2">
      <c r="A871" s="3">
        <v>14.302121124349</v>
      </c>
      <c r="B871" s="1">
        <v>-0.96914237785002</v>
      </c>
      <c r="C871" s="1">
        <v>4.03688063137143E-4</v>
      </c>
      <c r="D871" s="7">
        <v>6.8727755792803201E-3</v>
      </c>
      <c r="E871" s="1" t="s">
        <v>361</v>
      </c>
      <c r="F871" s="1" t="s">
        <v>362</v>
      </c>
      <c r="G871" s="1" t="s">
        <v>45</v>
      </c>
      <c r="H871" s="6" t="str">
        <f>HYPERLINK("http://www.ensembl.org/Mus_musculus/Gene/Summary?db=core;g=ENSMUSG00000092528","ENSMUSG00000092528")</f>
        <v>ENSMUSG00000092528</v>
      </c>
      <c r="I871" s="6" t="str">
        <f>HYPERLINK("http://www.informatics.jax.org/marker/MGI:3582962","MGI:3582962")</f>
        <v>MGI:3582962</v>
      </c>
      <c r="J871" s="7" t="s">
        <v>215</v>
      </c>
    </row>
    <row r="872" spans="1:10" x14ac:dyDescent="0.2">
      <c r="A872" s="3">
        <v>17.417501461453998</v>
      </c>
      <c r="B872" s="1">
        <v>-0.93343901290569598</v>
      </c>
      <c r="C872" s="1">
        <v>4.0371942541301902E-4</v>
      </c>
      <c r="D872" s="7">
        <v>6.8727755792803201E-3</v>
      </c>
      <c r="E872" s="1" t="s">
        <v>383</v>
      </c>
      <c r="F872" s="1" t="s">
        <v>384</v>
      </c>
      <c r="G872" s="1">
        <v>12483</v>
      </c>
      <c r="H872" s="6" t="str">
        <f>HYPERLINK("http://www.ensembl.org/Mus_musculus/Gene/Summary?db=core;g=ENSMUSG00000030577","ENSMUSG00000030577")</f>
        <v>ENSMUSG00000030577</v>
      </c>
      <c r="I872" s="6" t="str">
        <f>HYPERLINK("http://www.informatics.jax.org/marker/MGI:88322","MGI:88322")</f>
        <v>MGI:88322</v>
      </c>
      <c r="J872" s="7" t="s">
        <v>12</v>
      </c>
    </row>
    <row r="873" spans="1:10" x14ac:dyDescent="0.2">
      <c r="A873" s="3">
        <v>2722.5970227817202</v>
      </c>
      <c r="B873" s="1">
        <v>-0.187765633324217</v>
      </c>
      <c r="C873" s="1">
        <v>4.0389682760971502E-4</v>
      </c>
      <c r="D873" s="7">
        <v>6.8727755792803201E-3</v>
      </c>
      <c r="E873" s="1" t="s">
        <v>1972</v>
      </c>
      <c r="F873" s="1" t="s">
        <v>1973</v>
      </c>
      <c r="G873" s="1">
        <v>59079</v>
      </c>
      <c r="H873" s="6" t="str">
        <f>HYPERLINK("http://www.ensembl.org/Mus_musculus/Gene/Summary?db=core;g=ENSMUSG00000021709","ENSMUSG00000021709")</f>
        <v>ENSMUSG00000021709</v>
      </c>
      <c r="I873" s="6" t="str">
        <f>HYPERLINK("http://www.informatics.jax.org/marker/MGI:1890169","MGI:1890169")</f>
        <v>MGI:1890169</v>
      </c>
      <c r="J873" s="7" t="s">
        <v>12</v>
      </c>
    </row>
    <row r="874" spans="1:10" x14ac:dyDescent="0.2">
      <c r="A874" s="3">
        <v>1394.4709263074401</v>
      </c>
      <c r="B874" s="1">
        <v>-0.43982387935532802</v>
      </c>
      <c r="C874" s="1">
        <v>4.0465901591538699E-4</v>
      </c>
      <c r="D874" s="7">
        <v>6.8778030663542598E-3</v>
      </c>
      <c r="E874" s="1" t="s">
        <v>965</v>
      </c>
      <c r="F874" s="1" t="s">
        <v>966</v>
      </c>
      <c r="G874" s="1">
        <v>192187</v>
      </c>
      <c r="H874" s="6" t="str">
        <f>HYPERLINK("http://www.ensembl.org/Mus_musculus/Gene/Summary?db=core;g=ENSMUSG00000042286","ENSMUSG00000042286")</f>
        <v>ENSMUSG00000042286</v>
      </c>
      <c r="I874" s="6" t="str">
        <f>HYPERLINK("http://www.informatics.jax.org/marker/MGI:2178742","MGI:2178742")</f>
        <v>MGI:2178742</v>
      </c>
      <c r="J874" s="7" t="s">
        <v>12</v>
      </c>
    </row>
    <row r="875" spans="1:10" x14ac:dyDescent="0.2">
      <c r="A875" s="3">
        <v>11.2031666712343</v>
      </c>
      <c r="B875" s="1">
        <v>1.1204630513732601</v>
      </c>
      <c r="C875" s="1">
        <v>4.06673005527956E-4</v>
      </c>
      <c r="D875" s="7">
        <v>6.90407074822576E-3</v>
      </c>
      <c r="E875" s="1" t="s">
        <v>3327</v>
      </c>
      <c r="F875" s="1" t="s">
        <v>3328</v>
      </c>
      <c r="G875" s="1" t="s">
        <v>45</v>
      </c>
      <c r="H875" s="6" t="str">
        <f>HYPERLINK("http://www.ensembl.org/Mus_musculus/Gene/Summary?db=core;g=ENSMUSG00000113113","ENSMUSG00000113113")</f>
        <v>ENSMUSG00000113113</v>
      </c>
      <c r="I875" s="6" t="str">
        <f>HYPERLINK("http://www.informatics.jax.org/marker/MGI:3780782","MGI:3780782")</f>
        <v>MGI:3780782</v>
      </c>
      <c r="J875" s="7" t="s">
        <v>330</v>
      </c>
    </row>
    <row r="876" spans="1:10" x14ac:dyDescent="0.2">
      <c r="A876" s="3">
        <v>84.993097327899505</v>
      </c>
      <c r="B876" s="1">
        <v>-0.44901538325037699</v>
      </c>
      <c r="C876" s="1">
        <v>4.0896643308163899E-4</v>
      </c>
      <c r="D876" s="7">
        <v>6.9272437201747597E-3</v>
      </c>
      <c r="E876" s="1" t="s">
        <v>935</v>
      </c>
      <c r="F876" s="1" t="s">
        <v>936</v>
      </c>
      <c r="G876" s="1">
        <v>74478</v>
      </c>
      <c r="H876" s="6" t="str">
        <f>HYPERLINK("http://www.ensembl.org/Mus_musculus/Gene/Summary?db=core;g=ENSMUSG00000071669","ENSMUSG00000071669")</f>
        <v>ENSMUSG00000071669</v>
      </c>
      <c r="I876" s="6" t="str">
        <f>HYPERLINK("http://www.informatics.jax.org/marker/MGI:1921728","MGI:1921728")</f>
        <v>MGI:1921728</v>
      </c>
      <c r="J876" s="7" t="s">
        <v>12</v>
      </c>
    </row>
    <row r="877" spans="1:10" x14ac:dyDescent="0.2">
      <c r="A877" s="3">
        <v>3344.2510383144199</v>
      </c>
      <c r="B877" s="1">
        <v>0.14677661926917299</v>
      </c>
      <c r="C877" s="1">
        <v>4.0897815123181602E-4</v>
      </c>
      <c r="D877" s="7">
        <v>6.9272437201747597E-3</v>
      </c>
      <c r="E877" s="1" t="s">
        <v>2302</v>
      </c>
      <c r="F877" s="1" t="s">
        <v>2303</v>
      </c>
      <c r="G877" s="1">
        <v>218914</v>
      </c>
      <c r="H877" s="6" t="str">
        <f>HYPERLINK("http://www.ensembl.org/Mus_musculus/Gene/Summary?db=core;g=ENSMUSG00000041408","ENSMUSG00000041408")</f>
        <v>ENSMUSG00000041408</v>
      </c>
      <c r="I877" s="6" t="str">
        <f>HYPERLINK("http://www.informatics.jax.org/marker/MGI:2675859","MGI:2675859")</f>
        <v>MGI:2675859</v>
      </c>
      <c r="J877" s="7" t="s">
        <v>12</v>
      </c>
    </row>
    <row r="878" spans="1:10" x14ac:dyDescent="0.2">
      <c r="A878" s="3">
        <v>267.09675852279901</v>
      </c>
      <c r="B878" s="1">
        <v>-0.29933319259593999</v>
      </c>
      <c r="C878" s="1">
        <v>4.1130799918199899E-4</v>
      </c>
      <c r="D878" s="7">
        <v>6.9587080091227703E-3</v>
      </c>
      <c r="E878" s="1" t="s">
        <v>1456</v>
      </c>
      <c r="F878" s="1" t="s">
        <v>1457</v>
      </c>
      <c r="G878" s="1">
        <v>207278</v>
      </c>
      <c r="H878" s="6" t="str">
        <f>HYPERLINK("http://www.ensembl.org/Mus_musculus/Gene/Summary?db=core;g=ENSMUSG00000030691","ENSMUSG00000030691")</f>
        <v>ENSMUSG00000030691</v>
      </c>
      <c r="I878" s="6" t="str">
        <f>HYPERLINK("http://www.informatics.jax.org/marker/MGI:2448475","MGI:2448475")</f>
        <v>MGI:2448475</v>
      </c>
      <c r="J878" s="7" t="s">
        <v>12</v>
      </c>
    </row>
    <row r="879" spans="1:10" x14ac:dyDescent="0.2">
      <c r="A879" s="3">
        <v>38.112363549720797</v>
      </c>
      <c r="B879" s="1">
        <v>-1.06657434179056</v>
      </c>
      <c r="C879" s="1">
        <v>4.1489926640391199E-4</v>
      </c>
      <c r="D879" s="7">
        <v>7.0082644273021704E-3</v>
      </c>
      <c r="E879" s="1" t="s">
        <v>289</v>
      </c>
      <c r="F879" s="1" t="s">
        <v>290</v>
      </c>
      <c r="G879" s="1">
        <v>100040766</v>
      </c>
      <c r="H879" s="6" t="str">
        <f>HYPERLINK("http://www.ensembl.org/Mus_musculus/Gene/Summary?db=core;g=ENSMUSG00000079429","ENSMUSG00000079429")</f>
        <v>ENSMUSG00000079429</v>
      </c>
      <c r="I879" s="6" t="str">
        <f>HYPERLINK("http://www.informatics.jax.org/marker/MGI:3705228","MGI:3705228")</f>
        <v>MGI:3705228</v>
      </c>
      <c r="J879" s="7" t="s">
        <v>12</v>
      </c>
    </row>
    <row r="880" spans="1:10" x14ac:dyDescent="0.2">
      <c r="A880" s="3">
        <v>317.658948375916</v>
      </c>
      <c r="B880" s="1">
        <v>0.44983385498399098</v>
      </c>
      <c r="C880" s="1">
        <v>4.1518830381615099E-4</v>
      </c>
      <c r="D880" s="7">
        <v>7.0082644273021704E-3</v>
      </c>
      <c r="E880" s="1" t="s">
        <v>3178</v>
      </c>
      <c r="F880" s="1" t="s">
        <v>3179</v>
      </c>
      <c r="G880" s="1">
        <v>13401</v>
      </c>
      <c r="H880" s="6" t="str">
        <f>HYPERLINK("http://www.ensembl.org/Mus_musculus/Gene/Summary?db=core;g=ENSMUSG00000030410","ENSMUSG00000030410")</f>
        <v>ENSMUSG00000030410</v>
      </c>
      <c r="I880" s="6" t="str">
        <f>HYPERLINK("http://www.informatics.jax.org/marker/MGI:94907","MGI:94907")</f>
        <v>MGI:94907</v>
      </c>
      <c r="J880" s="7" t="s">
        <v>12</v>
      </c>
    </row>
    <row r="881" spans="1:10" x14ac:dyDescent="0.2">
      <c r="A881" s="3">
        <v>222.303907845738</v>
      </c>
      <c r="B881" s="1">
        <v>-0.32429441170045697</v>
      </c>
      <c r="C881" s="1">
        <v>4.17934226559841E-4</v>
      </c>
      <c r="D881" s="7">
        <v>7.0465432066199301E-3</v>
      </c>
      <c r="E881" s="1" t="s">
        <v>1338</v>
      </c>
      <c r="F881" s="1" t="s">
        <v>1339</v>
      </c>
      <c r="G881" s="1">
        <v>224703</v>
      </c>
      <c r="H881" s="6" t="str">
        <f>HYPERLINK("http://www.ensembl.org/Mus_musculus/Gene/Summary?db=core;g=ENSMUSG00000079557","ENSMUSG00000079557")</f>
        <v>ENSMUSG00000079557</v>
      </c>
      <c r="I881" s="6" t="str">
        <f>HYPERLINK("http://www.informatics.jax.org/marker/MGI:1925915","MGI:1925915")</f>
        <v>MGI:1925915</v>
      </c>
      <c r="J881" s="7" t="s">
        <v>12</v>
      </c>
    </row>
    <row r="882" spans="1:10" x14ac:dyDescent="0.2">
      <c r="A882" s="3">
        <v>783.84929841152302</v>
      </c>
      <c r="B882" s="1">
        <v>0.225995603311754</v>
      </c>
      <c r="C882" s="1">
        <v>4.1896907264503798E-4</v>
      </c>
      <c r="D882" s="7">
        <v>7.0559180051397502E-3</v>
      </c>
      <c r="E882" s="1" t="s">
        <v>2764</v>
      </c>
      <c r="F882" s="1" t="s">
        <v>2765</v>
      </c>
      <c r="G882" s="1">
        <v>230734</v>
      </c>
      <c r="H882" s="6" t="str">
        <f>HYPERLINK("http://www.ensembl.org/Mus_musculus/Gene/Summary?db=core;g=ENSMUSG00000028889","ENSMUSG00000028889")</f>
        <v>ENSMUSG00000028889</v>
      </c>
      <c r="I882" s="6" t="str">
        <f>HYPERLINK("http://www.informatics.jax.org/marker/MGI:2387201","MGI:2387201")</f>
        <v>MGI:2387201</v>
      </c>
      <c r="J882" s="7" t="s">
        <v>12</v>
      </c>
    </row>
    <row r="883" spans="1:10" x14ac:dyDescent="0.2">
      <c r="A883" s="3">
        <v>35.837448111949001</v>
      </c>
      <c r="B883" s="1">
        <v>0.83238176989360102</v>
      </c>
      <c r="C883" s="1">
        <v>4.2469173520505199E-4</v>
      </c>
      <c r="D883" s="7">
        <v>7.14412946344937E-3</v>
      </c>
      <c r="E883" s="1" t="s">
        <v>3292</v>
      </c>
      <c r="F883" s="1" t="s">
        <v>3293</v>
      </c>
      <c r="G883" s="1" t="s">
        <v>45</v>
      </c>
      <c r="H883" s="6" t="str">
        <f>HYPERLINK("http://www.ensembl.org/Mus_musculus/Gene/Summary?db=core;g=ENSMUSG00000086742","ENSMUSG00000086742")</f>
        <v>ENSMUSG00000086742</v>
      </c>
      <c r="I883" s="6" t="str">
        <f>HYPERLINK("http://www.informatics.jax.org/marker/MGI:3802153","MGI:3802153")</f>
        <v>MGI:3802153</v>
      </c>
      <c r="J883" s="7" t="s">
        <v>190</v>
      </c>
    </row>
    <row r="884" spans="1:10" x14ac:dyDescent="0.2">
      <c r="A884" s="3">
        <v>85.071196288179806</v>
      </c>
      <c r="B884" s="1">
        <v>0.60972938196080795</v>
      </c>
      <c r="C884" s="1">
        <v>4.3260896154366898E-4</v>
      </c>
      <c r="D884" s="7">
        <v>7.2690144325057099E-3</v>
      </c>
      <c r="E884" s="1" t="s">
        <v>3244</v>
      </c>
      <c r="F884" s="1" t="s">
        <v>3245</v>
      </c>
      <c r="G884" s="1">
        <v>24001</v>
      </c>
      <c r="H884" s="6" t="str">
        <f>HYPERLINK("http://www.ensembl.org/Mus_musculus/Gene/Summary?db=core;g=ENSMUSG00000023800","ENSMUSG00000023800")</f>
        <v>ENSMUSG00000023800</v>
      </c>
      <c r="I884" s="6" t="str">
        <f>HYPERLINK("http://www.informatics.jax.org/marker/MGI:1344338","MGI:1344338")</f>
        <v>MGI:1344338</v>
      </c>
      <c r="J884" s="7" t="s">
        <v>12</v>
      </c>
    </row>
    <row r="885" spans="1:10" x14ac:dyDescent="0.2">
      <c r="A885" s="3">
        <v>1065.36864254902</v>
      </c>
      <c r="B885" s="1">
        <v>-0.40721687789745198</v>
      </c>
      <c r="C885" s="1">
        <v>4.3527314982059697E-4</v>
      </c>
      <c r="D885" s="7">
        <v>7.2995507491170298E-3</v>
      </c>
      <c r="E885" s="1" t="s">
        <v>1081</v>
      </c>
      <c r="F885" s="1" t="s">
        <v>1082</v>
      </c>
      <c r="G885" s="1">
        <v>19224</v>
      </c>
      <c r="H885" s="6" t="str">
        <f>HYPERLINK("http://www.ensembl.org/Mus_musculus/Gene/Summary?db=core;g=ENSMUSG00000047250","ENSMUSG00000047250")</f>
        <v>ENSMUSG00000047250</v>
      </c>
      <c r="I885" s="6" t="str">
        <f>HYPERLINK("http://www.informatics.jax.org/marker/MGI:97797","MGI:97797")</f>
        <v>MGI:97797</v>
      </c>
      <c r="J885" s="7" t="s">
        <v>12</v>
      </c>
    </row>
    <row r="886" spans="1:10" x14ac:dyDescent="0.2">
      <c r="A886" s="3">
        <v>3649.9110505500098</v>
      </c>
      <c r="B886" s="1">
        <v>-0.23089585631283299</v>
      </c>
      <c r="C886" s="1">
        <v>4.3541701333291697E-4</v>
      </c>
      <c r="D886" s="7">
        <v>7.2995507491170298E-3</v>
      </c>
      <c r="E886" s="1" t="s">
        <v>1754</v>
      </c>
      <c r="F886" s="1" t="s">
        <v>1755</v>
      </c>
      <c r="G886" s="1">
        <v>18174</v>
      </c>
      <c r="H886" s="6" t="str">
        <f>HYPERLINK("http://www.ensembl.org/Mus_musculus/Gene/Summary?db=core;g=ENSMUSG00000023030","ENSMUSG00000023030")</f>
        <v>ENSMUSG00000023030</v>
      </c>
      <c r="I886" s="6" t="str">
        <f>HYPERLINK("http://www.informatics.jax.org/marker/MGI:1345279","MGI:1345279")</f>
        <v>MGI:1345279</v>
      </c>
      <c r="J886" s="7" t="s">
        <v>12</v>
      </c>
    </row>
    <row r="887" spans="1:10" x14ac:dyDescent="0.2">
      <c r="A887" s="3">
        <v>110.124656990961</v>
      </c>
      <c r="B887" s="1">
        <v>-0.78738492604875299</v>
      </c>
      <c r="C887" s="1">
        <v>4.3789672131563402E-4</v>
      </c>
      <c r="D887" s="7">
        <v>7.3327796423945197E-3</v>
      </c>
      <c r="E887" s="1" t="s">
        <v>484</v>
      </c>
      <c r="F887" s="1" t="s">
        <v>485</v>
      </c>
      <c r="G887" s="1">
        <v>74735</v>
      </c>
      <c r="H887" s="6" t="str">
        <f>HYPERLINK("http://www.ensembl.org/Mus_musculus/Gene/Summary?db=core;g=ENSMUSG00000039853","ENSMUSG00000039853")</f>
        <v>ENSMUSG00000039853</v>
      </c>
      <c r="I887" s="6" t="str">
        <f>HYPERLINK("http://www.informatics.jax.org/marker/MGI:1921985","MGI:1921985")</f>
        <v>MGI:1921985</v>
      </c>
      <c r="J887" s="7" t="s">
        <v>12</v>
      </c>
    </row>
    <row r="888" spans="1:10" x14ac:dyDescent="0.2">
      <c r="A888" s="3">
        <v>780.49305697443197</v>
      </c>
      <c r="B888" s="1">
        <v>0.25763856206379998</v>
      </c>
      <c r="C888" s="1">
        <v>4.3892305385652501E-4</v>
      </c>
      <c r="D888" s="7">
        <v>7.3416232935638497E-3</v>
      </c>
      <c r="E888" s="1" t="s">
        <v>2892</v>
      </c>
      <c r="F888" s="1" t="s">
        <v>2893</v>
      </c>
      <c r="G888" s="1">
        <v>57743</v>
      </c>
      <c r="H888" s="6" t="str">
        <f>HYPERLINK("http://www.ensembl.org/Mus_musculus/Gene/Summary?db=core;g=ENSMUSG00000025816","ENSMUSG00000025816")</f>
        <v>ENSMUSG00000025816</v>
      </c>
      <c r="I888" s="6" t="str">
        <f>HYPERLINK("http://www.informatics.jax.org/marker/MGI:1931071","MGI:1931071")</f>
        <v>MGI:1931071</v>
      </c>
      <c r="J888" s="7" t="s">
        <v>12</v>
      </c>
    </row>
    <row r="889" spans="1:10" x14ac:dyDescent="0.2">
      <c r="A889" s="3">
        <v>229.32396990738101</v>
      </c>
      <c r="B889" s="1">
        <v>-0.31349085801034299</v>
      </c>
      <c r="C889" s="1">
        <v>4.4087203327152202E-4</v>
      </c>
      <c r="D889" s="7">
        <v>7.3613362370840698E-3</v>
      </c>
      <c r="E889" s="1" t="s">
        <v>1380</v>
      </c>
      <c r="F889" s="1" t="s">
        <v>1381</v>
      </c>
      <c r="G889" s="1">
        <v>109305</v>
      </c>
      <c r="H889" s="6" t="str">
        <f>HYPERLINK("http://www.ensembl.org/Mus_musculus/Gene/Summary?db=core;g=ENSMUSG00000049686","ENSMUSG00000049686")</f>
        <v>ENSMUSG00000049686</v>
      </c>
      <c r="I889" s="6" t="str">
        <f>HYPERLINK("http://www.informatics.jax.org/marker/MGI:1925542","MGI:1925542")</f>
        <v>MGI:1925542</v>
      </c>
      <c r="J889" s="7" t="s">
        <v>12</v>
      </c>
    </row>
    <row r="890" spans="1:10" x14ac:dyDescent="0.2">
      <c r="A890" s="3">
        <v>995.38388980778495</v>
      </c>
      <c r="B890" s="1">
        <v>-0.21556491053621499</v>
      </c>
      <c r="C890" s="1">
        <v>4.4110069878835697E-4</v>
      </c>
      <c r="D890" s="7">
        <v>7.3613362370840698E-3</v>
      </c>
      <c r="E890" s="1" t="s">
        <v>1840</v>
      </c>
      <c r="F890" s="1" t="s">
        <v>1841</v>
      </c>
      <c r="G890" s="1">
        <v>234847</v>
      </c>
      <c r="H890" s="6" t="str">
        <f>HYPERLINK("http://www.ensembl.org/Mus_musculus/Gene/Summary?db=core;g=ENSMUSG00000000738","ENSMUSG00000000738")</f>
        <v>ENSMUSG00000000738</v>
      </c>
      <c r="I890" s="6" t="str">
        <f>HYPERLINK("http://www.informatics.jax.org/marker/MGI:2385906","MGI:2385906")</f>
        <v>MGI:2385906</v>
      </c>
      <c r="J890" s="7" t="s">
        <v>12</v>
      </c>
    </row>
    <row r="891" spans="1:10" x14ac:dyDescent="0.2">
      <c r="A891" s="3">
        <v>1235.42054811046</v>
      </c>
      <c r="B891" s="1">
        <v>-0.23763636269025701</v>
      </c>
      <c r="C891" s="1">
        <v>4.4537019898776702E-4</v>
      </c>
      <c r="D891" s="7">
        <v>7.4241801496422403E-3</v>
      </c>
      <c r="E891" s="1" t="s">
        <v>1722</v>
      </c>
      <c r="F891" s="1" t="s">
        <v>1723</v>
      </c>
      <c r="G891" s="1">
        <v>319934</v>
      </c>
      <c r="H891" s="6" t="str">
        <f>HYPERLINK("http://www.ensembl.org/Mus_musculus/Gene/Summary?db=core;g=ENSMUSG00000038371","ENSMUSG00000038371")</f>
        <v>ENSMUSG00000038371</v>
      </c>
      <c r="I891" s="6" t="str">
        <f>HYPERLINK("http://www.informatics.jax.org/marker/MGI:1921831","MGI:1921831")</f>
        <v>MGI:1921831</v>
      </c>
      <c r="J891" s="7" t="s">
        <v>12</v>
      </c>
    </row>
    <row r="892" spans="1:10" x14ac:dyDescent="0.2">
      <c r="A892" s="3">
        <v>936.63119253225295</v>
      </c>
      <c r="B892" s="1">
        <v>-0.18721974758912399</v>
      </c>
      <c r="C892" s="1">
        <v>4.4601584473787299E-4</v>
      </c>
      <c r="D892" s="7">
        <v>7.4265417944150199E-3</v>
      </c>
      <c r="E892" s="1" t="s">
        <v>1980</v>
      </c>
      <c r="F892" s="1" t="s">
        <v>1981</v>
      </c>
      <c r="G892" s="1">
        <v>11502</v>
      </c>
      <c r="H892" s="6" t="str">
        <f>HYPERLINK("http://www.ensembl.org/Mus_musculus/Gene/Summary?db=core;g=ENSMUSG00000031555","ENSMUSG00000031555")</f>
        <v>ENSMUSG00000031555</v>
      </c>
      <c r="I892" s="6" t="str">
        <f>HYPERLINK("http://www.informatics.jax.org/marker/MGI:105376","MGI:105376")</f>
        <v>MGI:105376</v>
      </c>
      <c r="J892" s="7" t="s">
        <v>12</v>
      </c>
    </row>
    <row r="893" spans="1:10" x14ac:dyDescent="0.2">
      <c r="A893" s="3">
        <v>358.41317419738499</v>
      </c>
      <c r="B893" s="1">
        <v>-0.54627336997352105</v>
      </c>
      <c r="C893" s="1">
        <v>4.4867578857767901E-4</v>
      </c>
      <c r="D893" s="7">
        <v>7.4493506175465499E-3</v>
      </c>
      <c r="E893" s="1" t="s">
        <v>765</v>
      </c>
      <c r="F893" s="1" t="s">
        <v>766</v>
      </c>
      <c r="G893" s="1">
        <v>12337</v>
      </c>
      <c r="H893" s="6" t="str">
        <f>HYPERLINK("http://www.ensembl.org/Mus_musculus/Gene/Summary?db=core;g=ENSMUSG00000035547","ENSMUSG00000035547")</f>
        <v>ENSMUSG00000035547</v>
      </c>
      <c r="I893" s="6" t="str">
        <f>HYPERLINK("http://www.informatics.jax.org/marker/MGI:1100859","MGI:1100859")</f>
        <v>MGI:1100859</v>
      </c>
      <c r="J893" s="7" t="s">
        <v>12</v>
      </c>
    </row>
    <row r="894" spans="1:10" x14ac:dyDescent="0.2">
      <c r="A894" s="3">
        <v>12069.733088361199</v>
      </c>
      <c r="B894" s="1">
        <v>-0.472518361725763</v>
      </c>
      <c r="C894" s="1">
        <v>4.4822371347872102E-4</v>
      </c>
      <c r="D894" s="7">
        <v>7.4493506175465499E-3</v>
      </c>
      <c r="E894" s="1" t="s">
        <v>887</v>
      </c>
      <c r="F894" s="1" t="s">
        <v>888</v>
      </c>
      <c r="G894" s="1">
        <v>21938</v>
      </c>
      <c r="H894" s="6" t="str">
        <f>HYPERLINK("http://www.ensembl.org/Mus_musculus/Gene/Summary?db=core;g=ENSMUSG00000028599","ENSMUSG00000028599")</f>
        <v>ENSMUSG00000028599</v>
      </c>
      <c r="I894" s="6" t="str">
        <f>HYPERLINK("http://www.informatics.jax.org/marker/MGI:1314883","MGI:1314883")</f>
        <v>MGI:1314883</v>
      </c>
      <c r="J894" s="7" t="s">
        <v>12</v>
      </c>
    </row>
    <row r="895" spans="1:10" x14ac:dyDescent="0.2">
      <c r="A895" s="3">
        <v>1997.22201707774</v>
      </c>
      <c r="B895" s="1">
        <v>0.20286134003879799</v>
      </c>
      <c r="C895" s="1">
        <v>4.4904310103212699E-4</v>
      </c>
      <c r="D895" s="7">
        <v>7.4493506175465499E-3</v>
      </c>
      <c r="E895" s="1" t="s">
        <v>2622</v>
      </c>
      <c r="F895" s="1" t="s">
        <v>2623</v>
      </c>
      <c r="G895" s="1">
        <v>66249</v>
      </c>
      <c r="H895" s="6" t="str">
        <f>HYPERLINK("http://www.ensembl.org/Mus_musculus/Gene/Summary?db=core;g=ENSMUSG00000020116","ENSMUSG00000020116")</f>
        <v>ENSMUSG00000020116</v>
      </c>
      <c r="I895" s="6" t="str">
        <f>HYPERLINK("http://www.informatics.jax.org/marker/MGI:1913499","MGI:1913499")</f>
        <v>MGI:1913499</v>
      </c>
      <c r="J895" s="7" t="s">
        <v>12</v>
      </c>
    </row>
    <row r="896" spans="1:10" x14ac:dyDescent="0.2">
      <c r="A896" s="3">
        <v>163.69661414359399</v>
      </c>
      <c r="B896" s="1">
        <v>0.37300529017157802</v>
      </c>
      <c r="C896" s="1">
        <v>4.4940775644672099E-4</v>
      </c>
      <c r="D896" s="7">
        <v>7.4493506175465499E-3</v>
      </c>
      <c r="E896" s="1" t="s">
        <v>3120</v>
      </c>
      <c r="F896" s="1" t="s">
        <v>3121</v>
      </c>
      <c r="G896" s="1">
        <v>71890</v>
      </c>
      <c r="H896" s="6" t="str">
        <f>HYPERLINK("http://www.ensembl.org/Mus_musculus/Gene/Summary?db=core;g=ENSMUSG00000029003","ENSMUSG00000029003")</f>
        <v>ENSMUSG00000029003</v>
      </c>
      <c r="I896" s="6" t="str">
        <f>HYPERLINK("http://www.informatics.jax.org/marker/MGI:1919140","MGI:1919140")</f>
        <v>MGI:1919140</v>
      </c>
      <c r="J896" s="7" t="s">
        <v>12</v>
      </c>
    </row>
    <row r="897" spans="1:10" x14ac:dyDescent="0.2">
      <c r="A897" s="3">
        <v>1757.1780357942901</v>
      </c>
      <c r="B897" s="1">
        <v>0.17835095014840699</v>
      </c>
      <c r="C897" s="1">
        <v>4.5527811567602099E-4</v>
      </c>
      <c r="D897" s="7">
        <v>7.53817787932791E-3</v>
      </c>
      <c r="E897" s="1" t="s">
        <v>2476</v>
      </c>
      <c r="F897" s="1" t="s">
        <v>2477</v>
      </c>
      <c r="G897" s="1">
        <v>223499</v>
      </c>
      <c r="H897" s="6" t="str">
        <f>HYPERLINK("http://www.ensembl.org/Mus_musculus/Gene/Summary?db=core;g=ENSMUSG00000022300","ENSMUSG00000022300")</f>
        <v>ENSMUSG00000022300</v>
      </c>
      <c r="I897" s="6" t="str">
        <f>HYPERLINK("http://www.informatics.jax.org/marker/MGI:2684929","MGI:2684929")</f>
        <v>MGI:2684929</v>
      </c>
      <c r="J897" s="7" t="s">
        <v>12</v>
      </c>
    </row>
    <row r="898" spans="1:10" x14ac:dyDescent="0.2">
      <c r="A898" s="3">
        <v>156.181081076232</v>
      </c>
      <c r="B898" s="1">
        <v>0.55569192918602395</v>
      </c>
      <c r="C898" s="1">
        <v>4.5645847139406801E-4</v>
      </c>
      <c r="D898" s="7">
        <v>7.5492390959180601E-3</v>
      </c>
      <c r="E898" s="1" t="s">
        <v>3224</v>
      </c>
      <c r="F898" s="1" t="s">
        <v>3225</v>
      </c>
      <c r="G898" s="1">
        <v>72309</v>
      </c>
      <c r="H898" s="6" t="str">
        <f>HYPERLINK("http://www.ensembl.org/Mus_musculus/Gene/Summary?db=core;g=ENSMUSG00000054871","ENSMUSG00000054871")</f>
        <v>ENSMUSG00000054871</v>
      </c>
      <c r="I898" s="6" t="str">
        <f>HYPERLINK("http://www.informatics.jax.org/marker/MGI:1919559","MGI:1919559")</f>
        <v>MGI:1919559</v>
      </c>
      <c r="J898" s="7" t="s">
        <v>12</v>
      </c>
    </row>
    <row r="899" spans="1:10" x14ac:dyDescent="0.2">
      <c r="A899" s="3">
        <v>1126.1688736373701</v>
      </c>
      <c r="B899" s="1">
        <v>-0.14228476811940499</v>
      </c>
      <c r="C899" s="1">
        <v>4.5747671870888902E-4</v>
      </c>
      <c r="D899" s="7">
        <v>7.5575974516751097E-3</v>
      </c>
      <c r="E899" s="1" t="s">
        <v>2134</v>
      </c>
      <c r="F899" s="1" t="s">
        <v>2135</v>
      </c>
      <c r="G899" s="1">
        <v>320506</v>
      </c>
      <c r="H899" s="6" t="str">
        <f>HYPERLINK("http://www.ensembl.org/Mus_musculus/Gene/Summary?db=core;g=ENSMUSG00000039704","ENSMUSG00000039704")</f>
        <v>ENSMUSG00000039704</v>
      </c>
      <c r="I899" s="6" t="str">
        <f>HYPERLINK("http://www.informatics.jax.org/marker/MGI:2444173","MGI:2444173")</f>
        <v>MGI:2444173</v>
      </c>
      <c r="J899" s="7" t="s">
        <v>12</v>
      </c>
    </row>
    <row r="900" spans="1:10" x14ac:dyDescent="0.2">
      <c r="A900" s="3">
        <v>820.98357188095702</v>
      </c>
      <c r="B900" s="1">
        <v>-0.27301244130559599</v>
      </c>
      <c r="C900" s="1">
        <v>4.5873296103921002E-4</v>
      </c>
      <c r="D900" s="7">
        <v>7.5698644052338204E-3</v>
      </c>
      <c r="E900" s="1" t="s">
        <v>1560</v>
      </c>
      <c r="F900" s="1" t="s">
        <v>1561</v>
      </c>
      <c r="G900" s="1">
        <v>241576</v>
      </c>
      <c r="H900" s="6" t="str">
        <f>HYPERLINK("http://www.ensembl.org/Mus_musculus/Gene/Summary?db=core;g=ENSMUSG00000048058","ENSMUSG00000048058")</f>
        <v>ENSMUSG00000048058</v>
      </c>
      <c r="I900" s="6" t="str">
        <f>HYPERLINK("http://www.informatics.jax.org/marker/MGI:2138856","MGI:2138856")</f>
        <v>MGI:2138856</v>
      </c>
      <c r="J900" s="7" t="s">
        <v>12</v>
      </c>
    </row>
    <row r="901" spans="1:10" x14ac:dyDescent="0.2">
      <c r="A901" s="3">
        <v>42.466530219145298</v>
      </c>
      <c r="B901" s="1">
        <v>-0.59314169144954698</v>
      </c>
      <c r="C901" s="1">
        <v>4.6077881262589801E-4</v>
      </c>
      <c r="D901" s="7">
        <v>7.5866330534695298E-3</v>
      </c>
      <c r="E901" s="1" t="s">
        <v>685</v>
      </c>
      <c r="F901" s="1" t="s">
        <v>686</v>
      </c>
      <c r="G901" s="1">
        <v>21961</v>
      </c>
      <c r="H901" s="6" t="str">
        <f>HYPERLINK("http://www.ensembl.org/Mus_musculus/Gene/Summary?db=core;g=ENSMUSG00000055322","ENSMUSG00000055322")</f>
        <v>ENSMUSG00000055322</v>
      </c>
      <c r="I901" s="6" t="str">
        <f>HYPERLINK("http://www.informatics.jax.org/marker/MGI:104552","MGI:104552")</f>
        <v>MGI:104552</v>
      </c>
      <c r="J901" s="7" t="s">
        <v>12</v>
      </c>
    </row>
    <row r="902" spans="1:10" x14ac:dyDescent="0.2">
      <c r="A902" s="3">
        <v>171.66908944702399</v>
      </c>
      <c r="B902" s="1">
        <v>0.354447322345458</v>
      </c>
      <c r="C902" s="1">
        <v>4.6043977538615799E-4</v>
      </c>
      <c r="D902" s="7">
        <v>7.5866330534695298E-3</v>
      </c>
      <c r="E902" s="1" t="s">
        <v>3102</v>
      </c>
      <c r="F902" s="1" t="s">
        <v>3103</v>
      </c>
      <c r="G902" s="1">
        <v>320234</v>
      </c>
      <c r="H902" s="6" t="str">
        <f>HYPERLINK("http://www.ensembl.org/Mus_musculus/Gene/Summary?db=core;g=ENSMUSG00000046753","ENSMUSG00000046753")</f>
        <v>ENSMUSG00000046753</v>
      </c>
      <c r="I902" s="6" t="str">
        <f>HYPERLINK("http://www.informatics.jax.org/marker/MGI:2443639","MGI:2443639")</f>
        <v>MGI:2443639</v>
      </c>
      <c r="J902" s="7" t="s">
        <v>12</v>
      </c>
    </row>
    <row r="903" spans="1:10" x14ac:dyDescent="0.2">
      <c r="A903" s="3">
        <v>722.011832327305</v>
      </c>
      <c r="B903" s="1">
        <v>-0.40793863293904697</v>
      </c>
      <c r="C903" s="1">
        <v>4.67015928426095E-4</v>
      </c>
      <c r="D903" s="7">
        <v>7.6714578171639698E-3</v>
      </c>
      <c r="E903" s="1" t="s">
        <v>1077</v>
      </c>
      <c r="F903" s="1" t="s">
        <v>1078</v>
      </c>
      <c r="G903" s="1">
        <v>212167</v>
      </c>
      <c r="H903" s="6" t="str">
        <f>HYPERLINK("http://www.ensembl.org/Mus_musculus/Gene/Summary?db=core;g=ENSMUSG00000039934","ENSMUSG00000039934")</f>
        <v>ENSMUSG00000039934</v>
      </c>
      <c r="I903" s="6" t="str">
        <f>HYPERLINK("http://www.informatics.jax.org/marker/MGI:2442259","MGI:2442259")</f>
        <v>MGI:2442259</v>
      </c>
      <c r="J903" s="7" t="s">
        <v>12</v>
      </c>
    </row>
    <row r="904" spans="1:10" x14ac:dyDescent="0.2">
      <c r="A904" s="3">
        <v>1084.9907783426199</v>
      </c>
      <c r="B904" s="1">
        <v>0.191297041007505</v>
      </c>
      <c r="C904" s="1">
        <v>4.6738160351981599E-4</v>
      </c>
      <c r="D904" s="7">
        <v>7.6714578171639698E-3</v>
      </c>
      <c r="E904" s="1" t="s">
        <v>2544</v>
      </c>
      <c r="F904" s="1" t="s">
        <v>2545</v>
      </c>
      <c r="G904" s="1">
        <v>59028</v>
      </c>
      <c r="H904" s="6" t="str">
        <f>HYPERLINK("http://www.ensembl.org/Mus_musculus/Gene/Summary?db=core;g=ENSMUSG00000024785","ENSMUSG00000024785")</f>
        <v>ENSMUSG00000024785</v>
      </c>
      <c r="I904" s="6" t="str">
        <f>HYPERLINK("http://www.informatics.jax.org/marker/MGI:1913275","MGI:1913275")</f>
        <v>MGI:1913275</v>
      </c>
      <c r="J904" s="7" t="s">
        <v>12</v>
      </c>
    </row>
    <row r="905" spans="1:10" x14ac:dyDescent="0.2">
      <c r="A905" s="3">
        <v>6086.2715302243496</v>
      </c>
      <c r="B905" s="1">
        <v>0.20810724579569201</v>
      </c>
      <c r="C905" s="1">
        <v>4.6749247555735902E-4</v>
      </c>
      <c r="D905" s="7">
        <v>7.6714578171639698E-3</v>
      </c>
      <c r="E905" s="1" t="s">
        <v>2652</v>
      </c>
      <c r="F905" s="1" t="s">
        <v>2653</v>
      </c>
      <c r="G905" s="1">
        <v>12464</v>
      </c>
      <c r="H905" s="6" t="str">
        <f>HYPERLINK("http://www.ensembl.org/Mus_musculus/Gene/Summary?db=core;g=ENSMUSG00000007739","ENSMUSG00000007739")</f>
        <v>ENSMUSG00000007739</v>
      </c>
      <c r="I905" s="6" t="str">
        <f>HYPERLINK("http://www.informatics.jax.org/marker/MGI:104689","MGI:104689")</f>
        <v>MGI:104689</v>
      </c>
      <c r="J905" s="7" t="s">
        <v>12</v>
      </c>
    </row>
    <row r="906" spans="1:10" x14ac:dyDescent="0.2">
      <c r="A906" s="3">
        <v>175.825004750067</v>
      </c>
      <c r="B906" s="1">
        <v>-0.31379271732226299</v>
      </c>
      <c r="C906" s="1">
        <v>4.7014568440984601E-4</v>
      </c>
      <c r="D906" s="7">
        <v>7.7064146890583902E-3</v>
      </c>
      <c r="E906" s="1" t="s">
        <v>1378</v>
      </c>
      <c r="F906" s="1" t="s">
        <v>1379</v>
      </c>
      <c r="G906" s="1">
        <v>70561</v>
      </c>
      <c r="H906" s="6" t="str">
        <f>HYPERLINK("http://www.ensembl.org/Mus_musculus/Gene/Summary?db=core;g=ENSMUSG00000021830","ENSMUSG00000021830")</f>
        <v>ENSMUSG00000021830</v>
      </c>
      <c r="I906" s="6" t="str">
        <f>HYPERLINK("http://www.informatics.jax.org/marker/MGI:1917811","MGI:1917811")</f>
        <v>MGI:1917811</v>
      </c>
      <c r="J906" s="7" t="s">
        <v>12</v>
      </c>
    </row>
    <row r="907" spans="1:10" x14ac:dyDescent="0.2">
      <c r="A907" s="3">
        <v>1711.7222522647201</v>
      </c>
      <c r="B907" s="1">
        <v>-0.17413790561945999</v>
      </c>
      <c r="C907" s="1">
        <v>4.7116405585734202E-4</v>
      </c>
      <c r="D907" s="7">
        <v>7.7145261412375401E-3</v>
      </c>
      <c r="E907" s="1" t="s">
        <v>2036</v>
      </c>
      <c r="F907" s="1" t="s">
        <v>2037</v>
      </c>
      <c r="G907" s="1">
        <v>14673</v>
      </c>
      <c r="H907" s="6" t="str">
        <f>HYPERLINK("http://www.ensembl.org/Mus_musculus/Gene/Summary?db=core;g=ENSMUSG00000000149","ENSMUSG00000000149")</f>
        <v>ENSMUSG00000000149</v>
      </c>
      <c r="I907" s="6" t="str">
        <f>HYPERLINK("http://www.informatics.jax.org/marker/MGI:95767","MGI:95767")</f>
        <v>MGI:95767</v>
      </c>
      <c r="J907" s="7" t="s">
        <v>12</v>
      </c>
    </row>
    <row r="908" spans="1:10" x14ac:dyDescent="0.2">
      <c r="A908" s="3">
        <v>519.78172190152395</v>
      </c>
      <c r="B908" s="1">
        <v>-0.28929076749105997</v>
      </c>
      <c r="C908" s="1">
        <v>4.7193640244315801E-4</v>
      </c>
      <c r="D908" s="7">
        <v>7.7185958117673399E-3</v>
      </c>
      <c r="E908" s="1" t="s">
        <v>1502</v>
      </c>
      <c r="F908" s="1" t="s">
        <v>1503</v>
      </c>
      <c r="G908" s="1">
        <v>244668</v>
      </c>
      <c r="H908" s="6" t="str">
        <f>HYPERLINK("http://www.ensembl.org/Mus_musculus/Gene/Summary?db=core;g=ENSMUSG00000001995","ENSMUSG00000001995")</f>
        <v>ENSMUSG00000001995</v>
      </c>
      <c r="I908" s="6" t="str">
        <f>HYPERLINK("http://www.informatics.jax.org/marker/MGI:2676970","MGI:2676970")</f>
        <v>MGI:2676970</v>
      </c>
      <c r="J908" s="7" t="s">
        <v>12</v>
      </c>
    </row>
    <row r="909" spans="1:10" x14ac:dyDescent="0.2">
      <c r="A909" s="3">
        <v>341.47305629588402</v>
      </c>
      <c r="B909" s="1">
        <v>0.245990502257035</v>
      </c>
      <c r="C909" s="1">
        <v>4.7512609089537801E-4</v>
      </c>
      <c r="D909" s="7">
        <v>7.7621486423883404E-3</v>
      </c>
      <c r="E909" s="1" t="s">
        <v>2860</v>
      </c>
      <c r="F909" s="1" t="s">
        <v>2861</v>
      </c>
      <c r="G909" s="1">
        <v>240255</v>
      </c>
      <c r="H909" s="6" t="str">
        <f>HYPERLINK("http://www.ensembl.org/Mus_musculus/Gene/Summary?db=core;g=ENSMUSG00000034653","ENSMUSG00000034653")</f>
        <v>ENSMUSG00000034653</v>
      </c>
      <c r="I909" s="6" t="str">
        <f>HYPERLINK("http://www.informatics.jax.org/marker/MGI:2448561","MGI:2448561")</f>
        <v>MGI:2448561</v>
      </c>
      <c r="J909" s="7" t="s">
        <v>12</v>
      </c>
    </row>
    <row r="910" spans="1:10" x14ac:dyDescent="0.2">
      <c r="A910" s="3">
        <v>763.16075684904001</v>
      </c>
      <c r="B910" s="1">
        <v>-0.316132564115921</v>
      </c>
      <c r="C910" s="1">
        <v>4.77441610714635E-4</v>
      </c>
      <c r="D910" s="7">
        <v>7.7913395077418204E-3</v>
      </c>
      <c r="E910" s="1" t="s">
        <v>1366</v>
      </c>
      <c r="F910" s="1" t="s">
        <v>1367</v>
      </c>
      <c r="G910" s="1">
        <v>97287</v>
      </c>
      <c r="H910" s="6" t="str">
        <f>HYPERLINK("http://www.ensembl.org/Mus_musculus/Gene/Summary?db=core;g=ENSMUSG00000030269","ENSMUSG00000030269")</f>
        <v>ENSMUSG00000030269</v>
      </c>
      <c r="I910" s="6" t="str">
        <f>HYPERLINK("http://www.informatics.jax.org/marker/MGI:1916075","MGI:1916075")</f>
        <v>MGI:1916075</v>
      </c>
      <c r="J910" s="7" t="s">
        <v>12</v>
      </c>
    </row>
    <row r="911" spans="1:10" x14ac:dyDescent="0.2">
      <c r="A911" s="3">
        <v>142.69618331019001</v>
      </c>
      <c r="B911" s="1">
        <v>-0.41249921529672701</v>
      </c>
      <c r="C911" s="1">
        <v>4.7873256852493302E-4</v>
      </c>
      <c r="D911" s="7">
        <v>7.7990633038414496E-3</v>
      </c>
      <c r="E911" s="1" t="s">
        <v>1063</v>
      </c>
      <c r="F911" s="1" t="s">
        <v>1064</v>
      </c>
      <c r="G911" s="1">
        <v>71198</v>
      </c>
      <c r="H911" s="6" t="str">
        <f>HYPERLINK("http://www.ensembl.org/Mus_musculus/Gene/Summary?db=core;g=ENSMUSG00000043415","ENSMUSG00000043415")</f>
        <v>ENSMUSG00000043415</v>
      </c>
      <c r="I911" s="6" t="str">
        <f>HYPERLINK("http://www.informatics.jax.org/marker/MGI:1918448","MGI:1918448")</f>
        <v>MGI:1918448</v>
      </c>
      <c r="J911" s="7" t="s">
        <v>12</v>
      </c>
    </row>
    <row r="912" spans="1:10" x14ac:dyDescent="0.2">
      <c r="A912" s="3">
        <v>12860.562471941101</v>
      </c>
      <c r="B912" s="1">
        <v>-0.14243063488382099</v>
      </c>
      <c r="C912" s="1">
        <v>4.7897341815801499E-4</v>
      </c>
      <c r="D912" s="7">
        <v>7.7990633038414496E-3</v>
      </c>
      <c r="E912" s="1" t="s">
        <v>2132</v>
      </c>
      <c r="F912" s="1" t="s">
        <v>2133</v>
      </c>
      <c r="G912" s="1">
        <v>12387</v>
      </c>
      <c r="H912" s="6" t="str">
        <f>HYPERLINK("http://www.ensembl.org/Mus_musculus/Gene/Summary?db=core;g=ENSMUSG00000006932","ENSMUSG00000006932")</f>
        <v>ENSMUSG00000006932</v>
      </c>
      <c r="I912" s="6" t="str">
        <f>HYPERLINK("http://www.informatics.jax.org/marker/MGI:88276","MGI:88276")</f>
        <v>MGI:88276</v>
      </c>
      <c r="J912" s="7" t="s">
        <v>12</v>
      </c>
    </row>
    <row r="913" spans="1:10" x14ac:dyDescent="0.2">
      <c r="A913" s="3">
        <v>1149.5878681422901</v>
      </c>
      <c r="B913" s="1">
        <v>-0.824234379193166</v>
      </c>
      <c r="C913" s="1">
        <v>4.8108297455009403E-4</v>
      </c>
      <c r="D913" s="7">
        <v>7.8243420267658306E-3</v>
      </c>
      <c r="E913" s="1" t="s">
        <v>466</v>
      </c>
      <c r="F913" s="1" t="s">
        <v>467</v>
      </c>
      <c r="G913" s="1">
        <v>12759</v>
      </c>
      <c r="H913" s="6" t="str">
        <f>HYPERLINK("http://www.ensembl.org/Mus_musculus/Gene/Summary?db=core;g=ENSMUSG00000022037","ENSMUSG00000022037")</f>
        <v>ENSMUSG00000022037</v>
      </c>
      <c r="I913" s="6" t="str">
        <f>HYPERLINK("http://www.informatics.jax.org/marker/MGI:88423","MGI:88423")</f>
        <v>MGI:88423</v>
      </c>
      <c r="J913" s="7" t="s">
        <v>12</v>
      </c>
    </row>
    <row r="914" spans="1:10" x14ac:dyDescent="0.2">
      <c r="A914" s="3">
        <v>857.56197460109001</v>
      </c>
      <c r="B914" s="1">
        <v>-0.28780998610502101</v>
      </c>
      <c r="C914" s="1">
        <v>4.8158782697316801E-4</v>
      </c>
      <c r="D914" s="7">
        <v>7.8243420267658306E-3</v>
      </c>
      <c r="E914" s="1" t="s">
        <v>1514</v>
      </c>
      <c r="F914" s="1" t="s">
        <v>1515</v>
      </c>
      <c r="G914" s="1">
        <v>52150</v>
      </c>
      <c r="H914" s="6" t="str">
        <f>HYPERLINK("http://www.ensembl.org/Mus_musculus/Gene/Summary?db=core;g=ENSMUSG00000046410","ENSMUSG00000046410")</f>
        <v>ENSMUSG00000046410</v>
      </c>
      <c r="I914" s="6" t="str">
        <f>HYPERLINK("http://www.informatics.jax.org/marker/MGI:1891291","MGI:1891291")</f>
        <v>MGI:1891291</v>
      </c>
      <c r="J914" s="7" t="s">
        <v>12</v>
      </c>
    </row>
    <row r="915" spans="1:10" x14ac:dyDescent="0.2">
      <c r="A915" s="3">
        <v>3375.0529675415301</v>
      </c>
      <c r="B915" s="1">
        <v>-0.158585831096382</v>
      </c>
      <c r="C915" s="1">
        <v>4.8583204481323999E-4</v>
      </c>
      <c r="D915" s="7">
        <v>7.86727583776692E-3</v>
      </c>
      <c r="E915" s="1" t="s">
        <v>2090</v>
      </c>
      <c r="F915" s="1" t="s">
        <v>2091</v>
      </c>
      <c r="G915" s="1">
        <v>19325</v>
      </c>
      <c r="H915" s="6" t="str">
        <f>HYPERLINK("http://www.ensembl.org/Mus_musculus/Gene/Summary?db=core;g=ENSMUSG00000020671","ENSMUSG00000020671")</f>
        <v>ENSMUSG00000020671</v>
      </c>
      <c r="I915" s="6" t="str">
        <f>HYPERLINK("http://www.informatics.jax.org/marker/MGI:105066","MGI:105066")</f>
        <v>MGI:105066</v>
      </c>
      <c r="J915" s="7" t="s">
        <v>12</v>
      </c>
    </row>
    <row r="916" spans="1:10" x14ac:dyDescent="0.2">
      <c r="A916" s="3">
        <v>2772.78140812229</v>
      </c>
      <c r="B916" s="1">
        <v>0.11723256532574</v>
      </c>
      <c r="C916" s="1">
        <v>4.8574662625391402E-4</v>
      </c>
      <c r="D916" s="7">
        <v>7.86727583776692E-3</v>
      </c>
      <c r="E916" s="1" t="s">
        <v>2214</v>
      </c>
      <c r="F916" s="1" t="s">
        <v>2215</v>
      </c>
      <c r="G916" s="1">
        <v>70231</v>
      </c>
      <c r="H916" s="6" t="str">
        <f>HYPERLINK("http://www.ensembl.org/Mus_musculus/Gene/Summary?db=core;g=ENSMUSG00000014959","ENSMUSG00000014959")</f>
        <v>ENSMUSG00000014959</v>
      </c>
      <c r="I916" s="6" t="str">
        <f>HYPERLINK("http://www.informatics.jax.org/marker/MGI:2135962","MGI:2135962")</f>
        <v>MGI:2135962</v>
      </c>
      <c r="J916" s="7" t="s">
        <v>12</v>
      </c>
    </row>
    <row r="917" spans="1:10" x14ac:dyDescent="0.2">
      <c r="A917" s="3">
        <v>793.17759060184903</v>
      </c>
      <c r="B917" s="1">
        <v>0.20618820735402499</v>
      </c>
      <c r="C917" s="1">
        <v>4.8532673069962798E-4</v>
      </c>
      <c r="D917" s="7">
        <v>7.86727583776692E-3</v>
      </c>
      <c r="E917" s="1" t="s">
        <v>2638</v>
      </c>
      <c r="F917" s="1" t="s">
        <v>2639</v>
      </c>
      <c r="G917" s="1" t="s">
        <v>45</v>
      </c>
      <c r="H917" s="6" t="str">
        <f>HYPERLINK("http://www.ensembl.org/Mus_musculus/Gene/Summary?db=core;g=ENSMUSG00000118504","ENSMUSG00000118504")</f>
        <v>ENSMUSG00000118504</v>
      </c>
      <c r="I917" s="6" t="str">
        <f>HYPERLINK("http://www.informatics.jax.org/marker/MGI:1914027","MGI:1914027")</f>
        <v>MGI:1914027</v>
      </c>
      <c r="J917" s="7" t="s">
        <v>12</v>
      </c>
    </row>
    <row r="918" spans="1:10" x14ac:dyDescent="0.2">
      <c r="A918" s="3">
        <v>1098.8561878583901</v>
      </c>
      <c r="B918" s="1">
        <v>-0.18087602639800901</v>
      </c>
      <c r="C918" s="1">
        <v>4.8843005811402399E-4</v>
      </c>
      <c r="D918" s="7">
        <v>7.9006644746084098E-3</v>
      </c>
      <c r="E918" s="1" t="s">
        <v>2004</v>
      </c>
      <c r="F918" s="1" t="s">
        <v>2005</v>
      </c>
      <c r="G918" s="1">
        <v>20318</v>
      </c>
      <c r="H918" s="6" t="str">
        <f>HYPERLINK("http://www.ensembl.org/Mus_musculus/Gene/Summary?db=core;g=ENSMUSG00000029076","ENSMUSG00000029076")</f>
        <v>ENSMUSG00000029076</v>
      </c>
      <c r="I918" s="6" t="str">
        <f>HYPERLINK("http://www.informatics.jax.org/marker/MGI:108079","MGI:108079")</f>
        <v>MGI:108079</v>
      </c>
      <c r="J918" s="7" t="s">
        <v>12</v>
      </c>
    </row>
    <row r="919" spans="1:10" x14ac:dyDescent="0.2">
      <c r="A919" s="3">
        <v>411.11062268514303</v>
      </c>
      <c r="B919" s="1">
        <v>-0.57561232549024899</v>
      </c>
      <c r="C919" s="1">
        <v>4.9014290506354304E-4</v>
      </c>
      <c r="D919" s="7">
        <v>7.9196774660267207E-3</v>
      </c>
      <c r="E919" s="1" t="s">
        <v>721</v>
      </c>
      <c r="F919" s="1" t="s">
        <v>722</v>
      </c>
      <c r="G919" s="1">
        <v>12522</v>
      </c>
      <c r="H919" s="6" t="str">
        <f>HYPERLINK("http://www.ensembl.org/Mus_musculus/Gene/Summary?db=core;g=ENSMUSG00000015396","ENSMUSG00000015396")</f>
        <v>ENSMUSG00000015396</v>
      </c>
      <c r="I919" s="6" t="str">
        <f>HYPERLINK("http://www.informatics.jax.org/marker/MGI:1328316","MGI:1328316")</f>
        <v>MGI:1328316</v>
      </c>
      <c r="J919" s="7" t="s">
        <v>12</v>
      </c>
    </row>
    <row r="920" spans="1:10" x14ac:dyDescent="0.2">
      <c r="A920" s="3">
        <v>644.09975184417999</v>
      </c>
      <c r="B920" s="1">
        <v>-0.354102155344933</v>
      </c>
      <c r="C920" s="1">
        <v>4.9141209404244505E-4</v>
      </c>
      <c r="D920" s="7">
        <v>7.9314880808427895E-3</v>
      </c>
      <c r="E920" s="1" t="s">
        <v>1226</v>
      </c>
      <c r="F920" s="1" t="s">
        <v>1227</v>
      </c>
      <c r="G920" s="1">
        <v>67016</v>
      </c>
      <c r="H920" s="6" t="str">
        <f>HYPERLINK("http://www.ensembl.org/Mus_musculus/Gene/Summary?db=core;g=ENSMUSG00000037410","ENSMUSG00000037410")</f>
        <v>ENSMUSG00000037410</v>
      </c>
      <c r="I920" s="6" t="str">
        <f>HYPERLINK("http://www.informatics.jax.org/marker/MGI:1914266","MGI:1914266")</f>
        <v>MGI:1914266</v>
      </c>
      <c r="J920" s="7" t="s">
        <v>12</v>
      </c>
    </row>
    <row r="921" spans="1:10" x14ac:dyDescent="0.2">
      <c r="A921" s="3">
        <v>207.16543348186099</v>
      </c>
      <c r="B921" s="1">
        <v>0.31722458789441099</v>
      </c>
      <c r="C921" s="1">
        <v>4.9512828436910005E-4</v>
      </c>
      <c r="D921" s="7">
        <v>7.9827247247954598E-3</v>
      </c>
      <c r="E921" s="1" t="s">
        <v>3022</v>
      </c>
      <c r="F921" s="1" t="s">
        <v>3023</v>
      </c>
      <c r="G921" s="1">
        <v>56291</v>
      </c>
      <c r="H921" s="6" t="str">
        <f>HYPERLINK("http://www.ensembl.org/Mus_musculus/Gene/Summary?db=core;g=ENSMUSG00000053205","ENSMUSG00000053205")</f>
        <v>ENSMUSG00000053205</v>
      </c>
      <c r="I921" s="6" t="str">
        <f>HYPERLINK("http://www.informatics.jax.org/marker/MGI:1891150","MGI:1891150")</f>
        <v>MGI:1891150</v>
      </c>
      <c r="J921" s="7" t="s">
        <v>12</v>
      </c>
    </row>
    <row r="922" spans="1:10" x14ac:dyDescent="0.2">
      <c r="A922" s="3">
        <v>2757.9640100429501</v>
      </c>
      <c r="B922" s="1">
        <v>0.15096980346247699</v>
      </c>
      <c r="C922" s="1">
        <v>4.9867327936658698E-4</v>
      </c>
      <c r="D922" s="7">
        <v>8.0310922893399202E-3</v>
      </c>
      <c r="E922" s="1" t="s">
        <v>2322</v>
      </c>
      <c r="F922" s="1" t="s">
        <v>2323</v>
      </c>
      <c r="G922" s="1">
        <v>93762</v>
      </c>
      <c r="H922" s="6" t="str">
        <f>HYPERLINK("http://www.ensembl.org/Mus_musculus/Gene/Summary?db=core;g=ENSMUSG00000031715","ENSMUSG00000031715")</f>
        <v>ENSMUSG00000031715</v>
      </c>
      <c r="I922" s="6" t="str">
        <f>HYPERLINK("http://www.informatics.jax.org/marker/MGI:1935129","MGI:1935129")</f>
        <v>MGI:1935129</v>
      </c>
      <c r="J922" s="7" t="s">
        <v>12</v>
      </c>
    </row>
    <row r="923" spans="1:10" x14ac:dyDescent="0.2">
      <c r="A923" s="3">
        <v>199.825199547491</v>
      </c>
      <c r="B923" s="1">
        <v>-0.31082856692643301</v>
      </c>
      <c r="C923" s="1">
        <v>5.0010150718331702E-4</v>
      </c>
      <c r="D923" s="7">
        <v>8.04530110246E-3</v>
      </c>
      <c r="E923" s="1" t="s">
        <v>1394</v>
      </c>
      <c r="F923" s="1" t="s">
        <v>1395</v>
      </c>
      <c r="G923" s="1">
        <v>76773</v>
      </c>
      <c r="H923" s="6" t="str">
        <f>HYPERLINK("http://www.ensembl.org/Mus_musculus/Gene/Summary?db=core;g=ENSMUSG00000022359","ENSMUSG00000022359")</f>
        <v>ENSMUSG00000022359</v>
      </c>
      <c r="I923" s="6" t="str">
        <f>HYPERLINK("http://www.informatics.jax.org/marker/MGI:1924023","MGI:1924023")</f>
        <v>MGI:1924023</v>
      </c>
      <c r="J923" s="7" t="s">
        <v>12</v>
      </c>
    </row>
    <row r="924" spans="1:10" x14ac:dyDescent="0.2">
      <c r="A924" s="3">
        <v>1510.1308088640101</v>
      </c>
      <c r="B924" s="1">
        <v>0.165716872574284</v>
      </c>
      <c r="C924" s="1">
        <v>5.0462388586297699E-4</v>
      </c>
      <c r="D924" s="7">
        <v>8.1092012890695998E-3</v>
      </c>
      <c r="E924" s="1" t="s">
        <v>2404</v>
      </c>
      <c r="F924" s="1" t="s">
        <v>2405</v>
      </c>
      <c r="G924" s="1">
        <v>217337</v>
      </c>
      <c r="H924" s="6" t="str">
        <f>HYPERLINK("http://www.ensembl.org/Mus_musculus/Gene/Summary?db=core;g=ENSMUSG00000020780","ENSMUSG00000020780")</f>
        <v>ENSMUSG00000020780</v>
      </c>
      <c r="I924" s="6" t="str">
        <f>HYPERLINK("http://www.informatics.jax.org/marker/MGI:1917447","MGI:1917447")</f>
        <v>MGI:1917447</v>
      </c>
      <c r="J924" s="7" t="s">
        <v>12</v>
      </c>
    </row>
    <row r="925" spans="1:10" x14ac:dyDescent="0.2">
      <c r="A925" s="3">
        <v>109.421107869062</v>
      </c>
      <c r="B925" s="1">
        <v>-0.44925407137315998</v>
      </c>
      <c r="C925" s="1">
        <v>5.09782101468138E-4</v>
      </c>
      <c r="D925" s="7">
        <v>8.1773220349499395E-3</v>
      </c>
      <c r="E925" s="1" t="s">
        <v>933</v>
      </c>
      <c r="F925" s="1" t="s">
        <v>934</v>
      </c>
      <c r="G925" s="1">
        <v>19277</v>
      </c>
      <c r="H925" s="6" t="str">
        <f>HYPERLINK("http://www.ensembl.org/Mus_musculus/Gene/Summary?db=core;g=ENSMUSG00000030223","ENSMUSG00000030223")</f>
        <v>ENSMUSG00000030223</v>
      </c>
      <c r="I925" s="6" t="str">
        <f>HYPERLINK("http://www.informatics.jax.org/marker/MGI:1097152","MGI:1097152")</f>
        <v>MGI:1097152</v>
      </c>
      <c r="J925" s="7" t="s">
        <v>12</v>
      </c>
    </row>
    <row r="926" spans="1:10" x14ac:dyDescent="0.2">
      <c r="A926" s="3">
        <v>4220.2636538411098</v>
      </c>
      <c r="B926" s="1">
        <v>0.16395386645592899</v>
      </c>
      <c r="C926" s="1">
        <v>5.0997278434575201E-4</v>
      </c>
      <c r="D926" s="7">
        <v>8.1773220349499395E-3</v>
      </c>
      <c r="E926" s="1" t="s">
        <v>2390</v>
      </c>
      <c r="F926" s="1" t="s">
        <v>2391</v>
      </c>
      <c r="G926" s="1">
        <v>21771</v>
      </c>
      <c r="H926" s="6" t="str">
        <f>HYPERLINK("http://www.ensembl.org/Mus_musculus/Gene/Summary?db=core;g=ENSMUSG00000041438","ENSMUSG00000041438")</f>
        <v>ENSMUSG00000041438</v>
      </c>
      <c r="I926" s="6" t="str">
        <f>HYPERLINK("http://www.informatics.jax.org/marker/MGI:1096573","MGI:1096573")</f>
        <v>MGI:1096573</v>
      </c>
      <c r="J926" s="7" t="s">
        <v>12</v>
      </c>
    </row>
    <row r="927" spans="1:10" x14ac:dyDescent="0.2">
      <c r="A927" s="3">
        <v>1718.3213863318999</v>
      </c>
      <c r="B927" s="1">
        <v>-0.201247593258149</v>
      </c>
      <c r="C927" s="1">
        <v>5.1476330508770001E-4</v>
      </c>
      <c r="D927" s="7">
        <v>8.2451652867090702E-3</v>
      </c>
      <c r="E927" s="1" t="s">
        <v>1900</v>
      </c>
      <c r="F927" s="1" t="s">
        <v>1901</v>
      </c>
      <c r="G927" s="1">
        <v>13830</v>
      </c>
      <c r="H927" s="6" t="str">
        <f>HYPERLINK("http://www.ensembl.org/Mus_musculus/Gene/Summary?db=core;g=ENSMUSG00000026880","ENSMUSG00000026880")</f>
        <v>ENSMUSG00000026880</v>
      </c>
      <c r="I927" s="6" t="str">
        <f>HYPERLINK("http://www.informatics.jax.org/marker/MGI:95403","MGI:95403")</f>
        <v>MGI:95403</v>
      </c>
      <c r="J927" s="7" t="s">
        <v>12</v>
      </c>
    </row>
    <row r="928" spans="1:10" x14ac:dyDescent="0.2">
      <c r="A928" s="3">
        <v>97.502179639974898</v>
      </c>
      <c r="B928" s="1">
        <v>0.39762929616479598</v>
      </c>
      <c r="C928" s="1">
        <v>5.1605218478252405E-4</v>
      </c>
      <c r="D928" s="7">
        <v>8.2568349565203796E-3</v>
      </c>
      <c r="E928" s="1" t="s">
        <v>3142</v>
      </c>
      <c r="F928" s="1" t="s">
        <v>3143</v>
      </c>
      <c r="G928" s="1">
        <v>19335</v>
      </c>
      <c r="H928" s="6" t="str">
        <f>HYPERLINK("http://www.ensembl.org/Mus_musculus/Gene/Summary?db=core;g=ENSMUSG00000004768","ENSMUSG00000004768")</f>
        <v>ENSMUSG00000004768</v>
      </c>
      <c r="I928" s="6" t="str">
        <f>HYPERLINK("http://www.informatics.jax.org/marker/MGI:99833","MGI:99833")</f>
        <v>MGI:99833</v>
      </c>
      <c r="J928" s="7" t="s">
        <v>12</v>
      </c>
    </row>
    <row r="929" spans="1:10" x14ac:dyDescent="0.2">
      <c r="A929" s="3">
        <v>211.02095708203001</v>
      </c>
      <c r="B929" s="1">
        <v>0.30461388654538701</v>
      </c>
      <c r="C929" s="1">
        <v>5.2435451976372196E-4</v>
      </c>
      <c r="D929" s="7">
        <v>8.3805728885446903E-3</v>
      </c>
      <c r="E929" s="1" t="s">
        <v>3006</v>
      </c>
      <c r="F929" s="1" t="s">
        <v>3007</v>
      </c>
      <c r="G929" s="1">
        <v>110542</v>
      </c>
      <c r="H929" s="6" t="str">
        <f>HYPERLINK("http://www.ensembl.org/Mus_musculus/Gene/Summary?db=core;g=ENSMUSG00000023047","ENSMUSG00000023047")</f>
        <v>ENSMUSG00000023047</v>
      </c>
      <c r="I929" s="6" t="str">
        <f>HYPERLINK("http://www.informatics.jax.org/marker/MGI:105062","MGI:105062")</f>
        <v>MGI:105062</v>
      </c>
      <c r="J929" s="7" t="s">
        <v>12</v>
      </c>
    </row>
    <row r="930" spans="1:10" x14ac:dyDescent="0.2">
      <c r="A930" s="3">
        <v>135.382878917554</v>
      </c>
      <c r="B930" s="1">
        <v>-0.73806494684297097</v>
      </c>
      <c r="C930" s="1">
        <v>5.2906449135393702E-4</v>
      </c>
      <c r="D930" s="7">
        <v>8.4466894307601396E-3</v>
      </c>
      <c r="E930" s="1" t="s">
        <v>530</v>
      </c>
      <c r="F930" s="1" t="s">
        <v>531</v>
      </c>
      <c r="G930" s="1" t="s">
        <v>45</v>
      </c>
      <c r="H930" s="6" t="str">
        <f>HYPERLINK("http://www.ensembl.org/Mus_musculus/Gene/Summary?db=core;g=ENSMUSG00000100838","ENSMUSG00000100838")</f>
        <v>ENSMUSG00000100838</v>
      </c>
      <c r="I930" s="6" t="str">
        <f>HYPERLINK("http://www.informatics.jax.org/marker/MGI:5579800","MGI:5579800")</f>
        <v>MGI:5579800</v>
      </c>
      <c r="J930" s="7" t="s">
        <v>12</v>
      </c>
    </row>
    <row r="931" spans="1:10" x14ac:dyDescent="0.2">
      <c r="A931" s="3">
        <v>709.60150505009005</v>
      </c>
      <c r="B931" s="1">
        <v>-0.36487929531767099</v>
      </c>
      <c r="C931" s="1">
        <v>5.3390506171824303E-4</v>
      </c>
      <c r="D931" s="7">
        <v>8.5055405291675993E-3</v>
      </c>
      <c r="E931" s="1" t="s">
        <v>1186</v>
      </c>
      <c r="F931" s="1" t="s">
        <v>1187</v>
      </c>
      <c r="G931" s="1">
        <v>12257</v>
      </c>
      <c r="H931" s="6" t="str">
        <f>HYPERLINK("http://www.ensembl.org/Mus_musculus/Gene/Summary?db=core;g=ENSMUSG00000041736","ENSMUSG00000041736")</f>
        <v>ENSMUSG00000041736</v>
      </c>
      <c r="I931" s="6" t="str">
        <f>HYPERLINK("http://www.informatics.jax.org/marker/MGI:88222","MGI:88222")</f>
        <v>MGI:88222</v>
      </c>
      <c r="J931" s="7" t="s">
        <v>12</v>
      </c>
    </row>
    <row r="932" spans="1:10" x14ac:dyDescent="0.2">
      <c r="A932" s="3">
        <v>268.44060803673801</v>
      </c>
      <c r="B932" s="1">
        <v>-0.31385627025052598</v>
      </c>
      <c r="C932" s="1">
        <v>5.3362425628821603E-4</v>
      </c>
      <c r="D932" s="7">
        <v>8.5055405291675993E-3</v>
      </c>
      <c r="E932" s="1" t="s">
        <v>1376</v>
      </c>
      <c r="F932" s="1" t="s">
        <v>1377</v>
      </c>
      <c r="G932" s="1">
        <v>13849</v>
      </c>
      <c r="H932" s="6" t="str">
        <f>HYPERLINK("http://www.ensembl.org/Mus_musculus/Gene/Summary?db=core;g=ENSMUSG00000038776","ENSMUSG00000038776")</f>
        <v>ENSMUSG00000038776</v>
      </c>
      <c r="I932" s="6" t="str">
        <f>HYPERLINK("http://www.informatics.jax.org/marker/MGI:95405","MGI:95405")</f>
        <v>MGI:95405</v>
      </c>
      <c r="J932" s="7" t="s">
        <v>12</v>
      </c>
    </row>
    <row r="933" spans="1:10" x14ac:dyDescent="0.2">
      <c r="A933" s="3">
        <v>316.749018441445</v>
      </c>
      <c r="B933" s="1">
        <v>0.280011523526634</v>
      </c>
      <c r="C933" s="1">
        <v>5.3797775250208303E-4</v>
      </c>
      <c r="D933" s="7">
        <v>8.5611664804219108E-3</v>
      </c>
      <c r="E933" s="1" t="s">
        <v>2966</v>
      </c>
      <c r="F933" s="1" t="s">
        <v>2967</v>
      </c>
      <c r="G933" s="1">
        <v>66271</v>
      </c>
      <c r="H933" s="6" t="str">
        <f>HYPERLINK("http://www.ensembl.org/Mus_musculus/Gene/Summary?db=core;g=ENSMUSG00000030615","ENSMUSG00000030615")</f>
        <v>ENSMUSG00000030615</v>
      </c>
      <c r="I933" s="6" t="str">
        <f>HYPERLINK("http://www.informatics.jax.org/marker/MGI:1913521","MGI:1913521")</f>
        <v>MGI:1913521</v>
      </c>
      <c r="J933" s="7" t="s">
        <v>12</v>
      </c>
    </row>
    <row r="934" spans="1:10" x14ac:dyDescent="0.2">
      <c r="A934" s="3">
        <v>660.75460674080296</v>
      </c>
      <c r="B934" s="1">
        <v>0.18694870049565501</v>
      </c>
      <c r="C934" s="1">
        <v>5.4641155446312495E-4</v>
      </c>
      <c r="D934" s="7">
        <v>8.6859985615626908E-3</v>
      </c>
      <c r="E934" s="1" t="s">
        <v>2514</v>
      </c>
      <c r="F934" s="1" t="s">
        <v>2515</v>
      </c>
      <c r="G934" s="1">
        <v>75619</v>
      </c>
      <c r="H934" s="6" t="str">
        <f>HYPERLINK("http://www.ensembl.org/Mus_musculus/Gene/Summary?db=core;g=ENSMUSG00000025962","ENSMUSG00000025962")</f>
        <v>ENSMUSG00000025962</v>
      </c>
      <c r="I934" s="6" t="str">
        <f>HYPERLINK("http://www.informatics.jax.org/marker/MGI:1922869","MGI:1922869")</f>
        <v>MGI:1922869</v>
      </c>
      <c r="J934" s="7" t="s">
        <v>12</v>
      </c>
    </row>
    <row r="935" spans="1:10" x14ac:dyDescent="0.2">
      <c r="A935" s="3">
        <v>736.49702610257896</v>
      </c>
      <c r="B935" s="1">
        <v>0.23775186237361801</v>
      </c>
      <c r="C935" s="1">
        <v>5.4952354646995599E-4</v>
      </c>
      <c r="D935" s="7">
        <v>8.7260549361867102E-3</v>
      </c>
      <c r="E935" s="1" t="s">
        <v>2830</v>
      </c>
      <c r="F935" s="1" t="s">
        <v>2831</v>
      </c>
      <c r="G935" s="1">
        <v>104884</v>
      </c>
      <c r="H935" s="6" t="str">
        <f>HYPERLINK("http://www.ensembl.org/Mus_musculus/Gene/Summary?db=core;g=ENSMUSG00000021177","ENSMUSG00000021177")</f>
        <v>ENSMUSG00000021177</v>
      </c>
      <c r="I935" s="6" t="str">
        <f>HYPERLINK("http://www.informatics.jax.org/marker/MGI:1920036","MGI:1920036")</f>
        <v>MGI:1920036</v>
      </c>
      <c r="J935" s="7" t="s">
        <v>12</v>
      </c>
    </row>
    <row r="936" spans="1:10" x14ac:dyDescent="0.2">
      <c r="A936" s="3">
        <v>3977.1975856580202</v>
      </c>
      <c r="B936" s="1">
        <v>-0.22872511228567299</v>
      </c>
      <c r="C936" s="1">
        <v>5.5223836867794303E-4</v>
      </c>
      <c r="D936" s="7">
        <v>8.7597250816341902E-3</v>
      </c>
      <c r="E936" s="1" t="s">
        <v>1774</v>
      </c>
      <c r="F936" s="1" t="s">
        <v>1775</v>
      </c>
      <c r="G936" s="1">
        <v>18033</v>
      </c>
      <c r="H936" s="6" t="str">
        <f>HYPERLINK("http://www.ensembl.org/Mus_musculus/Gene/Summary?db=core;g=ENSMUSG00000028163","ENSMUSG00000028163")</f>
        <v>ENSMUSG00000028163</v>
      </c>
      <c r="I936" s="6" t="str">
        <f>HYPERLINK("http://www.informatics.jax.org/marker/MGI:97312","MGI:97312")</f>
        <v>MGI:97312</v>
      </c>
      <c r="J936" s="7" t="s">
        <v>12</v>
      </c>
    </row>
    <row r="937" spans="1:10" x14ac:dyDescent="0.2">
      <c r="A937" s="3">
        <v>2012.3894148572699</v>
      </c>
      <c r="B937" s="1">
        <v>-0.28274924923702399</v>
      </c>
      <c r="C937" s="1">
        <v>5.5290955731668399E-4</v>
      </c>
      <c r="D937" s="7">
        <v>8.7609411146437194E-3</v>
      </c>
      <c r="E937" s="1" t="s">
        <v>1532</v>
      </c>
      <c r="F937" s="1" t="s">
        <v>1533</v>
      </c>
      <c r="G937" s="1">
        <v>67844</v>
      </c>
      <c r="H937" s="6" t="str">
        <f>HYPERLINK("http://www.ensembl.org/Mus_musculus/Gene/Summary?db=core;g=ENSMUSG00000019832","ENSMUSG00000019832")</f>
        <v>ENSMUSG00000019832</v>
      </c>
      <c r="I937" s="6" t="str">
        <f>HYPERLINK("http://www.informatics.jax.org/marker/MGI:1915094","MGI:1915094")</f>
        <v>MGI:1915094</v>
      </c>
      <c r="J937" s="7" t="s">
        <v>12</v>
      </c>
    </row>
    <row r="938" spans="1:10" x14ac:dyDescent="0.2">
      <c r="A938" s="3">
        <v>77.007050614347406</v>
      </c>
      <c r="B938" s="1">
        <v>-0.49037978274224803</v>
      </c>
      <c r="C938" s="1">
        <v>5.5392940804012804E-4</v>
      </c>
      <c r="D938" s="7">
        <v>8.7653397524933199E-3</v>
      </c>
      <c r="E938" s="1" t="s">
        <v>857</v>
      </c>
      <c r="F938" s="1" t="s">
        <v>858</v>
      </c>
      <c r="G938" s="1">
        <v>101497</v>
      </c>
      <c r="H938" s="6" t="str">
        <f>HYPERLINK("http://www.ensembl.org/Mus_musculus/Gene/Summary?db=core;g=ENSMUSG00000037552","ENSMUSG00000037552")</f>
        <v>ENSMUSG00000037552</v>
      </c>
      <c r="I938" s="6" t="str">
        <f>HYPERLINK("http://www.informatics.jax.org/marker/MGI:2141874","MGI:2141874")</f>
        <v>MGI:2141874</v>
      </c>
      <c r="J938" s="7" t="s">
        <v>12</v>
      </c>
    </row>
    <row r="939" spans="1:10" x14ac:dyDescent="0.2">
      <c r="A939" s="3">
        <v>419.09111266477203</v>
      </c>
      <c r="B939" s="1">
        <v>-0.43589665043331299</v>
      </c>
      <c r="C939" s="1">
        <v>5.5437680845031004E-4</v>
      </c>
      <c r="D939" s="7">
        <v>8.7653397524933199E-3</v>
      </c>
      <c r="E939" s="1" t="s">
        <v>977</v>
      </c>
      <c r="F939" s="1" t="s">
        <v>978</v>
      </c>
      <c r="G939" s="1">
        <v>19698</v>
      </c>
      <c r="H939" s="6" t="str">
        <f>HYPERLINK("http://www.ensembl.org/Mus_musculus/Gene/Summary?db=core;g=ENSMUSG00000002983","ENSMUSG00000002983")</f>
        <v>ENSMUSG00000002983</v>
      </c>
      <c r="I939" s="6" t="str">
        <f>HYPERLINK("http://www.informatics.jax.org/marker/MGI:103289","MGI:103289")</f>
        <v>MGI:103289</v>
      </c>
      <c r="J939" s="7" t="s">
        <v>12</v>
      </c>
    </row>
    <row r="940" spans="1:10" x14ac:dyDescent="0.2">
      <c r="A940" s="3">
        <v>425.39783581730097</v>
      </c>
      <c r="B940" s="1">
        <v>0.217054272668468</v>
      </c>
      <c r="C940" s="1">
        <v>5.5557272391531501E-4</v>
      </c>
      <c r="D940" s="7">
        <v>8.7748335044116593E-3</v>
      </c>
      <c r="E940" s="1" t="s">
        <v>2712</v>
      </c>
      <c r="F940" s="1" t="s">
        <v>2713</v>
      </c>
      <c r="G940" s="1">
        <v>74360</v>
      </c>
      <c r="H940" s="6" t="str">
        <f>HYPERLINK("http://www.ensembl.org/Mus_musculus/Gene/Summary?db=core;g=ENSMUSG00000031922","ENSMUSG00000031922")</f>
        <v>ENSMUSG00000031922</v>
      </c>
      <c r="I940" s="6" t="str">
        <f>HYPERLINK("http://www.informatics.jax.org/marker/MGI:1915551","MGI:1915551")</f>
        <v>MGI:1915551</v>
      </c>
      <c r="J940" s="7" t="s">
        <v>12</v>
      </c>
    </row>
    <row r="941" spans="1:10" x14ac:dyDescent="0.2">
      <c r="A941" s="3">
        <v>2423.5103992211598</v>
      </c>
      <c r="B941" s="1">
        <v>0.122260226798768</v>
      </c>
      <c r="C941" s="1">
        <v>5.5740055135914302E-4</v>
      </c>
      <c r="D941" s="7">
        <v>8.7848711495490204E-3</v>
      </c>
      <c r="E941" s="1" t="s">
        <v>2222</v>
      </c>
      <c r="F941" s="1" t="s">
        <v>2223</v>
      </c>
      <c r="G941" s="1">
        <v>53861</v>
      </c>
      <c r="H941" s="6" t="str">
        <f>HYPERLINK("http://www.ensembl.org/Mus_musculus/Gene/Summary?db=core;g=ENSMUSG00000028180","ENSMUSG00000028180")</f>
        <v>ENSMUSG00000028180</v>
      </c>
      <c r="I941" s="6" t="str">
        <f>HYPERLINK("http://www.informatics.jax.org/marker/MGI:1858211","MGI:1858211")</f>
        <v>MGI:1858211</v>
      </c>
      <c r="J941" s="7" t="s">
        <v>12</v>
      </c>
    </row>
    <row r="942" spans="1:10" x14ac:dyDescent="0.2">
      <c r="A942" s="3">
        <v>3118.2250725918302</v>
      </c>
      <c r="B942" s="1">
        <v>0.22251345078250301</v>
      </c>
      <c r="C942" s="1">
        <v>5.5717783531632496E-4</v>
      </c>
      <c r="D942" s="7">
        <v>8.7848711495490204E-3</v>
      </c>
      <c r="E942" s="1" t="s">
        <v>2740</v>
      </c>
      <c r="F942" s="1" t="s">
        <v>2741</v>
      </c>
      <c r="G942" s="1">
        <v>18949</v>
      </c>
      <c r="H942" s="6" t="str">
        <f>HYPERLINK("http://www.ensembl.org/Mus_musculus/Gene/Summary?db=core;g=ENSMUSG00000020994","ENSMUSG00000020994")</f>
        <v>ENSMUSG00000020994</v>
      </c>
      <c r="I942" s="6" t="str">
        <f>HYPERLINK("http://www.informatics.jax.org/marker/MGI:1100514","MGI:1100514")</f>
        <v>MGI:1100514</v>
      </c>
      <c r="J942" s="7" t="s">
        <v>12</v>
      </c>
    </row>
    <row r="943" spans="1:10" x14ac:dyDescent="0.2">
      <c r="A943" s="3">
        <v>264.10392992596098</v>
      </c>
      <c r="B943" s="1">
        <v>-0.379833953763143</v>
      </c>
      <c r="C943" s="1">
        <v>5.5811511620915404E-4</v>
      </c>
      <c r="D943" s="7">
        <v>8.7867354192928404E-3</v>
      </c>
      <c r="E943" s="1" t="s">
        <v>1138</v>
      </c>
      <c r="F943" s="1" t="s">
        <v>1139</v>
      </c>
      <c r="G943" s="1">
        <v>20393</v>
      </c>
      <c r="H943" s="6" t="str">
        <f>HYPERLINK("http://www.ensembl.org/Mus_musculus/Gene/Summary?db=core;g=ENSMUSG00000019970","ENSMUSG00000019970")</f>
        <v>ENSMUSG00000019970</v>
      </c>
      <c r="I943" s="6" t="str">
        <f>HYPERLINK("http://www.informatics.jax.org/marker/MGI:1340062","MGI:1340062")</f>
        <v>MGI:1340062</v>
      </c>
      <c r="J943" s="7" t="s">
        <v>12</v>
      </c>
    </row>
    <row r="944" spans="1:10" x14ac:dyDescent="0.2">
      <c r="A944" s="3">
        <v>666.80663714214802</v>
      </c>
      <c r="B944" s="1">
        <v>-0.185307844207938</v>
      </c>
      <c r="C944" s="1">
        <v>5.5965267551292999E-4</v>
      </c>
      <c r="D944" s="7">
        <v>8.80153876879247E-3</v>
      </c>
      <c r="E944" s="1" t="s">
        <v>1990</v>
      </c>
      <c r="F944" s="1" t="s">
        <v>1991</v>
      </c>
      <c r="G944" s="1">
        <v>19326</v>
      </c>
      <c r="H944" s="6" t="str">
        <f>HYPERLINK("http://www.ensembl.org/Mus_musculus/Gene/Summary?db=core;g=ENSMUSG00000077450","ENSMUSG00000077450")</f>
        <v>ENSMUSG00000077450</v>
      </c>
      <c r="I944" s="6" t="str">
        <f>HYPERLINK("http://www.informatics.jax.org/marker/MGI:99425","MGI:99425")</f>
        <v>MGI:99425</v>
      </c>
      <c r="J944" s="7" t="s">
        <v>12</v>
      </c>
    </row>
    <row r="945" spans="1:10" x14ac:dyDescent="0.2">
      <c r="A945" s="3">
        <v>187.43946516837099</v>
      </c>
      <c r="B945" s="1">
        <v>0.33811579208084402</v>
      </c>
      <c r="C945" s="1">
        <v>5.6505084810954103E-4</v>
      </c>
      <c r="D945" s="7">
        <v>8.8769608717933907E-3</v>
      </c>
      <c r="E945" s="1" t="s">
        <v>3072</v>
      </c>
      <c r="F945" s="1" t="s">
        <v>3073</v>
      </c>
      <c r="G945" s="1">
        <v>327942</v>
      </c>
      <c r="H945" s="6" t="str">
        <f>HYPERLINK("http://www.ensembl.org/Mus_musculus/Gene/Summary?db=core;g=ENSMUSG00000014245","ENSMUSG00000014245")</f>
        <v>ENSMUSG00000014245</v>
      </c>
      <c r="I945" s="6" t="str">
        <f>HYPERLINK("http://www.informatics.jax.org/marker/MGI:2681271","MGI:2681271")</f>
        <v>MGI:2681271</v>
      </c>
      <c r="J945" s="7" t="s">
        <v>12</v>
      </c>
    </row>
    <row r="946" spans="1:10" x14ac:dyDescent="0.2">
      <c r="A946" s="3">
        <v>259.65551563378398</v>
      </c>
      <c r="B946" s="1">
        <v>0.25993936198294698</v>
      </c>
      <c r="C946" s="1">
        <v>5.65793072245094E-4</v>
      </c>
      <c r="D946" s="7">
        <v>8.8791551784916899E-3</v>
      </c>
      <c r="E946" s="1" t="s">
        <v>2906</v>
      </c>
      <c r="F946" s="1" t="s">
        <v>2907</v>
      </c>
      <c r="G946" s="1">
        <v>21339</v>
      </c>
      <c r="H946" s="6" t="str">
        <f>HYPERLINK("http://www.ensembl.org/Mus_musculus/Gene/Summary?db=core;g=ENSMUSG00000072258","ENSMUSG00000072258")</f>
        <v>ENSMUSG00000072258</v>
      </c>
      <c r="I946" s="6" t="str">
        <f>HYPERLINK("http://www.informatics.jax.org/marker/MGI:109578","MGI:109578")</f>
        <v>MGI:109578</v>
      </c>
      <c r="J946" s="7" t="s">
        <v>12</v>
      </c>
    </row>
    <row r="947" spans="1:10" x14ac:dyDescent="0.2">
      <c r="A947" s="3">
        <v>884.38960854149195</v>
      </c>
      <c r="B947" s="1">
        <v>-0.20060184418139099</v>
      </c>
      <c r="C947" s="1">
        <v>5.6650528125350499E-4</v>
      </c>
      <c r="D947" s="7">
        <v>8.8808742814379307E-3</v>
      </c>
      <c r="E947" s="1" t="s">
        <v>1904</v>
      </c>
      <c r="F947" s="1" t="s">
        <v>1905</v>
      </c>
      <c r="G947" s="1">
        <v>17850</v>
      </c>
      <c r="H947" s="6" t="str">
        <f>HYPERLINK("http://www.ensembl.org/Mus_musculus/Gene/Summary?db=core;g=ENSMUSG00000023921","ENSMUSG00000023921")</f>
        <v>ENSMUSG00000023921</v>
      </c>
      <c r="I947" s="6" t="str">
        <f>HYPERLINK("http://www.informatics.jax.org/marker/MGI:97239","MGI:97239")</f>
        <v>MGI:97239</v>
      </c>
      <c r="J947" s="7" t="s">
        <v>12</v>
      </c>
    </row>
    <row r="948" spans="1:10" x14ac:dyDescent="0.2">
      <c r="A948" s="3">
        <v>871.832003847289</v>
      </c>
      <c r="B948" s="1">
        <v>-0.215728626381957</v>
      </c>
      <c r="C948" s="1">
        <v>5.6854306969835204E-4</v>
      </c>
      <c r="D948" s="7">
        <v>8.9033482200583502E-3</v>
      </c>
      <c r="E948" s="1" t="s">
        <v>1836</v>
      </c>
      <c r="F948" s="1" t="s">
        <v>1837</v>
      </c>
      <c r="G948" s="1">
        <v>69748</v>
      </c>
      <c r="H948" s="6" t="str">
        <f>HYPERLINK("http://www.ensembl.org/Mus_musculus/Gene/Summary?db=core;g=ENSMUSG00000007833","ENSMUSG00000007833")</f>
        <v>ENSMUSG00000007833</v>
      </c>
      <c r="I948" s="6" t="str">
        <f>HYPERLINK("http://www.informatics.jax.org/marker/MGI:1916998","MGI:1916998")</f>
        <v>MGI:1916998</v>
      </c>
      <c r="J948" s="7" t="s">
        <v>12</v>
      </c>
    </row>
    <row r="949" spans="1:10" x14ac:dyDescent="0.2">
      <c r="A949" s="3">
        <v>2212.1229869204399</v>
      </c>
      <c r="B949" s="1">
        <v>-0.67163811218872704</v>
      </c>
      <c r="C949" s="1">
        <v>5.7110120843993704E-4</v>
      </c>
      <c r="D949" s="7">
        <v>8.9339144454043708E-3</v>
      </c>
      <c r="E949" s="1" t="s">
        <v>582</v>
      </c>
      <c r="F949" s="1" t="s">
        <v>583</v>
      </c>
      <c r="G949" s="1">
        <v>16432</v>
      </c>
      <c r="H949" s="6" t="str">
        <f>HYPERLINK("http://www.ensembl.org/Mus_musculus/Gene/Summary?db=core;g=ENSMUSG00000022108","ENSMUSG00000022108")</f>
        <v>ENSMUSG00000022108</v>
      </c>
      <c r="I949" s="6" t="str">
        <f>HYPERLINK("http://www.informatics.jax.org/marker/MGI:1309517","MGI:1309517")</f>
        <v>MGI:1309517</v>
      </c>
      <c r="J949" s="7" t="s">
        <v>12</v>
      </c>
    </row>
    <row r="950" spans="1:10" x14ac:dyDescent="0.2">
      <c r="A950" s="3">
        <v>274.97592197509402</v>
      </c>
      <c r="B950" s="1">
        <v>-0.30883541864373898</v>
      </c>
      <c r="C950" s="1">
        <v>5.7412902206930097E-4</v>
      </c>
      <c r="D950" s="7">
        <v>8.9717553226015007E-3</v>
      </c>
      <c r="E950" s="1" t="s">
        <v>1408</v>
      </c>
      <c r="F950" s="1" t="s">
        <v>1409</v>
      </c>
      <c r="G950" s="1">
        <v>212937</v>
      </c>
      <c r="H950" s="6" t="str">
        <f>HYPERLINK("http://www.ensembl.org/Mus_musculus/Gene/Summary?db=core;g=ENSMUSG00000049625","ENSMUSG00000049625")</f>
        <v>ENSMUSG00000049625</v>
      </c>
      <c r="I950" s="6" t="str">
        <f>HYPERLINK("http://www.informatics.jax.org/marker/MGI:2385852","MGI:2385852")</f>
        <v>MGI:2385852</v>
      </c>
      <c r="J950" s="7" t="s">
        <v>12</v>
      </c>
    </row>
    <row r="951" spans="1:10" x14ac:dyDescent="0.2">
      <c r="A951" s="3">
        <v>86.239433876054505</v>
      </c>
      <c r="B951" s="1">
        <v>0.72414055404949396</v>
      </c>
      <c r="C951" s="1">
        <v>5.75659072489985E-4</v>
      </c>
      <c r="D951" s="7">
        <v>8.9861356909029799E-3</v>
      </c>
      <c r="E951" s="1" t="s">
        <v>3270</v>
      </c>
      <c r="F951" s="1" t="s">
        <v>3271</v>
      </c>
      <c r="G951" s="1">
        <v>22635</v>
      </c>
      <c r="H951" s="6" t="str">
        <f>HYPERLINK("http://www.ensembl.org/Mus_musculus/Gene/Summary?db=core;g=ENSMUSG00000079173","ENSMUSG00000079173")</f>
        <v>ENSMUSG00000079173</v>
      </c>
      <c r="I951" s="6" t="str">
        <f>HYPERLINK("http://www.informatics.jax.org/marker/MGI:106656","MGI:106656")</f>
        <v>MGI:106656</v>
      </c>
      <c r="J951" s="7" t="s">
        <v>12</v>
      </c>
    </row>
    <row r="952" spans="1:10" x14ac:dyDescent="0.2">
      <c r="A952" s="3">
        <v>49.402877947861299</v>
      </c>
      <c r="B952" s="1">
        <v>-0.81461700784908198</v>
      </c>
      <c r="C952" s="1">
        <v>5.8307299350099395E-4</v>
      </c>
      <c r="D952" s="7">
        <v>9.0826254040493101E-3</v>
      </c>
      <c r="E952" s="1" t="s">
        <v>470</v>
      </c>
      <c r="F952" s="1" t="s">
        <v>471</v>
      </c>
      <c r="G952" s="1">
        <v>69217</v>
      </c>
      <c r="H952" s="6" t="str">
        <f>HYPERLINK("http://www.ensembl.org/Mus_musculus/Gene/Summary?db=core;g=ENSMUSG00000040428","ENSMUSG00000040428")</f>
        <v>ENSMUSG00000040428</v>
      </c>
      <c r="I952" s="6" t="str">
        <f>HYPERLINK("http://www.informatics.jax.org/marker/MGI:1916467","MGI:1916467")</f>
        <v>MGI:1916467</v>
      </c>
      <c r="J952" s="7" t="s">
        <v>12</v>
      </c>
    </row>
    <row r="953" spans="1:10" x14ac:dyDescent="0.2">
      <c r="A953" s="3">
        <v>355.09338808046198</v>
      </c>
      <c r="B953" s="1">
        <v>-0.21950686036495501</v>
      </c>
      <c r="C953" s="1">
        <v>5.8282553958664699E-4</v>
      </c>
      <c r="D953" s="7">
        <v>9.0826254040493101E-3</v>
      </c>
      <c r="E953" s="1" t="s">
        <v>1820</v>
      </c>
      <c r="F953" s="1" t="s">
        <v>1821</v>
      </c>
      <c r="G953" s="1">
        <v>67015</v>
      </c>
      <c r="H953" s="6" t="str">
        <f>HYPERLINK("http://www.ensembl.org/Mus_musculus/Gene/Summary?db=core;g=ENSMUSG00000030301","ENSMUSG00000030301")</f>
        <v>ENSMUSG00000030301</v>
      </c>
      <c r="I953" s="6" t="str">
        <f>HYPERLINK("http://www.informatics.jax.org/marker/MGI:1914265","MGI:1914265")</f>
        <v>MGI:1914265</v>
      </c>
      <c r="J953" s="7" t="s">
        <v>12</v>
      </c>
    </row>
    <row r="954" spans="1:10" x14ac:dyDescent="0.2">
      <c r="A954" s="3">
        <v>1522.87711828139</v>
      </c>
      <c r="B954" s="1">
        <v>-0.24727281712814</v>
      </c>
      <c r="C954" s="1">
        <v>5.8841211413008805E-4</v>
      </c>
      <c r="D954" s="7">
        <v>9.1561150093146595E-3</v>
      </c>
      <c r="E954" s="1" t="s">
        <v>1672</v>
      </c>
      <c r="F954" s="1" t="s">
        <v>1673</v>
      </c>
      <c r="G954" s="1">
        <v>107895</v>
      </c>
      <c r="H954" s="6" t="str">
        <f>HYPERLINK("http://www.ensembl.org/Mus_musculus/Gene/Summary?db=core;g=ENSMUSG00000036155","ENSMUSG00000036155")</f>
        <v>ENSMUSG00000036155</v>
      </c>
      <c r="I954" s="6" t="str">
        <f>HYPERLINK("http://www.informatics.jax.org/marker/MGI:894701","MGI:894701")</f>
        <v>MGI:894701</v>
      </c>
      <c r="J954" s="7" t="s">
        <v>12</v>
      </c>
    </row>
    <row r="955" spans="1:10" x14ac:dyDescent="0.2">
      <c r="A955" s="3">
        <v>383.753684444339</v>
      </c>
      <c r="B955" s="1">
        <v>0.31140948644713601</v>
      </c>
      <c r="C955" s="1">
        <v>5.9029462131007901E-4</v>
      </c>
      <c r="D955" s="7">
        <v>9.1757189236553998E-3</v>
      </c>
      <c r="E955" s="1" t="s">
        <v>3016</v>
      </c>
      <c r="F955" s="1" t="s">
        <v>3017</v>
      </c>
      <c r="G955" s="1">
        <v>20364</v>
      </c>
      <c r="H955" s="6" t="str">
        <f>HYPERLINK("http://www.ensembl.org/Mus_musculus/Gene/Summary?db=core;g=ENSMUSG00000041571","ENSMUSG00000041571")</f>
        <v>ENSMUSG00000041571</v>
      </c>
      <c r="I955" s="6" t="str">
        <f>HYPERLINK("http://www.informatics.jax.org/marker/MGI:1100878","MGI:1100878")</f>
        <v>MGI:1100878</v>
      </c>
      <c r="J955" s="7" t="s">
        <v>12</v>
      </c>
    </row>
    <row r="956" spans="1:10" x14ac:dyDescent="0.2">
      <c r="A956" s="3">
        <v>1098.5459015361</v>
      </c>
      <c r="B956" s="1">
        <v>0.170201010757765</v>
      </c>
      <c r="C956" s="1">
        <v>5.9588155641292597E-4</v>
      </c>
      <c r="D956" s="7">
        <v>9.2528035988417995E-3</v>
      </c>
      <c r="E956" s="1" t="s">
        <v>2426</v>
      </c>
      <c r="F956" s="1" t="s">
        <v>2427</v>
      </c>
      <c r="G956" s="1">
        <v>74414</v>
      </c>
      <c r="H956" s="6" t="str">
        <f>HYPERLINK("http://www.ensembl.org/Mus_musculus/Gene/Summary?db=core;g=ENSMUSG00000028099","ENSMUSG00000028099")</f>
        <v>ENSMUSG00000028099</v>
      </c>
      <c r="I956" s="6" t="str">
        <f>HYPERLINK("http://www.informatics.jax.org/marker/MGI:1921664","MGI:1921664")</f>
        <v>MGI:1921664</v>
      </c>
      <c r="J956" s="7" t="s">
        <v>12</v>
      </c>
    </row>
    <row r="957" spans="1:10" x14ac:dyDescent="0.2">
      <c r="A957" s="3">
        <v>534.83172053578699</v>
      </c>
      <c r="B957" s="1">
        <v>0.22744293975522301</v>
      </c>
      <c r="C957" s="1">
        <v>5.9861695449706998E-4</v>
      </c>
      <c r="D957" s="7">
        <v>9.2854941489145491E-3</v>
      </c>
      <c r="E957" s="1" t="s">
        <v>2780</v>
      </c>
      <c r="F957" s="1" t="s">
        <v>2781</v>
      </c>
      <c r="G957" s="1">
        <v>140917</v>
      </c>
      <c r="H957" s="6" t="str">
        <f>HYPERLINK("http://www.ensembl.org/Mus_musculus/Gene/Summary?db=core;g=ENSMUSG00000027845","ENSMUSG00000027845")</f>
        <v>ENSMUSG00000027845</v>
      </c>
      <c r="I957" s="6" t="str">
        <f>HYPERLINK("http://www.informatics.jax.org/marker/MGI:2156057","MGI:2156057")</f>
        <v>MGI:2156057</v>
      </c>
      <c r="J957" s="7" t="s">
        <v>12</v>
      </c>
    </row>
    <row r="958" spans="1:10" x14ac:dyDescent="0.2">
      <c r="A958" s="3">
        <v>1034.20461764734</v>
      </c>
      <c r="B958" s="1">
        <v>0.180543505793896</v>
      </c>
      <c r="C958" s="1">
        <v>6.0041028892162903E-4</v>
      </c>
      <c r="D958" s="7">
        <v>9.3035184201357701E-3</v>
      </c>
      <c r="E958" s="1" t="s">
        <v>2490</v>
      </c>
      <c r="F958" s="1" t="s">
        <v>2491</v>
      </c>
      <c r="G958" s="1">
        <v>30056</v>
      </c>
      <c r="H958" s="6" t="str">
        <f>HYPERLINK("http://www.ensembl.org/Mus_musculus/Gene/Summary?db=core;g=ENSMUSG00000021079","ENSMUSG00000021079")</f>
        <v>ENSMUSG00000021079</v>
      </c>
      <c r="I958" s="6" t="str">
        <f>HYPERLINK("http://www.informatics.jax.org/marker/MGI:1353436","MGI:1353436")</f>
        <v>MGI:1353436</v>
      </c>
      <c r="J958" s="7" t="s">
        <v>12</v>
      </c>
    </row>
    <row r="959" spans="1:10" x14ac:dyDescent="0.2">
      <c r="A959" s="3">
        <v>405.155500455023</v>
      </c>
      <c r="B959" s="1">
        <v>0.35220904546755399</v>
      </c>
      <c r="C959" s="1">
        <v>6.0109993451345405E-4</v>
      </c>
      <c r="D959" s="7">
        <v>9.3044208350738008E-3</v>
      </c>
      <c r="E959" s="1" t="s">
        <v>3096</v>
      </c>
      <c r="F959" s="1" t="s">
        <v>3097</v>
      </c>
      <c r="G959" s="1">
        <v>72056</v>
      </c>
      <c r="H959" s="6" t="str">
        <f>HYPERLINK("http://www.ensembl.org/Mus_musculus/Gene/Summary?db=core;g=ENSMUSG00000035372","ENSMUSG00000035372")</f>
        <v>ENSMUSG00000035372</v>
      </c>
      <c r="I959" s="6" t="str">
        <f>HYPERLINK("http://www.informatics.jax.org/marker/MGI:1919306","MGI:1919306")</f>
        <v>MGI:1919306</v>
      </c>
      <c r="J959" s="7" t="s">
        <v>12</v>
      </c>
    </row>
    <row r="960" spans="1:10" x14ac:dyDescent="0.2">
      <c r="A960" s="3">
        <v>1624.3032265069901</v>
      </c>
      <c r="B960" s="1">
        <v>-0.36380252715255201</v>
      </c>
      <c r="C960" s="1">
        <v>6.0364162992256401E-4</v>
      </c>
      <c r="D960" s="7">
        <v>9.3339591380261298E-3</v>
      </c>
      <c r="E960" s="1" t="s">
        <v>1192</v>
      </c>
      <c r="F960" s="1" t="s">
        <v>1193</v>
      </c>
      <c r="G960" s="1">
        <v>74030</v>
      </c>
      <c r="H960" s="6" t="str">
        <f>HYPERLINK("http://www.ensembl.org/Mus_musculus/Gene/Summary?db=core;g=ENSMUSG00000001768","ENSMUSG00000001768")</f>
        <v>ENSMUSG00000001768</v>
      </c>
      <c r="I960" s="6" t="str">
        <f>HYPERLINK("http://www.informatics.jax.org/marker/MGI:1921280","MGI:1921280")</f>
        <v>MGI:1921280</v>
      </c>
      <c r="J960" s="7" t="s">
        <v>12</v>
      </c>
    </row>
    <row r="961" spans="1:10" x14ac:dyDescent="0.2">
      <c r="A961" s="3">
        <v>4.3824047206599097</v>
      </c>
      <c r="B961" s="1">
        <v>-1.4958493501355701</v>
      </c>
      <c r="C961" s="1">
        <v>6.1537810994081598E-4</v>
      </c>
      <c r="D961" s="7">
        <v>9.5054631321675794E-3</v>
      </c>
      <c r="E961" s="1" t="s">
        <v>130</v>
      </c>
      <c r="F961" s="1" t="s">
        <v>131</v>
      </c>
      <c r="G961" s="1">
        <v>17293</v>
      </c>
      <c r="H961" s="6" t="str">
        <f>HYPERLINK("http://www.ensembl.org/Mus_musculus/Gene/Summary?db=core;g=ENSMUSG00000030543","ENSMUSG00000030543")</f>
        <v>ENSMUSG00000030543</v>
      </c>
      <c r="I961" s="6" t="str">
        <f>HYPERLINK("http://www.informatics.jax.org/marker/MGI:1096325","MGI:1096325")</f>
        <v>MGI:1096325</v>
      </c>
      <c r="J961" s="7" t="s">
        <v>12</v>
      </c>
    </row>
    <row r="962" spans="1:10" x14ac:dyDescent="0.2">
      <c r="A962" s="3">
        <v>567.82520370785903</v>
      </c>
      <c r="B962" s="1">
        <v>-0.229251059608062</v>
      </c>
      <c r="C962" s="1">
        <v>6.2234972432745003E-4</v>
      </c>
      <c r="D962" s="7">
        <v>9.5930392653653801E-3</v>
      </c>
      <c r="E962" s="1" t="s">
        <v>1768</v>
      </c>
      <c r="F962" s="1" t="s">
        <v>1769</v>
      </c>
      <c r="G962" s="1">
        <v>100383</v>
      </c>
      <c r="H962" s="6" t="str">
        <f>HYPERLINK("http://www.ensembl.org/Mus_musculus/Gene/Summary?db=core;g=ENSMUSG00000040859","ENSMUSG00000040859")</f>
        <v>ENSMUSG00000040859</v>
      </c>
      <c r="I962" s="6" t="str">
        <f>HYPERLINK("http://www.informatics.jax.org/marker/MGI:1913466","MGI:1913466")</f>
        <v>MGI:1913466</v>
      </c>
      <c r="J962" s="7" t="s">
        <v>12</v>
      </c>
    </row>
    <row r="963" spans="1:10" x14ac:dyDescent="0.2">
      <c r="A963" s="3">
        <v>3195.8210357338999</v>
      </c>
      <c r="B963" s="1">
        <v>-0.172209964170466</v>
      </c>
      <c r="C963" s="1">
        <v>6.2217842829956696E-4</v>
      </c>
      <c r="D963" s="7">
        <v>9.5930392653653801E-3</v>
      </c>
      <c r="E963" s="1" t="s">
        <v>2046</v>
      </c>
      <c r="F963" s="1" t="s">
        <v>2047</v>
      </c>
      <c r="G963" s="1">
        <v>110355</v>
      </c>
      <c r="H963" s="6" t="str">
        <f>HYPERLINK("http://www.ensembl.org/Mus_musculus/Gene/Summary?db=core;g=ENSMUSG00000024858","ENSMUSG00000024858")</f>
        <v>ENSMUSG00000024858</v>
      </c>
      <c r="I963" s="6" t="str">
        <f>HYPERLINK("http://www.informatics.jax.org/marker/MGI:87940","MGI:87940")</f>
        <v>MGI:87940</v>
      </c>
      <c r="J963" s="7" t="s">
        <v>12</v>
      </c>
    </row>
    <row r="964" spans="1:10" x14ac:dyDescent="0.2">
      <c r="A964" s="3">
        <v>782.48083293292098</v>
      </c>
      <c r="B964" s="1">
        <v>-0.196570863984939</v>
      </c>
      <c r="C964" s="1">
        <v>6.2344966627145097E-4</v>
      </c>
      <c r="D964" s="7">
        <v>9.5999522279792103E-3</v>
      </c>
      <c r="E964" s="1" t="s">
        <v>1934</v>
      </c>
      <c r="F964" s="1" t="s">
        <v>1935</v>
      </c>
      <c r="G964" s="1">
        <v>277854</v>
      </c>
      <c r="H964" s="6" t="str">
        <f>HYPERLINK("http://www.ensembl.org/Mus_musculus/Gene/Summary?db=core;g=ENSMUSG00000037426","ENSMUSG00000037426")</f>
        <v>ENSMUSG00000037426</v>
      </c>
      <c r="I964" s="6" t="str">
        <f>HYPERLINK("http://www.informatics.jax.org/marker/MGI:2141101","MGI:2141101")</f>
        <v>MGI:2141101</v>
      </c>
      <c r="J964" s="7" t="s">
        <v>12</v>
      </c>
    </row>
    <row r="965" spans="1:10" x14ac:dyDescent="0.2">
      <c r="A965" s="3">
        <v>1013.40099894124</v>
      </c>
      <c r="B965" s="1">
        <v>0.19847140861651399</v>
      </c>
      <c r="C965" s="1">
        <v>6.2992473571431295E-4</v>
      </c>
      <c r="D965" s="7">
        <v>9.6895312165825795E-3</v>
      </c>
      <c r="E965" s="1" t="s">
        <v>2584</v>
      </c>
      <c r="F965" s="1" t="s">
        <v>2585</v>
      </c>
      <c r="G965" s="1">
        <v>226090</v>
      </c>
      <c r="H965" s="6" t="str">
        <f>HYPERLINK("http://www.ensembl.org/Mus_musculus/Gene/Summary?db=core;g=ENSMUSG00000046324","ENSMUSG00000046324")</f>
        <v>ENSMUSG00000046324</v>
      </c>
      <c r="I965" s="6" t="str">
        <f>HYPERLINK("http://www.informatics.jax.org/marker/MGI:106250","MGI:106250")</f>
        <v>MGI:106250</v>
      </c>
      <c r="J965" s="7" t="s">
        <v>12</v>
      </c>
    </row>
    <row r="966" spans="1:10" x14ac:dyDescent="0.2">
      <c r="A966" s="3">
        <v>4332.3403581480798</v>
      </c>
      <c r="B966" s="1">
        <v>-1.3800860098394501</v>
      </c>
      <c r="C966" s="1">
        <v>6.34785839361134E-4</v>
      </c>
      <c r="D966" s="7">
        <v>9.7541231791717208E-3</v>
      </c>
      <c r="E966" s="1" t="s">
        <v>150</v>
      </c>
      <c r="F966" s="1" t="s">
        <v>151</v>
      </c>
      <c r="G966" s="1">
        <v>15945</v>
      </c>
      <c r="H966" s="6" t="str">
        <f>HYPERLINK("http://www.ensembl.org/Mus_musculus/Gene/Summary?db=core;g=ENSMUSG00000034855","ENSMUSG00000034855")</f>
        <v>ENSMUSG00000034855</v>
      </c>
      <c r="I966" s="6" t="str">
        <f>HYPERLINK("http://www.informatics.jax.org/marker/MGI:1352450","MGI:1352450")</f>
        <v>MGI:1352450</v>
      </c>
      <c r="J966" s="7" t="s">
        <v>12</v>
      </c>
    </row>
    <row r="967" spans="1:10" x14ac:dyDescent="0.2">
      <c r="A967" s="3">
        <v>691.25393731909105</v>
      </c>
      <c r="B967" s="1">
        <v>0.209489135827158</v>
      </c>
      <c r="C967" s="1">
        <v>6.3898590179310298E-4</v>
      </c>
      <c r="D967" s="7">
        <v>9.7982271059554298E-3</v>
      </c>
      <c r="E967" s="1" t="s">
        <v>2666</v>
      </c>
      <c r="F967" s="1" t="s">
        <v>2667</v>
      </c>
      <c r="G967" s="1">
        <v>71449</v>
      </c>
      <c r="H967" s="6" t="str">
        <f>HYPERLINK("http://www.ensembl.org/Mus_musculus/Gene/Summary?db=core;g=ENSMUSG00000026694","ENSMUSG00000026694")</f>
        <v>ENSMUSG00000026694</v>
      </c>
      <c r="I967" s="6" t="str">
        <f>HYPERLINK("http://www.informatics.jax.org/marker/MGI:1918699","MGI:1918699")</f>
        <v>MGI:1918699</v>
      </c>
      <c r="J967" s="7" t="s">
        <v>12</v>
      </c>
    </row>
    <row r="968" spans="1:10" x14ac:dyDescent="0.2">
      <c r="A968" s="3">
        <v>4600.2770693700904</v>
      </c>
      <c r="B968" s="1">
        <v>0.21294583042194001</v>
      </c>
      <c r="C968" s="1">
        <v>6.3894463407339504E-4</v>
      </c>
      <c r="D968" s="7">
        <v>9.7982271059554298E-3</v>
      </c>
      <c r="E968" s="1" t="s">
        <v>2682</v>
      </c>
      <c r="F968" s="1" t="s">
        <v>2683</v>
      </c>
      <c r="G968" s="1">
        <v>114741</v>
      </c>
      <c r="H968" s="6" t="str">
        <f>HYPERLINK("http://www.ensembl.org/Mus_musculus/Gene/Summary?db=core;g=ENSMUSG00000035726","ENSMUSG00000035726")</f>
        <v>ENSMUSG00000035726</v>
      </c>
      <c r="I968" s="6" t="str">
        <f>HYPERLINK("http://www.informatics.jax.org/marker/MGI:1890948","MGI:1890948")</f>
        <v>MGI:1890948</v>
      </c>
      <c r="J968" s="7" t="s">
        <v>12</v>
      </c>
    </row>
    <row r="969" spans="1:10" x14ac:dyDescent="0.2">
      <c r="A969" s="3">
        <v>420.919587933412</v>
      </c>
      <c r="B969" s="1">
        <v>-0.46016880793695403</v>
      </c>
      <c r="C969" s="1">
        <v>6.4704127706134197E-4</v>
      </c>
      <c r="D969" s="7">
        <v>9.91143478043237E-3</v>
      </c>
      <c r="E969" s="1" t="s">
        <v>913</v>
      </c>
      <c r="F969" s="1" t="s">
        <v>914</v>
      </c>
      <c r="G969" s="1">
        <v>72324</v>
      </c>
      <c r="H969" s="6" t="str">
        <f>HYPERLINK("http://www.ensembl.org/Mus_musculus/Gene/Summary?db=core;g=ENSMUSG00000017417","ENSMUSG00000017417")</f>
        <v>ENSMUSG00000017417</v>
      </c>
      <c r="I969" s="6" t="str">
        <f>HYPERLINK("http://www.informatics.jax.org/marker/MGI:1919574","MGI:1919574")</f>
        <v>MGI:1919574</v>
      </c>
      <c r="J969" s="7" t="s">
        <v>12</v>
      </c>
    </row>
    <row r="970" spans="1:10" x14ac:dyDescent="0.2">
      <c r="A970" s="3">
        <v>33.001673104670502</v>
      </c>
      <c r="B970" s="1">
        <v>0.77377710804887601</v>
      </c>
      <c r="C970" s="1">
        <v>6.4920434869079099E-4</v>
      </c>
      <c r="D970" s="7">
        <v>9.9342422453868005E-3</v>
      </c>
      <c r="E970" s="1" t="s">
        <v>3276</v>
      </c>
      <c r="F970" s="1" t="s">
        <v>3277</v>
      </c>
      <c r="G970" s="1">
        <v>20112</v>
      </c>
      <c r="H970" s="6" t="str">
        <f>HYPERLINK("http://www.ensembl.org/Mus_musculus/Gene/Summary?db=core;g=ENSMUSG00000023809","ENSMUSG00000023809")</f>
        <v>ENSMUSG00000023809</v>
      </c>
      <c r="I970" s="6" t="str">
        <f>HYPERLINK("http://www.informatics.jax.org/marker/MGI:1342290","MGI:1342290")</f>
        <v>MGI:1342290</v>
      </c>
      <c r="J970" s="7" t="s">
        <v>12</v>
      </c>
    </row>
    <row r="971" spans="1:10" x14ac:dyDescent="0.2">
      <c r="A971" s="3">
        <v>394.69571083657002</v>
      </c>
      <c r="B971" s="1">
        <v>-0.69395763257556398</v>
      </c>
      <c r="C971" s="1">
        <v>6.5029420504783997E-4</v>
      </c>
      <c r="D971" s="7">
        <v>9.9405968937603395E-3</v>
      </c>
      <c r="E971" s="1" t="s">
        <v>564</v>
      </c>
      <c r="F971" s="1" t="s">
        <v>565</v>
      </c>
      <c r="G971" s="1">
        <v>54396</v>
      </c>
      <c r="H971" s="6" t="str">
        <f>HYPERLINK("http://www.ensembl.org/Mus_musculus/Gene/Summary?db=core;g=ENSMUSG00000069874","ENSMUSG00000069874")</f>
        <v>ENSMUSG00000069874</v>
      </c>
      <c r="I971" s="6" t="str">
        <f>HYPERLINK("http://www.informatics.jax.org/marker/MGI:1926262","MGI:1926262")</f>
        <v>MGI:1926262</v>
      </c>
      <c r="J971" s="7" t="s">
        <v>12</v>
      </c>
    </row>
    <row r="972" spans="1:10" x14ac:dyDescent="0.2">
      <c r="A972" s="3">
        <v>583.48637968157095</v>
      </c>
      <c r="B972" s="1">
        <v>-0.36173590355071999</v>
      </c>
      <c r="C972" s="1">
        <v>6.5346452682935301E-4</v>
      </c>
      <c r="D972" s="7">
        <v>9.9580695629341801E-3</v>
      </c>
      <c r="E972" s="1" t="s">
        <v>1202</v>
      </c>
      <c r="F972" s="1" t="s">
        <v>1203</v>
      </c>
      <c r="G972" s="1">
        <v>56738</v>
      </c>
      <c r="H972" s="6" t="str">
        <f>HYPERLINK("http://www.ensembl.org/Mus_musculus/Gene/Summary?db=core;g=ENSMUSG00000064120","ENSMUSG00000064120")</f>
        <v>ENSMUSG00000064120</v>
      </c>
      <c r="I972" s="6" t="str">
        <f>HYPERLINK("http://www.informatics.jax.org/marker/MGI:1928904","MGI:1928904")</f>
        <v>MGI:1928904</v>
      </c>
      <c r="J972" s="7" t="s">
        <v>12</v>
      </c>
    </row>
    <row r="973" spans="1:10" x14ac:dyDescent="0.2">
      <c r="A973" s="3">
        <v>842.42059879840701</v>
      </c>
      <c r="B973" s="1">
        <v>-0.33107651647679698</v>
      </c>
      <c r="C973" s="1">
        <v>6.5277521392373102E-4</v>
      </c>
      <c r="D973" s="7">
        <v>9.9580695629341801E-3</v>
      </c>
      <c r="E973" s="1" t="s">
        <v>1298</v>
      </c>
      <c r="F973" s="1" t="s">
        <v>1299</v>
      </c>
      <c r="G973" s="1">
        <v>54721</v>
      </c>
      <c r="H973" s="6" t="str">
        <f>HYPERLINK("http://www.ensembl.org/Mus_musculus/Gene/Summary?db=core;g=ENSMUSG00000032175","ENSMUSG00000032175")</f>
        <v>ENSMUSG00000032175</v>
      </c>
      <c r="I973" s="6" t="str">
        <f>HYPERLINK("http://www.informatics.jax.org/marker/MGI:1929470","MGI:1929470")</f>
        <v>MGI:1929470</v>
      </c>
      <c r="J973" s="7" t="s">
        <v>12</v>
      </c>
    </row>
    <row r="974" spans="1:10" x14ac:dyDescent="0.2">
      <c r="A974" s="3">
        <v>6.37639801532936</v>
      </c>
      <c r="B974" s="1">
        <v>1.2343329691689799</v>
      </c>
      <c r="C974" s="1">
        <v>6.5325309601751904E-4</v>
      </c>
      <c r="D974" s="7">
        <v>9.9580695629341801E-3</v>
      </c>
      <c r="E974" s="1" t="s">
        <v>3337</v>
      </c>
      <c r="F974" s="1" t="s">
        <v>3338</v>
      </c>
      <c r="G974" s="1">
        <v>24058</v>
      </c>
      <c r="H974" s="6" t="str">
        <f>HYPERLINK("http://www.ensembl.org/Mus_musculus/Gene/Summary?db=core;g=ENSMUSG00000025494","ENSMUSG00000025494")</f>
        <v>ENSMUSG00000025494</v>
      </c>
      <c r="I974" s="6" t="str">
        <f>HYPERLINK("http://www.informatics.jax.org/marker/MGI:1344402","MGI:1344402")</f>
        <v>MGI:1344402</v>
      </c>
      <c r="J974" s="7" t="s">
        <v>12</v>
      </c>
    </row>
    <row r="975" spans="1:10" x14ac:dyDescent="0.2">
      <c r="A975" s="3">
        <v>209.896984624814</v>
      </c>
      <c r="B975" s="1">
        <v>-0.31136321225666302</v>
      </c>
      <c r="C975" s="1">
        <v>6.5687511933532202E-4</v>
      </c>
      <c r="D975" s="7">
        <v>9.9893826197371503E-3</v>
      </c>
      <c r="E975" s="1" t="s">
        <v>1386</v>
      </c>
      <c r="F975" s="1" t="s">
        <v>1387</v>
      </c>
      <c r="G975" s="1">
        <v>22241</v>
      </c>
      <c r="H975" s="6" t="str">
        <f>HYPERLINK("http://www.ensembl.org/Mus_musculus/Gene/Summary?db=core;g=ENSMUSG00000029512","ENSMUSG00000029512")</f>
        <v>ENSMUSG00000029512</v>
      </c>
      <c r="I975" s="6" t="str">
        <f>HYPERLINK("http://www.informatics.jax.org/marker/MGI:1270126","MGI:1270126")</f>
        <v>MGI:1270126</v>
      </c>
      <c r="J975" s="7" t="s">
        <v>12</v>
      </c>
    </row>
    <row r="976" spans="1:10" x14ac:dyDescent="0.2">
      <c r="A976" s="3">
        <v>2218.8013249607502</v>
      </c>
      <c r="B976" s="1">
        <v>-0.19910162617771901</v>
      </c>
      <c r="C976" s="1">
        <v>6.5628674369887403E-4</v>
      </c>
      <c r="D976" s="7">
        <v>9.9893826197371503E-3</v>
      </c>
      <c r="E976" s="1" t="s">
        <v>1916</v>
      </c>
      <c r="F976" s="1" t="s">
        <v>1917</v>
      </c>
      <c r="G976" s="1">
        <v>76088</v>
      </c>
      <c r="H976" s="6" t="str">
        <f>HYPERLINK("http://www.ensembl.org/Mus_musculus/Gene/Summary?db=core;g=ENSMUSG00000052085","ENSMUSG00000052085")</f>
        <v>ENSMUSG00000052085</v>
      </c>
      <c r="I976" s="6" t="str">
        <f>HYPERLINK("http://www.informatics.jax.org/marker/MGI:1921396","MGI:1921396")</f>
        <v>MGI:1921396</v>
      </c>
      <c r="J976" s="7" t="s">
        <v>12</v>
      </c>
    </row>
    <row r="977" spans="1:10" x14ac:dyDescent="0.2">
      <c r="A977" s="3">
        <v>8.5508889674702697</v>
      </c>
      <c r="B977" s="1">
        <v>-1.11807604851035</v>
      </c>
      <c r="C977" s="1">
        <v>6.5846392699589105E-4</v>
      </c>
      <c r="D977" s="7">
        <v>9.9929190815771906E-3</v>
      </c>
      <c r="E977" s="1" t="s">
        <v>255</v>
      </c>
      <c r="F977" s="1" t="s">
        <v>256</v>
      </c>
      <c r="G977" s="1">
        <v>68507</v>
      </c>
      <c r="H977" s="6" t="str">
        <f>HYPERLINK("http://www.ensembl.org/Mus_musculus/Gene/Summary?db=core;g=ENSMUSG00000026458","ENSMUSG00000026458")</f>
        <v>ENSMUSG00000026458</v>
      </c>
      <c r="I977" s="6" t="str">
        <f>HYPERLINK("http://www.informatics.jax.org/marker/MGI:1915757","MGI:1915757")</f>
        <v>MGI:1915757</v>
      </c>
      <c r="J977" s="7" t="s">
        <v>12</v>
      </c>
    </row>
    <row r="978" spans="1:10" x14ac:dyDescent="0.2">
      <c r="A978" s="3">
        <v>1384.7001283167001</v>
      </c>
      <c r="B978" s="1">
        <v>-0.18373348012479501</v>
      </c>
      <c r="C978" s="1">
        <v>6.58143559880825E-4</v>
      </c>
      <c r="D978" s="7">
        <v>9.9929190815771906E-3</v>
      </c>
      <c r="E978" s="1" t="s">
        <v>1994</v>
      </c>
      <c r="F978" s="1" t="s">
        <v>1995</v>
      </c>
      <c r="G978" s="1">
        <v>67938</v>
      </c>
      <c r="H978" s="6" t="str">
        <f>HYPERLINK("http://www.ensembl.org/Mus_musculus/Gene/Summary?db=core;g=ENSMUSG00000034868","ENSMUSG00000034868")</f>
        <v>ENSMUSG00000034868</v>
      </c>
      <c r="I978" s="6" t="str">
        <f>HYPERLINK("http://www.informatics.jax.org/marker/MGI:107494","MGI:107494")</f>
        <v>MGI:107494</v>
      </c>
      <c r="J978" s="7" t="s">
        <v>12</v>
      </c>
    </row>
    <row r="979" spans="1:10" x14ac:dyDescent="0.2">
      <c r="A979" s="3">
        <v>317.52779885943602</v>
      </c>
      <c r="B979" s="1">
        <v>-1.2479768103620701</v>
      </c>
      <c r="C979" s="1">
        <v>6.6470498647119001E-4</v>
      </c>
      <c r="D979" s="7">
        <v>1.0057118738796901E-2</v>
      </c>
      <c r="E979" s="1" t="s">
        <v>209</v>
      </c>
      <c r="F979" s="1" t="s">
        <v>210</v>
      </c>
      <c r="G979" s="1">
        <v>381308</v>
      </c>
      <c r="H979" s="6" t="str">
        <f>HYPERLINK("http://www.ensembl.org/Mus_musculus/Gene/Summary?db=core;g=ENSMUSG00000026536","ENSMUSG00000026536")</f>
        <v>ENSMUSG00000026536</v>
      </c>
      <c r="I979" s="6" t="str">
        <f>HYPERLINK("http://www.informatics.jax.org/marker/MGI:3041120","MGI:3041120")</f>
        <v>MGI:3041120</v>
      </c>
      <c r="J979" s="7" t="s">
        <v>12</v>
      </c>
    </row>
    <row r="980" spans="1:10" x14ac:dyDescent="0.2">
      <c r="A980" s="3">
        <v>17.637236912196801</v>
      </c>
      <c r="B980" s="1">
        <v>-0.77427428893565398</v>
      </c>
      <c r="C980" s="1">
        <v>6.6474169731190196E-4</v>
      </c>
      <c r="D980" s="7">
        <v>1.0057118738796901E-2</v>
      </c>
      <c r="E980" s="1" t="s">
        <v>494</v>
      </c>
      <c r="F980" s="1" t="s">
        <v>495</v>
      </c>
      <c r="G980" s="1">
        <v>213027</v>
      </c>
      <c r="H980" s="6" t="str">
        <f>HYPERLINK("http://www.ensembl.org/Mus_musculus/Gene/Summary?db=core;g=ENSMUSG00000011832","ENSMUSG00000011832")</f>
        <v>ENSMUSG00000011832</v>
      </c>
      <c r="I980" s="6" t="str">
        <f>HYPERLINK("http://www.informatics.jax.org/marker/MGI:2442167","MGI:2442167")</f>
        <v>MGI:2442167</v>
      </c>
      <c r="J980" s="7" t="s">
        <v>12</v>
      </c>
    </row>
    <row r="981" spans="1:10" x14ac:dyDescent="0.2">
      <c r="A981" s="3">
        <v>1402.00370975755</v>
      </c>
      <c r="B981" s="1">
        <v>-0.19764049401456801</v>
      </c>
      <c r="C981" s="1">
        <v>6.6432624528544996E-4</v>
      </c>
      <c r="D981" s="7">
        <v>1.0057118738796901E-2</v>
      </c>
      <c r="E981" s="1" t="s">
        <v>1924</v>
      </c>
      <c r="F981" s="1" t="s">
        <v>1925</v>
      </c>
      <c r="G981" s="1">
        <v>80889</v>
      </c>
      <c r="H981" s="6" t="str">
        <f>HYPERLINK("http://www.ensembl.org/Mus_musculus/Gene/Summary?db=core;g=ENSMUSG00000070462","ENSMUSG00000070462")</f>
        <v>ENSMUSG00000070462</v>
      </c>
      <c r="I981" s="6" t="str">
        <f>HYPERLINK("http://www.informatics.jax.org/marker/MGI:1891420","MGI:1891420")</f>
        <v>MGI:1891420</v>
      </c>
      <c r="J981" s="7" t="s">
        <v>12</v>
      </c>
    </row>
    <row r="982" spans="1:10" x14ac:dyDescent="0.2">
      <c r="A982" s="3">
        <v>319.94638714488002</v>
      </c>
      <c r="B982" s="1">
        <v>-0.25235055287472502</v>
      </c>
      <c r="C982" s="1">
        <v>6.7555266594261198E-4</v>
      </c>
      <c r="D982" s="7">
        <v>1.02101990618773E-2</v>
      </c>
      <c r="E982" s="1" t="s">
        <v>1652</v>
      </c>
      <c r="F982" s="1" t="s">
        <v>1653</v>
      </c>
      <c r="G982" s="1">
        <v>215201</v>
      </c>
      <c r="H982" s="6" t="str">
        <f>HYPERLINK("http://www.ensembl.org/Mus_musculus/Gene/Summary?db=core;g=ENSMUSG00000067369","ENSMUSG00000067369")</f>
        <v>ENSMUSG00000067369</v>
      </c>
      <c r="I982" s="6" t="str">
        <f>HYPERLINK("http://www.informatics.jax.org/marker/MGI:2442530","MGI:2442530")</f>
        <v>MGI:2442530</v>
      </c>
      <c r="J982" s="7" t="s">
        <v>12</v>
      </c>
    </row>
    <row r="983" spans="1:10" x14ac:dyDescent="0.2">
      <c r="A983" s="3">
        <v>1751.8317966351001</v>
      </c>
      <c r="B983" s="1">
        <v>-0.31776064666582998</v>
      </c>
      <c r="C983" s="1">
        <v>6.7841881523097395E-4</v>
      </c>
      <c r="D983" s="7">
        <v>1.02430119479955E-2</v>
      </c>
      <c r="E983" s="1" t="s">
        <v>1358</v>
      </c>
      <c r="F983" s="1" t="s">
        <v>1359</v>
      </c>
      <c r="G983" s="1">
        <v>235439</v>
      </c>
      <c r="H983" s="6" t="str">
        <f>HYPERLINK("http://www.ensembl.org/Mus_musculus/Gene/Summary?db=core;g=ENSMUSG00000038664","ENSMUSG00000038664")</f>
        <v>ENSMUSG00000038664</v>
      </c>
      <c r="I983" s="6" t="str">
        <f>HYPERLINK("http://www.informatics.jax.org/marker/MGI:2384589","MGI:2384589")</f>
        <v>MGI:2384589</v>
      </c>
      <c r="J983" s="7" t="s">
        <v>12</v>
      </c>
    </row>
    <row r="984" spans="1:10" x14ac:dyDescent="0.2">
      <c r="A984" s="3">
        <v>51.156755481326201</v>
      </c>
      <c r="B984" s="1">
        <v>-0.54192823411406899</v>
      </c>
      <c r="C984" s="1">
        <v>6.80673337059729E-4</v>
      </c>
      <c r="D984" s="7">
        <v>1.02665325434106E-2</v>
      </c>
      <c r="E984" s="1" t="s">
        <v>773</v>
      </c>
      <c r="F984" s="1" t="s">
        <v>774</v>
      </c>
      <c r="G984" s="1">
        <v>67993</v>
      </c>
      <c r="H984" s="6" t="str">
        <f>HYPERLINK("http://www.ensembl.org/Mus_musculus/Gene/Summary?db=core;g=ENSMUSG00000024228","ENSMUSG00000024228")</f>
        <v>ENSMUSG00000024228</v>
      </c>
      <c r="I984" s="6" t="str">
        <f>HYPERLINK("http://www.informatics.jax.org/marker/MGI:1915243","MGI:1915243")</f>
        <v>MGI:1915243</v>
      </c>
      <c r="J984" s="7" t="s">
        <v>12</v>
      </c>
    </row>
    <row r="985" spans="1:10" x14ac:dyDescent="0.2">
      <c r="A985" s="3">
        <v>442.14422419733899</v>
      </c>
      <c r="B985" s="1">
        <v>-0.35548601823500597</v>
      </c>
      <c r="C985" s="1">
        <v>6.8924245376748405E-4</v>
      </c>
      <c r="D985" s="7">
        <v>1.03851501009383E-2</v>
      </c>
      <c r="E985" s="1" t="s">
        <v>1220</v>
      </c>
      <c r="F985" s="1" t="s">
        <v>1221</v>
      </c>
      <c r="G985" s="1">
        <v>226594</v>
      </c>
      <c r="H985" s="6" t="str">
        <f>HYPERLINK("http://www.ensembl.org/Mus_musculus/Gene/Summary?db=core;g=ENSMUSG00000040723","ENSMUSG00000040723")</f>
        <v>ENSMUSG00000040723</v>
      </c>
      <c r="I985" s="6" t="str">
        <f>HYPERLINK("http://www.informatics.jax.org/marker/MGI:2676394","MGI:2676394")</f>
        <v>MGI:2676394</v>
      </c>
      <c r="J985" s="7" t="s">
        <v>12</v>
      </c>
    </row>
    <row r="986" spans="1:10" x14ac:dyDescent="0.2">
      <c r="A986" s="3">
        <v>65.983444525910798</v>
      </c>
      <c r="B986" s="1">
        <v>-0.64156875432930105</v>
      </c>
      <c r="C986" s="1">
        <v>6.9056004697535395E-4</v>
      </c>
      <c r="D986" s="7">
        <v>1.03943747213777E-2</v>
      </c>
      <c r="E986" s="1" t="s">
        <v>614</v>
      </c>
      <c r="F986" s="1" t="s">
        <v>615</v>
      </c>
      <c r="G986" s="1" t="s">
        <v>45</v>
      </c>
      <c r="H986" s="6" t="str">
        <f>HYPERLINK("http://www.ensembl.org/Mus_musculus/Gene/Summary?db=core;g=ENSMUSG00000114432","ENSMUSG00000114432")</f>
        <v>ENSMUSG00000114432</v>
      </c>
      <c r="I986" s="6" t="str">
        <f>HYPERLINK("http://www.informatics.jax.org/marker/MGI:6121619","MGI:6121619")</f>
        <v>MGI:6121619</v>
      </c>
      <c r="J986" s="7" t="s">
        <v>12</v>
      </c>
    </row>
    <row r="987" spans="1:10" x14ac:dyDescent="0.2">
      <c r="A987" s="3">
        <v>10.156350073916</v>
      </c>
      <c r="B987" s="1">
        <v>1.1875002629181901</v>
      </c>
      <c r="C987" s="1">
        <v>6.9223028664208599E-4</v>
      </c>
      <c r="D987" s="7">
        <v>1.0408883167303901E-2</v>
      </c>
      <c r="E987" s="1" t="s">
        <v>3335</v>
      </c>
      <c r="F987" s="1" t="s">
        <v>3336</v>
      </c>
      <c r="G987" s="1">
        <v>270210</v>
      </c>
      <c r="H987" s="6" t="str">
        <f>HYPERLINK("http://www.ensembl.org/Mus_musculus/Gene/Summary?db=core;g=ENSMUSG00000013419","ENSMUSG00000013419")</f>
        <v>ENSMUSG00000013419</v>
      </c>
      <c r="I987" s="6" t="str">
        <f>HYPERLINK("http://www.informatics.jax.org/marker/MGI:2670992","MGI:2670992")</f>
        <v>MGI:2670992</v>
      </c>
      <c r="J987" s="7" t="s">
        <v>12</v>
      </c>
    </row>
    <row r="988" spans="1:10" x14ac:dyDescent="0.2">
      <c r="A988" s="3">
        <v>3399.5783372853698</v>
      </c>
      <c r="B988" s="1">
        <v>-0.15761095650363899</v>
      </c>
      <c r="C988" s="1">
        <v>6.9319429957465095E-4</v>
      </c>
      <c r="D988" s="7">
        <v>1.0412753515323199E-2</v>
      </c>
      <c r="E988" s="1" t="s">
        <v>2096</v>
      </c>
      <c r="F988" s="1" t="s">
        <v>2097</v>
      </c>
      <c r="G988" s="1">
        <v>68015</v>
      </c>
      <c r="H988" s="6" t="str">
        <f>HYPERLINK("http://www.ensembl.org/Mus_musculus/Gene/Summary?db=core;g=ENSMUSG00000005981","ENSMUSG00000005981")</f>
        <v>ENSMUSG00000005981</v>
      </c>
      <c r="I988" s="6" t="str">
        <f>HYPERLINK("http://www.informatics.jax.org/marker/MGI:1915265","MGI:1915265")</f>
        <v>MGI:1915265</v>
      </c>
      <c r="J988" s="7" t="s">
        <v>12</v>
      </c>
    </row>
    <row r="989" spans="1:10" x14ac:dyDescent="0.2">
      <c r="A989" s="3">
        <v>305.081232274032</v>
      </c>
      <c r="B989" s="1">
        <v>-0.32889053391723</v>
      </c>
      <c r="C989" s="1">
        <v>6.96148007356635E-4</v>
      </c>
      <c r="D989" s="7">
        <v>1.04456821309369E-2</v>
      </c>
      <c r="E989" s="1" t="s">
        <v>1314</v>
      </c>
      <c r="F989" s="1" t="s">
        <v>1315</v>
      </c>
      <c r="G989" s="1">
        <v>232201</v>
      </c>
      <c r="H989" s="6" t="str">
        <f>HYPERLINK("http://www.ensembl.org/Mus_musculus/Gene/Summary?db=core;g=ENSMUSG00000030047","ENSMUSG00000030047")</f>
        <v>ENSMUSG00000030047</v>
      </c>
      <c r="I989" s="6" t="str">
        <f>HYPERLINK("http://www.informatics.jax.org/marker/MGI:2443687","MGI:2443687")</f>
        <v>MGI:2443687</v>
      </c>
      <c r="J989" s="7" t="s">
        <v>12</v>
      </c>
    </row>
    <row r="990" spans="1:10" x14ac:dyDescent="0.2">
      <c r="A990" s="3">
        <v>877.82551768272401</v>
      </c>
      <c r="B990" s="1">
        <v>-0.29231444023666597</v>
      </c>
      <c r="C990" s="1">
        <v>6.9743848714128498E-4</v>
      </c>
      <c r="D990" s="7">
        <v>1.04456821309369E-2</v>
      </c>
      <c r="E990" s="1" t="s">
        <v>1488</v>
      </c>
      <c r="F990" s="1" t="s">
        <v>1489</v>
      </c>
      <c r="G990" s="1">
        <v>11690</v>
      </c>
      <c r="H990" s="6" t="str">
        <f>HYPERLINK("http://www.ensembl.org/Mus_musculus/Gene/Summary?db=core;g=ENSMUSG00000060063","ENSMUSG00000060063")</f>
        <v>ENSMUSG00000060063</v>
      </c>
      <c r="I990" s="6" t="str">
        <f>HYPERLINK("http://www.informatics.jax.org/marker/MGI:107505","MGI:107505")</f>
        <v>MGI:107505</v>
      </c>
      <c r="J990" s="7" t="s">
        <v>12</v>
      </c>
    </row>
    <row r="991" spans="1:10" x14ac:dyDescent="0.2">
      <c r="A991" s="3">
        <v>1812.4230145696299</v>
      </c>
      <c r="B991" s="1">
        <v>-0.19933351201545199</v>
      </c>
      <c r="C991" s="1">
        <v>6.9751297617005599E-4</v>
      </c>
      <c r="D991" s="7">
        <v>1.04456821309369E-2</v>
      </c>
      <c r="E991" s="1" t="s">
        <v>1912</v>
      </c>
      <c r="F991" s="1" t="s">
        <v>1913</v>
      </c>
      <c r="G991" s="1">
        <v>14270</v>
      </c>
      <c r="H991" s="6" t="str">
        <f>HYPERLINK("http://www.ensembl.org/Mus_musculus/Gene/Summary?db=core;g=ENSMUSG00000026425","ENSMUSG00000026425")</f>
        <v>ENSMUSG00000026425</v>
      </c>
      <c r="I991" s="6" t="str">
        <f>HYPERLINK("http://www.informatics.jax.org/marker/MGI:109605","MGI:109605")</f>
        <v>MGI:109605</v>
      </c>
      <c r="J991" s="7" t="s">
        <v>12</v>
      </c>
    </row>
    <row r="992" spans="1:10" x14ac:dyDescent="0.2">
      <c r="A992" s="3">
        <v>1242.8466508768499</v>
      </c>
      <c r="B992" s="1">
        <v>0.23201593149261901</v>
      </c>
      <c r="C992" s="1">
        <v>7.0035766269394202E-4</v>
      </c>
      <c r="D992" s="7">
        <v>1.04776350431045E-2</v>
      </c>
      <c r="E992" s="1" t="s">
        <v>2798</v>
      </c>
      <c r="F992" s="1" t="s">
        <v>2799</v>
      </c>
      <c r="G992" s="1">
        <v>70767</v>
      </c>
      <c r="H992" s="6" t="str">
        <f>HYPERLINK("http://www.ensembl.org/Mus_musculus/Gene/Summary?db=core;g=ENSMUSG00000015748","ENSMUSG00000015748")</f>
        <v>ENSMUSG00000015748</v>
      </c>
      <c r="I992" s="6" t="str">
        <f>HYPERLINK("http://www.informatics.jax.org/marker/MGI:1918017","MGI:1918017")</f>
        <v>MGI:1918017</v>
      </c>
      <c r="J992" s="7" t="s">
        <v>12</v>
      </c>
    </row>
    <row r="993" spans="1:10" x14ac:dyDescent="0.2">
      <c r="A993" s="3">
        <v>7.6032027457915996</v>
      </c>
      <c r="B993" s="1">
        <v>-1.3105627706328999</v>
      </c>
      <c r="C993" s="1">
        <v>7.10026457256138E-4</v>
      </c>
      <c r="D993" s="7">
        <v>1.06115110285258E-2</v>
      </c>
      <c r="E993" s="1" t="s">
        <v>178</v>
      </c>
      <c r="F993" s="1" t="s">
        <v>179</v>
      </c>
      <c r="G993" s="1">
        <v>242819</v>
      </c>
      <c r="H993" s="6" t="str">
        <f>HYPERLINK("http://www.ensembl.org/Mus_musculus/Gene/Summary?db=core;g=ENSMUSG00000040570","ENSMUSG00000040570")</f>
        <v>ENSMUSG00000040570</v>
      </c>
      <c r="I993" s="6" t="str">
        <f>HYPERLINK("http://www.informatics.jax.org/marker/MGI:2685286","MGI:2685286")</f>
        <v>MGI:2685286</v>
      </c>
      <c r="J993" s="7" t="s">
        <v>12</v>
      </c>
    </row>
    <row r="994" spans="1:10" x14ac:dyDescent="0.2">
      <c r="A994" s="3">
        <v>74.051670630720494</v>
      </c>
      <c r="B994" s="1">
        <v>0.536465453361749</v>
      </c>
      <c r="C994" s="1">
        <v>7.1255716570038305E-4</v>
      </c>
      <c r="D994" s="7">
        <v>1.06385434587243E-2</v>
      </c>
      <c r="E994" s="1" t="s">
        <v>3214</v>
      </c>
      <c r="F994" s="1" t="s">
        <v>3215</v>
      </c>
      <c r="G994" s="1">
        <v>218613</v>
      </c>
      <c r="H994" s="6" t="str">
        <f>HYPERLINK("http://www.ensembl.org/Mus_musculus/Gene/Summary?db=core;g=ENSMUSG00000032727","ENSMUSG00000032727")</f>
        <v>ENSMUSG00000032727</v>
      </c>
      <c r="I994" s="6" t="str">
        <f>HYPERLINK("http://www.informatics.jax.org/marker/MGI:2442317","MGI:2442317")</f>
        <v>MGI:2442317</v>
      </c>
      <c r="J994" s="7" t="s">
        <v>12</v>
      </c>
    </row>
    <row r="995" spans="1:10" x14ac:dyDescent="0.2">
      <c r="A995" s="3">
        <v>58.833097771434701</v>
      </c>
      <c r="B995" s="1">
        <v>-0.55485771265084305</v>
      </c>
      <c r="C995" s="1">
        <v>7.1880129118410496E-4</v>
      </c>
      <c r="D995" s="7">
        <v>1.07157074853849E-2</v>
      </c>
      <c r="E995" s="1" t="s">
        <v>757</v>
      </c>
      <c r="F995" s="1" t="s">
        <v>758</v>
      </c>
      <c r="G995" s="1">
        <v>194655</v>
      </c>
      <c r="H995" s="6" t="str">
        <f>HYPERLINK("http://www.ensembl.org/Mus_musculus/Gene/Summary?db=core;g=ENSMUSG00000020653","ENSMUSG00000020653")</f>
        <v>ENSMUSG00000020653</v>
      </c>
      <c r="I995" s="6" t="str">
        <f>HYPERLINK("http://www.informatics.jax.org/marker/MGI:2653368","MGI:2653368")</f>
        <v>MGI:2653368</v>
      </c>
      <c r="J995" s="7" t="s">
        <v>12</v>
      </c>
    </row>
    <row r="996" spans="1:10" x14ac:dyDescent="0.2">
      <c r="A996" s="3">
        <v>2339.79030175875</v>
      </c>
      <c r="B996" s="1">
        <v>-0.158948613265745</v>
      </c>
      <c r="C996" s="1">
        <v>7.1917987941406297E-4</v>
      </c>
      <c r="D996" s="7">
        <v>1.07157074853849E-2</v>
      </c>
      <c r="E996" s="1" t="s">
        <v>2086</v>
      </c>
      <c r="F996" s="1" t="s">
        <v>2087</v>
      </c>
      <c r="G996" s="1">
        <v>12385</v>
      </c>
      <c r="H996" s="6" t="str">
        <f>HYPERLINK("http://www.ensembl.org/Mus_musculus/Gene/Summary?db=core;g=ENSMUSG00000037815","ENSMUSG00000037815")</f>
        <v>ENSMUSG00000037815</v>
      </c>
      <c r="I996" s="6" t="str">
        <f>HYPERLINK("http://www.informatics.jax.org/marker/MGI:88274","MGI:88274")</f>
        <v>MGI:88274</v>
      </c>
      <c r="J996" s="7" t="s">
        <v>12</v>
      </c>
    </row>
    <row r="997" spans="1:10" x14ac:dyDescent="0.2">
      <c r="A997" s="3">
        <v>2007.9037198057099</v>
      </c>
      <c r="B997" s="1">
        <v>0.20998836051738301</v>
      </c>
      <c r="C997" s="1">
        <v>7.2819526718938504E-4</v>
      </c>
      <c r="D997" s="7">
        <v>1.0839076219497701E-2</v>
      </c>
      <c r="E997" s="1" t="s">
        <v>2672</v>
      </c>
      <c r="F997" s="1" t="s">
        <v>2673</v>
      </c>
      <c r="G997" s="1">
        <v>212528</v>
      </c>
      <c r="H997" s="6" t="str">
        <f>HYPERLINK("http://www.ensembl.org/Mus_musculus/Gene/Summary?db=core;g=ENSMUSG00000001909","ENSMUSG00000001909")</f>
        <v>ENSMUSG00000001909</v>
      </c>
      <c r="I997" s="6" t="str">
        <f>HYPERLINK("http://www.informatics.jax.org/marker/MGI:1289155","MGI:1289155")</f>
        <v>MGI:1289155</v>
      </c>
      <c r="J997" s="7" t="s">
        <v>12</v>
      </c>
    </row>
    <row r="998" spans="1:10" x14ac:dyDescent="0.2">
      <c r="A998" s="3">
        <v>713.690356461531</v>
      </c>
      <c r="B998" s="1">
        <v>0.17855740978612999</v>
      </c>
      <c r="C998" s="1">
        <v>7.3448980453362804E-4</v>
      </c>
      <c r="D998" s="7">
        <v>1.09217373961731E-2</v>
      </c>
      <c r="E998" s="1" t="s">
        <v>2478</v>
      </c>
      <c r="F998" s="1" t="s">
        <v>2479</v>
      </c>
      <c r="G998" s="1">
        <v>52432</v>
      </c>
      <c r="H998" s="6" t="str">
        <f>HYPERLINK("http://www.ensembl.org/Mus_musculus/Gene/Summary?db=core;g=ENSMUSG00000041769","ENSMUSG00000041769")</f>
        <v>ENSMUSG00000041769</v>
      </c>
      <c r="I998" s="6" t="str">
        <f>HYPERLINK("http://www.informatics.jax.org/marker/MGI:1289252","MGI:1289252")</f>
        <v>MGI:1289252</v>
      </c>
      <c r="J998" s="7" t="s">
        <v>12</v>
      </c>
    </row>
    <row r="999" spans="1:10" x14ac:dyDescent="0.2">
      <c r="A999" s="3">
        <v>862.83899540702396</v>
      </c>
      <c r="B999" s="1">
        <v>0.228459507993692</v>
      </c>
      <c r="C999" s="1">
        <v>7.3796860620169602E-4</v>
      </c>
      <c r="D999" s="7">
        <v>1.09624046179316E-2</v>
      </c>
      <c r="E999" s="1" t="s">
        <v>2782</v>
      </c>
      <c r="F999" s="1" t="s">
        <v>2783</v>
      </c>
      <c r="G999" s="1">
        <v>72465</v>
      </c>
      <c r="H999" s="6" t="str">
        <f>HYPERLINK("http://www.ensembl.org/Mus_musculus/Gene/Summary?db=core;g=ENSMUSG00000094870","ENSMUSG00000094870")</f>
        <v>ENSMUSG00000094870</v>
      </c>
      <c r="I999" s="6" t="str">
        <f>HYPERLINK("http://www.informatics.jax.org/marker/MGI:1919715","MGI:1919715")</f>
        <v>MGI:1919715</v>
      </c>
      <c r="J999" s="7" t="s">
        <v>12</v>
      </c>
    </row>
    <row r="1000" spans="1:10" x14ac:dyDescent="0.2">
      <c r="A1000" s="3">
        <v>14814.795832211101</v>
      </c>
      <c r="B1000" s="1">
        <v>0.11570141433320801</v>
      </c>
      <c r="C1000" s="1">
        <v>7.3910235741625398E-4</v>
      </c>
      <c r="D1000" s="7">
        <v>1.09681896665518E-2</v>
      </c>
      <c r="E1000" s="1" t="s">
        <v>2210</v>
      </c>
      <c r="F1000" s="1" t="s">
        <v>2211</v>
      </c>
      <c r="G1000" s="1">
        <v>15526</v>
      </c>
      <c r="H1000" s="6" t="str">
        <f>HYPERLINK("http://www.ensembl.org/Mus_musculus/Gene/Summary?db=core;g=ENSMUSG00000024359","ENSMUSG00000024359")</f>
        <v>ENSMUSG00000024359</v>
      </c>
      <c r="I1000" s="6" t="str">
        <f>HYPERLINK("http://www.informatics.jax.org/marker/MGI:96245","MGI:96245")</f>
        <v>MGI:96245</v>
      </c>
      <c r="J1000" s="7" t="s">
        <v>12</v>
      </c>
    </row>
    <row r="1001" spans="1:10" x14ac:dyDescent="0.2">
      <c r="A1001" s="3">
        <v>2780.1043830346398</v>
      </c>
      <c r="B1001" s="1">
        <v>0.202452645521327</v>
      </c>
      <c r="C1001" s="1">
        <v>7.3989928196618805E-4</v>
      </c>
      <c r="D1001" s="7">
        <v>1.0968969636874999E-2</v>
      </c>
      <c r="E1001" s="1" t="s">
        <v>2618</v>
      </c>
      <c r="F1001" s="1" t="s">
        <v>2619</v>
      </c>
      <c r="G1001" s="1">
        <v>65945</v>
      </c>
      <c r="H1001" s="6" t="str">
        <f>HYPERLINK("http://www.ensembl.org/Mus_musculus/Gene/Summary?db=core;g=ENSMUSG00000039953","ENSMUSG00000039953")</f>
        <v>ENSMUSG00000039953</v>
      </c>
      <c r="I1001" s="6" t="str">
        <f>HYPERLINK("http://www.informatics.jax.org/marker/MGI:1929895","MGI:1929895")</f>
        <v>MGI:1929895</v>
      </c>
      <c r="J1001" s="7" t="s">
        <v>12</v>
      </c>
    </row>
    <row r="1002" spans="1:10" x14ac:dyDescent="0.2">
      <c r="A1002" s="3">
        <v>998.13312312914695</v>
      </c>
      <c r="B1002" s="1">
        <v>0.17382494636996501</v>
      </c>
      <c r="C1002" s="1">
        <v>7.4563408323200203E-4</v>
      </c>
      <c r="D1002" s="7">
        <v>1.10428782417154E-2</v>
      </c>
      <c r="E1002" s="1" t="s">
        <v>2448</v>
      </c>
      <c r="F1002" s="1" t="s">
        <v>2449</v>
      </c>
      <c r="G1002" s="1">
        <v>68705</v>
      </c>
      <c r="H1002" s="6" t="str">
        <f>HYPERLINK("http://www.ensembl.org/Mus_musculus/Gene/Summary?db=core;g=ENSMUSG00000067995","ENSMUSG00000067995")</f>
        <v>ENSMUSG00000067995</v>
      </c>
      <c r="I1002" s="6" t="str">
        <f>HYPERLINK("http://www.informatics.jax.org/marker/MGI:1915955","MGI:1915955")</f>
        <v>MGI:1915955</v>
      </c>
      <c r="J1002" s="7" t="s">
        <v>12</v>
      </c>
    </row>
    <row r="1003" spans="1:10" x14ac:dyDescent="0.2">
      <c r="A1003" s="3">
        <v>2207.71852251665</v>
      </c>
      <c r="B1003" s="1">
        <v>-0.240487721405785</v>
      </c>
      <c r="C1003" s="1">
        <v>7.5010435186751204E-4</v>
      </c>
      <c r="D1003" s="7">
        <v>1.1097929446907301E-2</v>
      </c>
      <c r="E1003" s="1" t="s">
        <v>1704</v>
      </c>
      <c r="F1003" s="1" t="s">
        <v>1705</v>
      </c>
      <c r="G1003" s="1">
        <v>56462</v>
      </c>
      <c r="H1003" s="6" t="str">
        <f>HYPERLINK("http://www.ensembl.org/Mus_musculus/Gene/Summary?db=core;g=ENSMUSG00000024012","ENSMUSG00000024012")</f>
        <v>ENSMUSG00000024012</v>
      </c>
      <c r="I1003" s="6" t="str">
        <f>HYPERLINK("http://www.informatics.jax.org/marker/MGI:1929261","MGI:1929261")</f>
        <v>MGI:1929261</v>
      </c>
      <c r="J1003" s="7" t="s">
        <v>12</v>
      </c>
    </row>
    <row r="1004" spans="1:10" x14ac:dyDescent="0.2">
      <c r="A1004" s="3">
        <v>473.895665945926</v>
      </c>
      <c r="B1004" s="1">
        <v>-0.32310304861200601</v>
      </c>
      <c r="C1004" s="1">
        <v>7.5170434373784598E-4</v>
      </c>
      <c r="D1004" s="7">
        <v>1.1106315980423401E-2</v>
      </c>
      <c r="E1004" s="1" t="s">
        <v>1342</v>
      </c>
      <c r="F1004" s="1" t="s">
        <v>1343</v>
      </c>
      <c r="G1004" s="1">
        <v>71901</v>
      </c>
      <c r="H1004" s="6" t="str">
        <f>HYPERLINK("http://www.ensembl.org/Mus_musculus/Gene/Summary?db=core;g=ENSMUSG00000028439","ENSMUSG00000028439")</f>
        <v>ENSMUSG00000028439</v>
      </c>
      <c r="I1004" s="6" t="str">
        <f>HYPERLINK("http://www.informatics.jax.org/marker/MGI:1919151","MGI:1919151")</f>
        <v>MGI:1919151</v>
      </c>
      <c r="J1004" s="7" t="s">
        <v>12</v>
      </c>
    </row>
    <row r="1005" spans="1:10" x14ac:dyDescent="0.2">
      <c r="A1005" s="3">
        <v>941.49085361570303</v>
      </c>
      <c r="B1005" s="1">
        <v>-0.308293733900878</v>
      </c>
      <c r="C1005" s="1">
        <v>7.5217856599230104E-4</v>
      </c>
      <c r="D1005" s="7">
        <v>1.1106315980423401E-2</v>
      </c>
      <c r="E1005" s="1" t="s">
        <v>1412</v>
      </c>
      <c r="F1005" s="1" t="s">
        <v>1413</v>
      </c>
      <c r="G1005" s="1">
        <v>16423</v>
      </c>
      <c r="H1005" s="6" t="str">
        <f>HYPERLINK("http://www.ensembl.org/Mus_musculus/Gene/Summary?db=core;g=ENSMUSG00000055447","ENSMUSG00000055447")</f>
        <v>ENSMUSG00000055447</v>
      </c>
      <c r="I1005" s="6" t="str">
        <f>HYPERLINK("http://www.informatics.jax.org/marker/MGI:96617","MGI:96617")</f>
        <v>MGI:96617</v>
      </c>
      <c r="J1005" s="7" t="s">
        <v>12</v>
      </c>
    </row>
    <row r="1006" spans="1:10" x14ac:dyDescent="0.2">
      <c r="A1006" s="3">
        <v>5549.5424177965997</v>
      </c>
      <c r="B1006" s="1">
        <v>-0.30900233448953002</v>
      </c>
      <c r="C1006" s="1">
        <v>7.5855122522313603E-4</v>
      </c>
      <c r="D1006" s="7">
        <v>1.11892000549431E-2</v>
      </c>
      <c r="E1006" s="1" t="s">
        <v>1406</v>
      </c>
      <c r="F1006" s="1" t="s">
        <v>1407</v>
      </c>
      <c r="G1006" s="1">
        <v>50934</v>
      </c>
      <c r="H1006" s="6" t="str">
        <f>HYPERLINK("http://www.ensembl.org/Mus_musculus/Gene/Summary?db=core;g=ENSMUSG00000022180","ENSMUSG00000022180")</f>
        <v>ENSMUSG00000022180</v>
      </c>
      <c r="I1006" s="6" t="str">
        <f>HYPERLINK("http://www.informatics.jax.org/marker/MGI:1355323","MGI:1355323")</f>
        <v>MGI:1355323</v>
      </c>
      <c r="J1006" s="7" t="s">
        <v>12</v>
      </c>
    </row>
    <row r="1007" spans="1:10" x14ac:dyDescent="0.2">
      <c r="A1007" s="3">
        <v>1857.1078306567599</v>
      </c>
      <c r="B1007" s="1">
        <v>0.15299097196786601</v>
      </c>
      <c r="C1007" s="1">
        <v>7.6038407185160801E-4</v>
      </c>
      <c r="D1007" s="7">
        <v>1.12050196828053E-2</v>
      </c>
      <c r="E1007" s="1" t="s">
        <v>2332</v>
      </c>
      <c r="F1007" s="1" t="s">
        <v>2333</v>
      </c>
      <c r="G1007" s="1">
        <v>225348</v>
      </c>
      <c r="H1007" s="6" t="str">
        <f>HYPERLINK("http://www.ensembl.org/Mus_musculus/Gene/Summary?db=core;g=ENSMUSG00000038299","ENSMUSG00000038299")</f>
        <v>ENSMUSG00000038299</v>
      </c>
      <c r="I1007" s="6" t="str">
        <f>HYPERLINK("http://www.informatics.jax.org/marker/MGI:1917819","MGI:1917819")</f>
        <v>MGI:1917819</v>
      </c>
      <c r="J1007" s="7" t="s">
        <v>12</v>
      </c>
    </row>
    <row r="1008" spans="1:10" x14ac:dyDescent="0.2">
      <c r="A1008" s="3">
        <v>127.871830033278</v>
      </c>
      <c r="B1008" s="1">
        <v>0.43765489506924599</v>
      </c>
      <c r="C1008" s="1">
        <v>7.6882398622221497E-4</v>
      </c>
      <c r="D1008" s="7">
        <v>1.1318072188781799E-2</v>
      </c>
      <c r="E1008" s="1" t="s">
        <v>3166</v>
      </c>
      <c r="F1008" s="1" t="s">
        <v>3167</v>
      </c>
      <c r="G1008" s="1">
        <v>15200</v>
      </c>
      <c r="H1008" s="6" t="str">
        <f>HYPERLINK("http://www.ensembl.org/Mus_musculus/Gene/Summary?db=core;g=ENSMUSG00000024486","ENSMUSG00000024486")</f>
        <v>ENSMUSG00000024486</v>
      </c>
      <c r="I1008" s="6" t="str">
        <f>HYPERLINK("http://www.informatics.jax.org/marker/MGI:96070","MGI:96070")</f>
        <v>MGI:96070</v>
      </c>
      <c r="J1008" s="7" t="s">
        <v>12</v>
      </c>
    </row>
    <row r="1009" spans="1:10" x14ac:dyDescent="0.2">
      <c r="A1009" s="3">
        <v>2980.5707374728199</v>
      </c>
      <c r="B1009" s="1">
        <v>0.13425609972481101</v>
      </c>
      <c r="C1009" s="1">
        <v>7.7230426722711004E-4</v>
      </c>
      <c r="D1009" s="7">
        <v>1.1357959762334001E-2</v>
      </c>
      <c r="E1009" s="1" t="s">
        <v>2252</v>
      </c>
      <c r="F1009" s="1" t="s">
        <v>2253</v>
      </c>
      <c r="G1009" s="1">
        <v>68734</v>
      </c>
      <c r="H1009" s="6" t="str">
        <f>HYPERLINK("http://www.ensembl.org/Mus_musculus/Gene/Summary?db=core;g=ENSMUSG00000041846","ENSMUSG00000041846")</f>
        <v>ENSMUSG00000041846</v>
      </c>
      <c r="I1009" s="6" t="str">
        <f>HYPERLINK("http://www.informatics.jax.org/marker/MGI:1915984","MGI:1915984")</f>
        <v>MGI:1915984</v>
      </c>
      <c r="J1009" s="7" t="s">
        <v>12</v>
      </c>
    </row>
    <row r="1010" spans="1:10" x14ac:dyDescent="0.2">
      <c r="A1010" s="3">
        <v>11.111351254403001</v>
      </c>
      <c r="B1010" s="1">
        <v>-1.0249757935974499</v>
      </c>
      <c r="C1010" s="1">
        <v>7.7497830558883099E-4</v>
      </c>
      <c r="D1010" s="7">
        <v>1.1374581983224099E-2</v>
      </c>
      <c r="E1010" s="1" t="s">
        <v>328</v>
      </c>
      <c r="F1010" s="1" t="s">
        <v>329</v>
      </c>
      <c r="G1010" s="1" t="s">
        <v>45</v>
      </c>
      <c r="H1010" s="6" t="str">
        <f>HYPERLINK("http://www.ensembl.org/Mus_musculus/Gene/Summary?db=core;g=ENSMUSG00000083646","ENSMUSG00000083646")</f>
        <v>ENSMUSG00000083646</v>
      </c>
      <c r="I1010" s="6" t="str">
        <f>HYPERLINK("http://www.informatics.jax.org/marker/MGI:3647646","MGI:3647646")</f>
        <v>MGI:3647646</v>
      </c>
      <c r="J1010" s="7" t="s">
        <v>330</v>
      </c>
    </row>
    <row r="1011" spans="1:10" x14ac:dyDescent="0.2">
      <c r="A1011" s="3">
        <v>842.11524063030799</v>
      </c>
      <c r="B1011" s="1">
        <v>0.215151086613484</v>
      </c>
      <c r="C1011" s="1">
        <v>7.7478424925969897E-4</v>
      </c>
      <c r="D1011" s="7">
        <v>1.1374581983224099E-2</v>
      </c>
      <c r="E1011" s="1" t="s">
        <v>2704</v>
      </c>
      <c r="F1011" s="1" t="s">
        <v>2705</v>
      </c>
      <c r="G1011" s="1">
        <v>67554</v>
      </c>
      <c r="H1011" s="6" t="str">
        <f>HYPERLINK("http://www.ensembl.org/Mus_musculus/Gene/Summary?db=core;g=ENSMUSG00000022003","ENSMUSG00000022003")</f>
        <v>ENSMUSG00000022003</v>
      </c>
      <c r="I1011" s="6" t="str">
        <f>HYPERLINK("http://www.informatics.jax.org/marker/MGI:1914804","MGI:1914804")</f>
        <v>MGI:1914804</v>
      </c>
      <c r="J1011" s="7" t="s">
        <v>12</v>
      </c>
    </row>
    <row r="1012" spans="1:10" x14ac:dyDescent="0.2">
      <c r="A1012" s="3">
        <v>828.65929766073305</v>
      </c>
      <c r="B1012" s="1">
        <v>-0.25879799056580299</v>
      </c>
      <c r="C1012" s="1">
        <v>7.7880844395119403E-4</v>
      </c>
      <c r="D1012" s="7">
        <v>1.14194241095172E-2</v>
      </c>
      <c r="E1012" s="1" t="s">
        <v>1620</v>
      </c>
      <c r="F1012" s="1" t="s">
        <v>1621</v>
      </c>
      <c r="G1012" s="1">
        <v>67155</v>
      </c>
      <c r="H1012" s="6" t="str">
        <f>HYPERLINK("http://www.ensembl.org/Mus_musculus/Gene/Summary?db=core;g=ENSMUSG00000024921","ENSMUSG00000024921")</f>
        <v>ENSMUSG00000024921</v>
      </c>
      <c r="I1012" s="6" t="str">
        <f>HYPERLINK("http://www.informatics.jax.org/marker/MGI:99603","MGI:99603")</f>
        <v>MGI:99603</v>
      </c>
      <c r="J1012" s="7" t="s">
        <v>12</v>
      </c>
    </row>
    <row r="1013" spans="1:10" x14ac:dyDescent="0.2">
      <c r="A1013" s="3">
        <v>1631.71919423281</v>
      </c>
      <c r="B1013" s="1">
        <v>0.122260956745319</v>
      </c>
      <c r="C1013" s="1">
        <v>7.8056749734158504E-4</v>
      </c>
      <c r="D1013" s="7">
        <v>1.1433839603206399E-2</v>
      </c>
      <c r="E1013" s="1" t="s">
        <v>2224</v>
      </c>
      <c r="F1013" s="1" t="s">
        <v>2225</v>
      </c>
      <c r="G1013" s="1">
        <v>234825</v>
      </c>
      <c r="H1013" s="6" t="str">
        <f>HYPERLINK("http://www.ensembl.org/Mus_musculus/Gene/Summary?db=core;g=ENSMUSG00000040263","ENSMUSG00000040263")</f>
        <v>ENSMUSG00000040263</v>
      </c>
      <c r="I1013" s="6" t="str">
        <f>HYPERLINK("http://www.informatics.jax.org/marker/MGI:2384569","MGI:2384569")</f>
        <v>MGI:2384569</v>
      </c>
      <c r="J1013" s="7" t="s">
        <v>12</v>
      </c>
    </row>
    <row r="1014" spans="1:10" x14ac:dyDescent="0.2">
      <c r="A1014" s="3">
        <v>1698.49598867124</v>
      </c>
      <c r="B1014" s="1">
        <v>0.14280983537605199</v>
      </c>
      <c r="C1014" s="1">
        <v>7.8248863042243801E-4</v>
      </c>
      <c r="D1014" s="7">
        <v>1.14505982700149E-2</v>
      </c>
      <c r="E1014" s="1" t="s">
        <v>2284</v>
      </c>
      <c r="F1014" s="1" t="s">
        <v>2285</v>
      </c>
      <c r="G1014" s="1">
        <v>74195</v>
      </c>
      <c r="H1014" s="6" t="str">
        <f>HYPERLINK("http://www.ensembl.org/Mus_musculus/Gene/Summary?db=core;g=ENSMUSG00000022031","ENSMUSG00000022031")</f>
        <v>ENSMUSG00000022031</v>
      </c>
      <c r="I1014" s="6" t="str">
        <f>HYPERLINK("http://www.informatics.jax.org/marker/MGI:1921445","MGI:1921445")</f>
        <v>MGI:1921445</v>
      </c>
      <c r="J1014" s="7" t="s">
        <v>12</v>
      </c>
    </row>
    <row r="1015" spans="1:10" x14ac:dyDescent="0.2">
      <c r="A1015" s="3">
        <v>214.75716911506001</v>
      </c>
      <c r="B1015" s="1">
        <v>-0.33660135367864602</v>
      </c>
      <c r="C1015" s="1">
        <v>7.8607826979406204E-4</v>
      </c>
      <c r="D1015" s="7">
        <v>1.1491715658418E-2</v>
      </c>
      <c r="E1015" s="1" t="s">
        <v>1278</v>
      </c>
      <c r="F1015" s="1" t="s">
        <v>1279</v>
      </c>
      <c r="G1015" s="1">
        <v>68607</v>
      </c>
      <c r="H1015" s="6" t="str">
        <f>HYPERLINK("http://www.ensembl.org/Mus_musculus/Gene/Summary?db=core;g=ENSMUSG00000058586","ENSMUSG00000058586")</f>
        <v>ENSMUSG00000058586</v>
      </c>
      <c r="I1015" s="6" t="str">
        <f>HYPERLINK("http://www.informatics.jax.org/marker/MGI:1890404","MGI:1890404")</f>
        <v>MGI:1890404</v>
      </c>
      <c r="J1015" s="7" t="s">
        <v>12</v>
      </c>
    </row>
    <row r="1016" spans="1:10" x14ac:dyDescent="0.2">
      <c r="A1016" s="3">
        <v>1440.5663339161699</v>
      </c>
      <c r="B1016" s="1">
        <v>0.178630820044762</v>
      </c>
      <c r="C1016" s="1">
        <v>7.9071573670895198E-4</v>
      </c>
      <c r="D1016" s="7">
        <v>1.15480546047008E-2</v>
      </c>
      <c r="E1016" s="1" t="s">
        <v>2480</v>
      </c>
      <c r="F1016" s="1" t="s">
        <v>2481</v>
      </c>
      <c r="G1016" s="1">
        <v>233802</v>
      </c>
      <c r="H1016" s="6" t="str">
        <f>HYPERLINK("http://www.ensembl.org/Mus_musculus/Gene/Summary?db=core;g=ENSMUSG00000030942","ENSMUSG00000030942")</f>
        <v>ENSMUSG00000030942</v>
      </c>
      <c r="I1016" s="6" t="str">
        <f>HYPERLINK("http://www.informatics.jax.org/marker/MGI:2444479","MGI:2444479")</f>
        <v>MGI:2444479</v>
      </c>
      <c r="J1016" s="7" t="s">
        <v>12</v>
      </c>
    </row>
    <row r="1017" spans="1:10" x14ac:dyDescent="0.2">
      <c r="A1017" s="3">
        <v>1124.4801193036899</v>
      </c>
      <c r="B1017" s="1">
        <v>-0.41057563875726499</v>
      </c>
      <c r="C1017" s="1">
        <v>7.9249921199137801E-4</v>
      </c>
      <c r="D1017" s="7">
        <v>1.15626419682227E-2</v>
      </c>
      <c r="E1017" s="1" t="s">
        <v>1067</v>
      </c>
      <c r="F1017" s="1" t="s">
        <v>1068</v>
      </c>
      <c r="G1017" s="1">
        <v>209200</v>
      </c>
      <c r="H1017" s="6" t="str">
        <f>HYPERLINK("http://www.ensembl.org/Mus_musculus/Gene/Summary?db=core;g=ENSMUSG00000049502","ENSMUSG00000049502")</f>
        <v>ENSMUSG00000049502</v>
      </c>
      <c r="I1017" s="6" t="str">
        <f>HYPERLINK("http://www.informatics.jax.org/marker/MGI:2656973","MGI:2656973")</f>
        <v>MGI:2656973</v>
      </c>
      <c r="J1017" s="7" t="s">
        <v>12</v>
      </c>
    </row>
    <row r="1018" spans="1:10" x14ac:dyDescent="0.2">
      <c r="A1018" s="3">
        <v>661.74452914243602</v>
      </c>
      <c r="B1018" s="1">
        <v>-0.24571417506760901</v>
      </c>
      <c r="C1018" s="1">
        <v>7.9371831356784401E-4</v>
      </c>
      <c r="D1018" s="7">
        <v>1.15689743508761E-2</v>
      </c>
      <c r="E1018" s="1" t="s">
        <v>1682</v>
      </c>
      <c r="F1018" s="1" t="s">
        <v>1683</v>
      </c>
      <c r="G1018" s="1">
        <v>28064</v>
      </c>
      <c r="H1018" s="6" t="str">
        <f>HYPERLINK("http://www.ensembl.org/Mus_musculus/Gene/Summary?db=core;g=ENSMUSG00000071074","ENSMUSG00000071074")</f>
        <v>ENSMUSG00000071074</v>
      </c>
      <c r="I1018" s="6" t="str">
        <f>HYPERLINK("http://www.informatics.jax.org/marker/MGI:106280","MGI:106280")</f>
        <v>MGI:106280</v>
      </c>
      <c r="J1018" s="7" t="s">
        <v>12</v>
      </c>
    </row>
    <row r="1019" spans="1:10" x14ac:dyDescent="0.2">
      <c r="A1019" s="3">
        <v>604.35959710955399</v>
      </c>
      <c r="B1019" s="1">
        <v>-0.21158731143840301</v>
      </c>
      <c r="C1019" s="1">
        <v>7.9945441730921703E-4</v>
      </c>
      <c r="D1019" s="7">
        <v>1.1641067483664599E-2</v>
      </c>
      <c r="E1019" s="1" t="s">
        <v>1856</v>
      </c>
      <c r="F1019" s="1" t="s">
        <v>1857</v>
      </c>
      <c r="G1019" s="1">
        <v>22260</v>
      </c>
      <c r="H1019" s="6" t="str">
        <f>HYPERLINK("http://www.ensembl.org/Mus_musculus/Gene/Summary?db=core;g=ENSMUSG00000060601","ENSMUSG00000060601")</f>
        <v>ENSMUSG00000060601</v>
      </c>
      <c r="I1019" s="6" t="str">
        <f>HYPERLINK("http://www.informatics.jax.org/marker/MGI:1352463","MGI:1352463")</f>
        <v>MGI:1352463</v>
      </c>
      <c r="J1019" s="7" t="s">
        <v>12</v>
      </c>
    </row>
    <row r="1020" spans="1:10" x14ac:dyDescent="0.2">
      <c r="A1020" s="3">
        <v>5742.0347986132001</v>
      </c>
      <c r="B1020" s="1">
        <v>-0.246975762068052</v>
      </c>
      <c r="C1020" s="1">
        <v>8.01971880344462E-4</v>
      </c>
      <c r="D1020" s="7">
        <v>1.1666197066886499E-2</v>
      </c>
      <c r="E1020" s="1" t="s">
        <v>1674</v>
      </c>
      <c r="F1020" s="1" t="s">
        <v>1675</v>
      </c>
      <c r="G1020" s="1">
        <v>59027</v>
      </c>
      <c r="H1020" s="6" t="str">
        <f>HYPERLINK("http://www.ensembl.org/Mus_musculus/Gene/Summary?db=core;g=ENSMUSG00000020572","ENSMUSG00000020572")</f>
        <v>ENSMUSG00000020572</v>
      </c>
      <c r="I1020" s="6" t="str">
        <f>HYPERLINK("http://www.informatics.jax.org/marker/MGI:1929865","MGI:1929865")</f>
        <v>MGI:1929865</v>
      </c>
      <c r="J1020" s="7" t="s">
        <v>12</v>
      </c>
    </row>
    <row r="1021" spans="1:10" x14ac:dyDescent="0.2">
      <c r="A1021" s="3">
        <v>111.91235141271299</v>
      </c>
      <c r="B1021" s="1">
        <v>-0.43739461107528599</v>
      </c>
      <c r="C1021" s="1">
        <v>8.0872471979451395E-4</v>
      </c>
      <c r="D1021" s="7">
        <v>1.1752827880564099E-2</v>
      </c>
      <c r="E1021" s="1" t="s">
        <v>969</v>
      </c>
      <c r="F1021" s="1" t="s">
        <v>970</v>
      </c>
      <c r="G1021" s="1">
        <v>93709</v>
      </c>
      <c r="H1021" s="6" t="str">
        <f>HYPERLINK("http://www.ensembl.org/Mus_musculus/Gene/Summary?db=core;g=ENSMUSG00000103144","ENSMUSG00000103144")</f>
        <v>ENSMUSG00000103144</v>
      </c>
      <c r="I1021" s="6" t="str">
        <f>HYPERLINK("http://www.informatics.jax.org/marker/MGI:1935212","MGI:1935212")</f>
        <v>MGI:1935212</v>
      </c>
      <c r="J1021" s="7" t="s">
        <v>12</v>
      </c>
    </row>
    <row r="1022" spans="1:10" x14ac:dyDescent="0.2">
      <c r="A1022" s="3">
        <v>1156.4356496171199</v>
      </c>
      <c r="B1022" s="1">
        <v>-0.209210639634832</v>
      </c>
      <c r="C1022" s="1">
        <v>8.1144609483415101E-4</v>
      </c>
      <c r="D1022" s="7">
        <v>1.17792242500619E-2</v>
      </c>
      <c r="E1022" s="1" t="s">
        <v>1870</v>
      </c>
      <c r="F1022" s="1" t="s">
        <v>1871</v>
      </c>
      <c r="G1022" s="1">
        <v>12041</v>
      </c>
      <c r="H1022" s="6" t="str">
        <f>HYPERLINK("http://www.ensembl.org/Mus_musculus/Gene/Summary?db=core;g=ENSMUSG00000030802","ENSMUSG00000030802")</f>
        <v>ENSMUSG00000030802</v>
      </c>
      <c r="I1022" s="6" t="str">
        <f>HYPERLINK("http://www.informatics.jax.org/marker/MGI:1276121","MGI:1276121")</f>
        <v>MGI:1276121</v>
      </c>
      <c r="J1022" s="7" t="s">
        <v>12</v>
      </c>
    </row>
    <row r="1023" spans="1:10" x14ac:dyDescent="0.2">
      <c r="A1023" s="3">
        <v>110.010170164805</v>
      </c>
      <c r="B1023" s="1">
        <v>0.382370098381483</v>
      </c>
      <c r="C1023" s="1">
        <v>8.1213978271327898E-4</v>
      </c>
      <c r="D1023" s="7">
        <v>1.17792242500619E-2</v>
      </c>
      <c r="E1023" s="1" t="s">
        <v>3128</v>
      </c>
      <c r="F1023" s="1" t="s">
        <v>3129</v>
      </c>
      <c r="G1023" s="1">
        <v>66757</v>
      </c>
      <c r="H1023" s="6" t="str">
        <f>HYPERLINK("http://www.ensembl.org/Mus_musculus/Gene/Summary?db=core;g=ENSMUSG00000019808","ENSMUSG00000019808")</f>
        <v>ENSMUSG00000019808</v>
      </c>
      <c r="I1023" s="6" t="str">
        <f>HYPERLINK("http://www.informatics.jax.org/marker/MGI:1914007","MGI:1914007")</f>
        <v>MGI:1914007</v>
      </c>
      <c r="J1023" s="7" t="s">
        <v>12</v>
      </c>
    </row>
    <row r="1024" spans="1:10" x14ac:dyDescent="0.2">
      <c r="A1024" s="3">
        <v>5070.2517663257304</v>
      </c>
      <c r="B1024" s="1">
        <v>0.168749839204901</v>
      </c>
      <c r="C1024" s="1">
        <v>8.26475309770485E-4</v>
      </c>
      <c r="D1024" s="7">
        <v>1.19753590607452E-2</v>
      </c>
      <c r="E1024" s="1" t="s">
        <v>2412</v>
      </c>
      <c r="F1024" s="1" t="s">
        <v>2413</v>
      </c>
      <c r="G1024" s="1">
        <v>13046</v>
      </c>
      <c r="H1024" s="6" t="str">
        <f>HYPERLINK("http://www.ensembl.org/Mus_musculus/Gene/Summary?db=core;g=ENSMUSG00000005506","ENSMUSG00000005506")</f>
        <v>ENSMUSG00000005506</v>
      </c>
      <c r="I1024" s="6" t="str">
        <f>HYPERLINK("http://www.informatics.jax.org/marker/MGI:1342295","MGI:1342295")</f>
        <v>MGI:1342295</v>
      </c>
      <c r="J1024" s="7" t="s">
        <v>12</v>
      </c>
    </row>
    <row r="1025" spans="1:10" x14ac:dyDescent="0.2">
      <c r="A1025" s="3">
        <v>3351.1380147077002</v>
      </c>
      <c r="B1025" s="1">
        <v>0.14799049329116201</v>
      </c>
      <c r="C1025" s="1">
        <v>8.3190787474967005E-4</v>
      </c>
      <c r="D1025" s="7">
        <v>1.2030416528273901E-2</v>
      </c>
      <c r="E1025" s="1" t="s">
        <v>2310</v>
      </c>
      <c r="F1025" s="1" t="s">
        <v>2311</v>
      </c>
      <c r="G1025" s="1">
        <v>106957</v>
      </c>
      <c r="H1025" s="6" t="str">
        <f>HYPERLINK("http://www.ensembl.org/Mus_musculus/Gene/Summary?db=core;g=ENSMUSG00000024270","ENSMUSG00000024270")</f>
        <v>ENSMUSG00000024270</v>
      </c>
      <c r="I1025" s="6" t="str">
        <f>HYPERLINK("http://www.informatics.jax.org/marker/MGI:2147279","MGI:2147279")</f>
        <v>MGI:2147279</v>
      </c>
      <c r="J1025" s="7" t="s">
        <v>12</v>
      </c>
    </row>
    <row r="1026" spans="1:10" x14ac:dyDescent="0.2">
      <c r="A1026" s="3">
        <v>1459.6707183912199</v>
      </c>
      <c r="B1026" s="1">
        <v>0.18981885611168101</v>
      </c>
      <c r="C1026" s="1">
        <v>8.3123198901310599E-4</v>
      </c>
      <c r="D1026" s="7">
        <v>1.2030416528273901E-2</v>
      </c>
      <c r="E1026" s="1" t="s">
        <v>2524</v>
      </c>
      <c r="F1026" s="1" t="s">
        <v>2525</v>
      </c>
      <c r="G1026" s="1">
        <v>77721</v>
      </c>
      <c r="H1026" s="6" t="str">
        <f>HYPERLINK("http://www.ensembl.org/Mus_musculus/Gene/Summary?db=core;g=ENSMUSG00000027374","ENSMUSG00000027374")</f>
        <v>ENSMUSG00000027374</v>
      </c>
      <c r="I1026" s="6" t="str">
        <f>HYPERLINK("http://www.informatics.jax.org/marker/MGI:1924971","MGI:1924971")</f>
        <v>MGI:1924971</v>
      </c>
      <c r="J1026" s="7" t="s">
        <v>12</v>
      </c>
    </row>
    <row r="1027" spans="1:10" x14ac:dyDescent="0.2">
      <c r="A1027" s="3">
        <v>1633.0945272306301</v>
      </c>
      <c r="B1027" s="1">
        <v>-0.153535714761697</v>
      </c>
      <c r="C1027" s="1">
        <v>8.3744634577389296E-4</v>
      </c>
      <c r="D1027" s="7">
        <v>1.20986366189452E-2</v>
      </c>
      <c r="E1027" s="1" t="s">
        <v>2120</v>
      </c>
      <c r="F1027" s="1" t="s">
        <v>2121</v>
      </c>
      <c r="G1027" s="1">
        <v>320487</v>
      </c>
      <c r="H1027" s="6" t="str">
        <f>HYPERLINK("http://www.ensembl.org/Mus_musculus/Gene/Summary?db=core;g=ENSMUSG00000035181","ENSMUSG00000035181")</f>
        <v>ENSMUSG00000035181</v>
      </c>
      <c r="I1027" s="6" t="str">
        <f>HYPERLINK("http://www.informatics.jax.org/marker/MGI:2444133","MGI:2444133")</f>
        <v>MGI:2444133</v>
      </c>
      <c r="J1027" s="7" t="s">
        <v>12</v>
      </c>
    </row>
    <row r="1028" spans="1:10" x14ac:dyDescent="0.2">
      <c r="A1028" s="3">
        <v>176.17159929023501</v>
      </c>
      <c r="B1028" s="1">
        <v>-0.48549043498629801</v>
      </c>
      <c r="C1028" s="1">
        <v>8.4693203787001301E-4</v>
      </c>
      <c r="D1028" s="7">
        <v>1.22045750627873E-2</v>
      </c>
      <c r="E1028" s="1" t="s">
        <v>873</v>
      </c>
      <c r="F1028" s="1" t="s">
        <v>874</v>
      </c>
      <c r="G1028" s="1">
        <v>233806</v>
      </c>
      <c r="H1028" s="6" t="str">
        <f>HYPERLINK("http://www.ensembl.org/Mus_musculus/Gene/Summary?db=core;g=ENSMUSG00000030917","ENSMUSG00000030917")</f>
        <v>ENSMUSG00000030917</v>
      </c>
      <c r="I1028" s="6" t="str">
        <f>HYPERLINK("http://www.informatics.jax.org/marker/MGI:1925752","MGI:1925752")</f>
        <v>MGI:1925752</v>
      </c>
      <c r="J1028" s="7" t="s">
        <v>12</v>
      </c>
    </row>
    <row r="1029" spans="1:10" x14ac:dyDescent="0.2">
      <c r="A1029" s="3">
        <v>4372.66601526865</v>
      </c>
      <c r="B1029" s="1">
        <v>-0.163348100175748</v>
      </c>
      <c r="C1029" s="1">
        <v>8.46415054389874E-4</v>
      </c>
      <c r="D1029" s="7">
        <v>1.22045750627873E-2</v>
      </c>
      <c r="E1029" s="1" t="s">
        <v>2068</v>
      </c>
      <c r="F1029" s="1" t="s">
        <v>2069</v>
      </c>
      <c r="G1029" s="1">
        <v>20168</v>
      </c>
      <c r="H1029" s="6" t="str">
        <f>HYPERLINK("http://www.ensembl.org/Mus_musculus/Gene/Summary?db=core;g=ENSMUSG00000024758","ENSMUSG00000024758")</f>
        <v>ENSMUSG00000024758</v>
      </c>
      <c r="I1029" s="6" t="str">
        <f>HYPERLINK("http://www.informatics.jax.org/marker/MGI:1339970","MGI:1339970")</f>
        <v>MGI:1339970</v>
      </c>
      <c r="J1029" s="7" t="s">
        <v>12</v>
      </c>
    </row>
    <row r="1030" spans="1:10" x14ac:dyDescent="0.2">
      <c r="A1030" s="3">
        <v>1475.6307904858299</v>
      </c>
      <c r="B1030" s="1">
        <v>0.28334675734538001</v>
      </c>
      <c r="C1030" s="1">
        <v>8.4726386327574799E-4</v>
      </c>
      <c r="D1030" s="7">
        <v>1.22045750627873E-2</v>
      </c>
      <c r="E1030" s="1" t="s">
        <v>2974</v>
      </c>
      <c r="F1030" s="1" t="s">
        <v>2975</v>
      </c>
      <c r="G1030" s="1">
        <v>18029</v>
      </c>
      <c r="H1030" s="6" t="str">
        <f>HYPERLINK("http://www.ensembl.org/Mus_musculus/Gene/Summary?db=core;g=ENSMUSG00000055053","ENSMUSG00000055053")</f>
        <v>ENSMUSG00000055053</v>
      </c>
      <c r="I1030" s="6" t="str">
        <f>HYPERLINK("http://www.informatics.jax.org/marker/MGI:109591","MGI:109591")</f>
        <v>MGI:109591</v>
      </c>
      <c r="J1030" s="7" t="s">
        <v>12</v>
      </c>
    </row>
    <row r="1031" spans="1:10" x14ac:dyDescent="0.2">
      <c r="A1031" s="3">
        <v>13.926675873576899</v>
      </c>
      <c r="B1031" s="1">
        <v>-1.1139510809856701</v>
      </c>
      <c r="C1031" s="1">
        <v>8.4973982924777198E-4</v>
      </c>
      <c r="D1031" s="7">
        <v>1.22163571939465E-2</v>
      </c>
      <c r="E1031" s="1" t="s">
        <v>257</v>
      </c>
      <c r="F1031" s="1" t="s">
        <v>258</v>
      </c>
      <c r="G1031" s="1">
        <v>215900</v>
      </c>
      <c r="H1031" s="6" t="str">
        <f>HYPERLINK("http://www.ensembl.org/Mus_musculus/Gene/Summary?db=core;g=ENSMUSG00000046031","ENSMUSG00000046031")</f>
        <v>ENSMUSG00000046031</v>
      </c>
      <c r="I1031" s="6" t="str">
        <f>HYPERLINK("http://www.informatics.jax.org/marker/MGI:2443082","MGI:2443082")</f>
        <v>MGI:2443082</v>
      </c>
      <c r="J1031" s="7" t="s">
        <v>12</v>
      </c>
    </row>
    <row r="1032" spans="1:10" x14ac:dyDescent="0.2">
      <c r="A1032" s="3">
        <v>1019.6170365599399</v>
      </c>
      <c r="B1032" s="1">
        <v>0.27311924832418899</v>
      </c>
      <c r="C1032" s="1">
        <v>8.4948587365467798E-4</v>
      </c>
      <c r="D1032" s="7">
        <v>1.22163571939465E-2</v>
      </c>
      <c r="E1032" s="1" t="s">
        <v>2946</v>
      </c>
      <c r="F1032" s="1" t="s">
        <v>2947</v>
      </c>
      <c r="G1032" s="1">
        <v>212728</v>
      </c>
      <c r="H1032" s="6" t="str">
        <f>HYPERLINK("http://www.ensembl.org/Mus_musculus/Gene/Summary?db=core;g=ENSMUSG00000090290","ENSMUSG00000090290")</f>
        <v>ENSMUSG00000090290</v>
      </c>
      <c r="I1032" s="6" t="str">
        <f>HYPERLINK("http://www.informatics.jax.org/marker/MGI:4936930","MGI:4936930")</f>
        <v>MGI:4936930</v>
      </c>
      <c r="J1032" s="7" t="s">
        <v>12</v>
      </c>
    </row>
    <row r="1033" spans="1:10" x14ac:dyDescent="0.2">
      <c r="A1033" s="3">
        <v>986.89823842620206</v>
      </c>
      <c r="B1033" s="1">
        <v>-0.179392443779647</v>
      </c>
      <c r="C1033" s="1">
        <v>8.5687660443473004E-4</v>
      </c>
      <c r="D1033" s="7">
        <v>1.23069528683725E-2</v>
      </c>
      <c r="E1033" s="1" t="s">
        <v>2010</v>
      </c>
      <c r="F1033" s="1" t="s">
        <v>2011</v>
      </c>
      <c r="G1033" s="1">
        <v>26403</v>
      </c>
      <c r="H1033" s="6" t="str">
        <f>HYPERLINK("http://www.ensembl.org/Mus_musculus/Gene/Summary?db=core;g=ENSMUSG00000004054","ENSMUSG00000004054")</f>
        <v>ENSMUSG00000004054</v>
      </c>
      <c r="I1033" s="6" t="str">
        <f>HYPERLINK("http://www.informatics.jax.org/marker/MGI:1346880","MGI:1346880")</f>
        <v>MGI:1346880</v>
      </c>
      <c r="J1033" s="7" t="s">
        <v>12</v>
      </c>
    </row>
    <row r="1034" spans="1:10" x14ac:dyDescent="0.2">
      <c r="A1034" s="3">
        <v>2383.2400023416799</v>
      </c>
      <c r="B1034" s="1">
        <v>0.15951023541253601</v>
      </c>
      <c r="C1034" s="1">
        <v>8.6613136024719798E-4</v>
      </c>
      <c r="D1034" s="7">
        <v>1.24277621466433E-2</v>
      </c>
      <c r="E1034" s="1" t="s">
        <v>2370</v>
      </c>
      <c r="F1034" s="1" t="s">
        <v>2371</v>
      </c>
      <c r="G1034" s="1">
        <v>231713</v>
      </c>
      <c r="H1034" s="6" t="str">
        <f>HYPERLINK("http://www.ensembl.org/Mus_musculus/Gene/Summary?db=core;g=ENSMUSG00000042719","ENSMUSG00000042719")</f>
        <v>ENSMUSG00000042719</v>
      </c>
      <c r="I1034" s="6" t="str">
        <f>HYPERLINK("http://www.informatics.jax.org/marker/MGI:2442563","MGI:2442563")</f>
        <v>MGI:2442563</v>
      </c>
      <c r="J1034" s="7" t="s">
        <v>12</v>
      </c>
    </row>
    <row r="1035" spans="1:10" x14ac:dyDescent="0.2">
      <c r="A1035" s="3">
        <v>311.65782897459098</v>
      </c>
      <c r="B1035" s="1">
        <v>-0.266914120567327</v>
      </c>
      <c r="C1035" s="1">
        <v>8.6990092577776896E-4</v>
      </c>
      <c r="D1035" s="7">
        <v>1.2469708212316299E-2</v>
      </c>
      <c r="E1035" s="1" t="s">
        <v>1592</v>
      </c>
      <c r="F1035" s="1" t="s">
        <v>1593</v>
      </c>
      <c r="G1035" s="1">
        <v>16337</v>
      </c>
      <c r="H1035" s="6" t="str">
        <f>HYPERLINK("http://www.ensembl.org/Mus_musculus/Gene/Summary?db=core;g=ENSMUSG00000005534","ENSMUSG00000005534")</f>
        <v>ENSMUSG00000005534</v>
      </c>
      <c r="I1035" s="6" t="str">
        <f>HYPERLINK("http://www.informatics.jax.org/marker/MGI:96575","MGI:96575")</f>
        <v>MGI:96575</v>
      </c>
      <c r="J1035" s="7" t="s">
        <v>12</v>
      </c>
    </row>
    <row r="1036" spans="1:10" x14ac:dyDescent="0.2">
      <c r="A1036" s="3">
        <v>13349.0257338831</v>
      </c>
      <c r="B1036" s="1">
        <v>9.8876864662280795E-2</v>
      </c>
      <c r="C1036" s="1">
        <v>8.7118655837379005E-4</v>
      </c>
      <c r="D1036" s="7">
        <v>1.24760010925133E-2</v>
      </c>
      <c r="E1036" s="1" t="s">
        <v>2182</v>
      </c>
      <c r="F1036" s="1" t="s">
        <v>2183</v>
      </c>
      <c r="G1036" s="1">
        <v>27979</v>
      </c>
      <c r="H1036" s="6" t="str">
        <f>HYPERLINK("http://www.ensembl.org/Mus_musculus/Gene/Summary?db=core;g=ENSMUSG00000056076","ENSMUSG00000056076")</f>
        <v>ENSMUSG00000056076</v>
      </c>
      <c r="I1036" s="6" t="str">
        <f>HYPERLINK("http://www.informatics.jax.org/marker/MGI:106478","MGI:106478")</f>
        <v>MGI:106478</v>
      </c>
      <c r="J1036" s="7" t="s">
        <v>12</v>
      </c>
    </row>
    <row r="1037" spans="1:10" x14ac:dyDescent="0.2">
      <c r="A1037" s="3">
        <v>1291.4241493434699</v>
      </c>
      <c r="B1037" s="1">
        <v>0.224490871844547</v>
      </c>
      <c r="C1037" s="1">
        <v>8.7415840315853205E-4</v>
      </c>
      <c r="D1037" s="7">
        <v>1.25064060475186E-2</v>
      </c>
      <c r="E1037" s="1" t="s">
        <v>2750</v>
      </c>
      <c r="F1037" s="1" t="s">
        <v>2751</v>
      </c>
      <c r="G1037" s="1">
        <v>77891</v>
      </c>
      <c r="H1037" s="6" t="str">
        <f>HYPERLINK("http://www.ensembl.org/Mus_musculus/Gene/Summary?db=core;g=ENSMUSG00000060860","ENSMUSG00000060860")</f>
        <v>ENSMUSG00000060860</v>
      </c>
      <c r="I1037" s="6" t="str">
        <f>HYPERLINK("http://www.informatics.jax.org/marker/MGI:1925141","MGI:1925141")</f>
        <v>MGI:1925141</v>
      </c>
      <c r="J1037" s="7" t="s">
        <v>12</v>
      </c>
    </row>
    <row r="1038" spans="1:10" x14ac:dyDescent="0.2">
      <c r="A1038" s="3">
        <v>1889.35981707934</v>
      </c>
      <c r="B1038" s="1">
        <v>-0.27861924572083901</v>
      </c>
      <c r="C1038" s="1">
        <v>8.7711635184228604E-4</v>
      </c>
      <c r="D1038" s="7">
        <v>1.25365534051871E-2</v>
      </c>
      <c r="E1038" s="1" t="s">
        <v>1546</v>
      </c>
      <c r="F1038" s="1" t="s">
        <v>1547</v>
      </c>
      <c r="G1038" s="1">
        <v>18796</v>
      </c>
      <c r="H1038" s="6" t="str">
        <f>HYPERLINK("http://www.ensembl.org/Mus_musculus/Gene/Summary?db=core;g=ENSMUSG00000040061","ENSMUSG00000040061")</f>
        <v>ENSMUSG00000040061</v>
      </c>
      <c r="I1038" s="6" t="str">
        <f>HYPERLINK("http://www.informatics.jax.org/marker/MGI:107465","MGI:107465")</f>
        <v>MGI:107465</v>
      </c>
      <c r="J1038" s="7" t="s">
        <v>12</v>
      </c>
    </row>
    <row r="1039" spans="1:10" x14ac:dyDescent="0.2">
      <c r="A1039" s="3">
        <v>10.374398426755199</v>
      </c>
      <c r="B1039" s="1">
        <v>-1.0213402403870699</v>
      </c>
      <c r="C1039" s="1">
        <v>8.8212943582626998E-4</v>
      </c>
      <c r="D1039" s="7">
        <v>1.25411127259672E-2</v>
      </c>
      <c r="E1039" s="1" t="s">
        <v>333</v>
      </c>
      <c r="F1039" s="1" t="s">
        <v>334</v>
      </c>
      <c r="G1039" s="1">
        <v>55927</v>
      </c>
      <c r="H1039" s="6" t="str">
        <f>HYPERLINK("http://www.ensembl.org/Mus_musculus/Gene/Summary?db=core;g=ENSMUSG00000067071","ENSMUSG00000067071")</f>
        <v>ENSMUSG00000067071</v>
      </c>
      <c r="I1039" s="6" t="str">
        <f>HYPERLINK("http://www.informatics.jax.org/marker/MGI:1859852","MGI:1859852")</f>
        <v>MGI:1859852</v>
      </c>
      <c r="J1039" s="7" t="s">
        <v>12</v>
      </c>
    </row>
    <row r="1040" spans="1:10" x14ac:dyDescent="0.2">
      <c r="A1040" s="3">
        <v>756.08989135210197</v>
      </c>
      <c r="B1040" s="1">
        <v>-0.21017138117414799</v>
      </c>
      <c r="C1040" s="1">
        <v>8.8096511035173301E-4</v>
      </c>
      <c r="D1040" s="7">
        <v>1.25411127259672E-2</v>
      </c>
      <c r="E1040" s="1" t="s">
        <v>1864</v>
      </c>
      <c r="F1040" s="1" t="s">
        <v>1865</v>
      </c>
      <c r="G1040" s="1">
        <v>329015</v>
      </c>
      <c r="H1040" s="6" t="str">
        <f>HYPERLINK("http://www.ensembl.org/Mus_musculus/Gene/Summary?db=core;g=ENSMUSG00000024773","ENSMUSG00000024773")</f>
        <v>ENSMUSG00000024773</v>
      </c>
      <c r="I1040" s="6" t="str">
        <f>HYPERLINK("http://www.informatics.jax.org/marker/MGI:1916291","MGI:1916291")</f>
        <v>MGI:1916291</v>
      </c>
      <c r="J1040" s="7" t="s">
        <v>12</v>
      </c>
    </row>
    <row r="1041" spans="1:10" x14ac:dyDescent="0.2">
      <c r="A1041" s="3">
        <v>4046.4739451229302</v>
      </c>
      <c r="B1041" s="1">
        <v>-0.129697779120023</v>
      </c>
      <c r="C1041" s="1">
        <v>8.8229120030662296E-4</v>
      </c>
      <c r="D1041" s="7">
        <v>1.25411127259672E-2</v>
      </c>
      <c r="E1041" s="1" t="s">
        <v>2152</v>
      </c>
      <c r="F1041" s="1" t="s">
        <v>2153</v>
      </c>
      <c r="G1041" s="1">
        <v>14873</v>
      </c>
      <c r="H1041" s="6" t="str">
        <f>HYPERLINK("http://www.ensembl.org/Mus_musculus/Gene/Summary?db=core;g=ENSMUSG00000025068","ENSMUSG00000025068")</f>
        <v>ENSMUSG00000025068</v>
      </c>
      <c r="I1041" s="6" t="str">
        <f>HYPERLINK("http://www.informatics.jax.org/marker/MGI:1342273","MGI:1342273")</f>
        <v>MGI:1342273</v>
      </c>
      <c r="J1041" s="7" t="s">
        <v>12</v>
      </c>
    </row>
    <row r="1042" spans="1:10" x14ac:dyDescent="0.2">
      <c r="A1042" s="3">
        <v>11537.761539446199</v>
      </c>
      <c r="B1042" s="1">
        <v>0.15853625023631099</v>
      </c>
      <c r="C1042" s="1">
        <v>8.7938122412434597E-4</v>
      </c>
      <c r="D1042" s="7">
        <v>1.25411127259672E-2</v>
      </c>
      <c r="E1042" s="1" t="s">
        <v>2358</v>
      </c>
      <c r="F1042" s="1" t="s">
        <v>2359</v>
      </c>
      <c r="G1042" s="1">
        <v>70572</v>
      </c>
      <c r="H1042" s="6" t="str">
        <f>HYPERLINK("http://www.ensembl.org/Mus_musculus/Gene/Summary?db=core;g=ENSMUSG00000030662","ENSMUSG00000030662")</f>
        <v>ENSMUSG00000030662</v>
      </c>
      <c r="I1042" s="6" t="str">
        <f>HYPERLINK("http://www.informatics.jax.org/marker/MGI:1917822","MGI:1917822")</f>
        <v>MGI:1917822</v>
      </c>
      <c r="J1042" s="7" t="s">
        <v>12</v>
      </c>
    </row>
    <row r="1043" spans="1:10" x14ac:dyDescent="0.2">
      <c r="A1043" s="3">
        <v>2474.4995577690702</v>
      </c>
      <c r="B1043" s="1">
        <v>0.19495093479238801</v>
      </c>
      <c r="C1043" s="1">
        <v>8.7970020657676803E-4</v>
      </c>
      <c r="D1043" s="7">
        <v>1.25411127259672E-2</v>
      </c>
      <c r="E1043" s="1" t="s">
        <v>2570</v>
      </c>
      <c r="F1043" s="1" t="s">
        <v>2571</v>
      </c>
      <c r="G1043" s="1">
        <v>66902</v>
      </c>
      <c r="H1043" s="6" t="str">
        <f>HYPERLINK("http://www.ensembl.org/Mus_musculus/Gene/Summary?db=core;g=ENSMUSG00000062937","ENSMUSG00000062937")</f>
        <v>ENSMUSG00000062937</v>
      </c>
      <c r="I1043" s="6" t="str">
        <f>HYPERLINK("http://www.informatics.jax.org/marker/MGI:1914152","MGI:1914152")</f>
        <v>MGI:1914152</v>
      </c>
      <c r="J1043" s="7" t="s">
        <v>12</v>
      </c>
    </row>
    <row r="1044" spans="1:10" x14ac:dyDescent="0.2">
      <c r="A1044" s="3">
        <v>70.303250040514399</v>
      </c>
      <c r="B1044" s="1">
        <v>0.73770339990939104</v>
      </c>
      <c r="C1044" s="1">
        <v>8.8254165966531102E-4</v>
      </c>
      <c r="D1044" s="7">
        <v>1.25411127259672E-2</v>
      </c>
      <c r="E1044" s="1" t="s">
        <v>3272</v>
      </c>
      <c r="F1044" s="1" t="s">
        <v>3273</v>
      </c>
      <c r="G1044" s="1">
        <v>58206</v>
      </c>
      <c r="H1044" s="6" t="str">
        <f>HYPERLINK("http://www.ensembl.org/Mus_musculus/Gene/Summary?db=core;g=ENSMUSG00000006310","ENSMUSG00000006310")</f>
        <v>ENSMUSG00000006310</v>
      </c>
      <c r="I1044" s="6" t="str">
        <f>HYPERLINK("http://www.informatics.jax.org/marker/MGI:1891838","MGI:1891838")</f>
        <v>MGI:1891838</v>
      </c>
      <c r="J1044" s="7" t="s">
        <v>12</v>
      </c>
    </row>
    <row r="1045" spans="1:10" x14ac:dyDescent="0.2">
      <c r="A1045" s="3">
        <v>118.691207630036</v>
      </c>
      <c r="B1045" s="1">
        <v>-1.0723912711051899</v>
      </c>
      <c r="C1045" s="1">
        <v>8.9442458772147901E-4</v>
      </c>
      <c r="D1045" s="7">
        <v>1.26368559200994E-2</v>
      </c>
      <c r="E1045" s="1" t="s">
        <v>283</v>
      </c>
      <c r="F1045" s="1" t="s">
        <v>284</v>
      </c>
      <c r="G1045" s="1">
        <v>109032</v>
      </c>
      <c r="H1045" s="6" t="str">
        <f>HYPERLINK("http://www.ensembl.org/Mus_musculus/Gene/Summary?db=core;g=ENSMUSG00000070034","ENSMUSG00000070034")</f>
        <v>ENSMUSG00000070034</v>
      </c>
      <c r="I1045" s="6" t="str">
        <f>HYPERLINK("http://www.informatics.jax.org/marker/MGI:1923364","MGI:1923364")</f>
        <v>MGI:1923364</v>
      </c>
      <c r="J1045" s="7" t="s">
        <v>12</v>
      </c>
    </row>
    <row r="1046" spans="1:10" x14ac:dyDescent="0.2">
      <c r="A1046" s="3">
        <v>626.00558064725499</v>
      </c>
      <c r="B1046" s="1">
        <v>-0.25864037678789997</v>
      </c>
      <c r="C1046" s="1">
        <v>8.9286402087511104E-4</v>
      </c>
      <c r="D1046" s="7">
        <v>1.26368559200994E-2</v>
      </c>
      <c r="E1046" s="1" t="s">
        <v>1622</v>
      </c>
      <c r="F1046" s="1" t="s">
        <v>1623</v>
      </c>
      <c r="G1046" s="1">
        <v>55936</v>
      </c>
      <c r="H1046" s="6" t="str">
        <f>HYPERLINK("http://www.ensembl.org/Mus_musculus/Gene/Summary?db=core;g=ENSMUSG00000031360","ENSMUSG00000031360")</f>
        <v>ENSMUSG00000031360</v>
      </c>
      <c r="I1046" s="6" t="str">
        <f>HYPERLINK("http://www.informatics.jax.org/marker/MGI:1933185","MGI:1933185")</f>
        <v>MGI:1933185</v>
      </c>
      <c r="J1046" s="7" t="s">
        <v>12</v>
      </c>
    </row>
    <row r="1047" spans="1:10" x14ac:dyDescent="0.2">
      <c r="A1047" s="3">
        <v>6398.3802842280102</v>
      </c>
      <c r="B1047" s="1">
        <v>-0.23719431438804001</v>
      </c>
      <c r="C1047" s="1">
        <v>8.9086784669239398E-4</v>
      </c>
      <c r="D1047" s="7">
        <v>1.26368559200994E-2</v>
      </c>
      <c r="E1047" s="1" t="s">
        <v>1724</v>
      </c>
      <c r="F1047" s="1" t="s">
        <v>1725</v>
      </c>
      <c r="G1047" s="1">
        <v>20658</v>
      </c>
      <c r="H1047" s="6" t="str">
        <f>HYPERLINK("http://www.ensembl.org/Mus_musculus/Gene/Summary?db=core;g=ENSMUSG00000022961","ENSMUSG00000022961")</f>
        <v>ENSMUSG00000022961</v>
      </c>
      <c r="I1047" s="6" t="str">
        <f>HYPERLINK("http://www.informatics.jax.org/marker/MGI:98353","MGI:98353")</f>
        <v>MGI:98353</v>
      </c>
      <c r="J1047" s="7" t="s">
        <v>12</v>
      </c>
    </row>
    <row r="1048" spans="1:10" x14ac:dyDescent="0.2">
      <c r="A1048" s="3">
        <v>6228.4548915492596</v>
      </c>
      <c r="B1048" s="1">
        <v>0.161450116408555</v>
      </c>
      <c r="C1048" s="1">
        <v>8.9375232906553203E-4</v>
      </c>
      <c r="D1048" s="7">
        <v>1.26368559200994E-2</v>
      </c>
      <c r="E1048" s="1" t="s">
        <v>2374</v>
      </c>
      <c r="F1048" s="1" t="s">
        <v>2375</v>
      </c>
      <c r="G1048" s="1">
        <v>67154</v>
      </c>
      <c r="H1048" s="6" t="str">
        <f>HYPERLINK("http://www.ensembl.org/Mus_musculus/Gene/Summary?db=core;g=ENSMUSG00000022255","ENSMUSG00000022255")</f>
        <v>ENSMUSG00000022255</v>
      </c>
      <c r="I1048" s="6" t="str">
        <f>HYPERLINK("http://www.informatics.jax.org/marker/MGI:1914404","MGI:1914404")</f>
        <v>MGI:1914404</v>
      </c>
      <c r="J1048" s="7" t="s">
        <v>12</v>
      </c>
    </row>
    <row r="1049" spans="1:10" x14ac:dyDescent="0.2">
      <c r="A1049" s="3">
        <v>538.64012015889102</v>
      </c>
      <c r="B1049" s="1">
        <v>0.198458399912532</v>
      </c>
      <c r="C1049" s="1">
        <v>8.9100037890855902E-4</v>
      </c>
      <c r="D1049" s="7">
        <v>1.26368559200994E-2</v>
      </c>
      <c r="E1049" s="1" t="s">
        <v>2582</v>
      </c>
      <c r="F1049" s="1" t="s">
        <v>2583</v>
      </c>
      <c r="G1049" s="1">
        <v>232679</v>
      </c>
      <c r="H1049" s="6" t="str">
        <f>HYPERLINK("http://www.ensembl.org/Mus_musculus/Gene/Summary?db=core;g=ENSMUSG00000039130","ENSMUSG00000039130")</f>
        <v>ENSMUSG00000039130</v>
      </c>
      <c r="I1049" s="6" t="str">
        <f>HYPERLINK("http://www.informatics.jax.org/marker/MGI:1916023","MGI:1916023")</f>
        <v>MGI:1916023</v>
      </c>
      <c r="J1049" s="7" t="s">
        <v>12</v>
      </c>
    </row>
    <row r="1050" spans="1:10" x14ac:dyDescent="0.2">
      <c r="A1050" s="3">
        <v>347.16281931522002</v>
      </c>
      <c r="B1050" s="1">
        <v>0.25126196751303698</v>
      </c>
      <c r="C1050" s="1">
        <v>8.9418602408520805E-4</v>
      </c>
      <c r="D1050" s="7">
        <v>1.26368559200994E-2</v>
      </c>
      <c r="E1050" s="1" t="s">
        <v>2876</v>
      </c>
      <c r="F1050" s="1" t="s">
        <v>2877</v>
      </c>
      <c r="G1050" s="1">
        <v>70225</v>
      </c>
      <c r="H1050" s="6" t="str">
        <f>HYPERLINK("http://www.ensembl.org/Mus_musculus/Gene/Summary?db=core;g=ENSMUSG00000026035","ENSMUSG00000026035")</f>
        <v>ENSMUSG00000026035</v>
      </c>
      <c r="I1050" s="6" t="str">
        <f>HYPERLINK("http://www.informatics.jax.org/marker/MGI:1917475","MGI:1917475")</f>
        <v>MGI:1917475</v>
      </c>
      <c r="J1050" s="7" t="s">
        <v>12</v>
      </c>
    </row>
    <row r="1051" spans="1:10" x14ac:dyDescent="0.2">
      <c r="A1051" s="3">
        <v>3997.4033196073501</v>
      </c>
      <c r="B1051" s="1">
        <v>0.16303992023797301</v>
      </c>
      <c r="C1051" s="1">
        <v>8.97825119352186E-4</v>
      </c>
      <c r="D1051" s="7">
        <v>1.2672749960511299E-2</v>
      </c>
      <c r="E1051" s="1" t="s">
        <v>2384</v>
      </c>
      <c r="F1051" s="1" t="s">
        <v>2385</v>
      </c>
      <c r="G1051" s="1">
        <v>12181</v>
      </c>
      <c r="H1051" s="6" t="str">
        <f>HYPERLINK("http://www.ensembl.org/Mus_musculus/Gene/Summary?db=core;g=ENSMUSG00000022557","ENSMUSG00000022557")</f>
        <v>ENSMUSG00000022557</v>
      </c>
      <c r="I1051" s="6" t="str">
        <f>HYPERLINK("http://www.informatics.jax.org/marker/MGI:1334460","MGI:1334460")</f>
        <v>MGI:1334460</v>
      </c>
      <c r="J1051" s="7" t="s">
        <v>12</v>
      </c>
    </row>
    <row r="1052" spans="1:10" x14ac:dyDescent="0.2">
      <c r="A1052" s="3">
        <v>1708.2483600023199</v>
      </c>
      <c r="B1052" s="1">
        <v>0.17913492181669299</v>
      </c>
      <c r="C1052" s="1">
        <v>9.0391712739420604E-4</v>
      </c>
      <c r="D1052" s="7">
        <v>1.27465289849579E-2</v>
      </c>
      <c r="E1052" s="1" t="s">
        <v>2484</v>
      </c>
      <c r="F1052" s="1" t="s">
        <v>2485</v>
      </c>
      <c r="G1052" s="1">
        <v>67781</v>
      </c>
      <c r="H1052" s="6" t="str">
        <f>HYPERLINK("http://www.ensembl.org/Mus_musculus/Gene/Summary?db=core;g=ENSMUSG00000001016","ENSMUSG00000001016")</f>
        <v>ENSMUSG00000001016</v>
      </c>
      <c r="I1052" s="6" t="str">
        <f>HYPERLINK("http://www.informatics.jax.org/marker/MGI:1915031","MGI:1915031")</f>
        <v>MGI:1915031</v>
      </c>
      <c r="J1052" s="7" t="s">
        <v>12</v>
      </c>
    </row>
    <row r="1053" spans="1:10" x14ac:dyDescent="0.2">
      <c r="A1053" s="3">
        <v>112.087747482418</v>
      </c>
      <c r="B1053" s="1">
        <v>-0.43131495771287698</v>
      </c>
      <c r="C1053" s="1">
        <v>9.0922027237157102E-4</v>
      </c>
      <c r="D1053" s="7">
        <v>1.28090534738695E-2</v>
      </c>
      <c r="E1053" s="1" t="s">
        <v>1019</v>
      </c>
      <c r="F1053" s="1" t="s">
        <v>1020</v>
      </c>
      <c r="G1053" s="1">
        <v>93702</v>
      </c>
      <c r="H1053" s="6" t="str">
        <f>HYPERLINK("http://www.ensembl.org/Mus_musculus/Gene/Summary?db=core;g=ENSMUSG00000103749","ENSMUSG00000103749")</f>
        <v>ENSMUSG00000103749</v>
      </c>
      <c r="I1053" s="6" t="str">
        <f>HYPERLINK("http://www.informatics.jax.org/marker/MGI:1935196","MGI:1935196")</f>
        <v>MGI:1935196</v>
      </c>
      <c r="J1053" s="7" t="s">
        <v>12</v>
      </c>
    </row>
    <row r="1054" spans="1:10" x14ac:dyDescent="0.2">
      <c r="A1054" s="3">
        <v>178.67384363221399</v>
      </c>
      <c r="B1054" s="1">
        <v>-0.43847722201139999</v>
      </c>
      <c r="C1054" s="1">
        <v>9.1012704395487397E-4</v>
      </c>
      <c r="D1054" s="7">
        <v>1.2809581776235901E-2</v>
      </c>
      <c r="E1054" s="1" t="s">
        <v>967</v>
      </c>
      <c r="F1054" s="1" t="s">
        <v>968</v>
      </c>
      <c r="G1054" s="1" t="s">
        <v>45</v>
      </c>
      <c r="H1054" s="6" t="str">
        <f>HYPERLINK("http://www.ensembl.org/Mus_musculus/Gene/Summary?db=core;g=ENSMUSG00000089865","ENSMUSG00000089865")</f>
        <v>ENSMUSG00000089865</v>
      </c>
      <c r="I1054" s="6" t="str">
        <f>HYPERLINK("http://www.informatics.jax.org/marker/MGI:5141975","MGI:5141975")</f>
        <v>MGI:5141975</v>
      </c>
      <c r="J1054" s="7" t="s">
        <v>12</v>
      </c>
    </row>
    <row r="1055" spans="1:10" x14ac:dyDescent="0.2">
      <c r="A1055" s="3">
        <v>2492.1271566909099</v>
      </c>
      <c r="B1055" s="1">
        <v>0.144000166857148</v>
      </c>
      <c r="C1055" s="1">
        <v>9.1113837404984202E-4</v>
      </c>
      <c r="D1055" s="7">
        <v>1.2811579274807699E-2</v>
      </c>
      <c r="E1055" s="1" t="s">
        <v>2288</v>
      </c>
      <c r="F1055" s="1" t="s">
        <v>2289</v>
      </c>
      <c r="G1055" s="1">
        <v>320938</v>
      </c>
      <c r="H1055" s="6" t="str">
        <f>HYPERLINK("http://www.ensembl.org/Mus_musculus/Gene/Summary?db=core;g=ENSMUSG00000012535","ENSMUSG00000012535")</f>
        <v>ENSMUSG00000012535</v>
      </c>
      <c r="I1055" s="6" t="str">
        <f>HYPERLINK("http://www.informatics.jax.org/marker/MGI:1196412","MGI:1196412")</f>
        <v>MGI:1196412</v>
      </c>
      <c r="J1055" s="7" t="s">
        <v>12</v>
      </c>
    </row>
    <row r="1056" spans="1:10" x14ac:dyDescent="0.2">
      <c r="A1056" s="3">
        <v>586.87772490679197</v>
      </c>
      <c r="B1056" s="1">
        <v>-0.228731858546007</v>
      </c>
      <c r="C1056" s="1">
        <v>9.1464573361574601E-4</v>
      </c>
      <c r="D1056" s="7">
        <v>1.2848636349439099E-2</v>
      </c>
      <c r="E1056" s="1" t="s">
        <v>1772</v>
      </c>
      <c r="F1056" s="1" t="s">
        <v>1773</v>
      </c>
      <c r="G1056" s="1" t="s">
        <v>45</v>
      </c>
      <c r="H1056" s="6" t="str">
        <f>HYPERLINK("http://www.ensembl.org/Mus_musculus/Gene/Summary?db=core;g=ENSMUSG00000116069","ENSMUSG00000116069")</f>
        <v>ENSMUSG00000116069</v>
      </c>
      <c r="I1056" s="6" t="str">
        <f>HYPERLINK("http://www.informatics.jax.org/marker/MGI:6155200","MGI:6155200")</f>
        <v>MGI:6155200</v>
      </c>
      <c r="J1056" s="7" t="s">
        <v>12</v>
      </c>
    </row>
    <row r="1057" spans="1:10" x14ac:dyDescent="0.2">
      <c r="A1057" s="3">
        <v>466.70237368695098</v>
      </c>
      <c r="B1057" s="1">
        <v>-0.30438044977790402</v>
      </c>
      <c r="C1057" s="1">
        <v>9.2433488114322302E-4</v>
      </c>
      <c r="D1057" s="7">
        <v>1.2960036925334499E-2</v>
      </c>
      <c r="E1057" s="1" t="s">
        <v>1442</v>
      </c>
      <c r="F1057" s="1" t="s">
        <v>1443</v>
      </c>
      <c r="G1057" s="1">
        <v>329154</v>
      </c>
      <c r="H1057" s="6" t="str">
        <f>HYPERLINK("http://www.ensembl.org/Mus_musculus/Gene/Summary?db=core;g=ENSMUSG00000052331","ENSMUSG00000052331")</f>
        <v>ENSMUSG00000052331</v>
      </c>
      <c r="I1057" s="6" t="str">
        <f>HYPERLINK("http://www.informatics.jax.org/marker/MGI:3045243","MGI:3045243")</f>
        <v>MGI:3045243</v>
      </c>
      <c r="J1057" s="7" t="s">
        <v>12</v>
      </c>
    </row>
    <row r="1058" spans="1:10" x14ac:dyDescent="0.2">
      <c r="A1058" s="3">
        <v>227.449513541811</v>
      </c>
      <c r="B1058" s="1">
        <v>0.26625243669715698</v>
      </c>
      <c r="C1058" s="1">
        <v>9.2392742449613101E-4</v>
      </c>
      <c r="D1058" s="7">
        <v>1.2960036925334499E-2</v>
      </c>
      <c r="E1058" s="1" t="s">
        <v>2922</v>
      </c>
      <c r="F1058" s="1" t="s">
        <v>2923</v>
      </c>
      <c r="G1058" s="1">
        <v>226419</v>
      </c>
      <c r="H1058" s="6" t="str">
        <f>HYPERLINK("http://www.ensembl.org/Mus_musculus/Gene/Summary?db=core;g=ENSMUSG00000016526","ENSMUSG00000016526")</f>
        <v>ENSMUSG00000016526</v>
      </c>
      <c r="I1058" s="6" t="str">
        <f>HYPERLINK("http://www.informatics.jax.org/marker/MGI:1330300","MGI:1330300")</f>
        <v>MGI:1330300</v>
      </c>
      <c r="J1058" s="7" t="s">
        <v>12</v>
      </c>
    </row>
    <row r="1059" spans="1:10" x14ac:dyDescent="0.2">
      <c r="A1059" s="3">
        <v>202.07559827978099</v>
      </c>
      <c r="B1059" s="1">
        <v>0.28159968402389401</v>
      </c>
      <c r="C1059" s="1">
        <v>9.2999930820666205E-4</v>
      </c>
      <c r="D1059" s="7">
        <v>1.3027062552978501E-2</v>
      </c>
      <c r="E1059" s="1" t="s">
        <v>2970</v>
      </c>
      <c r="F1059" s="1" t="s">
        <v>2971</v>
      </c>
      <c r="G1059" s="1">
        <v>109135</v>
      </c>
      <c r="H1059" s="6" t="str">
        <f>HYPERLINK("http://www.ensembl.org/Mus_musculus/Gene/Summary?db=core;g=ENSMUSG00000030231","ENSMUSG00000030231")</f>
        <v>ENSMUSG00000030231</v>
      </c>
      <c r="I1059" s="6" t="str">
        <f>HYPERLINK("http://www.informatics.jax.org/marker/MGI:1923802","MGI:1923802")</f>
        <v>MGI:1923802</v>
      </c>
      <c r="J1059" s="7" t="s">
        <v>12</v>
      </c>
    </row>
    <row r="1060" spans="1:10" x14ac:dyDescent="0.2">
      <c r="A1060" s="3">
        <v>621.52000450518699</v>
      </c>
      <c r="B1060" s="1">
        <v>-0.679910156806388</v>
      </c>
      <c r="C1060" s="1">
        <v>9.3432717388319505E-4</v>
      </c>
      <c r="D1060" s="7">
        <v>1.3075256632804099E-2</v>
      </c>
      <c r="E1060" s="1" t="s">
        <v>580</v>
      </c>
      <c r="F1060" s="1" t="s">
        <v>581</v>
      </c>
      <c r="G1060" s="1">
        <v>21452</v>
      </c>
      <c r="H1060" s="6" t="str">
        <f>HYPERLINK("http://www.ensembl.org/Mus_musculus/Gene/Summary?db=core;g=ENSMUSG00000020432","ENSMUSG00000020432")</f>
        <v>ENSMUSG00000020432</v>
      </c>
      <c r="I1060" s="6" t="str">
        <f>HYPERLINK("http://www.informatics.jax.org/marker/MGI:98534","MGI:98534")</f>
        <v>MGI:98534</v>
      </c>
      <c r="J1060" s="7" t="s">
        <v>12</v>
      </c>
    </row>
    <row r="1061" spans="1:10" x14ac:dyDescent="0.2">
      <c r="A1061" s="3">
        <v>20.906848843417201</v>
      </c>
      <c r="B1061" s="1">
        <v>-1.2539078110858199</v>
      </c>
      <c r="C1061" s="1">
        <v>9.3583651437147196E-4</v>
      </c>
      <c r="D1061" s="7">
        <v>1.3082938213204399E-2</v>
      </c>
      <c r="E1061" s="1" t="s">
        <v>207</v>
      </c>
      <c r="F1061" s="1" t="s">
        <v>208</v>
      </c>
      <c r="G1061" s="1">
        <v>16891</v>
      </c>
      <c r="H1061" s="6" t="str">
        <f>HYPERLINK("http://www.ensembl.org/Mus_musculus/Gene/Summary?db=core;g=ENSMUSG00000053846","ENSMUSG00000053846")</f>
        <v>ENSMUSG00000053846</v>
      </c>
      <c r="I1061" s="6" t="str">
        <f>HYPERLINK("http://www.informatics.jax.org/marker/MGI:1341803","MGI:1341803")</f>
        <v>MGI:1341803</v>
      </c>
      <c r="J1061" s="7" t="s">
        <v>12</v>
      </c>
    </row>
    <row r="1062" spans="1:10" x14ac:dyDescent="0.2">
      <c r="A1062" s="3">
        <v>111.933818107234</v>
      </c>
      <c r="B1062" s="1">
        <v>-0.432972336920175</v>
      </c>
      <c r="C1062" s="1">
        <v>9.3665172468313104E-4</v>
      </c>
      <c r="D1062" s="7">
        <v>1.3082938213204399E-2</v>
      </c>
      <c r="E1062" s="1" t="s">
        <v>995</v>
      </c>
      <c r="F1062" s="1" t="s">
        <v>996</v>
      </c>
      <c r="G1062" s="1">
        <v>93703</v>
      </c>
      <c r="H1062" s="6" t="str">
        <f>HYPERLINK("http://www.ensembl.org/Mus_musculus/Gene/Summary?db=core;g=ENSMUSG00000103088","ENSMUSG00000103088")</f>
        <v>ENSMUSG00000103088</v>
      </c>
      <c r="I1062" s="6" t="str">
        <f>HYPERLINK("http://www.informatics.jax.org/marker/MGI:1935197","MGI:1935197")</f>
        <v>MGI:1935197</v>
      </c>
      <c r="J1062" s="7" t="s">
        <v>12</v>
      </c>
    </row>
    <row r="1063" spans="1:10" x14ac:dyDescent="0.2">
      <c r="A1063" s="3">
        <v>111.45064231572999</v>
      </c>
      <c r="B1063" s="1">
        <v>-0.43192830266229998</v>
      </c>
      <c r="C1063" s="1">
        <v>9.3862214775058701E-4</v>
      </c>
      <c r="D1063" s="7">
        <v>1.3098045425428599E-2</v>
      </c>
      <c r="E1063" s="1" t="s">
        <v>1015</v>
      </c>
      <c r="F1063" s="1" t="s">
        <v>1016</v>
      </c>
      <c r="G1063" s="1">
        <v>93724</v>
      </c>
      <c r="H1063" s="6" t="str">
        <f>HYPERLINK("http://www.ensembl.org/Mus_musculus/Gene/Summary?db=core;g=ENSMUSG00000102428","ENSMUSG00000102428")</f>
        <v>ENSMUSG00000102428</v>
      </c>
      <c r="I1063" s="6" t="str">
        <f>HYPERLINK("http://www.informatics.jax.org/marker/MGI:1935229","MGI:1935229")</f>
        <v>MGI:1935229</v>
      </c>
      <c r="J1063" s="7" t="s">
        <v>12</v>
      </c>
    </row>
    <row r="1064" spans="1:10" x14ac:dyDescent="0.2">
      <c r="A1064" s="3">
        <v>1058.8322835244401</v>
      </c>
      <c r="B1064" s="1">
        <v>0.15879474879800801</v>
      </c>
      <c r="C1064" s="1">
        <v>9.4309291992347895E-4</v>
      </c>
      <c r="D1064" s="7">
        <v>1.3147982278138501E-2</v>
      </c>
      <c r="E1064" s="1" t="s">
        <v>2364</v>
      </c>
      <c r="F1064" s="1" t="s">
        <v>2365</v>
      </c>
      <c r="G1064" s="1">
        <v>320806</v>
      </c>
      <c r="H1064" s="6" t="str">
        <f>HYPERLINK("http://www.ensembl.org/Mus_musculus/Gene/Summary?db=core;g=ENSMUSG00000021666","ENSMUSG00000021666")</f>
        <v>ENSMUSG00000021666</v>
      </c>
      <c r="I1064" s="6" t="str">
        <f>HYPERLINK("http://www.informatics.jax.org/marker/MGI:2444783","MGI:2444783")</f>
        <v>MGI:2444783</v>
      </c>
      <c r="J1064" s="7" t="s">
        <v>12</v>
      </c>
    </row>
    <row r="1065" spans="1:10" x14ac:dyDescent="0.2">
      <c r="A1065" s="3">
        <v>230.12357824903</v>
      </c>
      <c r="B1065" s="1">
        <v>0.332143446124607</v>
      </c>
      <c r="C1065" s="1">
        <v>9.4501097998399004E-4</v>
      </c>
      <c r="D1065" s="7">
        <v>1.3162270133312001E-2</v>
      </c>
      <c r="E1065" s="1" t="s">
        <v>3058</v>
      </c>
      <c r="F1065" s="1" t="s">
        <v>3059</v>
      </c>
      <c r="G1065" s="1">
        <v>18750</v>
      </c>
      <c r="H1065" s="6" t="str">
        <f>HYPERLINK("http://www.ensembl.org/Mus_musculus/Gene/Summary?db=core;g=ENSMUSG00000050965","ENSMUSG00000050965")</f>
        <v>ENSMUSG00000050965</v>
      </c>
      <c r="I1065" s="6" t="str">
        <f>HYPERLINK("http://www.informatics.jax.org/marker/MGI:97595","MGI:97595")</f>
        <v>MGI:97595</v>
      </c>
      <c r="J1065" s="7" t="s">
        <v>12</v>
      </c>
    </row>
    <row r="1066" spans="1:10" x14ac:dyDescent="0.2">
      <c r="A1066" s="3">
        <v>144.29067902051901</v>
      </c>
      <c r="B1066" s="1">
        <v>0.38247729113061002</v>
      </c>
      <c r="C1066" s="1">
        <v>9.48514356767424E-4</v>
      </c>
      <c r="D1066" s="7">
        <v>1.31985907094663E-2</v>
      </c>
      <c r="E1066" s="1" t="s">
        <v>3130</v>
      </c>
      <c r="F1066" s="1" t="s">
        <v>3131</v>
      </c>
      <c r="G1066" s="1">
        <v>74895</v>
      </c>
      <c r="H1066" s="6" t="str">
        <f>HYPERLINK("http://www.ensembl.org/Mus_musculus/Gene/Summary?db=core;g=ENSMUSG00000026578","ENSMUSG00000026578")</f>
        <v>ENSMUSG00000026578</v>
      </c>
      <c r="I1066" s="6" t="str">
        <f>HYPERLINK("http://www.informatics.jax.org/marker/MGI:1922145","MGI:1922145")</f>
        <v>MGI:1922145</v>
      </c>
      <c r="J1066" s="7" t="s">
        <v>12</v>
      </c>
    </row>
    <row r="1067" spans="1:10" x14ac:dyDescent="0.2">
      <c r="A1067" s="3">
        <v>891.22362112028497</v>
      </c>
      <c r="B1067" s="1">
        <v>-0.250722607884864</v>
      </c>
      <c r="C1067" s="1">
        <v>9.5446101890280498E-4</v>
      </c>
      <c r="D1067" s="7">
        <v>1.3268809032596E-2</v>
      </c>
      <c r="E1067" s="1" t="s">
        <v>1662</v>
      </c>
      <c r="F1067" s="1" t="s">
        <v>1663</v>
      </c>
      <c r="G1067" s="1">
        <v>78308</v>
      </c>
      <c r="H1067" s="6" t="str">
        <f>HYPERLINK("http://www.ensembl.org/Mus_musculus/Gene/Summary?db=core;g=ENSMUSG00000005823","ENSMUSG00000005823")</f>
        <v>ENSMUSG00000005823</v>
      </c>
      <c r="I1067" s="6" t="str">
        <f>HYPERLINK("http://www.informatics.jax.org/marker/MGI:1925558","MGI:1925558")</f>
        <v>MGI:1925558</v>
      </c>
      <c r="J1067" s="7" t="s">
        <v>12</v>
      </c>
    </row>
    <row r="1068" spans="1:10" x14ac:dyDescent="0.2">
      <c r="A1068" s="3">
        <v>416.542622601348</v>
      </c>
      <c r="B1068" s="1">
        <v>-0.43241502753627298</v>
      </c>
      <c r="C1068" s="1">
        <v>9.5647680292121296E-4</v>
      </c>
      <c r="D1068" s="7">
        <v>1.32842998754449E-2</v>
      </c>
      <c r="E1068" s="1" t="s">
        <v>999</v>
      </c>
      <c r="F1068" s="1" t="s">
        <v>1000</v>
      </c>
      <c r="G1068" s="1">
        <v>246703</v>
      </c>
      <c r="H1068" s="6" t="str">
        <f>HYPERLINK("http://www.ensembl.org/Mus_musculus/Gene/Summary?db=core;g=ENSMUSG00000028070","ENSMUSG00000028070")</f>
        <v>ENSMUSG00000028070</v>
      </c>
      <c r="I1068" s="6" t="str">
        <f>HYPERLINK("http://www.informatics.jax.org/marker/MGI:2180167","MGI:2180167")</f>
        <v>MGI:2180167</v>
      </c>
      <c r="J1068" s="7" t="s">
        <v>12</v>
      </c>
    </row>
    <row r="1069" spans="1:10" x14ac:dyDescent="0.2">
      <c r="A1069" s="3">
        <v>340.647164903987</v>
      </c>
      <c r="B1069" s="1">
        <v>-0.26569392396525499</v>
      </c>
      <c r="C1069" s="1">
        <v>9.5740068219765705E-4</v>
      </c>
      <c r="D1069" s="7">
        <v>1.32846105959178E-2</v>
      </c>
      <c r="E1069" s="1" t="s">
        <v>1596</v>
      </c>
      <c r="F1069" s="1" t="s">
        <v>1597</v>
      </c>
      <c r="G1069" s="1">
        <v>19651</v>
      </c>
      <c r="H1069" s="6" t="str">
        <f>HYPERLINK("http://www.ensembl.org/Mus_musculus/Gene/Summary?db=core;g=ENSMUSG00000031666","ENSMUSG00000031666")</f>
        <v>ENSMUSG00000031666</v>
      </c>
      <c r="I1069" s="6" t="str">
        <f>HYPERLINK("http://www.informatics.jax.org/marker/MGI:105085","MGI:105085")</f>
        <v>MGI:105085</v>
      </c>
      <c r="J1069" s="7" t="s">
        <v>12</v>
      </c>
    </row>
    <row r="1070" spans="1:10" x14ac:dyDescent="0.2">
      <c r="A1070" s="3">
        <v>2350.8140505531001</v>
      </c>
      <c r="B1070" s="1">
        <v>-0.17252812981407201</v>
      </c>
      <c r="C1070" s="1">
        <v>9.6424492578778905E-4</v>
      </c>
      <c r="D1070" s="7">
        <v>1.3366992687120299E-2</v>
      </c>
      <c r="E1070" s="1" t="s">
        <v>2044</v>
      </c>
      <c r="F1070" s="1" t="s">
        <v>2045</v>
      </c>
      <c r="G1070" s="1">
        <v>319622</v>
      </c>
      <c r="H1070" s="6" t="str">
        <f>HYPERLINK("http://www.ensembl.org/Mus_musculus/Gene/Summary?db=core;g=ENSMUSG00000095115","ENSMUSG00000095115")</f>
        <v>ENSMUSG00000095115</v>
      </c>
      <c r="I1070" s="6" t="str">
        <f>HYPERLINK("http://www.informatics.jax.org/marker/MGI:2442416","MGI:2442416")</f>
        <v>MGI:2442416</v>
      </c>
      <c r="J1070" s="7" t="s">
        <v>12</v>
      </c>
    </row>
    <row r="1071" spans="1:10" x14ac:dyDescent="0.2">
      <c r="A1071" s="3">
        <v>111.47613682962501</v>
      </c>
      <c r="B1071" s="1">
        <v>-0.433290858502691</v>
      </c>
      <c r="C1071" s="1">
        <v>9.68789045886494E-4</v>
      </c>
      <c r="D1071" s="7">
        <v>1.34173640791197E-2</v>
      </c>
      <c r="E1071" s="1" t="s">
        <v>991</v>
      </c>
      <c r="F1071" s="1" t="s">
        <v>992</v>
      </c>
      <c r="G1071" s="1">
        <v>93712</v>
      </c>
      <c r="H1071" s="6" t="str">
        <f>HYPERLINK("http://www.ensembl.org/Mus_musculus/Gene/Summary?db=core;g=ENSMUSG00000103677","ENSMUSG00000103677")</f>
        <v>ENSMUSG00000103677</v>
      </c>
      <c r="I1071" s="6" t="str">
        <f>HYPERLINK("http://www.informatics.jax.org/marker/MGI:1935216","MGI:1935216")</f>
        <v>MGI:1935216</v>
      </c>
      <c r="J1071" s="7" t="s">
        <v>12</v>
      </c>
    </row>
    <row r="1072" spans="1:10" x14ac:dyDescent="0.2">
      <c r="A1072" s="3">
        <v>111.455375365401</v>
      </c>
      <c r="B1072" s="1">
        <v>-0.43583039160270798</v>
      </c>
      <c r="C1072" s="1">
        <v>9.7238490982295696E-4</v>
      </c>
      <c r="D1072" s="7">
        <v>1.3454520217043299E-2</v>
      </c>
      <c r="E1072" s="1" t="s">
        <v>979</v>
      </c>
      <c r="F1072" s="1" t="s">
        <v>980</v>
      </c>
      <c r="G1072" s="1">
        <v>93716</v>
      </c>
      <c r="H1072" s="6" t="str">
        <f>HYPERLINK("http://www.ensembl.org/Mus_musculus/Gene/Summary?db=core;g=ENSMUSG00000103897","ENSMUSG00000103897")</f>
        <v>ENSMUSG00000103897</v>
      </c>
      <c r="I1072" s="6" t="str">
        <f>HYPERLINK("http://www.informatics.jax.org/marker/MGI:1935221","MGI:1935221")</f>
        <v>MGI:1935221</v>
      </c>
      <c r="J1072" s="7" t="s">
        <v>12</v>
      </c>
    </row>
    <row r="1073" spans="1:10" x14ac:dyDescent="0.2">
      <c r="A1073" s="3">
        <v>111.256721073546</v>
      </c>
      <c r="B1073" s="1">
        <v>-0.43224917670917601</v>
      </c>
      <c r="C1073" s="1">
        <v>9.74722968154395E-4</v>
      </c>
      <c r="D1073" s="7">
        <v>1.3461591057847401E-2</v>
      </c>
      <c r="E1073" s="1" t="s">
        <v>1001</v>
      </c>
      <c r="F1073" s="1" t="s">
        <v>1002</v>
      </c>
      <c r="G1073" s="1">
        <v>93707</v>
      </c>
      <c r="H1073" s="6" t="str">
        <f>HYPERLINK("http://www.ensembl.org/Mus_musculus/Gene/Summary?db=core;g=ENSMUSG00000023036","ENSMUSG00000023036")</f>
        <v>ENSMUSG00000023036</v>
      </c>
      <c r="I1073" s="6" t="str">
        <f>HYPERLINK("http://www.informatics.jax.org/marker/MGI:1935203","MGI:1935203")</f>
        <v>MGI:1935203</v>
      </c>
      <c r="J1073" s="7" t="s">
        <v>12</v>
      </c>
    </row>
    <row r="1074" spans="1:10" x14ac:dyDescent="0.2">
      <c r="A1074" s="3">
        <v>884.15678459342098</v>
      </c>
      <c r="B1074" s="1">
        <v>0.17291592351190899</v>
      </c>
      <c r="C1074" s="1">
        <v>9.7408025331276703E-4</v>
      </c>
      <c r="D1074" s="7">
        <v>1.3461591057847401E-2</v>
      </c>
      <c r="E1074" s="1" t="s">
        <v>2442</v>
      </c>
      <c r="F1074" s="1" t="s">
        <v>2443</v>
      </c>
      <c r="G1074" s="1">
        <v>67870</v>
      </c>
      <c r="H1074" s="6" t="str">
        <f>HYPERLINK("http://www.ensembl.org/Mus_musculus/Gene/Summary?db=core;g=ENSMUSG00000029326","ENSMUSG00000029326")</f>
        <v>ENSMUSG00000029326</v>
      </c>
      <c r="I1074" s="6" t="str">
        <f>HYPERLINK("http://www.informatics.jax.org/marker/MGI:1915120","MGI:1915120")</f>
        <v>MGI:1915120</v>
      </c>
      <c r="J1074" s="7" t="s">
        <v>12</v>
      </c>
    </row>
    <row r="1075" spans="1:10" x14ac:dyDescent="0.2">
      <c r="A1075" s="3">
        <v>2275.3577544661198</v>
      </c>
      <c r="B1075" s="1">
        <v>0.16994766341345999</v>
      </c>
      <c r="C1075" s="1">
        <v>9.7969729411444099E-4</v>
      </c>
      <c r="D1075" s="7">
        <v>1.35176210918262E-2</v>
      </c>
      <c r="E1075" s="1" t="s">
        <v>2422</v>
      </c>
      <c r="F1075" s="1" t="s">
        <v>2423</v>
      </c>
      <c r="G1075" s="1">
        <v>269470</v>
      </c>
      <c r="H1075" s="6" t="str">
        <f>HYPERLINK("http://www.ensembl.org/Mus_musculus/Gene/Summary?db=core;g=ENSMUSG00000033285","ENSMUSG00000033285")</f>
        <v>ENSMUSG00000033285</v>
      </c>
      <c r="I1075" s="6" t="str">
        <f>HYPERLINK("http://www.informatics.jax.org/marker/MGI:2443143","MGI:2443143")</f>
        <v>MGI:2443143</v>
      </c>
      <c r="J1075" s="7" t="s">
        <v>12</v>
      </c>
    </row>
    <row r="1076" spans="1:10" x14ac:dyDescent="0.2">
      <c r="A1076" s="3">
        <v>3.7961050607159699</v>
      </c>
      <c r="B1076" s="1">
        <v>1.47364794109729</v>
      </c>
      <c r="C1076" s="1">
        <v>9.8128075694719694E-4</v>
      </c>
      <c r="D1076" s="7">
        <v>1.352680377397E-2</v>
      </c>
      <c r="E1076" s="1" t="s">
        <v>3349</v>
      </c>
      <c r="F1076" s="1" t="s">
        <v>3350</v>
      </c>
      <c r="G1076" s="1" t="s">
        <v>45</v>
      </c>
      <c r="H1076" s="6" t="str">
        <f>HYPERLINK("http://www.ensembl.org/Mus_musculus/Gene/Summary?db=core;g=ENSMUSG00000084826","ENSMUSG00000084826")</f>
        <v>ENSMUSG00000084826</v>
      </c>
      <c r="I1076" s="6" t="str">
        <f>HYPERLINK("http://www.informatics.jax.org/marker/MGI:3528181","MGI:3528181")</f>
        <v>MGI:3528181</v>
      </c>
      <c r="J1076" s="7" t="s">
        <v>46</v>
      </c>
    </row>
    <row r="1077" spans="1:10" x14ac:dyDescent="0.2">
      <c r="A1077" s="3">
        <v>240.09970226940399</v>
      </c>
      <c r="B1077" s="1">
        <v>0.26971929954028101</v>
      </c>
      <c r="C1077" s="1">
        <v>9.8536472172837896E-4</v>
      </c>
      <c r="D1077" s="7">
        <v>1.3570406111578901E-2</v>
      </c>
      <c r="E1077" s="1" t="s">
        <v>2934</v>
      </c>
      <c r="F1077" s="1" t="s">
        <v>2935</v>
      </c>
      <c r="G1077" s="1" t="s">
        <v>45</v>
      </c>
      <c r="H1077" s="6" t="str">
        <f>HYPERLINK("http://www.ensembl.org/Mus_musculus/Gene/Summary?db=core;g=ENSMUSG00000085156","ENSMUSG00000085156")</f>
        <v>ENSMUSG00000085156</v>
      </c>
      <c r="I1077" s="6" t="str">
        <f>HYPERLINK("http://www.informatics.jax.org/marker/MGI:3650059","MGI:3650059")</f>
        <v>MGI:3650059</v>
      </c>
      <c r="J1077" s="7" t="s">
        <v>95</v>
      </c>
    </row>
    <row r="1078" spans="1:10" x14ac:dyDescent="0.2">
      <c r="A1078" s="3">
        <v>111.324412025399</v>
      </c>
      <c r="B1078" s="1">
        <v>-0.42986115875342801</v>
      </c>
      <c r="C1078" s="1">
        <v>9.8725902323824606E-4</v>
      </c>
      <c r="D1078" s="7">
        <v>1.35837992216982E-2</v>
      </c>
      <c r="E1078" s="1" t="s">
        <v>1023</v>
      </c>
      <c r="F1078" s="1" t="s">
        <v>1024</v>
      </c>
      <c r="G1078" s="1">
        <v>93715</v>
      </c>
      <c r="H1078" s="6" t="str">
        <f>HYPERLINK("http://www.ensembl.org/Mus_musculus/Gene/Summary?db=core;g=ENSMUSG00000103472","ENSMUSG00000103472")</f>
        <v>ENSMUSG00000103472</v>
      </c>
      <c r="I1078" s="6" t="str">
        <f>HYPERLINK("http://www.informatics.jax.org/marker/MGI:1935219","MGI:1935219")</f>
        <v>MGI:1935219</v>
      </c>
      <c r="J1078" s="7" t="s">
        <v>12</v>
      </c>
    </row>
    <row r="1079" spans="1:10" x14ac:dyDescent="0.2">
      <c r="A1079" s="3">
        <v>111.205661037187</v>
      </c>
      <c r="B1079" s="1">
        <v>-0.432215011117215</v>
      </c>
      <c r="C1079" s="1">
        <v>1.0011410185726401E-3</v>
      </c>
      <c r="D1079" s="7">
        <v>1.37235479531967E-2</v>
      </c>
      <c r="E1079" s="1" t="s">
        <v>1003</v>
      </c>
      <c r="F1079" s="1" t="s">
        <v>1004</v>
      </c>
      <c r="G1079" s="1">
        <v>93699</v>
      </c>
      <c r="H1079" s="6" t="str">
        <f>HYPERLINK("http://www.ensembl.org/Mus_musculus/Gene/Summary?db=core;g=ENSMUSG00000103037","ENSMUSG00000103037")</f>
        <v>ENSMUSG00000103037</v>
      </c>
      <c r="I1079" s="6" t="str">
        <f>HYPERLINK("http://www.informatics.jax.org/marker/MGI:1935169","MGI:1935169")</f>
        <v>MGI:1935169</v>
      </c>
      <c r="J1079" s="7" t="s">
        <v>12</v>
      </c>
    </row>
    <row r="1080" spans="1:10" x14ac:dyDescent="0.2">
      <c r="A1080" s="3">
        <v>111.205661037187</v>
      </c>
      <c r="B1080" s="1">
        <v>-0.432215011117215</v>
      </c>
      <c r="C1080" s="1">
        <v>1.0011410185726401E-3</v>
      </c>
      <c r="D1080" s="7">
        <v>1.37235479531967E-2</v>
      </c>
      <c r="E1080" s="1" t="s">
        <v>1005</v>
      </c>
      <c r="F1080" s="1" t="s">
        <v>1006</v>
      </c>
      <c r="G1080" s="1">
        <v>93714</v>
      </c>
      <c r="H1080" s="6" t="str">
        <f>HYPERLINK("http://www.ensembl.org/Mus_musculus/Gene/Summary?db=core;g=ENSMUSG00000103793","ENSMUSG00000103793")</f>
        <v>ENSMUSG00000103793</v>
      </c>
      <c r="I1080" s="6" t="str">
        <f>HYPERLINK("http://www.informatics.jax.org/marker/MGI:1935218","MGI:1935218")</f>
        <v>MGI:1935218</v>
      </c>
      <c r="J1080" s="7" t="s">
        <v>12</v>
      </c>
    </row>
    <row r="1081" spans="1:10" x14ac:dyDescent="0.2">
      <c r="A1081" s="3">
        <v>111.205661037187</v>
      </c>
      <c r="B1081" s="1">
        <v>-0.432215011117215</v>
      </c>
      <c r="C1081" s="1">
        <v>1.0011410185726401E-3</v>
      </c>
      <c r="D1081" s="7">
        <v>1.37235479531967E-2</v>
      </c>
      <c r="E1081" s="1" t="s">
        <v>1007</v>
      </c>
      <c r="F1081" s="1" t="s">
        <v>1008</v>
      </c>
      <c r="G1081" s="1">
        <v>93722</v>
      </c>
      <c r="H1081" s="6" t="str">
        <f>HYPERLINK("http://www.ensembl.org/Mus_musculus/Gene/Summary?db=core;g=ENSMUSG00000102222","ENSMUSG00000102222")</f>
        <v>ENSMUSG00000102222</v>
      </c>
      <c r="I1081" s="6" t="str">
        <f>HYPERLINK("http://www.informatics.jax.org/marker/MGI:1935227","MGI:1935227")</f>
        <v>MGI:1935227</v>
      </c>
      <c r="J1081" s="7" t="s">
        <v>12</v>
      </c>
    </row>
    <row r="1082" spans="1:10" x14ac:dyDescent="0.2">
      <c r="A1082" s="3">
        <v>78.332189600345203</v>
      </c>
      <c r="B1082" s="1">
        <v>0.38651211567902999</v>
      </c>
      <c r="C1082" s="1">
        <v>1.0008656751791601E-3</v>
      </c>
      <c r="D1082" s="7">
        <v>1.37235479531967E-2</v>
      </c>
      <c r="E1082" s="1" t="s">
        <v>3136</v>
      </c>
      <c r="F1082" s="1" t="s">
        <v>3137</v>
      </c>
      <c r="G1082" s="1">
        <v>433766</v>
      </c>
      <c r="H1082" s="6" t="str">
        <f>HYPERLINK("http://www.ensembl.org/Mus_musculus/Gene/Summary?db=core;g=ENSMUSG00000028834","ENSMUSG00000028834")</f>
        <v>ENSMUSG00000028834</v>
      </c>
      <c r="I1082" s="6" t="str">
        <f>HYPERLINK("http://www.informatics.jax.org/marker/MGI:2447992","MGI:2447992")</f>
        <v>MGI:2447992</v>
      </c>
      <c r="J1082" s="7" t="s">
        <v>12</v>
      </c>
    </row>
    <row r="1083" spans="1:10" x14ac:dyDescent="0.2">
      <c r="A1083" s="3">
        <v>1212.0288080984801</v>
      </c>
      <c r="B1083" s="1">
        <v>0.16879420392750499</v>
      </c>
      <c r="C1083" s="1">
        <v>1.0051925081426701E-3</v>
      </c>
      <c r="D1083" s="7">
        <v>1.3766279553894501E-2</v>
      </c>
      <c r="E1083" s="1" t="s">
        <v>2414</v>
      </c>
      <c r="F1083" s="1" t="s">
        <v>2415</v>
      </c>
      <c r="G1083" s="1">
        <v>56524</v>
      </c>
      <c r="H1083" s="6" t="str">
        <f>HYPERLINK("http://www.ensembl.org/Mus_musculus/Gene/Summary?db=core;g=ENSMUSG00000038388","ENSMUSG00000038388")</f>
        <v>ENSMUSG00000038388</v>
      </c>
      <c r="I1083" s="6" t="str">
        <f>HYPERLINK("http://www.informatics.jax.org/marker/MGI:1927340","MGI:1927340")</f>
        <v>MGI:1927340</v>
      </c>
      <c r="J1083" s="7" t="s">
        <v>12</v>
      </c>
    </row>
    <row r="1084" spans="1:10" x14ac:dyDescent="0.2">
      <c r="A1084" s="3">
        <v>111.30491967249699</v>
      </c>
      <c r="B1084" s="1">
        <v>-0.432196988945379</v>
      </c>
      <c r="C1084" s="1">
        <v>1.0126473074373299E-3</v>
      </c>
      <c r="D1084" s="7">
        <v>1.3842644454913299E-2</v>
      </c>
      <c r="E1084" s="1" t="s">
        <v>1009</v>
      </c>
      <c r="F1084" s="1" t="s">
        <v>1010</v>
      </c>
      <c r="G1084" s="1">
        <v>93701</v>
      </c>
      <c r="H1084" s="6" t="str">
        <f>HYPERLINK("http://www.ensembl.org/Mus_musculus/Gene/Summary?db=core;g=ENSMUSG00000103585","ENSMUSG00000103585")</f>
        <v>ENSMUSG00000103585</v>
      </c>
      <c r="I1084" s="6" t="str">
        <f>HYPERLINK("http://www.informatics.jax.org/marker/MGI:1935173","MGI:1935173")</f>
        <v>MGI:1935173</v>
      </c>
      <c r="J1084" s="7" t="s">
        <v>12</v>
      </c>
    </row>
    <row r="1085" spans="1:10" x14ac:dyDescent="0.2">
      <c r="A1085" s="3">
        <v>1563.8657383126999</v>
      </c>
      <c r="B1085" s="1">
        <v>-0.15868417434052501</v>
      </c>
      <c r="C1085" s="1">
        <v>1.01187112313618E-3</v>
      </c>
      <c r="D1085" s="7">
        <v>1.3842644454913299E-2</v>
      </c>
      <c r="E1085" s="1" t="s">
        <v>2088</v>
      </c>
      <c r="F1085" s="1" t="s">
        <v>2089</v>
      </c>
      <c r="G1085" s="1">
        <v>52690</v>
      </c>
      <c r="H1085" s="6" t="str">
        <f>HYPERLINK("http://www.ensembl.org/Mus_musculus/Gene/Summary?db=core;g=ENSMUSG00000056770","ENSMUSG00000056770")</f>
        <v>ENSMUSG00000056770</v>
      </c>
      <c r="I1085" s="6" t="str">
        <f>HYPERLINK("http://www.informatics.jax.org/marker/MGI:1289184","MGI:1289184")</f>
        <v>MGI:1289184</v>
      </c>
      <c r="J1085" s="7" t="s">
        <v>12</v>
      </c>
    </row>
    <row r="1086" spans="1:10" x14ac:dyDescent="0.2">
      <c r="A1086" s="3">
        <v>12.161329390291</v>
      </c>
      <c r="B1086" s="1">
        <v>-1.01580389544525</v>
      </c>
      <c r="C1086" s="1">
        <v>1.0172668472760401E-3</v>
      </c>
      <c r="D1086" s="7">
        <v>1.3886232083199E-2</v>
      </c>
      <c r="E1086" s="1" t="s">
        <v>337</v>
      </c>
      <c r="F1086" s="1" t="s">
        <v>338</v>
      </c>
      <c r="G1086" s="1" t="s">
        <v>45</v>
      </c>
      <c r="H1086" s="6" t="str">
        <f>HYPERLINK("http://www.ensembl.org/Mus_musculus/Gene/Summary?db=core;g=ENSMUSG00000072769","ENSMUSG00000072769")</f>
        <v>ENSMUSG00000072769</v>
      </c>
      <c r="I1086" s="6" t="str">
        <f>HYPERLINK("http://www.informatics.jax.org/marker/MGI:3642823","MGI:3642823")</f>
        <v>MGI:3642823</v>
      </c>
      <c r="J1086" s="7" t="s">
        <v>95</v>
      </c>
    </row>
    <row r="1087" spans="1:10" x14ac:dyDescent="0.2">
      <c r="A1087" s="3">
        <v>111.254923479879</v>
      </c>
      <c r="B1087" s="1">
        <v>-0.43219178110598899</v>
      </c>
      <c r="C1087" s="1">
        <v>1.0177205924168701E-3</v>
      </c>
      <c r="D1087" s="7">
        <v>1.3886232083199E-2</v>
      </c>
      <c r="E1087" s="1" t="s">
        <v>1011</v>
      </c>
      <c r="F1087" s="1" t="s">
        <v>1012</v>
      </c>
      <c r="G1087" s="1">
        <v>93710</v>
      </c>
      <c r="H1087" s="6" t="str">
        <f>HYPERLINK("http://www.ensembl.org/Mus_musculus/Gene/Summary?db=core;g=ENSMUSG00000103332","ENSMUSG00000103332")</f>
        <v>ENSMUSG00000103332</v>
      </c>
      <c r="I1087" s="6" t="str">
        <f>HYPERLINK("http://www.informatics.jax.org/marker/MGI:1935214","MGI:1935214")</f>
        <v>MGI:1935214</v>
      </c>
      <c r="J1087" s="7" t="s">
        <v>12</v>
      </c>
    </row>
    <row r="1088" spans="1:10" x14ac:dyDescent="0.2">
      <c r="A1088" s="3">
        <v>2910.4308696438202</v>
      </c>
      <c r="B1088" s="1">
        <v>0.26267810966701499</v>
      </c>
      <c r="C1088" s="1">
        <v>1.0302611669846099E-3</v>
      </c>
      <c r="D1088" s="7">
        <v>1.4044337240226801E-2</v>
      </c>
      <c r="E1088" s="1" t="s">
        <v>2916</v>
      </c>
      <c r="F1088" s="1" t="s">
        <v>2917</v>
      </c>
      <c r="G1088" s="1">
        <v>56421</v>
      </c>
      <c r="H1088" s="6" t="str">
        <f>HYPERLINK("http://www.ensembl.org/Mus_musculus/Gene/Summary?db=core;g=ENSMUSG00000021196","ENSMUSG00000021196")</f>
        <v>ENSMUSG00000021196</v>
      </c>
      <c r="I1088" s="6" t="str">
        <f>HYPERLINK("http://www.informatics.jax.org/marker/MGI:1891833","MGI:1891833")</f>
        <v>MGI:1891833</v>
      </c>
      <c r="J1088" s="7" t="s">
        <v>12</v>
      </c>
    </row>
    <row r="1089" spans="1:10" x14ac:dyDescent="0.2">
      <c r="A1089" s="3">
        <v>1593.60751700779</v>
      </c>
      <c r="B1089" s="1">
        <v>-0.19657961947827499</v>
      </c>
      <c r="C1089" s="1">
        <v>1.0340129810638601E-3</v>
      </c>
      <c r="D1089" s="7">
        <v>1.4082454056337399E-2</v>
      </c>
      <c r="E1089" s="1" t="s">
        <v>1932</v>
      </c>
      <c r="F1089" s="1" t="s">
        <v>1933</v>
      </c>
      <c r="G1089" s="1">
        <v>235574</v>
      </c>
      <c r="H1089" s="6" t="str">
        <f>HYPERLINK("http://www.ensembl.org/Mus_musculus/Gene/Summary?db=core;g=ENSMUSG00000032570","ENSMUSG00000032570")</f>
        <v>ENSMUSG00000032570</v>
      </c>
      <c r="I1089" s="6" t="str">
        <f>HYPERLINK("http://www.informatics.jax.org/marker/MGI:1889008","MGI:1889008")</f>
        <v>MGI:1889008</v>
      </c>
      <c r="J1089" s="7" t="s">
        <v>12</v>
      </c>
    </row>
    <row r="1090" spans="1:10" x14ac:dyDescent="0.2">
      <c r="A1090" s="3">
        <v>3289.36808300546</v>
      </c>
      <c r="B1090" s="1">
        <v>0.18196870425040201</v>
      </c>
      <c r="C1090" s="1">
        <v>1.0375245874018201E-3</v>
      </c>
      <c r="D1090" s="7">
        <v>1.4117232059051899E-2</v>
      </c>
      <c r="E1090" s="1" t="s">
        <v>2498</v>
      </c>
      <c r="F1090" s="1" t="s">
        <v>2499</v>
      </c>
      <c r="G1090" s="1">
        <v>70683</v>
      </c>
      <c r="H1090" s="6" t="str">
        <f>HYPERLINK("http://www.ensembl.org/Mus_musculus/Gene/Summary?db=core;g=ENSMUSG00000004356","ENSMUSG00000004356")</f>
        <v>ENSMUSG00000004356</v>
      </c>
      <c r="I1090" s="6" t="str">
        <f>HYPERLINK("http://www.informatics.jax.org/marker/MGI:1917933","MGI:1917933")</f>
        <v>MGI:1917933</v>
      </c>
      <c r="J1090" s="7" t="s">
        <v>12</v>
      </c>
    </row>
    <row r="1091" spans="1:10" x14ac:dyDescent="0.2">
      <c r="A1091" s="3">
        <v>111.30451543735499</v>
      </c>
      <c r="B1091" s="1">
        <v>-0.42983738671553701</v>
      </c>
      <c r="C1091" s="1">
        <v>1.0397326251458199E-3</v>
      </c>
      <c r="D1091" s="7">
        <v>1.41342250591778E-2</v>
      </c>
      <c r="E1091" s="1" t="s">
        <v>1025</v>
      </c>
      <c r="F1091" s="1" t="s">
        <v>1026</v>
      </c>
      <c r="G1091" s="1">
        <v>93717</v>
      </c>
      <c r="H1091" s="6" t="str">
        <f>HYPERLINK("http://www.ensembl.org/Mus_musculus/Gene/Summary?db=core;g=ENSMUSG00000102440","ENSMUSG00000102440")</f>
        <v>ENSMUSG00000102440</v>
      </c>
      <c r="I1091" s="6" t="str">
        <f>HYPERLINK("http://www.informatics.jax.org/marker/MGI:1935226","MGI:1935226")</f>
        <v>MGI:1935226</v>
      </c>
      <c r="J1091" s="7" t="s">
        <v>12</v>
      </c>
    </row>
    <row r="1092" spans="1:10" x14ac:dyDescent="0.2">
      <c r="A1092" s="3">
        <v>112.306127981548</v>
      </c>
      <c r="B1092" s="1">
        <v>-0.42946611356988001</v>
      </c>
      <c r="C1092" s="1">
        <v>1.0413786548804E-3</v>
      </c>
      <c r="D1092" s="7">
        <v>1.41435537864678E-2</v>
      </c>
      <c r="E1092" s="1" t="s">
        <v>1029</v>
      </c>
      <c r="F1092" s="1" t="s">
        <v>1030</v>
      </c>
      <c r="G1092" s="1">
        <v>93700</v>
      </c>
      <c r="H1092" s="6" t="str">
        <f>HYPERLINK("http://www.ensembl.org/Mus_musculus/Gene/Summary?db=core;g=ENSMUSG00000102748","ENSMUSG00000102748")</f>
        <v>ENSMUSG00000102748</v>
      </c>
      <c r="I1092" s="6" t="str">
        <f>HYPERLINK("http://www.informatics.jax.org/marker/MGI:1935170","MGI:1935170")</f>
        <v>MGI:1935170</v>
      </c>
      <c r="J1092" s="7" t="s">
        <v>12</v>
      </c>
    </row>
    <row r="1093" spans="1:10" x14ac:dyDescent="0.2">
      <c r="A1093" s="3">
        <v>1810.9573136367201</v>
      </c>
      <c r="B1093" s="1">
        <v>-0.13759614676075399</v>
      </c>
      <c r="C1093" s="1">
        <v>1.04558185108932E-3</v>
      </c>
      <c r="D1093" s="7">
        <v>1.41875636810794E-2</v>
      </c>
      <c r="E1093" s="1" t="s">
        <v>2144</v>
      </c>
      <c r="F1093" s="1" t="s">
        <v>2145</v>
      </c>
      <c r="G1093" s="1">
        <v>235442</v>
      </c>
      <c r="H1093" s="6" t="str">
        <f>HYPERLINK("http://www.ensembl.org/Mus_musculus/Gene/Summary?db=core;g=ENSMUSG00000036943","ENSMUSG00000036943")</f>
        <v>ENSMUSG00000036943</v>
      </c>
      <c r="I1093" s="6" t="str">
        <f>HYPERLINK("http://www.informatics.jax.org/marker/MGI:2442982","MGI:2442982")</f>
        <v>MGI:2442982</v>
      </c>
      <c r="J1093" s="7" t="s">
        <v>12</v>
      </c>
    </row>
    <row r="1094" spans="1:10" x14ac:dyDescent="0.2">
      <c r="A1094" s="3">
        <v>111.318229158512</v>
      </c>
      <c r="B1094" s="1">
        <v>-0.43214851597699</v>
      </c>
      <c r="C1094" s="1">
        <v>1.04968057663894E-3</v>
      </c>
      <c r="D1094" s="7">
        <v>1.42169972218304E-2</v>
      </c>
      <c r="E1094" s="1" t="s">
        <v>1013</v>
      </c>
      <c r="F1094" s="1" t="s">
        <v>1014</v>
      </c>
      <c r="G1094" s="1">
        <v>93713</v>
      </c>
      <c r="H1094" s="6" t="str">
        <f>HYPERLINK("http://www.ensembl.org/Mus_musculus/Gene/Summary?db=core;g=ENSMUSG00000103567","ENSMUSG00000103567")</f>
        <v>ENSMUSG00000103567</v>
      </c>
      <c r="I1094" s="6" t="str">
        <f>HYPERLINK("http://www.informatics.jax.org/marker/MGI:1935217","MGI:1935217")</f>
        <v>MGI:1935217</v>
      </c>
      <c r="J1094" s="7" t="s">
        <v>12</v>
      </c>
    </row>
    <row r="1095" spans="1:10" x14ac:dyDescent="0.2">
      <c r="A1095" s="3">
        <v>821.58317449080801</v>
      </c>
      <c r="B1095" s="1">
        <v>-0.23039703624916599</v>
      </c>
      <c r="C1095" s="1">
        <v>1.04942491051072E-3</v>
      </c>
      <c r="D1095" s="7">
        <v>1.42169972218304E-2</v>
      </c>
      <c r="E1095" s="1" t="s">
        <v>1758</v>
      </c>
      <c r="F1095" s="1" t="s">
        <v>1759</v>
      </c>
      <c r="G1095" s="1">
        <v>26431</v>
      </c>
      <c r="H1095" s="6" t="str">
        <f>HYPERLINK("http://www.ensembl.org/Mus_musculus/Gene/Summary?db=core;g=ENSMUSG00000041890","ENSMUSG00000041890")</f>
        <v>ENSMUSG00000041890</v>
      </c>
      <c r="I1095" s="6" t="str">
        <f>HYPERLINK("http://www.informatics.jax.org/marker/MGI:1347053","MGI:1347053")</f>
        <v>MGI:1347053</v>
      </c>
      <c r="J1095" s="7" t="s">
        <v>12</v>
      </c>
    </row>
    <row r="1096" spans="1:10" x14ac:dyDescent="0.2">
      <c r="A1096" s="3">
        <v>353.17020255599198</v>
      </c>
      <c r="B1096" s="1">
        <v>-0.92654695191275904</v>
      </c>
      <c r="C1096" s="1">
        <v>1.0515925023494601E-3</v>
      </c>
      <c r="D1096" s="7">
        <v>1.4229813695704E-2</v>
      </c>
      <c r="E1096" s="1" t="s">
        <v>387</v>
      </c>
      <c r="F1096" s="1" t="s">
        <v>388</v>
      </c>
      <c r="G1096" s="1">
        <v>231805</v>
      </c>
      <c r="H1096" s="6" t="str">
        <f>HYPERLINK("http://www.ensembl.org/Mus_musculus/Gene/Summary?db=core;g=ENSMUSG00000046245","ENSMUSG00000046245")</f>
        <v>ENSMUSG00000046245</v>
      </c>
      <c r="I1096" s="6" t="str">
        <f>HYPERLINK("http://www.informatics.jax.org/marker/MGI:2450529","MGI:2450529")</f>
        <v>MGI:2450529</v>
      </c>
      <c r="J1096" s="7" t="s">
        <v>12</v>
      </c>
    </row>
    <row r="1097" spans="1:10" x14ac:dyDescent="0.2">
      <c r="A1097" s="3">
        <v>111.66487660285</v>
      </c>
      <c r="B1097" s="1">
        <v>-0.433531648415733</v>
      </c>
      <c r="C1097" s="1">
        <v>1.05984781238768E-3</v>
      </c>
      <c r="D1097" s="7">
        <v>1.4328364553527401E-2</v>
      </c>
      <c r="E1097" s="1" t="s">
        <v>989</v>
      </c>
      <c r="F1097" s="1" t="s">
        <v>990</v>
      </c>
      <c r="G1097" s="1" t="s">
        <v>45</v>
      </c>
      <c r="H1097" s="6" t="str">
        <f>HYPERLINK("http://www.ensembl.org/Mus_musculus/Gene/Summary?db=core;g=ENSMUSG00000103081","ENSMUSG00000103081")</f>
        <v>ENSMUSG00000103081</v>
      </c>
      <c r="I1097" s="6" t="str">
        <f>HYPERLINK("http://www.informatics.jax.org/marker/MGI:1935200","MGI:1935200")</f>
        <v>MGI:1935200</v>
      </c>
      <c r="J1097" s="7" t="s">
        <v>427</v>
      </c>
    </row>
    <row r="1098" spans="1:10" x14ac:dyDescent="0.2">
      <c r="A1098" s="3">
        <v>425.85837043858902</v>
      </c>
      <c r="B1098" s="1">
        <v>0.27937369367472398</v>
      </c>
      <c r="C1098" s="1">
        <v>1.06633016873501E-3</v>
      </c>
      <c r="D1098" s="7">
        <v>1.44027876869652E-2</v>
      </c>
      <c r="E1098" s="1" t="s">
        <v>2962</v>
      </c>
      <c r="F1098" s="1" t="s">
        <v>2963</v>
      </c>
      <c r="G1098" s="1">
        <v>109054</v>
      </c>
      <c r="H1098" s="6" t="str">
        <f>HYPERLINK("http://www.ensembl.org/Mus_musculus/Gene/Summary?db=core;g=ENSMUSG00000052033","ENSMUSG00000052033")</f>
        <v>ENSMUSG00000052033</v>
      </c>
      <c r="I1098" s="6" t="str">
        <f>HYPERLINK("http://www.informatics.jax.org/marker/MGI:1923512","MGI:1923512")</f>
        <v>MGI:1923512</v>
      </c>
      <c r="J1098" s="7" t="s">
        <v>12</v>
      </c>
    </row>
    <row r="1099" spans="1:10" x14ac:dyDescent="0.2">
      <c r="A1099" s="3">
        <v>205.06302764941699</v>
      </c>
      <c r="B1099" s="1">
        <v>-0.418541428021105</v>
      </c>
      <c r="C1099" s="1">
        <v>1.0681486560779501E-3</v>
      </c>
      <c r="D1099" s="7">
        <v>1.44031199070729E-2</v>
      </c>
      <c r="E1099" s="1" t="s">
        <v>1057</v>
      </c>
      <c r="F1099" s="1" t="s">
        <v>1058</v>
      </c>
      <c r="G1099" s="1">
        <v>72278</v>
      </c>
      <c r="H1099" s="6" t="str">
        <f>HYPERLINK("http://www.ensembl.org/Mus_musculus/Gene/Summary?db=core;g=ENSMUSG00000034563","ENSMUSG00000034563")</f>
        <v>ENSMUSG00000034563</v>
      </c>
      <c r="I1099" s="6" t="str">
        <f>HYPERLINK("http://www.informatics.jax.org/marker/MGI:1196419","MGI:1196419")</f>
        <v>MGI:1196419</v>
      </c>
      <c r="J1099" s="7" t="s">
        <v>12</v>
      </c>
    </row>
    <row r="1100" spans="1:10" x14ac:dyDescent="0.2">
      <c r="A1100" s="3">
        <v>3496.8988273741202</v>
      </c>
      <c r="B1100" s="1">
        <v>0.117664139330499</v>
      </c>
      <c r="C1100" s="1">
        <v>1.06830958594128E-3</v>
      </c>
      <c r="D1100" s="7">
        <v>1.44031199070729E-2</v>
      </c>
      <c r="E1100" s="1" t="s">
        <v>2216</v>
      </c>
      <c r="F1100" s="1" t="s">
        <v>2217</v>
      </c>
      <c r="G1100" s="1">
        <v>234366</v>
      </c>
      <c r="H1100" s="6" t="str">
        <f>HYPERLINK("http://www.ensembl.org/Mus_musculus/Gene/Summary?db=core;g=ENSMUSG00000036180","ENSMUSG00000036180")</f>
        <v>ENSMUSG00000036180</v>
      </c>
      <c r="I1100" s="6" t="str">
        <f>HYPERLINK("http://www.informatics.jax.org/marker/MGI:2384585","MGI:2384585")</f>
        <v>MGI:2384585</v>
      </c>
      <c r="J1100" s="7" t="s">
        <v>12</v>
      </c>
    </row>
    <row r="1101" spans="1:10" x14ac:dyDescent="0.2">
      <c r="A1101" s="3">
        <v>89.662570297662896</v>
      </c>
      <c r="B1101" s="1">
        <v>-0.36319145402577402</v>
      </c>
      <c r="C1101" s="1">
        <v>1.0701119293558001E-3</v>
      </c>
      <c r="D1101" s="7">
        <v>1.44142316188181E-2</v>
      </c>
      <c r="E1101" s="1" t="s">
        <v>1196</v>
      </c>
      <c r="F1101" s="1" t="s">
        <v>1197</v>
      </c>
      <c r="G1101" s="1">
        <v>15213</v>
      </c>
      <c r="H1101" s="6" t="str">
        <f>HYPERLINK("http://www.ensembl.org/Mus_musculus/Gene/Summary?db=core;g=ENSMUSG00000040289","ENSMUSG00000040289")</f>
        <v>ENSMUSG00000040289</v>
      </c>
      <c r="I1101" s="6" t="str">
        <f>HYPERLINK("http://www.informatics.jax.org/marker/MGI:1341800","MGI:1341800")</f>
        <v>MGI:1341800</v>
      </c>
      <c r="J1101" s="7" t="s">
        <v>12</v>
      </c>
    </row>
    <row r="1102" spans="1:10" x14ac:dyDescent="0.2">
      <c r="A1102" s="3">
        <v>419.49753908656101</v>
      </c>
      <c r="B1102" s="1">
        <v>-0.25257746107884899</v>
      </c>
      <c r="C1102" s="1">
        <v>1.0794060565878299E-3</v>
      </c>
      <c r="D1102" s="7">
        <v>1.4526143972491599E-2</v>
      </c>
      <c r="E1102" s="1" t="s">
        <v>1650</v>
      </c>
      <c r="F1102" s="1" t="s">
        <v>1651</v>
      </c>
      <c r="G1102" s="1">
        <v>57257</v>
      </c>
      <c r="H1102" s="6" t="str">
        <f>HYPERLINK("http://www.ensembl.org/Mus_musculus/Gene/Summary?db=core;g=ENSMUSG00000033721","ENSMUSG00000033721")</f>
        <v>ENSMUSG00000033721</v>
      </c>
      <c r="I1102" s="6" t="str">
        <f>HYPERLINK("http://www.informatics.jax.org/marker/MGI:1888518","MGI:1888518")</f>
        <v>MGI:1888518</v>
      </c>
      <c r="J1102" s="7" t="s">
        <v>12</v>
      </c>
    </row>
    <row r="1103" spans="1:10" x14ac:dyDescent="0.2">
      <c r="A1103" s="3">
        <v>19.220867322946798</v>
      </c>
      <c r="B1103" s="1">
        <v>-0.75373242078751401</v>
      </c>
      <c r="C1103" s="1">
        <v>1.0967942510577201E-3</v>
      </c>
      <c r="D1103" s="7">
        <v>1.47466789083819E-2</v>
      </c>
      <c r="E1103" s="1" t="s">
        <v>520</v>
      </c>
      <c r="F1103" s="1" t="s">
        <v>521</v>
      </c>
      <c r="G1103" s="1">
        <v>70789</v>
      </c>
      <c r="H1103" s="6" t="str">
        <f>HYPERLINK("http://www.ensembl.org/Mus_musculus/Gene/Summary?db=core;g=ENSMUSG00000026866","ENSMUSG00000026866")</f>
        <v>ENSMUSG00000026866</v>
      </c>
      <c r="I1103" s="6" t="str">
        <f>HYPERLINK("http://www.informatics.jax.org/marker/MGI:1918039","MGI:1918039")</f>
        <v>MGI:1918039</v>
      </c>
      <c r="J1103" s="7" t="s">
        <v>12</v>
      </c>
    </row>
    <row r="1104" spans="1:10" x14ac:dyDescent="0.2">
      <c r="A1104" s="3">
        <v>209.96542269490399</v>
      </c>
      <c r="B1104" s="1">
        <v>-0.31656374275369897</v>
      </c>
      <c r="C1104" s="1">
        <v>1.1038157218275801E-3</v>
      </c>
      <c r="D1104" s="7">
        <v>1.4827555585096901E-2</v>
      </c>
      <c r="E1104" s="1" t="s">
        <v>1364</v>
      </c>
      <c r="F1104" s="1" t="s">
        <v>1365</v>
      </c>
      <c r="G1104" s="1">
        <v>68563</v>
      </c>
      <c r="H1104" s="6" t="str">
        <f>HYPERLINK("http://www.ensembl.org/Mus_musculus/Gene/Summary?db=core;g=ENSMUSG00000042737","ENSMUSG00000042737")</f>
        <v>ENSMUSG00000042737</v>
      </c>
      <c r="I1104" s="6" t="str">
        <f>HYPERLINK("http://www.informatics.jax.org/marker/MGI:1915813","MGI:1915813")</f>
        <v>MGI:1915813</v>
      </c>
      <c r="J1104" s="7" t="s">
        <v>12</v>
      </c>
    </row>
    <row r="1105" spans="1:10" x14ac:dyDescent="0.2">
      <c r="A1105" s="3">
        <v>132.526326391841</v>
      </c>
      <c r="B1105" s="1">
        <v>0.34573477400511698</v>
      </c>
      <c r="C1105" s="1">
        <v>1.10819189351158E-3</v>
      </c>
      <c r="D1105" s="7">
        <v>1.48727830080024E-2</v>
      </c>
      <c r="E1105" s="1" t="s">
        <v>3086</v>
      </c>
      <c r="F1105" s="1" t="s">
        <v>3087</v>
      </c>
      <c r="G1105" s="1">
        <v>227210</v>
      </c>
      <c r="H1105" s="6" t="str">
        <f>HYPERLINK("http://www.ensembl.org/Mus_musculus/Gene/Summary?db=core;g=ENSMUSG00000070871","ENSMUSG00000070871")</f>
        <v>ENSMUSG00000070871</v>
      </c>
      <c r="I1105" s="6" t="str">
        <f>HYPERLINK("http://www.informatics.jax.org/marker/MGI:2138614","MGI:2138614")</f>
        <v>MGI:2138614</v>
      </c>
      <c r="J1105" s="7" t="s">
        <v>12</v>
      </c>
    </row>
    <row r="1106" spans="1:10" x14ac:dyDescent="0.2">
      <c r="A1106" s="3">
        <v>341.57998130926899</v>
      </c>
      <c r="B1106" s="1">
        <v>-0.30457089249470598</v>
      </c>
      <c r="C1106" s="1">
        <v>1.1167912831774401E-3</v>
      </c>
      <c r="D1106" s="7">
        <v>1.4974555367518501E-2</v>
      </c>
      <c r="E1106" s="1" t="s">
        <v>1438</v>
      </c>
      <c r="F1106" s="1" t="s">
        <v>1439</v>
      </c>
      <c r="G1106" s="1">
        <v>52055</v>
      </c>
      <c r="H1106" s="6" t="str">
        <f>HYPERLINK("http://www.ensembl.org/Mus_musculus/Gene/Summary?db=core;g=ENSMUSG00000051343","ENSMUSG00000051343")</f>
        <v>ENSMUSG00000051343</v>
      </c>
      <c r="I1106" s="6" t="str">
        <f>HYPERLINK("http://www.informatics.jax.org/marker/MGI:1098586","MGI:1098586")</f>
        <v>MGI:1098586</v>
      </c>
      <c r="J1106" s="7" t="s">
        <v>12</v>
      </c>
    </row>
    <row r="1107" spans="1:10" x14ac:dyDescent="0.2">
      <c r="A1107" s="3">
        <v>256.32156806284399</v>
      </c>
      <c r="B1107" s="1">
        <v>-1.21771797810028</v>
      </c>
      <c r="C1107" s="1">
        <v>1.12411130081763E-3</v>
      </c>
      <c r="D1107" s="7">
        <v>1.5059003753498701E-2</v>
      </c>
      <c r="E1107" s="1" t="s">
        <v>225</v>
      </c>
      <c r="F1107" s="1" t="s">
        <v>226</v>
      </c>
      <c r="G1107" s="1">
        <v>54199</v>
      </c>
      <c r="H1107" s="6" t="str">
        <f>HYPERLINK("http://www.ensembl.org/Mus_musculus/Gene/Summary?db=core;g=ENSMUSG00000043953","ENSMUSG00000043953")</f>
        <v>ENSMUSG00000043953</v>
      </c>
      <c r="I1107" s="6" t="str">
        <f>HYPERLINK("http://www.informatics.jax.org/marker/MGI:1920904","MGI:1920904")</f>
        <v>MGI:1920904</v>
      </c>
      <c r="J1107" s="7" t="s">
        <v>12</v>
      </c>
    </row>
    <row r="1108" spans="1:10" x14ac:dyDescent="0.2">
      <c r="A1108" s="3">
        <v>635.96098848613701</v>
      </c>
      <c r="B1108" s="1">
        <v>-1.27865373268194</v>
      </c>
      <c r="C1108" s="1">
        <v>1.13064119922995E-3</v>
      </c>
      <c r="D1108" s="7">
        <v>1.51052844169107E-2</v>
      </c>
      <c r="E1108" s="1" t="s">
        <v>193</v>
      </c>
      <c r="F1108" s="1" t="s">
        <v>194</v>
      </c>
      <c r="G1108" s="1">
        <v>15959</v>
      </c>
      <c r="H1108" s="6" t="str">
        <f>HYPERLINK("http://www.ensembl.org/Mus_musculus/Gene/Summary?db=core;g=ENSMUSG00000074896","ENSMUSG00000074896")</f>
        <v>ENSMUSG00000074896</v>
      </c>
      <c r="I1108" s="6" t="str">
        <f>HYPERLINK("http://www.informatics.jax.org/marker/MGI:1101055","MGI:1101055")</f>
        <v>MGI:1101055</v>
      </c>
      <c r="J1108" s="7" t="s">
        <v>12</v>
      </c>
    </row>
    <row r="1109" spans="1:10" x14ac:dyDescent="0.2">
      <c r="A1109" s="3">
        <v>25.871195670144299</v>
      </c>
      <c r="B1109" s="1">
        <v>-0.70946756655165699</v>
      </c>
      <c r="C1109" s="1">
        <v>1.13035367806077E-3</v>
      </c>
      <c r="D1109" s="7">
        <v>1.51052844169107E-2</v>
      </c>
      <c r="E1109" s="1" t="s">
        <v>546</v>
      </c>
      <c r="F1109" s="1" t="s">
        <v>547</v>
      </c>
      <c r="G1109" s="1">
        <v>76498</v>
      </c>
      <c r="H1109" s="6" t="str">
        <f>HYPERLINK("http://www.ensembl.org/Mus_musculus/Gene/Summary?db=core;g=ENSMUSG00000023909","ENSMUSG00000023909")</f>
        <v>ENSMUSG00000023909</v>
      </c>
      <c r="I1109" s="6" t="str">
        <f>HYPERLINK("http://www.informatics.jax.org/marker/MGI:1923748","MGI:1923748")</f>
        <v>MGI:1923748</v>
      </c>
      <c r="J1109" s="7" t="s">
        <v>12</v>
      </c>
    </row>
    <row r="1110" spans="1:10" x14ac:dyDescent="0.2">
      <c r="A1110" s="3">
        <v>433.98277411130198</v>
      </c>
      <c r="B1110" s="1">
        <v>-0.28879926896362201</v>
      </c>
      <c r="C1110" s="1">
        <v>1.1293759838720901E-3</v>
      </c>
      <c r="D1110" s="7">
        <v>1.51052844169107E-2</v>
      </c>
      <c r="E1110" s="1" t="s">
        <v>1506</v>
      </c>
      <c r="F1110" s="1" t="s">
        <v>1507</v>
      </c>
      <c r="G1110" s="1">
        <v>53415</v>
      </c>
      <c r="H1110" s="6" t="str">
        <f>HYPERLINK("http://www.ensembl.org/Mus_musculus/Gene/Summary?db=core;g=ENSMUSG00000039745","ENSMUSG00000039745")</f>
        <v>ENSMUSG00000039745</v>
      </c>
      <c r="I1110" s="6" t="str">
        <f>HYPERLINK("http://www.informatics.jax.org/marker/MGI:1859271","MGI:1859271")</f>
        <v>MGI:1859271</v>
      </c>
      <c r="J1110" s="7" t="s">
        <v>12</v>
      </c>
    </row>
    <row r="1111" spans="1:10" x14ac:dyDescent="0.2">
      <c r="A1111" s="3">
        <v>111.764327455414</v>
      </c>
      <c r="B1111" s="1">
        <v>-0.425304115627192</v>
      </c>
      <c r="C1111" s="1">
        <v>1.13171684735407E-3</v>
      </c>
      <c r="D1111" s="7">
        <v>1.5105959658160801E-2</v>
      </c>
      <c r="E1111" s="1" t="s">
        <v>1037</v>
      </c>
      <c r="F1111" s="1" t="s">
        <v>1038</v>
      </c>
      <c r="G1111" s="1">
        <v>93711</v>
      </c>
      <c r="H1111" s="6" t="str">
        <f>HYPERLINK("http://www.ensembl.org/Mus_musculus/Gene/Summary?db=core;g=ENSMUSG00000104346","ENSMUSG00000104346")</f>
        <v>ENSMUSG00000104346</v>
      </c>
      <c r="I1111" s="6" t="str">
        <f>HYPERLINK("http://www.informatics.jax.org/marker/MGI:1935215","MGI:1935215")</f>
        <v>MGI:1935215</v>
      </c>
      <c r="J1111" s="7" t="s">
        <v>12</v>
      </c>
    </row>
    <row r="1112" spans="1:10" x14ac:dyDescent="0.2">
      <c r="A1112" s="3">
        <v>10.0522988734305</v>
      </c>
      <c r="B1112" s="1">
        <v>-0.95359688431871403</v>
      </c>
      <c r="C1112" s="1">
        <v>1.1430321118554301E-3</v>
      </c>
      <c r="D1112" s="7">
        <v>1.5174523603875299E-2</v>
      </c>
      <c r="E1112" s="1" t="s">
        <v>367</v>
      </c>
      <c r="F1112" s="1" t="s">
        <v>368</v>
      </c>
      <c r="G1112" s="1">
        <v>100038947</v>
      </c>
      <c r="H1112" s="6" t="str">
        <f>HYPERLINK("http://www.ensembl.org/Mus_musculus/Gene/Summary?db=core;g=ENSMUSG00000074677","ENSMUSG00000074677")</f>
        <v>ENSMUSG00000074677</v>
      </c>
      <c r="I1112" s="6" t="str">
        <f>HYPERLINK("http://www.informatics.jax.org/marker/MGI:3807521","MGI:3807521")</f>
        <v>MGI:3807521</v>
      </c>
      <c r="J1112" s="7" t="s">
        <v>12</v>
      </c>
    </row>
    <row r="1113" spans="1:10" x14ac:dyDescent="0.2">
      <c r="A1113" s="3">
        <v>1736.7400895165799</v>
      </c>
      <c r="B1113" s="1">
        <v>-0.29267252105298203</v>
      </c>
      <c r="C1113" s="1">
        <v>1.1422878338884E-3</v>
      </c>
      <c r="D1113" s="7">
        <v>1.5174523603875299E-2</v>
      </c>
      <c r="E1113" s="1" t="s">
        <v>1486</v>
      </c>
      <c r="F1113" s="1" t="s">
        <v>1487</v>
      </c>
      <c r="G1113" s="1">
        <v>14594</v>
      </c>
      <c r="H1113" s="6" t="str">
        <f>HYPERLINK("http://www.ensembl.org/Mus_musculus/Gene/Summary?db=core;g=ENSMUSG00000035778","ENSMUSG00000035778")</f>
        <v>ENSMUSG00000035778</v>
      </c>
      <c r="I1113" s="6" t="str">
        <f>HYPERLINK("http://www.informatics.jax.org/marker/MGI:95704","MGI:95704")</f>
        <v>MGI:95704</v>
      </c>
      <c r="J1113" s="7" t="s">
        <v>12</v>
      </c>
    </row>
    <row r="1114" spans="1:10" x14ac:dyDescent="0.2">
      <c r="A1114" s="3">
        <v>491.74476696386301</v>
      </c>
      <c r="B1114" s="1">
        <v>-0.21654254833377801</v>
      </c>
      <c r="C1114" s="1">
        <v>1.14182698299901E-3</v>
      </c>
      <c r="D1114" s="7">
        <v>1.5174523603875299E-2</v>
      </c>
      <c r="E1114" s="1" t="s">
        <v>1832</v>
      </c>
      <c r="F1114" s="1" t="s">
        <v>1833</v>
      </c>
      <c r="G1114" s="1">
        <v>101023</v>
      </c>
      <c r="H1114" s="6" t="str">
        <f>HYPERLINK("http://www.ensembl.org/Mus_musculus/Gene/Summary?db=core;g=ENSMUSG00000043059","ENSMUSG00000043059")</f>
        <v>ENSMUSG00000043059</v>
      </c>
      <c r="I1114" s="6" t="str">
        <f>HYPERLINK("http://www.informatics.jax.org/marker/MGI:2141255","MGI:2141255")</f>
        <v>MGI:2141255</v>
      </c>
      <c r="J1114" s="7" t="s">
        <v>12</v>
      </c>
    </row>
    <row r="1115" spans="1:10" x14ac:dyDescent="0.2">
      <c r="A1115" s="3">
        <v>597.28715052132998</v>
      </c>
      <c r="B1115" s="1">
        <v>-0.21566891478394901</v>
      </c>
      <c r="C1115" s="1">
        <v>1.1390590024569799E-3</v>
      </c>
      <c r="D1115" s="7">
        <v>1.5174523603875299E-2</v>
      </c>
      <c r="E1115" s="1" t="s">
        <v>1838</v>
      </c>
      <c r="F1115" s="1" t="s">
        <v>1839</v>
      </c>
      <c r="G1115" s="1">
        <v>26569</v>
      </c>
      <c r="H1115" s="6" t="str">
        <f>HYPERLINK("http://www.ensembl.org/Mus_musculus/Gene/Summary?db=core;g=ENSMUSG00000059316","ENSMUSG00000059316")</f>
        <v>ENSMUSG00000059316</v>
      </c>
      <c r="I1115" s="6" t="str">
        <f>HYPERLINK("http://www.informatics.jax.org/marker/MGI:1347347","MGI:1347347")</f>
        <v>MGI:1347347</v>
      </c>
      <c r="J1115" s="7" t="s">
        <v>12</v>
      </c>
    </row>
    <row r="1116" spans="1:10" x14ac:dyDescent="0.2">
      <c r="A1116" s="3">
        <v>1501.8665248776199</v>
      </c>
      <c r="B1116" s="1">
        <v>0.187555123693638</v>
      </c>
      <c r="C1116" s="1">
        <v>1.14225643346874E-3</v>
      </c>
      <c r="D1116" s="7">
        <v>1.5174523603875299E-2</v>
      </c>
      <c r="E1116" s="1" t="s">
        <v>2516</v>
      </c>
      <c r="F1116" s="1" t="s">
        <v>2517</v>
      </c>
      <c r="G1116" s="1">
        <v>69902</v>
      </c>
      <c r="H1116" s="6" t="str">
        <f>HYPERLINK("http://www.ensembl.org/Mus_musculus/Gene/Summary?db=core;g=ENSMUSG00000028741","ENSMUSG00000028741")</f>
        <v>ENSMUSG00000028741</v>
      </c>
      <c r="I1116" s="6" t="str">
        <f>HYPERLINK("http://www.informatics.jax.org/marker/MGI:1917152","MGI:1917152")</f>
        <v>MGI:1917152</v>
      </c>
      <c r="J1116" s="7" t="s">
        <v>12</v>
      </c>
    </row>
    <row r="1117" spans="1:10" x14ac:dyDescent="0.2">
      <c r="A1117" s="3">
        <v>619.417178657411</v>
      </c>
      <c r="B1117" s="1">
        <v>0.190125580090025</v>
      </c>
      <c r="C1117" s="1">
        <v>1.1384221255266601E-3</v>
      </c>
      <c r="D1117" s="7">
        <v>1.5174523603875299E-2</v>
      </c>
      <c r="E1117" s="1" t="s">
        <v>2532</v>
      </c>
      <c r="F1117" s="1" t="s">
        <v>2533</v>
      </c>
      <c r="G1117" s="1">
        <v>71340</v>
      </c>
      <c r="H1117" s="6" t="str">
        <f>HYPERLINK("http://www.ensembl.org/Mus_musculus/Gene/Summary?db=core;g=ENSMUSG00000021428","ENSMUSG00000021428")</f>
        <v>ENSMUSG00000021428</v>
      </c>
      <c r="I1117" s="6" t="str">
        <f>HYPERLINK("http://www.informatics.jax.org/marker/MGI:1918590","MGI:1918590")</f>
        <v>MGI:1918590</v>
      </c>
      <c r="J1117" s="7" t="s">
        <v>12</v>
      </c>
    </row>
    <row r="1118" spans="1:10" x14ac:dyDescent="0.2">
      <c r="A1118" s="3">
        <v>1085.2283618082199</v>
      </c>
      <c r="B1118" s="1">
        <v>-0.340924679277611</v>
      </c>
      <c r="C1118" s="1">
        <v>1.1451124203582001E-3</v>
      </c>
      <c r="D1118" s="7">
        <v>1.5174799124459E-2</v>
      </c>
      <c r="E1118" s="1" t="s">
        <v>1270</v>
      </c>
      <c r="F1118" s="1" t="s">
        <v>1271</v>
      </c>
      <c r="G1118" s="1">
        <v>76089</v>
      </c>
      <c r="H1118" s="6" t="str">
        <f>HYPERLINK("http://www.ensembl.org/Mus_musculus/Gene/Summary?db=core;g=ENSMUSG00000062232","ENSMUSG00000062232")</f>
        <v>ENSMUSG00000062232</v>
      </c>
      <c r="I1118" s="6" t="str">
        <f>HYPERLINK("http://www.informatics.jax.org/marker/MGI:2659071","MGI:2659071")</f>
        <v>MGI:2659071</v>
      </c>
      <c r="J1118" s="7" t="s">
        <v>12</v>
      </c>
    </row>
    <row r="1119" spans="1:10" x14ac:dyDescent="0.2">
      <c r="A1119" s="3">
        <v>3126.26862963441</v>
      </c>
      <c r="B1119" s="1">
        <v>-0.229748233677872</v>
      </c>
      <c r="C1119" s="1">
        <v>1.1447507597655299E-3</v>
      </c>
      <c r="D1119" s="7">
        <v>1.5174799124459E-2</v>
      </c>
      <c r="E1119" s="1" t="s">
        <v>1764</v>
      </c>
      <c r="F1119" s="1" t="s">
        <v>1765</v>
      </c>
      <c r="G1119" s="1">
        <v>13196</v>
      </c>
      <c r="H1119" s="6" t="str">
        <f>HYPERLINK("http://www.ensembl.org/Mus_musculus/Gene/Summary?db=core;g=ENSMUSG00000022377","ENSMUSG00000022377")</f>
        <v>ENSMUSG00000022377</v>
      </c>
      <c r="I1119" s="6" t="str">
        <f>HYPERLINK("http://www.informatics.jax.org/marker/MGI:1342335","MGI:1342335")</f>
        <v>MGI:1342335</v>
      </c>
      <c r="J1119" s="7" t="s">
        <v>12</v>
      </c>
    </row>
    <row r="1120" spans="1:10" x14ac:dyDescent="0.2">
      <c r="A1120" s="3">
        <v>406.25671207209302</v>
      </c>
      <c r="B1120" s="1">
        <v>0.24159799286804501</v>
      </c>
      <c r="C1120" s="1">
        <v>1.15285292192153E-3</v>
      </c>
      <c r="D1120" s="7">
        <v>1.52636483894301E-2</v>
      </c>
      <c r="E1120" s="1" t="s">
        <v>2852</v>
      </c>
      <c r="F1120" s="1" t="s">
        <v>2853</v>
      </c>
      <c r="G1120" s="1">
        <v>68493</v>
      </c>
      <c r="H1120" s="6" t="str">
        <f>HYPERLINK("http://www.ensembl.org/Mus_musculus/Gene/Summary?db=core;g=ENSMUSG00000028261","ENSMUSG00000028261")</f>
        <v>ENSMUSG00000028261</v>
      </c>
      <c r="I1120" s="6" t="str">
        <f>HYPERLINK("http://www.informatics.jax.org/marker/MGI:1915743","MGI:1915743")</f>
        <v>MGI:1915743</v>
      </c>
      <c r="J1120" s="7" t="s">
        <v>12</v>
      </c>
    </row>
    <row r="1121" spans="1:10" x14ac:dyDescent="0.2">
      <c r="A1121" s="3">
        <v>2813.53647272733</v>
      </c>
      <c r="B1121" s="1">
        <v>-0.28559425749769501</v>
      </c>
      <c r="C1121" s="1">
        <v>1.16106466229924E-3</v>
      </c>
      <c r="D1121" s="7">
        <v>1.53466409267908E-2</v>
      </c>
      <c r="E1121" s="1" t="s">
        <v>1520</v>
      </c>
      <c r="F1121" s="1" t="s">
        <v>1521</v>
      </c>
      <c r="G1121" s="1">
        <v>11910</v>
      </c>
      <c r="H1121" s="6" t="str">
        <f>HYPERLINK("http://www.ensembl.org/Mus_musculus/Gene/Summary?db=core;g=ENSMUSG00000026628","ENSMUSG00000026628")</f>
        <v>ENSMUSG00000026628</v>
      </c>
      <c r="I1121" s="6" t="str">
        <f>HYPERLINK("http://www.informatics.jax.org/marker/MGI:109384","MGI:109384")</f>
        <v>MGI:109384</v>
      </c>
      <c r="J1121" s="7" t="s">
        <v>12</v>
      </c>
    </row>
    <row r="1122" spans="1:10" x14ac:dyDescent="0.2">
      <c r="A1122" s="3">
        <v>1394.6082986904701</v>
      </c>
      <c r="B1122" s="1">
        <v>0.22467300408353499</v>
      </c>
      <c r="C1122" s="1">
        <v>1.16120416893131E-3</v>
      </c>
      <c r="D1122" s="7">
        <v>1.53466409267908E-2</v>
      </c>
      <c r="E1122" s="1" t="s">
        <v>2754</v>
      </c>
      <c r="F1122" s="1" t="s">
        <v>2755</v>
      </c>
      <c r="G1122" s="1">
        <v>12151</v>
      </c>
      <c r="H1122" s="6" t="str">
        <f>HYPERLINK("http://www.ensembl.org/Mus_musculus/Gene/Summary?db=core;g=ENSMUSG00000026739","ENSMUSG00000026739")</f>
        <v>ENSMUSG00000026739</v>
      </c>
      <c r="I1122" s="6" t="str">
        <f>HYPERLINK("http://www.informatics.jax.org/marker/MGI:88174","MGI:88174")</f>
        <v>MGI:88174</v>
      </c>
      <c r="J1122" s="7" t="s">
        <v>12</v>
      </c>
    </row>
    <row r="1123" spans="1:10" x14ac:dyDescent="0.2">
      <c r="A1123" s="3">
        <v>103.806720990092</v>
      </c>
      <c r="B1123" s="1">
        <v>-0.43537264418086002</v>
      </c>
      <c r="C1123" s="1">
        <v>1.1691128711121201E-3</v>
      </c>
      <c r="D1123" s="7">
        <v>1.54226525463376E-2</v>
      </c>
      <c r="E1123" s="1" t="s">
        <v>981</v>
      </c>
      <c r="F1123" s="1" t="s">
        <v>982</v>
      </c>
      <c r="G1123" s="1">
        <v>18569</v>
      </c>
      <c r="H1123" s="6" t="str">
        <f>HYPERLINK("http://www.ensembl.org/Mus_musculus/Gene/Summary?db=core;g=ENSMUSG00000024975","ENSMUSG00000024975")</f>
        <v>ENSMUSG00000024975</v>
      </c>
      <c r="I1123" s="6" t="str">
        <f>HYPERLINK("http://www.informatics.jax.org/marker/MGI:107490","MGI:107490")</f>
        <v>MGI:107490</v>
      </c>
      <c r="J1123" s="7" t="s">
        <v>12</v>
      </c>
    </row>
    <row r="1124" spans="1:10" x14ac:dyDescent="0.2">
      <c r="A1124" s="3">
        <v>188.06939272036701</v>
      </c>
      <c r="B1124" s="1">
        <v>-0.297331576890489</v>
      </c>
      <c r="C1124" s="1">
        <v>1.1705903008294399E-3</v>
      </c>
      <c r="D1124" s="7">
        <v>1.54226525463376E-2</v>
      </c>
      <c r="E1124" s="1" t="s">
        <v>1464</v>
      </c>
      <c r="F1124" s="1" t="s">
        <v>1465</v>
      </c>
      <c r="G1124" s="1">
        <v>69870</v>
      </c>
      <c r="H1124" s="6" t="str">
        <f>HYPERLINK("http://www.ensembl.org/Mus_musculus/Gene/Summary?db=core;g=ENSMUSG00000028104","ENSMUSG00000028104")</f>
        <v>ENSMUSG00000028104</v>
      </c>
      <c r="I1124" s="6" t="str">
        <f>HYPERLINK("http://www.informatics.jax.org/marker/MGI:1917120","MGI:1917120")</f>
        <v>MGI:1917120</v>
      </c>
      <c r="J1124" s="7" t="s">
        <v>12</v>
      </c>
    </row>
    <row r="1125" spans="1:10" x14ac:dyDescent="0.2">
      <c r="A1125" s="3">
        <v>687.75354999163096</v>
      </c>
      <c r="B1125" s="1">
        <v>-0.21990208667734601</v>
      </c>
      <c r="C1125" s="1">
        <v>1.17114197878337E-3</v>
      </c>
      <c r="D1125" s="7">
        <v>1.54226525463376E-2</v>
      </c>
      <c r="E1125" s="1" t="s">
        <v>1818</v>
      </c>
      <c r="F1125" s="1" t="s">
        <v>1819</v>
      </c>
      <c r="G1125" s="1">
        <v>66914</v>
      </c>
      <c r="H1125" s="6" t="str">
        <f>HYPERLINK("http://www.ensembl.org/Mus_musculus/Gene/Summary?db=core;g=ENSMUSG00000115987","ENSMUSG00000115987")</f>
        <v>ENSMUSG00000115987</v>
      </c>
      <c r="I1125" s="6" t="str">
        <f>HYPERLINK("http://www.informatics.jax.org/marker/MGI:1914164","MGI:1914164")</f>
        <v>MGI:1914164</v>
      </c>
      <c r="J1125" s="7" t="s">
        <v>12</v>
      </c>
    </row>
    <row r="1126" spans="1:10" x14ac:dyDescent="0.2">
      <c r="A1126" s="3">
        <v>951.07282959645602</v>
      </c>
      <c r="B1126" s="1">
        <v>0.18076143455173899</v>
      </c>
      <c r="C1126" s="1">
        <v>1.17097790855194E-3</v>
      </c>
      <c r="D1126" s="7">
        <v>1.54226525463376E-2</v>
      </c>
      <c r="E1126" s="1" t="s">
        <v>2492</v>
      </c>
      <c r="F1126" s="1" t="s">
        <v>2493</v>
      </c>
      <c r="G1126" s="1">
        <v>116733</v>
      </c>
      <c r="H1126" s="6" t="str">
        <f>HYPERLINK("http://www.ensembl.org/Mus_musculus/Gene/Summary?db=core;g=ENSMUSG00000031913","ENSMUSG00000031913")</f>
        <v>ENSMUSG00000031913</v>
      </c>
      <c r="I1126" s="6" t="str">
        <f>HYPERLINK("http://www.informatics.jax.org/marker/MGI:1890520","MGI:1890520")</f>
        <v>MGI:1890520</v>
      </c>
      <c r="J1126" s="7" t="s">
        <v>12</v>
      </c>
    </row>
    <row r="1127" spans="1:10" x14ac:dyDescent="0.2">
      <c r="A1127" s="3">
        <v>111.76355372289299</v>
      </c>
      <c r="B1127" s="1">
        <v>-0.424962086815381</v>
      </c>
      <c r="C1127" s="1">
        <v>1.1722284930676299E-3</v>
      </c>
      <c r="D1127" s="7">
        <v>1.54231777445041E-2</v>
      </c>
      <c r="E1127" s="1" t="s">
        <v>1041</v>
      </c>
      <c r="F1127" s="1" t="s">
        <v>1042</v>
      </c>
      <c r="G1127" s="1">
        <v>93723</v>
      </c>
      <c r="H1127" s="6" t="str">
        <f>HYPERLINK("http://www.ensembl.org/Mus_musculus/Gene/Summary?db=core;g=ENSMUSG00000102742","ENSMUSG00000102742")</f>
        <v>ENSMUSG00000102742</v>
      </c>
      <c r="I1127" s="6" t="str">
        <f>HYPERLINK("http://www.informatics.jax.org/marker/MGI:1935228","MGI:1935228")</f>
        <v>MGI:1935228</v>
      </c>
      <c r="J1127" s="7" t="s">
        <v>12</v>
      </c>
    </row>
    <row r="1128" spans="1:10" x14ac:dyDescent="0.2">
      <c r="A1128" s="3">
        <v>1515.34353166028</v>
      </c>
      <c r="B1128" s="1">
        <v>0.199001937473957</v>
      </c>
      <c r="C1128" s="1">
        <v>1.18136031097469E-3</v>
      </c>
      <c r="D1128" s="7">
        <v>1.55294607872641E-2</v>
      </c>
      <c r="E1128" s="1" t="s">
        <v>2592</v>
      </c>
      <c r="F1128" s="1" t="s">
        <v>2593</v>
      </c>
      <c r="G1128" s="1">
        <v>68979</v>
      </c>
      <c r="H1128" s="6" t="str">
        <f>HYPERLINK("http://www.ensembl.org/Mus_musculus/Gene/Summary?db=core;g=ENSMUSG00000018433","ENSMUSG00000018433")</f>
        <v>ENSMUSG00000018433</v>
      </c>
      <c r="I1128" s="6" t="str">
        <f>HYPERLINK("http://www.informatics.jax.org/marker/MGI:1916229","MGI:1916229")</f>
        <v>MGI:1916229</v>
      </c>
      <c r="J1128" s="7" t="s">
        <v>12</v>
      </c>
    </row>
    <row r="1129" spans="1:10" x14ac:dyDescent="0.2">
      <c r="A1129" s="3">
        <v>58.393536983584802</v>
      </c>
      <c r="B1129" s="1">
        <v>-0.61612501153149302</v>
      </c>
      <c r="C1129" s="1">
        <v>1.18388109397789E-3</v>
      </c>
      <c r="D1129" s="7">
        <v>1.5534881389900401E-2</v>
      </c>
      <c r="E1129" s="1" t="s">
        <v>648</v>
      </c>
      <c r="F1129" s="1" t="s">
        <v>649</v>
      </c>
      <c r="G1129" s="1">
        <v>56017</v>
      </c>
      <c r="H1129" s="6" t="str">
        <f>HYPERLINK("http://www.ensembl.org/Mus_musculus/Gene/Summary?db=core;g=ENSMUSG00000026791","ENSMUSG00000026791")</f>
        <v>ENSMUSG00000026791</v>
      </c>
      <c r="I1129" s="6" t="str">
        <f>HYPERLINK("http://www.informatics.jax.org/marker/MGI:1860103","MGI:1860103")</f>
        <v>MGI:1860103</v>
      </c>
      <c r="J1129" s="7" t="s">
        <v>12</v>
      </c>
    </row>
    <row r="1130" spans="1:10" x14ac:dyDescent="0.2">
      <c r="A1130" s="3">
        <v>231.76511913303901</v>
      </c>
      <c r="B1130" s="1">
        <v>-0.409570668720945</v>
      </c>
      <c r="C1130" s="1">
        <v>1.18311579331846E-3</v>
      </c>
      <c r="D1130" s="7">
        <v>1.5534881389900401E-2</v>
      </c>
      <c r="E1130" s="1" t="s">
        <v>1071</v>
      </c>
      <c r="F1130" s="1" t="s">
        <v>1072</v>
      </c>
      <c r="G1130" s="1" t="s">
        <v>45</v>
      </c>
      <c r="H1130" s="6" t="str">
        <f>HYPERLINK("http://www.ensembl.org/Mus_musculus/Gene/Summary?db=core;g=ENSMUSG00000110388","ENSMUSG00000110388")</f>
        <v>ENSMUSG00000110388</v>
      </c>
      <c r="I1130" s="6" t="str">
        <f>HYPERLINK("http://www.informatics.jax.org/marker/MGI:5589488","MGI:5589488")</f>
        <v>MGI:5589488</v>
      </c>
      <c r="J1130" s="7" t="s">
        <v>46</v>
      </c>
    </row>
    <row r="1131" spans="1:10" x14ac:dyDescent="0.2">
      <c r="A1131" s="3">
        <v>3200.0039659735999</v>
      </c>
      <c r="B1131" s="1">
        <v>0.17214852615071699</v>
      </c>
      <c r="C1131" s="1">
        <v>1.1893332291264701E-3</v>
      </c>
      <c r="D1131" s="7">
        <v>1.55655330550918E-2</v>
      </c>
      <c r="E1131" s="1" t="s">
        <v>2434</v>
      </c>
      <c r="F1131" s="1" t="s">
        <v>2435</v>
      </c>
      <c r="G1131" s="1">
        <v>67059</v>
      </c>
      <c r="H1131" s="6" t="str">
        <f>HYPERLINK("http://www.ensembl.org/Mus_musculus/Gene/Summary?db=core;g=ENSMUSG00000027108","ENSMUSG00000027108")</f>
        <v>ENSMUSG00000027108</v>
      </c>
      <c r="I1131" s="6" t="str">
        <f>HYPERLINK("http://www.informatics.jax.org/marker/MGI:1914309","MGI:1914309")</f>
        <v>MGI:1914309</v>
      </c>
      <c r="J1131" s="7" t="s">
        <v>12</v>
      </c>
    </row>
    <row r="1132" spans="1:10" x14ac:dyDescent="0.2">
      <c r="A1132" s="3">
        <v>320.674196919385</v>
      </c>
      <c r="B1132" s="1">
        <v>0.23425107500938</v>
      </c>
      <c r="C1132" s="1">
        <v>1.18972263089487E-3</v>
      </c>
      <c r="D1132" s="7">
        <v>1.55655330550918E-2</v>
      </c>
      <c r="E1132" s="1" t="s">
        <v>2814</v>
      </c>
      <c r="F1132" s="1" t="s">
        <v>2815</v>
      </c>
      <c r="G1132" s="1">
        <v>67851</v>
      </c>
      <c r="H1132" s="6" t="str">
        <f>HYPERLINK("http://www.ensembl.org/Mus_musculus/Gene/Summary?db=core;g=ENSMUSG00000019797","ENSMUSG00000019797")</f>
        <v>ENSMUSG00000019797</v>
      </c>
      <c r="I1132" s="6" t="str">
        <f>HYPERLINK("http://www.informatics.jax.org/marker/MGI:1915101","MGI:1915101")</f>
        <v>MGI:1915101</v>
      </c>
      <c r="J1132" s="7" t="s">
        <v>12</v>
      </c>
    </row>
    <row r="1133" spans="1:10" x14ac:dyDescent="0.2">
      <c r="A1133" s="3">
        <v>27851.9728153057</v>
      </c>
      <c r="B1133" s="1">
        <v>0.26338154917519002</v>
      </c>
      <c r="C1133" s="1">
        <v>1.1900826717847501E-3</v>
      </c>
      <c r="D1133" s="7">
        <v>1.55655330550918E-2</v>
      </c>
      <c r="E1133" s="1" t="s">
        <v>2918</v>
      </c>
      <c r="F1133" s="1" t="s">
        <v>2919</v>
      </c>
      <c r="G1133" s="1">
        <v>16956</v>
      </c>
      <c r="H1133" s="6" t="str">
        <f>HYPERLINK("http://www.ensembl.org/Mus_musculus/Gene/Summary?db=core;g=ENSMUSG00000015568","ENSMUSG00000015568")</f>
        <v>ENSMUSG00000015568</v>
      </c>
      <c r="I1133" s="6" t="str">
        <f>HYPERLINK("http://www.informatics.jax.org/marker/MGI:96820","MGI:96820")</f>
        <v>MGI:96820</v>
      </c>
      <c r="J1133" s="7" t="s">
        <v>12</v>
      </c>
    </row>
    <row r="1134" spans="1:10" x14ac:dyDescent="0.2">
      <c r="A1134" s="3">
        <v>5.8198563811532704</v>
      </c>
      <c r="B1134" s="1">
        <v>1.1422352385236101</v>
      </c>
      <c r="C1134" s="1">
        <v>1.19044216565476E-3</v>
      </c>
      <c r="D1134" s="7">
        <v>1.55655330550918E-2</v>
      </c>
      <c r="E1134" s="1" t="s">
        <v>3331</v>
      </c>
      <c r="F1134" s="1" t="s">
        <v>3332</v>
      </c>
      <c r="G1134" s="1" t="s">
        <v>45</v>
      </c>
      <c r="H1134" s="6" t="str">
        <f>HYPERLINK("http://www.ensembl.org/Mus_musculus/Gene/Summary?db=core;g=ENSMUSG00000052563","ENSMUSG00000052563")</f>
        <v>ENSMUSG00000052563</v>
      </c>
      <c r="I1134" s="6" t="str">
        <f>HYPERLINK("http://www.informatics.jax.org/marker/MGI:2144709","MGI:2144709")</f>
        <v>MGI:2144709</v>
      </c>
      <c r="J1134" s="7" t="s">
        <v>12</v>
      </c>
    </row>
    <row r="1135" spans="1:10" x14ac:dyDescent="0.2">
      <c r="A1135" s="3">
        <v>1034.8971142248499</v>
      </c>
      <c r="B1135" s="1">
        <v>-0.129202469785103</v>
      </c>
      <c r="C1135" s="1">
        <v>1.1922021591492301E-3</v>
      </c>
      <c r="D1135" s="7">
        <v>1.5574726079098501E-2</v>
      </c>
      <c r="E1135" s="1" t="s">
        <v>2154</v>
      </c>
      <c r="F1135" s="1" t="s">
        <v>2155</v>
      </c>
      <c r="G1135" s="1">
        <v>277250</v>
      </c>
      <c r="H1135" s="6" t="str">
        <f>HYPERLINK("http://www.ensembl.org/Mus_musculus/Gene/Summary?db=core;g=ENSMUSG00000038773","ENSMUSG00000038773")</f>
        <v>ENSMUSG00000038773</v>
      </c>
      <c r="I1135" s="6" t="str">
        <f>HYPERLINK("http://www.informatics.jax.org/marker/MGI:1923356","MGI:1923356")</f>
        <v>MGI:1923356</v>
      </c>
      <c r="J1135" s="7" t="s">
        <v>12</v>
      </c>
    </row>
    <row r="1136" spans="1:10" x14ac:dyDescent="0.2">
      <c r="A1136" s="3">
        <v>1344.1983973111401</v>
      </c>
      <c r="B1136" s="1">
        <v>-0.15772033428379401</v>
      </c>
      <c r="C1136" s="1">
        <v>1.1972577163469899E-3</v>
      </c>
      <c r="D1136" s="7">
        <v>1.5626917367660899E-2</v>
      </c>
      <c r="E1136" s="1" t="s">
        <v>2094</v>
      </c>
      <c r="F1136" s="1" t="s">
        <v>2095</v>
      </c>
      <c r="G1136" s="1" t="s">
        <v>45</v>
      </c>
      <c r="H1136" s="6" t="str">
        <f>HYPERLINK("http://www.ensembl.org/Mus_musculus/Gene/Summary?db=core;g=ENSMUSG00000085438","ENSMUSG00000085438")</f>
        <v>ENSMUSG00000085438</v>
      </c>
      <c r="I1136" s="6" t="str">
        <f>HYPERLINK("http://www.informatics.jax.org/marker/MGI:1913852","MGI:1913852")</f>
        <v>MGI:1913852</v>
      </c>
      <c r="J1136" s="7" t="s">
        <v>95</v>
      </c>
    </row>
    <row r="1137" spans="1:10" x14ac:dyDescent="0.2">
      <c r="A1137" s="3">
        <v>398.52938274652098</v>
      </c>
      <c r="B1137" s="1">
        <v>-0.26479845077740899</v>
      </c>
      <c r="C1137" s="1">
        <v>1.2041915588692799E-3</v>
      </c>
      <c r="D1137" s="7">
        <v>1.5691744359916701E-2</v>
      </c>
      <c r="E1137" s="1" t="s">
        <v>1602</v>
      </c>
      <c r="F1137" s="1" t="s">
        <v>1603</v>
      </c>
      <c r="G1137" s="1">
        <v>11671</v>
      </c>
      <c r="H1137" s="6" t="str">
        <f>HYPERLINK("http://www.ensembl.org/Mus_musculus/Gene/Summary?db=core;g=ENSMUSG00000010025","ENSMUSG00000010025")</f>
        <v>ENSMUSG00000010025</v>
      </c>
      <c r="I1137" s="6" t="str">
        <f>HYPERLINK("http://www.informatics.jax.org/marker/MGI:1353452","MGI:1353452")</f>
        <v>MGI:1353452</v>
      </c>
      <c r="J1137" s="7" t="s">
        <v>12</v>
      </c>
    </row>
    <row r="1138" spans="1:10" x14ac:dyDescent="0.2">
      <c r="A1138" s="3">
        <v>664.18305634115097</v>
      </c>
      <c r="B1138" s="1">
        <v>-0.22611752301622301</v>
      </c>
      <c r="C1138" s="1">
        <v>1.20435415791706E-3</v>
      </c>
      <c r="D1138" s="7">
        <v>1.5691744359916701E-2</v>
      </c>
      <c r="E1138" s="1" t="s">
        <v>1786</v>
      </c>
      <c r="F1138" s="1" t="s">
        <v>1787</v>
      </c>
      <c r="G1138" s="1">
        <v>83814</v>
      </c>
      <c r="H1138" s="6" t="str">
        <f>HYPERLINK("http://www.ensembl.org/Mus_musculus/Gene/Summary?db=core;g=ENSMUSG00000024589","ENSMUSG00000024589")</f>
        <v>ENSMUSG00000024589</v>
      </c>
      <c r="I1138" s="6" t="str">
        <f>HYPERLINK("http://www.informatics.jax.org/marker/MGI:1933754","MGI:1933754")</f>
        <v>MGI:1933754</v>
      </c>
      <c r="J1138" s="7" t="s">
        <v>12</v>
      </c>
    </row>
    <row r="1139" spans="1:10" x14ac:dyDescent="0.2">
      <c r="A1139" s="3">
        <v>3524.0018838205501</v>
      </c>
      <c r="B1139" s="1">
        <v>-0.11925292108021</v>
      </c>
      <c r="C1139" s="1">
        <v>1.2094815599010399E-3</v>
      </c>
      <c r="D1139" s="7">
        <v>1.5744629210867299E-2</v>
      </c>
      <c r="E1139" s="1" t="s">
        <v>2168</v>
      </c>
      <c r="F1139" s="1" t="s">
        <v>2169</v>
      </c>
      <c r="G1139" s="1">
        <v>26413</v>
      </c>
      <c r="H1139" s="6" t="str">
        <f>HYPERLINK("http://www.ensembl.org/Mus_musculus/Gene/Summary?db=core;g=ENSMUSG00000063358","ENSMUSG00000063358")</f>
        <v>ENSMUSG00000063358</v>
      </c>
      <c r="I1139" s="6" t="str">
        <f>HYPERLINK("http://www.informatics.jax.org/marker/MGI:1346858","MGI:1346858")</f>
        <v>MGI:1346858</v>
      </c>
      <c r="J1139" s="7" t="s">
        <v>12</v>
      </c>
    </row>
    <row r="1140" spans="1:10" x14ac:dyDescent="0.2">
      <c r="A1140" s="3">
        <v>132.54394281627799</v>
      </c>
      <c r="B1140" s="1">
        <v>-0.37042751853236699</v>
      </c>
      <c r="C1140" s="1">
        <v>1.2112243856548699E-3</v>
      </c>
      <c r="D1140" s="7">
        <v>1.5753400306275499E-2</v>
      </c>
      <c r="E1140" s="1" t="s">
        <v>1174</v>
      </c>
      <c r="F1140" s="1" t="s">
        <v>1175</v>
      </c>
      <c r="G1140" s="1">
        <v>105732</v>
      </c>
      <c r="H1140" s="6" t="str">
        <f>HYPERLINK("http://www.ensembl.org/Mus_musculus/Gene/Summary?db=core;g=ENSMUSG00000046761","ENSMUSG00000046761")</f>
        <v>ENSMUSG00000046761</v>
      </c>
      <c r="I1140" s="6" t="str">
        <f>HYPERLINK("http://www.informatics.jax.org/marker/MGI:2145900","MGI:2145900")</f>
        <v>MGI:2145900</v>
      </c>
      <c r="J1140" s="7" t="s">
        <v>12</v>
      </c>
    </row>
    <row r="1141" spans="1:10" x14ac:dyDescent="0.2">
      <c r="A1141" s="3">
        <v>1911.71249851017</v>
      </c>
      <c r="B1141" s="1">
        <v>-0.13966495356785</v>
      </c>
      <c r="C1141" s="1">
        <v>1.2156170041817201E-3</v>
      </c>
      <c r="D1141" s="7">
        <v>1.5796589218361402E-2</v>
      </c>
      <c r="E1141" s="1" t="s">
        <v>2142</v>
      </c>
      <c r="F1141" s="1" t="s">
        <v>2143</v>
      </c>
      <c r="G1141" s="1">
        <v>94112</v>
      </c>
      <c r="H1141" s="6" t="str">
        <f>HYPERLINK("http://www.ensembl.org/Mus_musculus/Gene/Summary?db=core;g=ENSMUSG00000012114","ENSMUSG00000012114")</f>
        <v>ENSMUSG00000012114</v>
      </c>
      <c r="I1141" s="6" t="str">
        <f>HYPERLINK("http://www.informatics.jax.org/marker/MGI:2137379","MGI:2137379")</f>
        <v>MGI:2137379</v>
      </c>
      <c r="J1141" s="7" t="s">
        <v>12</v>
      </c>
    </row>
    <row r="1142" spans="1:10" x14ac:dyDescent="0.2">
      <c r="A1142" s="3">
        <v>306.26294400243</v>
      </c>
      <c r="B1142" s="1">
        <v>-0.33543375046503099</v>
      </c>
      <c r="C1142" s="1">
        <v>1.2437006971673999E-3</v>
      </c>
      <c r="D1142" s="7">
        <v>1.61472894039285E-2</v>
      </c>
      <c r="E1142" s="1" t="s">
        <v>1286</v>
      </c>
      <c r="F1142" s="1" t="s">
        <v>1287</v>
      </c>
      <c r="G1142" s="1">
        <v>225020</v>
      </c>
      <c r="H1142" s="6" t="str">
        <f>HYPERLINK("http://www.ensembl.org/Mus_musculus/Gene/Summary?db=core;g=ENSMUSG00000056121","ENSMUSG00000056121")</f>
        <v>ENSMUSG00000056121</v>
      </c>
      <c r="I1142" s="6" t="str">
        <f>HYPERLINK("http://www.informatics.jax.org/marker/MGI:2675856","MGI:2675856")</f>
        <v>MGI:2675856</v>
      </c>
      <c r="J1142" s="7" t="s">
        <v>12</v>
      </c>
    </row>
    <row r="1143" spans="1:10" x14ac:dyDescent="0.2">
      <c r="A1143" s="3">
        <v>401.84933450113402</v>
      </c>
      <c r="B1143" s="1">
        <v>-0.32287713634079601</v>
      </c>
      <c r="C1143" s="1">
        <v>1.25269430221992E-3</v>
      </c>
      <c r="D1143" s="7">
        <v>1.6249738765416199E-2</v>
      </c>
      <c r="E1143" s="1" t="s">
        <v>1344</v>
      </c>
      <c r="F1143" s="1" t="s">
        <v>1345</v>
      </c>
      <c r="G1143" s="1">
        <v>74182</v>
      </c>
      <c r="H1143" s="6" t="str">
        <f>HYPERLINK("http://www.ensembl.org/Mus_musculus/Gene/Summary?db=core;g=ENSMUSG00000027346","ENSMUSG00000027346")</f>
        <v>ENSMUSG00000027346</v>
      </c>
      <c r="I1143" s="6" t="str">
        <f>HYPERLINK("http://www.informatics.jax.org/marker/MGI:104898","MGI:104898")</f>
        <v>MGI:104898</v>
      </c>
      <c r="J1143" s="7" t="s">
        <v>12</v>
      </c>
    </row>
    <row r="1144" spans="1:10" x14ac:dyDescent="0.2">
      <c r="A1144" s="3">
        <v>1551.29168552596</v>
      </c>
      <c r="B1144" s="1">
        <v>-0.24555104620631901</v>
      </c>
      <c r="C1144" s="1">
        <v>1.25417036242037E-3</v>
      </c>
      <c r="D1144" s="7">
        <v>1.6254577362028701E-2</v>
      </c>
      <c r="E1144" s="1" t="s">
        <v>1686</v>
      </c>
      <c r="F1144" s="1" t="s">
        <v>1687</v>
      </c>
      <c r="G1144" s="1">
        <v>56205</v>
      </c>
      <c r="H1144" s="6" t="str">
        <f>HYPERLINK("http://www.ensembl.org/Mus_musculus/Gene/Summary?db=core;g=ENSMUSG00000038619","ENSMUSG00000038619")</f>
        <v>ENSMUSG00000038619</v>
      </c>
      <c r="I1144" s="6" t="str">
        <f>HYPERLINK("http://www.informatics.jax.org/marker/MGI:1891189","MGI:1891189")</f>
        <v>MGI:1891189</v>
      </c>
      <c r="J1144" s="7" t="s">
        <v>12</v>
      </c>
    </row>
    <row r="1145" spans="1:10" x14ac:dyDescent="0.2">
      <c r="A1145" s="3">
        <v>547.26577157655095</v>
      </c>
      <c r="B1145" s="1">
        <v>0.21506092999427801</v>
      </c>
      <c r="C1145" s="1">
        <v>1.2602698386600501E-3</v>
      </c>
      <c r="D1145" s="7">
        <v>1.6319276223633199E-2</v>
      </c>
      <c r="E1145" s="1" t="s">
        <v>2702</v>
      </c>
      <c r="F1145" s="1" t="s">
        <v>2703</v>
      </c>
      <c r="G1145" s="1">
        <v>208366</v>
      </c>
      <c r="H1145" s="6" t="str">
        <f>HYPERLINK("http://www.ensembl.org/Mus_musculus/Gene/Summary?db=core;g=ENSMUSG00000021418","ENSMUSG00000021418")</f>
        <v>ENSMUSG00000021418</v>
      </c>
      <c r="I1145" s="6" t="str">
        <f>HYPERLINK("http://www.informatics.jax.org/marker/MGI:1346084","MGI:1346084")</f>
        <v>MGI:1346084</v>
      </c>
      <c r="J1145" s="7" t="s">
        <v>12</v>
      </c>
    </row>
    <row r="1146" spans="1:10" x14ac:dyDescent="0.2">
      <c r="A1146" s="3">
        <v>571.53477482180494</v>
      </c>
      <c r="B1146" s="1">
        <v>-0.19251086436051301</v>
      </c>
      <c r="C1146" s="1">
        <v>1.2644523904443701E-3</v>
      </c>
      <c r="D1146" s="7">
        <v>1.6339083651633501E-2</v>
      </c>
      <c r="E1146" s="1" t="s">
        <v>1950</v>
      </c>
      <c r="F1146" s="1" t="s">
        <v>1951</v>
      </c>
      <c r="G1146" s="1">
        <v>17977</v>
      </c>
      <c r="H1146" s="6" t="str">
        <f>HYPERLINK("http://www.ensembl.org/Mus_musculus/Gene/Summary?db=core;g=ENSMUSG00000020647","ENSMUSG00000020647")</f>
        <v>ENSMUSG00000020647</v>
      </c>
      <c r="I1146" s="6" t="str">
        <f>HYPERLINK("http://www.informatics.jax.org/marker/MGI:1276523","MGI:1276523")</f>
        <v>MGI:1276523</v>
      </c>
      <c r="J1146" s="7" t="s">
        <v>12</v>
      </c>
    </row>
    <row r="1147" spans="1:10" x14ac:dyDescent="0.2">
      <c r="A1147" s="3">
        <v>153.67695161978801</v>
      </c>
      <c r="B1147" s="1">
        <v>0.36605479002316499</v>
      </c>
      <c r="C1147" s="1">
        <v>1.2651258446331299E-3</v>
      </c>
      <c r="D1147" s="7">
        <v>1.6339083651633501E-2</v>
      </c>
      <c r="E1147" s="1" t="s">
        <v>3112</v>
      </c>
      <c r="F1147" s="1" t="s">
        <v>3113</v>
      </c>
      <c r="G1147" s="1">
        <v>72167</v>
      </c>
      <c r="H1147" s="6" t="str">
        <f>HYPERLINK("http://www.ensembl.org/Mus_musculus/Gene/Summary?db=core;g=ENSMUSG00000024246","ENSMUSG00000024246")</f>
        <v>ENSMUSG00000024246</v>
      </c>
      <c r="I1147" s="6" t="str">
        <f>HYPERLINK("http://www.informatics.jax.org/marker/MGI:1919417","MGI:1919417")</f>
        <v>MGI:1919417</v>
      </c>
      <c r="J1147" s="7" t="s">
        <v>12</v>
      </c>
    </row>
    <row r="1148" spans="1:10" x14ac:dyDescent="0.2">
      <c r="A1148" s="3">
        <v>56.083936420524402</v>
      </c>
      <c r="B1148" s="1">
        <v>0.68461104121196004</v>
      </c>
      <c r="C1148" s="1">
        <v>1.26307574267675E-3</v>
      </c>
      <c r="D1148" s="7">
        <v>1.6339083651633501E-2</v>
      </c>
      <c r="E1148" s="1" t="s">
        <v>3258</v>
      </c>
      <c r="F1148" s="1" t="s">
        <v>3259</v>
      </c>
      <c r="G1148" s="1">
        <v>107934</v>
      </c>
      <c r="H1148" s="6" t="str">
        <f>HYPERLINK("http://www.ensembl.org/Mus_musculus/Gene/Summary?db=core;g=ENSMUSG00000023473","ENSMUSG00000023473")</f>
        <v>ENSMUSG00000023473</v>
      </c>
      <c r="I1148" s="6" t="str">
        <f>HYPERLINK("http://www.informatics.jax.org/marker/MGI:1858236","MGI:1858236")</f>
        <v>MGI:1858236</v>
      </c>
      <c r="J1148" s="7" t="s">
        <v>12</v>
      </c>
    </row>
    <row r="1149" spans="1:10" x14ac:dyDescent="0.2">
      <c r="A1149" s="3">
        <v>804.59984394151195</v>
      </c>
      <c r="B1149" s="1">
        <v>-0.47806149313535801</v>
      </c>
      <c r="C1149" s="1">
        <v>1.26664487085192E-3</v>
      </c>
      <c r="D1149" s="7">
        <v>1.6344377247700399E-2</v>
      </c>
      <c r="E1149" s="1" t="s">
        <v>881</v>
      </c>
      <c r="F1149" s="1" t="s">
        <v>882</v>
      </c>
      <c r="G1149" s="1">
        <v>13808</v>
      </c>
      <c r="H1149" s="6" t="str">
        <f>HYPERLINK("http://www.ensembl.org/Mus_musculus/Gene/Summary?db=core;g=ENSMUSG00000060600","ENSMUSG00000060600")</f>
        <v>ENSMUSG00000060600</v>
      </c>
      <c r="I1149" s="6" t="str">
        <f>HYPERLINK("http://www.informatics.jax.org/marker/MGI:95395","MGI:95395")</f>
        <v>MGI:95395</v>
      </c>
      <c r="J1149" s="7" t="s">
        <v>12</v>
      </c>
    </row>
    <row r="1150" spans="1:10" x14ac:dyDescent="0.2">
      <c r="A1150" s="3">
        <v>336.57055487747999</v>
      </c>
      <c r="B1150" s="1">
        <v>-0.29087011672586499</v>
      </c>
      <c r="C1150" s="1">
        <v>1.2722716490537701E-3</v>
      </c>
      <c r="D1150" s="7">
        <v>1.6402620315359901E-2</v>
      </c>
      <c r="E1150" s="1" t="s">
        <v>1490</v>
      </c>
      <c r="F1150" s="1" t="s">
        <v>1491</v>
      </c>
      <c r="G1150" s="1">
        <v>19645</v>
      </c>
      <c r="H1150" s="6" t="str">
        <f>HYPERLINK("http://www.ensembl.org/Mus_musculus/Gene/Summary?db=core;g=ENSMUSG00000022105","ENSMUSG00000022105")</f>
        <v>ENSMUSG00000022105</v>
      </c>
      <c r="I1150" s="6" t="str">
        <f>HYPERLINK("http://www.informatics.jax.org/marker/MGI:97874","MGI:97874")</f>
        <v>MGI:97874</v>
      </c>
      <c r="J1150" s="7" t="s">
        <v>12</v>
      </c>
    </row>
    <row r="1151" spans="1:10" x14ac:dyDescent="0.2">
      <c r="A1151" s="3">
        <v>539.964808253353</v>
      </c>
      <c r="B1151" s="1">
        <v>0.300062572908185</v>
      </c>
      <c r="C1151" s="1">
        <v>1.2769498195984001E-3</v>
      </c>
      <c r="D1151" s="7">
        <v>1.64485424314703E-2</v>
      </c>
      <c r="E1151" s="1" t="s">
        <v>3002</v>
      </c>
      <c r="F1151" s="1" t="s">
        <v>3003</v>
      </c>
      <c r="G1151" s="1">
        <v>66897</v>
      </c>
      <c r="H1151" s="6" t="str">
        <f>HYPERLINK("http://www.ensembl.org/Mus_musculus/Gene/Summary?db=core;g=ENSMUSG00000022020","ENSMUSG00000022020")</f>
        <v>ENSMUSG00000022020</v>
      </c>
      <c r="I1151" s="6" t="str">
        <f>HYPERLINK("http://www.informatics.jax.org/marker/MGI:1914147","MGI:1914147")</f>
        <v>MGI:1914147</v>
      </c>
      <c r="J1151" s="7" t="s">
        <v>12</v>
      </c>
    </row>
    <row r="1152" spans="1:10" x14ac:dyDescent="0.2">
      <c r="A1152" s="3">
        <v>24.242911026586199</v>
      </c>
      <c r="B1152" s="1">
        <v>-1.04281170403419</v>
      </c>
      <c r="C1152" s="1">
        <v>1.2934940170133201E-3</v>
      </c>
      <c r="D1152" s="7">
        <v>1.6647098545596799E-2</v>
      </c>
      <c r="E1152" s="1" t="s">
        <v>309</v>
      </c>
      <c r="F1152" s="1" t="s">
        <v>310</v>
      </c>
      <c r="G1152" s="1">
        <v>29863</v>
      </c>
      <c r="H1152" s="6" t="str">
        <f>HYPERLINK("http://www.ensembl.org/Mus_musculus/Gene/Summary?db=core;g=ENSMUSG00000019990","ENSMUSG00000019990")</f>
        <v>ENSMUSG00000019990</v>
      </c>
      <c r="I1152" s="6" t="str">
        <f>HYPERLINK("http://www.informatics.jax.org/marker/MGI:1352752","MGI:1352752")</f>
        <v>MGI:1352752</v>
      </c>
      <c r="J1152" s="7" t="s">
        <v>12</v>
      </c>
    </row>
    <row r="1153" spans="1:10" x14ac:dyDescent="0.2">
      <c r="A1153" s="3">
        <v>1347.2899408575299</v>
      </c>
      <c r="B1153" s="1">
        <v>-0.16192204263245799</v>
      </c>
      <c r="C1153" s="1">
        <v>1.3004236719254599E-3</v>
      </c>
      <c r="D1153" s="7">
        <v>1.6721678210727401E-2</v>
      </c>
      <c r="E1153" s="1" t="s">
        <v>2074</v>
      </c>
      <c r="F1153" s="1" t="s">
        <v>2075</v>
      </c>
      <c r="G1153" s="1">
        <v>14011</v>
      </c>
      <c r="H1153" s="6" t="str">
        <f>HYPERLINK("http://www.ensembl.org/Mus_musculus/Gene/Summary?db=core;g=ENSMUSG00000030199","ENSMUSG00000030199")</f>
        <v>ENSMUSG00000030199</v>
      </c>
      <c r="I1153" s="6" t="str">
        <f>HYPERLINK("http://www.informatics.jax.org/marker/MGI:109336","MGI:109336")</f>
        <v>MGI:109336</v>
      </c>
      <c r="J1153" s="7" t="s">
        <v>12</v>
      </c>
    </row>
    <row r="1154" spans="1:10" x14ac:dyDescent="0.2">
      <c r="A1154" s="3">
        <v>9.0404055081097798</v>
      </c>
      <c r="B1154" s="1">
        <v>-1.0488568867441901</v>
      </c>
      <c r="C1154" s="1">
        <v>1.3046669105637001E-3</v>
      </c>
      <c r="D1154" s="7">
        <v>1.6761614292996298E-2</v>
      </c>
      <c r="E1154" s="1" t="s">
        <v>301</v>
      </c>
      <c r="F1154" s="1" t="s">
        <v>302</v>
      </c>
      <c r="G1154" s="1" t="s">
        <v>45</v>
      </c>
      <c r="H1154" s="6" t="str">
        <f>HYPERLINK("http://www.ensembl.org/Mus_musculus/Gene/Summary?db=core;g=ENSMUSG00000118623","ENSMUSG00000118623")</f>
        <v>ENSMUSG00000118623</v>
      </c>
      <c r="I1154" s="1" t="s">
        <v>45</v>
      </c>
      <c r="J1154" s="7" t="s">
        <v>12</v>
      </c>
    </row>
    <row r="1155" spans="1:10" x14ac:dyDescent="0.2">
      <c r="A1155" s="3">
        <v>1050.87258560604</v>
      </c>
      <c r="B1155" s="1">
        <v>0.15856128431772701</v>
      </c>
      <c r="C1155" s="1">
        <v>1.3081923380925001E-3</v>
      </c>
      <c r="D1155" s="7">
        <v>1.6792266806734402E-2</v>
      </c>
      <c r="E1155" s="1" t="s">
        <v>2360</v>
      </c>
      <c r="F1155" s="1" t="s">
        <v>2361</v>
      </c>
      <c r="G1155" s="1">
        <v>52521</v>
      </c>
      <c r="H1155" s="6" t="str">
        <f>HYPERLINK("http://www.ensembl.org/Mus_musculus/Gene/Summary?db=core;g=ENSMUSG00000052253","ENSMUSG00000052253")</f>
        <v>ENSMUSG00000052253</v>
      </c>
      <c r="I1155" s="6" t="str">
        <f>HYPERLINK("http://www.informatics.jax.org/marker/MGI:1289282","MGI:1289282")</f>
        <v>MGI:1289282</v>
      </c>
      <c r="J1155" s="7" t="s">
        <v>12</v>
      </c>
    </row>
    <row r="1156" spans="1:10" x14ac:dyDescent="0.2">
      <c r="A1156" s="3">
        <v>98.642421775063994</v>
      </c>
      <c r="B1156" s="1">
        <v>0.409786667078753</v>
      </c>
      <c r="C1156" s="1">
        <v>1.31063083794875E-3</v>
      </c>
      <c r="D1156" s="7">
        <v>1.68089260470085E-2</v>
      </c>
      <c r="E1156" s="1" t="s">
        <v>3148</v>
      </c>
      <c r="F1156" s="1" t="s">
        <v>3149</v>
      </c>
      <c r="G1156" s="1">
        <v>15168</v>
      </c>
      <c r="H1156" s="6" t="str">
        <f>HYPERLINK("http://www.ensembl.org/Mus_musculus/Gene/Summary?db=core;g=ENSMUSG00000028051","ENSMUSG00000028051")</f>
        <v>ENSMUSG00000028051</v>
      </c>
      <c r="I1156" s="6" t="str">
        <f>HYPERLINK("http://www.informatics.jax.org/marker/MGI:1298211","MGI:1298211")</f>
        <v>MGI:1298211</v>
      </c>
      <c r="J1156" s="7" t="s">
        <v>12</v>
      </c>
    </row>
    <row r="1157" spans="1:10" x14ac:dyDescent="0.2">
      <c r="A1157" s="3">
        <v>1279.95344484253</v>
      </c>
      <c r="B1157" s="1">
        <v>0.14624705887473</v>
      </c>
      <c r="C1157" s="1">
        <v>1.3135481410201399E-3</v>
      </c>
      <c r="D1157" s="7">
        <v>1.68316916574546E-2</v>
      </c>
      <c r="E1157" s="1" t="s">
        <v>2296</v>
      </c>
      <c r="F1157" s="1" t="s">
        <v>2297</v>
      </c>
      <c r="G1157" s="1">
        <v>67920</v>
      </c>
      <c r="H1157" s="6" t="str">
        <f>HYPERLINK("http://www.ensembl.org/Mus_musculus/Gene/Summary?db=core;g=ENSMUSG00000031578","ENSMUSG00000031578")</f>
        <v>ENSMUSG00000031578</v>
      </c>
      <c r="I1157" s="6" t="str">
        <f>HYPERLINK("http://www.informatics.jax.org/marker/MGI:1915170","MGI:1915170")</f>
        <v>MGI:1915170</v>
      </c>
      <c r="J1157" s="7" t="s">
        <v>12</v>
      </c>
    </row>
    <row r="1158" spans="1:10" x14ac:dyDescent="0.2">
      <c r="A1158" s="3">
        <v>39.977189542224799</v>
      </c>
      <c r="B1158" s="1">
        <v>0.59867370439151102</v>
      </c>
      <c r="C1158" s="1">
        <v>1.3158404015927499E-3</v>
      </c>
      <c r="D1158" s="7">
        <v>1.6846415428210901E-2</v>
      </c>
      <c r="E1158" s="1" t="s">
        <v>3240</v>
      </c>
      <c r="F1158" s="1" t="s">
        <v>3241</v>
      </c>
      <c r="G1158" s="1">
        <v>433182</v>
      </c>
      <c r="H1158" s="6" t="str">
        <f>HYPERLINK("http://www.ensembl.org/Mus_musculus/Gene/Summary?db=core;g=ENSMUSG00000059040","ENSMUSG00000059040")</f>
        <v>ENSMUSG00000059040</v>
      </c>
      <c r="I1158" s="6" t="str">
        <f>HYPERLINK("http://www.informatics.jax.org/marker/MGI:3648653","MGI:3648653")</f>
        <v>MGI:3648653</v>
      </c>
      <c r="J1158" s="7" t="s">
        <v>12</v>
      </c>
    </row>
    <row r="1159" spans="1:10" x14ac:dyDescent="0.2">
      <c r="A1159" s="3">
        <v>857.50968363743198</v>
      </c>
      <c r="B1159" s="1">
        <v>0.15567917311240401</v>
      </c>
      <c r="C1159" s="1">
        <v>1.31840063019428E-3</v>
      </c>
      <c r="D1159" s="7">
        <v>1.68645413945685E-2</v>
      </c>
      <c r="E1159" s="1" t="s">
        <v>2350</v>
      </c>
      <c r="F1159" s="1" t="s">
        <v>2351</v>
      </c>
      <c r="G1159" s="1">
        <v>74252</v>
      </c>
      <c r="H1159" s="6" t="str">
        <f>HYPERLINK("http://www.ensembl.org/Mus_musculus/Gene/Summary?db=core;g=ENSMUSG00000027599","ENSMUSG00000027599")</f>
        <v>ENSMUSG00000027599</v>
      </c>
      <c r="I1159" s="6" t="str">
        <f>HYPERLINK("http://www.informatics.jax.org/marker/MGI:1921502","MGI:1921502")</f>
        <v>MGI:1921502</v>
      </c>
      <c r="J1159" s="7" t="s">
        <v>12</v>
      </c>
    </row>
    <row r="1160" spans="1:10" x14ac:dyDescent="0.2">
      <c r="A1160" s="3">
        <v>1396.6997915013101</v>
      </c>
      <c r="B1160" s="1">
        <v>0.16257222979592101</v>
      </c>
      <c r="C1160" s="1">
        <v>1.3208926149494899E-3</v>
      </c>
      <c r="D1160" s="7">
        <v>1.6867134812734601E-2</v>
      </c>
      <c r="E1160" s="1" t="s">
        <v>2382</v>
      </c>
      <c r="F1160" s="1" t="s">
        <v>2383</v>
      </c>
      <c r="G1160" s="1">
        <v>211556</v>
      </c>
      <c r="H1160" s="6" t="str">
        <f>HYPERLINK("http://www.ensembl.org/Mus_musculus/Gene/Summary?db=core;g=ENSMUSG00000074238","ENSMUSG00000074238")</f>
        <v>ENSMUSG00000074238</v>
      </c>
      <c r="I1160" s="6" t="str">
        <f>HYPERLINK("http://www.informatics.jax.org/marker/MGI:2384822","MGI:2384822")</f>
        <v>MGI:2384822</v>
      </c>
      <c r="J1160" s="7" t="s">
        <v>12</v>
      </c>
    </row>
    <row r="1161" spans="1:10" x14ac:dyDescent="0.2">
      <c r="A1161" s="3">
        <v>761.28975543772799</v>
      </c>
      <c r="B1161" s="1">
        <v>0.213247328257097</v>
      </c>
      <c r="C1161" s="1">
        <v>1.32036466872678E-3</v>
      </c>
      <c r="D1161" s="7">
        <v>1.6867134812734601E-2</v>
      </c>
      <c r="E1161" s="1" t="s">
        <v>2684</v>
      </c>
      <c r="F1161" s="1" t="s">
        <v>2685</v>
      </c>
      <c r="G1161" s="1">
        <v>218629</v>
      </c>
      <c r="H1161" s="6" t="str">
        <f>HYPERLINK("http://www.ensembl.org/Mus_musculus/Gene/Summary?db=core;g=ENSMUSG00000042426","ENSMUSG00000042426")</f>
        <v>ENSMUSG00000042426</v>
      </c>
      <c r="I1161" s="6" t="str">
        <f>HYPERLINK("http://www.informatics.jax.org/marker/MGI:2145374","MGI:2145374")</f>
        <v>MGI:2145374</v>
      </c>
      <c r="J1161" s="7" t="s">
        <v>12</v>
      </c>
    </row>
    <row r="1162" spans="1:10" x14ac:dyDescent="0.2">
      <c r="A1162" s="3">
        <v>2039.24231021533</v>
      </c>
      <c r="B1162" s="1">
        <v>-0.26804966183642598</v>
      </c>
      <c r="C1162" s="1">
        <v>1.3249764493311401E-3</v>
      </c>
      <c r="D1162" s="7">
        <v>1.68900112087749E-2</v>
      </c>
      <c r="E1162" s="1" t="s">
        <v>1588</v>
      </c>
      <c r="F1162" s="1" t="s">
        <v>1589</v>
      </c>
      <c r="G1162" s="1">
        <v>23789</v>
      </c>
      <c r="H1162" s="6" t="str">
        <f>HYPERLINK("http://www.ensembl.org/Mus_musculus/Gene/Summary?db=core;g=ENSMUSG00000024835","ENSMUSG00000024835")</f>
        <v>ENSMUSG00000024835</v>
      </c>
      <c r="I1162" s="6" t="str">
        <f>HYPERLINK("http://www.informatics.jax.org/marker/MGI:1345963","MGI:1345963")</f>
        <v>MGI:1345963</v>
      </c>
      <c r="J1162" s="7" t="s">
        <v>12</v>
      </c>
    </row>
    <row r="1163" spans="1:10" x14ac:dyDescent="0.2">
      <c r="A1163" s="3">
        <v>3344.8776807116701</v>
      </c>
      <c r="B1163" s="1">
        <v>-0.15610656619348401</v>
      </c>
      <c r="C1163" s="1">
        <v>1.3243098314684801E-3</v>
      </c>
      <c r="D1163" s="7">
        <v>1.68900112087749E-2</v>
      </c>
      <c r="E1163" s="1" t="s">
        <v>2108</v>
      </c>
      <c r="F1163" s="1" t="s">
        <v>2109</v>
      </c>
      <c r="G1163" s="1">
        <v>233489</v>
      </c>
      <c r="H1163" s="6" t="str">
        <f>HYPERLINK("http://www.ensembl.org/Mus_musculus/Gene/Summary?db=core;g=ENSMUSG00000039361","ENSMUSG00000039361")</f>
        <v>ENSMUSG00000039361</v>
      </c>
      <c r="I1163" s="6" t="str">
        <f>HYPERLINK("http://www.informatics.jax.org/marker/MGI:2385902","MGI:2385902")</f>
        <v>MGI:2385902</v>
      </c>
      <c r="J1163" s="7" t="s">
        <v>12</v>
      </c>
    </row>
    <row r="1164" spans="1:10" x14ac:dyDescent="0.2">
      <c r="A1164" s="3">
        <v>920.54133742009401</v>
      </c>
      <c r="B1164" s="1">
        <v>0.19381101016847199</v>
      </c>
      <c r="C1164" s="1">
        <v>1.3289359755699801E-3</v>
      </c>
      <c r="D1164" s="7">
        <v>1.69258431598956E-2</v>
      </c>
      <c r="E1164" s="1" t="s">
        <v>2558</v>
      </c>
      <c r="F1164" s="1" t="s">
        <v>2559</v>
      </c>
      <c r="G1164" s="1">
        <v>109729085</v>
      </c>
      <c r="H1164" s="6" t="str">
        <f>HYPERLINK("http://www.ensembl.org/Mus_musculus/Gene/Summary?db=core;g=ENSMUSG00000023156","ENSMUSG00000023156")</f>
        <v>ENSMUSG00000023156</v>
      </c>
      <c r="I1164" s="6" t="str">
        <f>HYPERLINK("http://www.informatics.jax.org/marker/MGI:1914303","MGI:1914303")</f>
        <v>MGI:1914303</v>
      </c>
      <c r="J1164" s="7" t="s">
        <v>12</v>
      </c>
    </row>
    <row r="1165" spans="1:10" x14ac:dyDescent="0.2">
      <c r="A1165" s="3">
        <v>1797.1344239970399</v>
      </c>
      <c r="B1165" s="1">
        <v>0.13638301054246799</v>
      </c>
      <c r="C1165" s="1">
        <v>1.3377702383215E-3</v>
      </c>
      <c r="D1165" s="7">
        <v>1.7023646141542E-2</v>
      </c>
      <c r="E1165" s="1" t="s">
        <v>2258</v>
      </c>
      <c r="F1165" s="1" t="s">
        <v>2259</v>
      </c>
      <c r="G1165" s="1">
        <v>75624</v>
      </c>
      <c r="H1165" s="6" t="str">
        <f>HYPERLINK("http://www.ensembl.org/Mus_musculus/Gene/Summary?db=core;g=ENSMUSG00000005813","ENSMUSG00000005813")</f>
        <v>ENSMUSG00000005813</v>
      </c>
      <c r="I1165" s="6" t="str">
        <f>HYPERLINK("http://www.informatics.jax.org/marker/MGI:1922874","MGI:1922874")</f>
        <v>MGI:1922874</v>
      </c>
      <c r="J1165" s="7" t="s">
        <v>12</v>
      </c>
    </row>
    <row r="1166" spans="1:10" x14ac:dyDescent="0.2">
      <c r="A1166" s="3">
        <v>265.57524551789697</v>
      </c>
      <c r="B1166" s="1">
        <v>-0.247546812225615</v>
      </c>
      <c r="C1166" s="1">
        <v>1.34302752309703E-3</v>
      </c>
      <c r="D1166" s="7">
        <v>1.7075801190990399E-2</v>
      </c>
      <c r="E1166" s="1" t="s">
        <v>1670</v>
      </c>
      <c r="F1166" s="1" t="s">
        <v>1671</v>
      </c>
      <c r="G1166" s="1">
        <v>13666</v>
      </c>
      <c r="H1166" s="6" t="str">
        <f>HYPERLINK("http://www.ensembl.org/Mus_musculus/Gene/Summary?db=core;g=ENSMUSG00000031668","ENSMUSG00000031668")</f>
        <v>ENSMUSG00000031668</v>
      </c>
      <c r="I1166" s="6" t="str">
        <f>HYPERLINK("http://www.informatics.jax.org/marker/MGI:1341830","MGI:1341830")</f>
        <v>MGI:1341830</v>
      </c>
      <c r="J1166" s="7" t="s">
        <v>12</v>
      </c>
    </row>
    <row r="1167" spans="1:10" x14ac:dyDescent="0.2">
      <c r="A1167" s="3">
        <v>4382.2094213333303</v>
      </c>
      <c r="B1167" s="1">
        <v>0.161677110045022</v>
      </c>
      <c r="C1167" s="1">
        <v>1.3442519707114701E-3</v>
      </c>
      <c r="D1167" s="7">
        <v>1.7076635379658901E-2</v>
      </c>
      <c r="E1167" s="1" t="s">
        <v>2376</v>
      </c>
      <c r="F1167" s="1" t="s">
        <v>2377</v>
      </c>
      <c r="G1167" s="1">
        <v>11792</v>
      </c>
      <c r="H1167" s="6" t="str">
        <f>HYPERLINK("http://www.ensembl.org/Mus_musculus/Gene/Summary?db=core;g=ENSMUSG00000035960","ENSMUSG00000035960")</f>
        <v>ENSMUSG00000035960</v>
      </c>
      <c r="I1167" s="6" t="str">
        <f>HYPERLINK("http://www.informatics.jax.org/marker/MGI:88042","MGI:88042")</f>
        <v>MGI:88042</v>
      </c>
      <c r="J1167" s="7" t="s">
        <v>12</v>
      </c>
    </row>
    <row r="1168" spans="1:10" x14ac:dyDescent="0.2">
      <c r="A1168" s="3">
        <v>347.224026547444</v>
      </c>
      <c r="B1168" s="1">
        <v>0.275892144193705</v>
      </c>
      <c r="C1168" s="1">
        <v>1.3459977285453599E-3</v>
      </c>
      <c r="D1168" s="7">
        <v>1.7084084864637701E-2</v>
      </c>
      <c r="E1168" s="1" t="s">
        <v>2954</v>
      </c>
      <c r="F1168" s="1" t="s">
        <v>2955</v>
      </c>
      <c r="G1168" s="1">
        <v>110532</v>
      </c>
      <c r="H1168" s="6" t="str">
        <f>HYPERLINK("http://www.ensembl.org/Mus_musculus/Gene/Summary?db=core;g=ENSMUSG00000020262","ENSMUSG00000020262")</f>
        <v>ENSMUSG00000020262</v>
      </c>
      <c r="I1168" s="6" t="str">
        <f>HYPERLINK("http://www.informatics.jax.org/marker/MGI:891999","MGI:891999")</f>
        <v>MGI:891999</v>
      </c>
      <c r="J1168" s="7" t="s">
        <v>12</v>
      </c>
    </row>
    <row r="1169" spans="1:10" x14ac:dyDescent="0.2">
      <c r="A1169" s="3">
        <v>2791.8877546158801</v>
      </c>
      <c r="B1169" s="1">
        <v>0.15526487276845</v>
      </c>
      <c r="C1169" s="1">
        <v>1.3483340262225899E-3</v>
      </c>
      <c r="D1169" s="7">
        <v>1.7099010508103401E-2</v>
      </c>
      <c r="E1169" s="1" t="s">
        <v>2346</v>
      </c>
      <c r="F1169" s="1" t="s">
        <v>2347</v>
      </c>
      <c r="G1169" s="1">
        <v>21379</v>
      </c>
      <c r="H1169" s="6" t="str">
        <f>HYPERLINK("http://www.ensembl.org/Mus_musculus/Gene/Summary?db=core;g=ENSMUSG00000000384","ENSMUSG00000000384")</f>
        <v>ENSMUSG00000000384</v>
      </c>
      <c r="I1169" s="6" t="str">
        <f>HYPERLINK("http://www.informatics.jax.org/marker/MGI:1100868","MGI:1100868")</f>
        <v>MGI:1100868</v>
      </c>
      <c r="J1169" s="7" t="s">
        <v>12</v>
      </c>
    </row>
    <row r="1170" spans="1:10" x14ac:dyDescent="0.2">
      <c r="A1170" s="3">
        <v>10.434976453341999</v>
      </c>
      <c r="B1170" s="1">
        <v>-1.1909652272603699</v>
      </c>
      <c r="C1170" s="1">
        <v>1.36745966934085E-3</v>
      </c>
      <c r="D1170" s="7">
        <v>1.7322327072780599E-2</v>
      </c>
      <c r="E1170" s="1" t="s">
        <v>233</v>
      </c>
      <c r="F1170" s="1" t="s">
        <v>234</v>
      </c>
      <c r="G1170" s="1">
        <v>75750</v>
      </c>
      <c r="H1170" s="6" t="str">
        <f>HYPERLINK("http://www.ensembl.org/Mus_musculus/Gene/Summary?db=core;g=ENSMUSG00000029321","ENSMUSG00000029321")</f>
        <v>ENSMUSG00000029321</v>
      </c>
      <c r="I1170" s="6" t="str">
        <f>HYPERLINK("http://www.informatics.jax.org/marker/MGI:1923000","MGI:1923000")</f>
        <v>MGI:1923000</v>
      </c>
      <c r="J1170" s="7" t="s">
        <v>12</v>
      </c>
    </row>
    <row r="1171" spans="1:10" x14ac:dyDescent="0.2">
      <c r="A1171" s="3">
        <v>440.04849394719901</v>
      </c>
      <c r="B1171" s="1">
        <v>-0.44648381215115102</v>
      </c>
      <c r="C1171" s="1">
        <v>1.36829456519521E-3</v>
      </c>
      <c r="D1171" s="7">
        <v>1.7322327072780599E-2</v>
      </c>
      <c r="E1171" s="1" t="s">
        <v>941</v>
      </c>
      <c r="F1171" s="1" t="s">
        <v>942</v>
      </c>
      <c r="G1171" s="1">
        <v>54598</v>
      </c>
      <c r="H1171" s="6" t="str">
        <f>HYPERLINK("http://www.ensembl.org/Mus_musculus/Gene/Summary?db=core;g=ENSMUSG00000059588","ENSMUSG00000059588")</f>
        <v>ENSMUSG00000059588</v>
      </c>
      <c r="I1171" s="6" t="str">
        <f>HYPERLINK("http://www.informatics.jax.org/marker/MGI:1926944","MGI:1926944")</f>
        <v>MGI:1926944</v>
      </c>
      <c r="J1171" s="7" t="s">
        <v>12</v>
      </c>
    </row>
    <row r="1172" spans="1:10" x14ac:dyDescent="0.2">
      <c r="A1172" s="3">
        <v>18.9207462327876</v>
      </c>
      <c r="B1172" s="1">
        <v>-0.73895420925780597</v>
      </c>
      <c r="C1172" s="1">
        <v>1.36988767247472E-3</v>
      </c>
      <c r="D1172" s="7">
        <v>1.73276092202467E-2</v>
      </c>
      <c r="E1172" s="1" t="s">
        <v>528</v>
      </c>
      <c r="F1172" s="1" t="s">
        <v>529</v>
      </c>
      <c r="G1172" s="1">
        <v>320127</v>
      </c>
      <c r="H1172" s="6" t="str">
        <f>HYPERLINK("http://www.ensembl.org/Mus_musculus/Gene/Summary?db=core;g=ENSMUSG00000038665","ENSMUSG00000038665")</f>
        <v>ENSMUSG00000038665</v>
      </c>
      <c r="I1172" s="6" t="str">
        <f>HYPERLINK("http://www.informatics.jax.org/marker/MGI:2443430","MGI:2443430")</f>
        <v>MGI:2443430</v>
      </c>
      <c r="J1172" s="7" t="s">
        <v>12</v>
      </c>
    </row>
    <row r="1173" spans="1:10" x14ac:dyDescent="0.2">
      <c r="A1173" s="3">
        <v>1583.33974571513</v>
      </c>
      <c r="B1173" s="1">
        <v>-0.182828090729759</v>
      </c>
      <c r="C1173" s="1">
        <v>1.37739165825624E-3</v>
      </c>
      <c r="D1173" s="7">
        <v>1.74075844563156E-2</v>
      </c>
      <c r="E1173" s="1" t="s">
        <v>2000</v>
      </c>
      <c r="F1173" s="1" t="s">
        <v>2001</v>
      </c>
      <c r="G1173" s="1">
        <v>24055</v>
      </c>
      <c r="H1173" s="6" t="str">
        <f>HYPERLINK("http://www.ensembl.org/Mus_musculus/Gene/Summary?db=core;g=ENSMUSG00000054520","ENSMUSG00000054520")</f>
        <v>ENSMUSG00000054520</v>
      </c>
      <c r="I1173" s="6" t="str">
        <f>HYPERLINK("http://www.informatics.jax.org/marker/MGI:1346349","MGI:1346349")</f>
        <v>MGI:1346349</v>
      </c>
      <c r="J1173" s="7" t="s">
        <v>12</v>
      </c>
    </row>
    <row r="1174" spans="1:10" x14ac:dyDescent="0.2">
      <c r="A1174" s="3">
        <v>55617.832198848497</v>
      </c>
      <c r="B1174" s="1">
        <v>0.113392632779329</v>
      </c>
      <c r="C1174" s="1">
        <v>1.38118820694574E-3</v>
      </c>
      <c r="D1174" s="7">
        <v>1.7440607898502498E-2</v>
      </c>
      <c r="E1174" s="1" t="s">
        <v>2206</v>
      </c>
      <c r="F1174" s="1" t="s">
        <v>2207</v>
      </c>
      <c r="G1174" s="1">
        <v>15516</v>
      </c>
      <c r="H1174" s="6" t="str">
        <f>HYPERLINK("http://www.ensembl.org/Mus_musculus/Gene/Summary?db=core;g=ENSMUSG00000023944","ENSMUSG00000023944")</f>
        <v>ENSMUSG00000023944</v>
      </c>
      <c r="I1174" s="6" t="str">
        <f>HYPERLINK("http://www.informatics.jax.org/marker/MGI:96247","MGI:96247")</f>
        <v>MGI:96247</v>
      </c>
      <c r="J1174" s="7" t="s">
        <v>12</v>
      </c>
    </row>
    <row r="1175" spans="1:10" x14ac:dyDescent="0.2">
      <c r="A1175" s="3">
        <v>678.10467355081801</v>
      </c>
      <c r="B1175" s="1">
        <v>0.203332932485627</v>
      </c>
      <c r="C1175" s="1">
        <v>1.3849498594293401E-3</v>
      </c>
      <c r="D1175" s="7">
        <v>1.7473134527868799E-2</v>
      </c>
      <c r="E1175" s="1" t="s">
        <v>2626</v>
      </c>
      <c r="F1175" s="1" t="s">
        <v>2627</v>
      </c>
      <c r="G1175" s="1">
        <v>72065</v>
      </c>
      <c r="H1175" s="6" t="str">
        <f>HYPERLINK("http://www.ensembl.org/Mus_musculus/Gene/Summary?db=core;g=ENSMUSG00000050029","ENSMUSG00000050029")</f>
        <v>ENSMUSG00000050029</v>
      </c>
      <c r="I1175" s="6" t="str">
        <f>HYPERLINK("http://www.informatics.jax.org/marker/MGI:1919315","MGI:1919315")</f>
        <v>MGI:1919315</v>
      </c>
      <c r="J1175" s="7" t="s">
        <v>12</v>
      </c>
    </row>
    <row r="1176" spans="1:10" x14ac:dyDescent="0.2">
      <c r="A1176" s="3">
        <v>818.09100731130695</v>
      </c>
      <c r="B1176" s="1">
        <v>0.21344921041533499</v>
      </c>
      <c r="C1176" s="1">
        <v>1.39631208306894E-3</v>
      </c>
      <c r="D1176" s="7">
        <v>1.7601415616855399E-2</v>
      </c>
      <c r="E1176" s="1" t="s">
        <v>2686</v>
      </c>
      <c r="F1176" s="1" t="s">
        <v>2687</v>
      </c>
      <c r="G1176" s="1">
        <v>67223</v>
      </c>
      <c r="H1176" s="6" t="str">
        <f>HYPERLINK("http://www.ensembl.org/Mus_musculus/Gene/Summary?db=core;g=ENSMUSG00000001305","ENSMUSG00000001305")</f>
        <v>ENSMUSG00000001305</v>
      </c>
      <c r="I1176" s="6" t="str">
        <f>HYPERLINK("http://www.informatics.jax.org/marker/MGI:1914473","MGI:1914473")</f>
        <v>MGI:1914473</v>
      </c>
      <c r="J1176" s="7" t="s">
        <v>12</v>
      </c>
    </row>
    <row r="1177" spans="1:10" x14ac:dyDescent="0.2">
      <c r="A1177" s="3">
        <v>268.62019879470603</v>
      </c>
      <c r="B1177" s="1">
        <v>-0.30769149168872201</v>
      </c>
      <c r="C1177" s="1">
        <v>1.4022937374750901E-3</v>
      </c>
      <c r="D1177" s="7">
        <v>1.7646627254853098E-2</v>
      </c>
      <c r="E1177" s="1" t="s">
        <v>1418</v>
      </c>
      <c r="F1177" s="1" t="s">
        <v>1419</v>
      </c>
      <c r="G1177" s="1">
        <v>52585</v>
      </c>
      <c r="H1177" s="6" t="str">
        <f>HYPERLINK("http://www.ensembl.org/Mus_musculus/Gene/Summary?db=core;g=ENSMUSG00000002332","ENSMUSG00000002332")</f>
        <v>ENSMUSG00000002332</v>
      </c>
      <c r="I1177" s="6" t="str">
        <f>HYPERLINK("http://www.informatics.jax.org/marker/MGI:1196314","MGI:1196314")</f>
        <v>MGI:1196314</v>
      </c>
      <c r="J1177" s="7" t="s">
        <v>12</v>
      </c>
    </row>
    <row r="1178" spans="1:10" x14ac:dyDescent="0.2">
      <c r="A1178" s="3">
        <v>656.60658783832696</v>
      </c>
      <c r="B1178" s="1">
        <v>-0.2002126253556</v>
      </c>
      <c r="C1178" s="1">
        <v>1.4013003510902301E-3</v>
      </c>
      <c r="D1178" s="7">
        <v>1.7646627254853098E-2</v>
      </c>
      <c r="E1178" s="1" t="s">
        <v>1906</v>
      </c>
      <c r="F1178" s="1" t="s">
        <v>1907</v>
      </c>
      <c r="G1178" s="1">
        <v>26951</v>
      </c>
      <c r="H1178" s="6" t="str">
        <f>HYPERLINK("http://www.ensembl.org/Mus_musculus/Gene/Summary?db=core;g=ENSMUSG00000032264","ENSMUSG00000032264")</f>
        <v>ENSMUSG00000032264</v>
      </c>
      <c r="I1178" s="6" t="str">
        <f>HYPERLINK("http://www.informatics.jax.org/marker/MGI:1349478","MGI:1349478")</f>
        <v>MGI:1349478</v>
      </c>
      <c r="J1178" s="7" t="s">
        <v>12</v>
      </c>
    </row>
    <row r="1179" spans="1:10" x14ac:dyDescent="0.2">
      <c r="A1179" s="3">
        <v>1874.02456517992</v>
      </c>
      <c r="B1179" s="1">
        <v>-0.180608273001164</v>
      </c>
      <c r="C1179" s="1">
        <v>1.4190303418490299E-3</v>
      </c>
      <c r="D1179" s="7">
        <v>1.7842006072941299E-2</v>
      </c>
      <c r="E1179" s="1" t="s">
        <v>2008</v>
      </c>
      <c r="F1179" s="1" t="s">
        <v>2009</v>
      </c>
      <c r="G1179" s="1">
        <v>66154</v>
      </c>
      <c r="H1179" s="6" t="str">
        <f>HYPERLINK("http://www.ensembl.org/Mus_musculus/Gene/Summary?db=core;g=ENSMUSG00000021361","ENSMUSG00000021361")</f>
        <v>ENSMUSG00000021361</v>
      </c>
      <c r="I1179" s="6" t="str">
        <f>HYPERLINK("http://www.informatics.jax.org/marker/MGI:1913404","MGI:1913404")</f>
        <v>MGI:1913404</v>
      </c>
      <c r="J1179" s="7" t="s">
        <v>12</v>
      </c>
    </row>
    <row r="1180" spans="1:10" x14ac:dyDescent="0.2">
      <c r="A1180" s="3">
        <v>344.39485330256201</v>
      </c>
      <c r="B1180" s="1">
        <v>-0.26963204770142601</v>
      </c>
      <c r="C1180" s="1">
        <v>1.43200898219495E-3</v>
      </c>
      <c r="D1180" s="7">
        <v>1.7974518195591802E-2</v>
      </c>
      <c r="E1180" s="1" t="s">
        <v>1572</v>
      </c>
      <c r="F1180" s="1" t="s">
        <v>1573</v>
      </c>
      <c r="G1180" s="1">
        <v>20912</v>
      </c>
      <c r="H1180" s="6" t="str">
        <f>HYPERLINK("http://www.ensembl.org/Mus_musculus/Gene/Summary?db=core;g=ENSMUSG00000027882","ENSMUSG00000027882")</f>
        <v>ENSMUSG00000027882</v>
      </c>
      <c r="I1180" s="6" t="str">
        <f>HYPERLINK("http://www.informatics.jax.org/marker/MGI:107362","MGI:107362")</f>
        <v>MGI:107362</v>
      </c>
      <c r="J1180" s="7" t="s">
        <v>12</v>
      </c>
    </row>
    <row r="1181" spans="1:10" x14ac:dyDescent="0.2">
      <c r="A1181" s="3">
        <v>626.51409019760399</v>
      </c>
      <c r="B1181" s="1">
        <v>0.25831391449164198</v>
      </c>
      <c r="C1181" s="1">
        <v>1.4314617316925501E-3</v>
      </c>
      <c r="D1181" s="7">
        <v>1.7974518195591802E-2</v>
      </c>
      <c r="E1181" s="1" t="s">
        <v>2898</v>
      </c>
      <c r="F1181" s="1" t="s">
        <v>2899</v>
      </c>
      <c r="G1181" s="1">
        <v>56349</v>
      </c>
      <c r="H1181" s="6" t="str">
        <f>HYPERLINK("http://www.ensembl.org/Mus_musculus/Gene/Summary?db=core;g=ENSMUSG00000021215","ENSMUSG00000021215")</f>
        <v>ENSMUSG00000021215</v>
      </c>
      <c r="I1181" s="6" t="str">
        <f>HYPERLINK("http://www.informatics.jax.org/marker/MGI:1927138","MGI:1927138")</f>
        <v>MGI:1927138</v>
      </c>
      <c r="J1181" s="7" t="s">
        <v>12</v>
      </c>
    </row>
    <row r="1182" spans="1:10" x14ac:dyDescent="0.2">
      <c r="A1182" s="3">
        <v>26.094327263309701</v>
      </c>
      <c r="B1182" s="1">
        <v>-0.896193991925192</v>
      </c>
      <c r="C1182" s="1">
        <v>1.4340262912463299E-3</v>
      </c>
      <c r="D1182" s="7">
        <v>1.7984520364090199E-2</v>
      </c>
      <c r="E1182" s="1" t="s">
        <v>411</v>
      </c>
      <c r="F1182" s="1" t="s">
        <v>412</v>
      </c>
      <c r="G1182" s="1">
        <v>74191</v>
      </c>
      <c r="H1182" s="6" t="str">
        <f>HYPERLINK("http://www.ensembl.org/Mus_musculus/Gene/Summary?db=core;g=ENSMUSG00000036362","ENSMUSG00000036362")</f>
        <v>ENSMUSG00000036362</v>
      </c>
      <c r="I1182" s="6" t="str">
        <f>HYPERLINK("http://www.informatics.jax.org/marker/MGI:1921441","MGI:1921441")</f>
        <v>MGI:1921441</v>
      </c>
      <c r="J1182" s="7" t="s">
        <v>12</v>
      </c>
    </row>
    <row r="1183" spans="1:10" x14ac:dyDescent="0.2">
      <c r="A1183" s="3">
        <v>225.88425935709799</v>
      </c>
      <c r="B1183" s="1">
        <v>0.319317413845011</v>
      </c>
      <c r="C1183" s="1">
        <v>1.43650689335779E-3</v>
      </c>
      <c r="D1183" s="7">
        <v>1.8000310867789499E-2</v>
      </c>
      <c r="E1183" s="1" t="s">
        <v>3026</v>
      </c>
      <c r="F1183" s="1" t="s">
        <v>3027</v>
      </c>
      <c r="G1183" s="1">
        <v>217265</v>
      </c>
      <c r="H1183" s="6" t="str">
        <f>HYPERLINK("http://www.ensembl.org/Mus_musculus/Gene/Summary?db=core;g=ENSMUSG00000018800","ENSMUSG00000018800")</f>
        <v>ENSMUSG00000018800</v>
      </c>
      <c r="I1183" s="6" t="str">
        <f>HYPERLINK("http://www.informatics.jax.org/marker/MGI:2386607","MGI:2386607")</f>
        <v>MGI:2386607</v>
      </c>
      <c r="J1183" s="7" t="s">
        <v>12</v>
      </c>
    </row>
    <row r="1184" spans="1:10" x14ac:dyDescent="0.2">
      <c r="A1184" s="3">
        <v>8072.0100425897799</v>
      </c>
      <c r="B1184" s="1">
        <v>-0.208553305711522</v>
      </c>
      <c r="C1184" s="1">
        <v>1.4437485278852901E-3</v>
      </c>
      <c r="D1184" s="7">
        <v>1.8060338121322302E-2</v>
      </c>
      <c r="E1184" s="1" t="s">
        <v>1874</v>
      </c>
      <c r="F1184" s="1" t="s">
        <v>1875</v>
      </c>
      <c r="G1184" s="1">
        <v>16784</v>
      </c>
      <c r="H1184" s="6" t="str">
        <f>HYPERLINK("http://www.ensembl.org/Mus_musculus/Gene/Summary?db=core;g=ENSMUSG00000016534","ENSMUSG00000016534")</f>
        <v>ENSMUSG00000016534</v>
      </c>
      <c r="I1184" s="6" t="str">
        <f>HYPERLINK("http://www.informatics.jax.org/marker/MGI:96748","MGI:96748")</f>
        <v>MGI:96748</v>
      </c>
      <c r="J1184" s="7" t="s">
        <v>12</v>
      </c>
    </row>
    <row r="1185" spans="1:10" x14ac:dyDescent="0.2">
      <c r="A1185" s="3">
        <v>15476.301502784099</v>
      </c>
      <c r="B1185" s="1">
        <v>0.24793815939984001</v>
      </c>
      <c r="C1185" s="1">
        <v>1.44310466031289E-3</v>
      </c>
      <c r="D1185" s="7">
        <v>1.8060338121322302E-2</v>
      </c>
      <c r="E1185" s="1" t="s">
        <v>2870</v>
      </c>
      <c r="F1185" s="1" t="s">
        <v>2871</v>
      </c>
      <c r="G1185" s="1">
        <v>13806</v>
      </c>
      <c r="H1185" s="6" t="str">
        <f>HYPERLINK("http://www.ensembl.org/Mus_musculus/Gene/Summary?db=core;g=ENSMUSG00000063524","ENSMUSG00000063524")</f>
        <v>ENSMUSG00000063524</v>
      </c>
      <c r="I1185" s="6" t="str">
        <f>HYPERLINK("http://www.informatics.jax.org/marker/MGI:95393","MGI:95393")</f>
        <v>MGI:95393</v>
      </c>
      <c r="J1185" s="7" t="s">
        <v>12</v>
      </c>
    </row>
    <row r="1186" spans="1:10" x14ac:dyDescent="0.2">
      <c r="A1186" s="3">
        <v>562.28160954502096</v>
      </c>
      <c r="B1186" s="1">
        <v>0.39102701454134903</v>
      </c>
      <c r="C1186" s="1">
        <v>1.4505786610168601E-3</v>
      </c>
      <c r="D1186" s="7">
        <v>1.8130387742785799E-2</v>
      </c>
      <c r="E1186" s="1" t="s">
        <v>3138</v>
      </c>
      <c r="F1186" s="1" t="s">
        <v>3139</v>
      </c>
      <c r="G1186" s="1">
        <v>14958</v>
      </c>
      <c r="H1186" s="6" t="str">
        <f>HYPERLINK("http://www.ensembl.org/Mus_musculus/Gene/Summary?db=core;g=ENSMUSG00000096210","ENSMUSG00000096210")</f>
        <v>ENSMUSG00000096210</v>
      </c>
      <c r="I1186" s="6" t="str">
        <f>HYPERLINK("http://www.informatics.jax.org/marker/MGI:95893","MGI:95893")</f>
        <v>MGI:95893</v>
      </c>
      <c r="J1186" s="7" t="s">
        <v>12</v>
      </c>
    </row>
    <row r="1187" spans="1:10" x14ac:dyDescent="0.2">
      <c r="A1187" s="3">
        <v>16599.273653923101</v>
      </c>
      <c r="B1187" s="1">
        <v>-0.16523444656792</v>
      </c>
      <c r="C1187" s="1">
        <v>1.45280723505671E-3</v>
      </c>
      <c r="D1187" s="7">
        <v>1.8142853742199799E-2</v>
      </c>
      <c r="E1187" s="1" t="s">
        <v>2064</v>
      </c>
      <c r="F1187" s="1" t="s">
        <v>2065</v>
      </c>
      <c r="G1187" s="1">
        <v>14683</v>
      </c>
      <c r="H1187" s="6" t="str">
        <f>HYPERLINK("http://www.ensembl.org/Mus_musculus/Gene/Summary?db=core;g=ENSMUSG00000027523","ENSMUSG00000027523")</f>
        <v>ENSMUSG00000027523</v>
      </c>
      <c r="I1187" s="6" t="str">
        <f>HYPERLINK("http://www.informatics.jax.org/marker/MGI:95777","MGI:95777")</f>
        <v>MGI:95777</v>
      </c>
      <c r="J1187" s="7" t="s">
        <v>12</v>
      </c>
    </row>
    <row r="1188" spans="1:10" x14ac:dyDescent="0.2">
      <c r="A1188" s="3">
        <v>939.86048306456701</v>
      </c>
      <c r="B1188" s="1">
        <v>0.155506474367131</v>
      </c>
      <c r="C1188" s="1">
        <v>1.45707936357506E-3</v>
      </c>
      <c r="D1188" s="7">
        <v>1.81807972071482E-2</v>
      </c>
      <c r="E1188" s="1" t="s">
        <v>2348</v>
      </c>
      <c r="F1188" s="1" t="s">
        <v>2349</v>
      </c>
      <c r="G1188" s="1">
        <v>353258</v>
      </c>
      <c r="H1188" s="6" t="str">
        <f>HYPERLINK("http://www.ensembl.org/Mus_musculus/Gene/Summary?db=core;g=ENSMUSG00000019814","ENSMUSG00000019814")</f>
        <v>ENSMUSG00000019814</v>
      </c>
      <c r="I1188" s="6" t="str">
        <f>HYPERLINK("http://www.informatics.jax.org/marker/MGI:2447810","MGI:2447810")</f>
        <v>MGI:2447810</v>
      </c>
      <c r="J1188" s="7" t="s">
        <v>12</v>
      </c>
    </row>
    <row r="1189" spans="1:10" x14ac:dyDescent="0.2">
      <c r="A1189" s="3">
        <v>7366.5931003814803</v>
      </c>
      <c r="B1189" s="1">
        <v>-0.17698600491130101</v>
      </c>
      <c r="C1189" s="1">
        <v>1.46872316849319E-3</v>
      </c>
      <c r="D1189" s="7">
        <v>1.8295830566757501E-2</v>
      </c>
      <c r="E1189" s="1" t="s">
        <v>2022</v>
      </c>
      <c r="F1189" s="1" t="s">
        <v>2023</v>
      </c>
      <c r="G1189" s="1">
        <v>56722</v>
      </c>
      <c r="H1189" s="6" t="str">
        <f>HYPERLINK("http://www.ensembl.org/Mus_musculus/Gene/Summary?db=core;g=ENSMUSG00000022500","ENSMUSG00000022500")</f>
        <v>ENSMUSG00000022500</v>
      </c>
      <c r="I1189" s="6" t="str">
        <f>HYPERLINK("http://www.informatics.jax.org/marker/MGI:1929512","MGI:1929512")</f>
        <v>MGI:1929512</v>
      </c>
      <c r="J1189" s="7" t="s">
        <v>12</v>
      </c>
    </row>
    <row r="1190" spans="1:10" x14ac:dyDescent="0.2">
      <c r="A1190" s="3">
        <v>515.29428726492597</v>
      </c>
      <c r="B1190" s="1">
        <v>0.19206012919958201</v>
      </c>
      <c r="C1190" s="1">
        <v>1.4687817291309799E-3</v>
      </c>
      <c r="D1190" s="7">
        <v>1.8295830566757501E-2</v>
      </c>
      <c r="E1190" s="1" t="s">
        <v>2552</v>
      </c>
      <c r="F1190" s="1" t="s">
        <v>2553</v>
      </c>
      <c r="G1190" s="1">
        <v>71919</v>
      </c>
      <c r="H1190" s="6" t="str">
        <f>HYPERLINK("http://www.ensembl.org/Mus_musculus/Gene/Summary?db=core;g=ENSMUSG00000022466","ENSMUSG00000022466")</f>
        <v>ENSMUSG00000022466</v>
      </c>
      <c r="I1190" s="6" t="str">
        <f>HYPERLINK("http://www.informatics.jax.org/marker/MGI:1277218","MGI:1277218")</f>
        <v>MGI:1277218</v>
      </c>
      <c r="J1190" s="7" t="s">
        <v>12</v>
      </c>
    </row>
    <row r="1191" spans="1:10" x14ac:dyDescent="0.2">
      <c r="A1191" s="3">
        <v>1960.78469876026</v>
      </c>
      <c r="B1191" s="1">
        <v>0.183992732906268</v>
      </c>
      <c r="C1191" s="1">
        <v>1.4726035085445299E-3</v>
      </c>
      <c r="D1191" s="7">
        <v>1.8327943667155601E-2</v>
      </c>
      <c r="E1191" s="1" t="s">
        <v>2504</v>
      </c>
      <c r="F1191" s="1" t="s">
        <v>2505</v>
      </c>
      <c r="G1191" s="1">
        <v>66942</v>
      </c>
      <c r="H1191" s="6" t="str">
        <f>HYPERLINK("http://www.ensembl.org/Mus_musculus/Gene/Summary?db=core;g=ENSMUSG00000001674","ENSMUSG00000001674")</f>
        <v>ENSMUSG00000001674</v>
      </c>
      <c r="I1191" s="6" t="str">
        <f>HYPERLINK("http://www.informatics.jax.org/marker/MGI:1914192","MGI:1914192")</f>
        <v>MGI:1914192</v>
      </c>
      <c r="J1191" s="7" t="s">
        <v>12</v>
      </c>
    </row>
    <row r="1192" spans="1:10" x14ac:dyDescent="0.2">
      <c r="A1192" s="3">
        <v>11166.582128286</v>
      </c>
      <c r="B1192" s="1">
        <v>-0.350541515312842</v>
      </c>
      <c r="C1192" s="1">
        <v>1.4841597436975201E-3</v>
      </c>
      <c r="D1192" s="7">
        <v>1.8456183952005701E-2</v>
      </c>
      <c r="E1192" s="1" t="s">
        <v>1244</v>
      </c>
      <c r="F1192" s="1" t="s">
        <v>1245</v>
      </c>
      <c r="G1192" s="1">
        <v>12874</v>
      </c>
      <c r="H1192" s="6" t="str">
        <f>HYPERLINK("http://www.ensembl.org/Mus_musculus/Gene/Summary?db=core;g=ENSMUSG00000020841","ENSMUSG00000020841")</f>
        <v>ENSMUSG00000020841</v>
      </c>
      <c r="I1192" s="6" t="str">
        <f>HYPERLINK("http://www.informatics.jax.org/marker/MGI:107265","MGI:107265")</f>
        <v>MGI:107265</v>
      </c>
      <c r="J1192" s="7" t="s">
        <v>12</v>
      </c>
    </row>
    <row r="1193" spans="1:10" x14ac:dyDescent="0.2">
      <c r="A1193" s="3">
        <v>1405.6708636226001</v>
      </c>
      <c r="B1193" s="1">
        <v>-0.26549196502407402</v>
      </c>
      <c r="C1193" s="1">
        <v>1.48683562042419E-3</v>
      </c>
      <c r="D1193" s="7">
        <v>1.8473869900987198E-2</v>
      </c>
      <c r="E1193" s="1" t="s">
        <v>1598</v>
      </c>
      <c r="F1193" s="1" t="s">
        <v>1599</v>
      </c>
      <c r="G1193" s="1">
        <v>21745</v>
      </c>
      <c r="H1193" s="6" t="str">
        <f>HYPERLINK("http://www.ensembl.org/Mus_musculus/Gene/Summary?db=core;g=ENSMUSG00000006281","ENSMUSG00000006281")</f>
        <v>ENSMUSG00000006281</v>
      </c>
      <c r="I1193" s="6" t="str">
        <f>HYPERLINK("http://www.informatics.jax.org/marker/MGI:109573","MGI:109573")</f>
        <v>MGI:109573</v>
      </c>
      <c r="J1193" s="7" t="s">
        <v>12</v>
      </c>
    </row>
    <row r="1194" spans="1:10" x14ac:dyDescent="0.2">
      <c r="A1194" s="3">
        <v>86.735664515147107</v>
      </c>
      <c r="B1194" s="1">
        <v>0.51108742163965104</v>
      </c>
      <c r="C1194" s="1">
        <v>1.49296485839795E-3</v>
      </c>
      <c r="D1194" s="7">
        <v>1.8534397770305199E-2</v>
      </c>
      <c r="E1194" s="1" t="s">
        <v>3198</v>
      </c>
      <c r="F1194" s="1" t="s">
        <v>3199</v>
      </c>
      <c r="G1194" s="1">
        <v>50782</v>
      </c>
      <c r="H1194" s="6" t="str">
        <f>HYPERLINK("http://www.ensembl.org/Mus_musculus/Gene/Summary?db=core;g=ENSMUSG00000024186","ENSMUSG00000024186")</f>
        <v>ENSMUSG00000024186</v>
      </c>
      <c r="I1194" s="6" t="str">
        <f>HYPERLINK("http://www.informatics.jax.org/marker/MGI:1354739","MGI:1354739")</f>
        <v>MGI:1354739</v>
      </c>
      <c r="J1194" s="7" t="s">
        <v>12</v>
      </c>
    </row>
    <row r="1195" spans="1:10" x14ac:dyDescent="0.2">
      <c r="A1195" s="3">
        <v>162.04387209711001</v>
      </c>
      <c r="B1195" s="1">
        <v>0.42089946518766502</v>
      </c>
      <c r="C1195" s="1">
        <v>1.49941414606024E-3</v>
      </c>
      <c r="D1195" s="7">
        <v>1.8598793650121001E-2</v>
      </c>
      <c r="E1195" s="1" t="s">
        <v>3152</v>
      </c>
      <c r="F1195" s="1" t="s">
        <v>3153</v>
      </c>
      <c r="G1195" s="1">
        <v>18996</v>
      </c>
      <c r="H1195" s="6" t="str">
        <f>HYPERLINK("http://www.ensembl.org/Mus_musculus/Gene/Summary?db=core;g=ENSMUSG00000048349","ENSMUSG00000048349")</f>
        <v>ENSMUSG00000048349</v>
      </c>
      <c r="I1195" s="6" t="str">
        <f>HYPERLINK("http://www.informatics.jax.org/marker/MGI:102525","MGI:102525")</f>
        <v>MGI:102525</v>
      </c>
      <c r="J1195" s="7" t="s">
        <v>12</v>
      </c>
    </row>
    <row r="1196" spans="1:10" x14ac:dyDescent="0.2">
      <c r="A1196" s="3">
        <v>3.6040076901159699</v>
      </c>
      <c r="B1196" s="1">
        <v>-1.42851634898962</v>
      </c>
      <c r="C1196" s="1">
        <v>1.5084274005281099E-3</v>
      </c>
      <c r="D1196" s="7">
        <v>1.8647807193105902E-2</v>
      </c>
      <c r="E1196" s="1" t="s">
        <v>134</v>
      </c>
      <c r="F1196" s="1" t="s">
        <v>135</v>
      </c>
      <c r="G1196" s="1">
        <v>328967</v>
      </c>
      <c r="H1196" s="6" t="str">
        <f>HYPERLINK("http://www.ensembl.org/Mus_musculus/Gene/Summary?db=core;g=ENSMUSG00000045094","ENSMUSG00000045094")</f>
        <v>ENSMUSG00000045094</v>
      </c>
      <c r="I1196" s="6" t="str">
        <f>HYPERLINK("http://www.informatics.jax.org/marker/MGI:3045339","MGI:3045339")</f>
        <v>MGI:3045339</v>
      </c>
      <c r="J1196" s="7" t="s">
        <v>12</v>
      </c>
    </row>
    <row r="1197" spans="1:10" x14ac:dyDescent="0.2">
      <c r="A1197" s="3">
        <v>27.027436593585499</v>
      </c>
      <c r="B1197" s="1">
        <v>-0.70610784964390805</v>
      </c>
      <c r="C1197" s="1">
        <v>1.5077362319489899E-3</v>
      </c>
      <c r="D1197" s="7">
        <v>1.8647807193105902E-2</v>
      </c>
      <c r="E1197" s="1" t="s">
        <v>548</v>
      </c>
      <c r="F1197" s="1" t="s">
        <v>549</v>
      </c>
      <c r="G1197" s="1">
        <v>12334</v>
      </c>
      <c r="H1197" s="6" t="str">
        <f>HYPERLINK("http://www.ensembl.org/Mus_musculus/Gene/Summary?db=core;g=ENSMUSG00000026509","ENSMUSG00000026509")</f>
        <v>ENSMUSG00000026509</v>
      </c>
      <c r="I1197" s="6" t="str">
        <f>HYPERLINK("http://www.informatics.jax.org/marker/MGI:88264","MGI:88264")</f>
        <v>MGI:88264</v>
      </c>
      <c r="J1197" s="7" t="s">
        <v>12</v>
      </c>
    </row>
    <row r="1198" spans="1:10" x14ac:dyDescent="0.2">
      <c r="A1198" s="3">
        <v>80.290756152546393</v>
      </c>
      <c r="B1198" s="1">
        <v>-0.460489132001483</v>
      </c>
      <c r="C1198" s="1">
        <v>1.5074518671941901E-3</v>
      </c>
      <c r="D1198" s="7">
        <v>1.8647807193105902E-2</v>
      </c>
      <c r="E1198" s="1" t="s">
        <v>911</v>
      </c>
      <c r="F1198" s="1" t="s">
        <v>912</v>
      </c>
      <c r="G1198" s="1">
        <v>67893</v>
      </c>
      <c r="H1198" s="6" t="str">
        <f>HYPERLINK("http://www.ensembl.org/Mus_musculus/Gene/Summary?db=core;g=ENSMUSG00000010307","ENSMUSG00000010307")</f>
        <v>ENSMUSG00000010307</v>
      </c>
      <c r="I1198" s="6" t="str">
        <f>HYPERLINK("http://www.informatics.jax.org/marker/MGI:1915143","MGI:1915143")</f>
        <v>MGI:1915143</v>
      </c>
      <c r="J1198" s="7" t="s">
        <v>12</v>
      </c>
    </row>
    <row r="1199" spans="1:10" x14ac:dyDescent="0.2">
      <c r="A1199" s="3">
        <v>5558.8636997720796</v>
      </c>
      <c r="B1199" s="1">
        <v>-0.20126536065557099</v>
      </c>
      <c r="C1199" s="1">
        <v>1.5079209724471799E-3</v>
      </c>
      <c r="D1199" s="7">
        <v>1.8647807193105902E-2</v>
      </c>
      <c r="E1199" s="1" t="s">
        <v>1898</v>
      </c>
      <c r="F1199" s="1" t="s">
        <v>1899</v>
      </c>
      <c r="G1199" s="1">
        <v>28146</v>
      </c>
      <c r="H1199" s="6" t="str">
        <f>HYPERLINK("http://www.ensembl.org/Mus_musculus/Gene/Summary?db=core;g=ENSMUSG00000027808","ENSMUSG00000027808")</f>
        <v>ENSMUSG00000027808</v>
      </c>
      <c r="I1199" s="6" t="str">
        <f>HYPERLINK("http://www.informatics.jax.org/marker/MGI:92638","MGI:92638")</f>
        <v>MGI:92638</v>
      </c>
      <c r="J1199" s="7" t="s">
        <v>12</v>
      </c>
    </row>
    <row r="1200" spans="1:10" x14ac:dyDescent="0.2">
      <c r="A1200" s="3">
        <v>182.954392691245</v>
      </c>
      <c r="B1200" s="1">
        <v>-0.30178653190322302</v>
      </c>
      <c r="C1200" s="1">
        <v>1.51123843405545E-3</v>
      </c>
      <c r="D1200" s="7">
        <v>1.8659165361947502E-2</v>
      </c>
      <c r="E1200" s="1" t="s">
        <v>1450</v>
      </c>
      <c r="F1200" s="1" t="s">
        <v>1451</v>
      </c>
      <c r="G1200" s="1">
        <v>243371</v>
      </c>
      <c r="H1200" s="6" t="str">
        <f>HYPERLINK("http://www.ensembl.org/Mus_musculus/Gene/Summary?db=core;g=ENSMUSG00000073096","ENSMUSG00000073096")</f>
        <v>ENSMUSG00000073096</v>
      </c>
      <c r="I1200" s="6" t="str">
        <f>HYPERLINK("http://www.informatics.jax.org/marker/MGI:2652848","MGI:2652848")</f>
        <v>MGI:2652848</v>
      </c>
      <c r="J1200" s="7" t="s">
        <v>12</v>
      </c>
    </row>
    <row r="1201" spans="1:10" x14ac:dyDescent="0.2">
      <c r="A1201" s="3">
        <v>2404.72914996088</v>
      </c>
      <c r="B1201" s="1">
        <v>-0.26956060062813902</v>
      </c>
      <c r="C1201" s="1">
        <v>1.5118786266398801E-3</v>
      </c>
      <c r="D1201" s="7">
        <v>1.8659165361947502E-2</v>
      </c>
      <c r="E1201" s="1" t="s">
        <v>1574</v>
      </c>
      <c r="F1201" s="1" t="s">
        <v>1575</v>
      </c>
      <c r="G1201" s="1">
        <v>16331</v>
      </c>
      <c r="H1201" s="6" t="str">
        <f>HYPERLINK("http://www.ensembl.org/Mus_musculus/Gene/Summary?db=core;g=ENSMUSG00000026288","ENSMUSG00000026288")</f>
        <v>ENSMUSG00000026288</v>
      </c>
      <c r="I1201" s="6" t="str">
        <f>HYPERLINK("http://www.informatics.jax.org/marker/MGI:107357","MGI:107357")</f>
        <v>MGI:107357</v>
      </c>
      <c r="J1201" s="7" t="s">
        <v>12</v>
      </c>
    </row>
    <row r="1202" spans="1:10" x14ac:dyDescent="0.2">
      <c r="A1202" s="3">
        <v>234.730704199493</v>
      </c>
      <c r="B1202" s="1">
        <v>-0.259799520410739</v>
      </c>
      <c r="C1202" s="1">
        <v>1.5138113932658399E-3</v>
      </c>
      <c r="D1202" s="7">
        <v>1.8667384678799501E-2</v>
      </c>
      <c r="E1202" s="1" t="s">
        <v>1616</v>
      </c>
      <c r="F1202" s="1" t="s">
        <v>1617</v>
      </c>
      <c r="G1202" s="1">
        <v>381694</v>
      </c>
      <c r="H1202" s="6" t="str">
        <f>HYPERLINK("http://www.ensembl.org/Mus_musculus/Gene/Summary?db=core;g=ENSMUSG00000051950","ENSMUSG00000051950")</f>
        <v>ENSMUSG00000051950</v>
      </c>
      <c r="I1202" s="6" t="str">
        <f>HYPERLINK("http://www.informatics.jax.org/marker/MGI:2685903","MGI:2685903")</f>
        <v>MGI:2685903</v>
      </c>
      <c r="J1202" s="7" t="s">
        <v>12</v>
      </c>
    </row>
    <row r="1203" spans="1:10" x14ac:dyDescent="0.2">
      <c r="A1203" s="3">
        <v>3369.96194577711</v>
      </c>
      <c r="B1203" s="1">
        <v>0.17446470249820301</v>
      </c>
      <c r="C1203" s="1">
        <v>1.51600013033335E-3</v>
      </c>
      <c r="D1203" s="7">
        <v>1.86787440807628E-2</v>
      </c>
      <c r="E1203" s="1" t="s">
        <v>2456</v>
      </c>
      <c r="F1203" s="1" t="s">
        <v>2457</v>
      </c>
      <c r="G1203" s="1">
        <v>69077</v>
      </c>
      <c r="H1203" s="6" t="str">
        <f>HYPERLINK("http://www.ensembl.org/Mus_musculus/Gene/Summary?db=core;g=ENSMUSG00000017428","ENSMUSG00000017428")</f>
        <v>ENSMUSG00000017428</v>
      </c>
      <c r="I1203" s="6" t="str">
        <f>HYPERLINK("http://www.informatics.jax.org/marker/MGI:1916327","MGI:1916327")</f>
        <v>MGI:1916327</v>
      </c>
      <c r="J1203" s="7" t="s">
        <v>12</v>
      </c>
    </row>
    <row r="1204" spans="1:10" x14ac:dyDescent="0.2">
      <c r="A1204" s="3">
        <v>2565.6572986076399</v>
      </c>
      <c r="B1204" s="1">
        <v>-0.347662234179274</v>
      </c>
      <c r="C1204" s="1">
        <v>1.5226149415414299E-3</v>
      </c>
      <c r="D1204" s="7">
        <v>1.8744572914414798E-2</v>
      </c>
      <c r="E1204" s="1" t="s">
        <v>1254</v>
      </c>
      <c r="F1204" s="1" t="s">
        <v>1255</v>
      </c>
      <c r="G1204" s="1">
        <v>227659</v>
      </c>
      <c r="H1204" s="6" t="str">
        <f>HYPERLINK("http://www.ensembl.org/Mus_musculus/Gene/Summary?db=core;g=ENSMUSG00000036067","ENSMUSG00000036067")</f>
        <v>ENSMUSG00000036067</v>
      </c>
      <c r="I1204" s="6" t="str">
        <f>HYPERLINK("http://www.informatics.jax.org/marker/MGI:2443286","MGI:2443286")</f>
        <v>MGI:2443286</v>
      </c>
      <c r="J1204" s="7" t="s">
        <v>12</v>
      </c>
    </row>
    <row r="1205" spans="1:10" x14ac:dyDescent="0.2">
      <c r="A1205" s="3">
        <v>1713.54271490714</v>
      </c>
      <c r="B1205" s="1">
        <v>-0.17404985361634701</v>
      </c>
      <c r="C1205" s="1">
        <v>1.52789085978987E-3</v>
      </c>
      <c r="D1205" s="7">
        <v>1.8793822796213201E-2</v>
      </c>
      <c r="E1205" s="1" t="s">
        <v>2038</v>
      </c>
      <c r="F1205" s="1" t="s">
        <v>2039</v>
      </c>
      <c r="G1205" s="1">
        <v>59044</v>
      </c>
      <c r="H1205" s="6" t="str">
        <f>HYPERLINK("http://www.ensembl.org/Mus_musculus/Gene/Summary?db=core;g=ENSMUSG00000020376","ENSMUSG00000020376")</f>
        <v>ENSMUSG00000020376</v>
      </c>
      <c r="I1205" s="6" t="str">
        <f>HYPERLINK("http://www.informatics.jax.org/marker/MGI:1891717","MGI:1891717")</f>
        <v>MGI:1891717</v>
      </c>
      <c r="J1205" s="7" t="s">
        <v>12</v>
      </c>
    </row>
    <row r="1206" spans="1:10" x14ac:dyDescent="0.2">
      <c r="A1206" s="3">
        <v>1319.17681517392</v>
      </c>
      <c r="B1206" s="1">
        <v>0.195755461400971</v>
      </c>
      <c r="C1206" s="1">
        <v>1.53152085026837E-3</v>
      </c>
      <c r="D1206" s="7">
        <v>1.88227616760256E-2</v>
      </c>
      <c r="E1206" s="1" t="s">
        <v>2572</v>
      </c>
      <c r="F1206" s="1" t="s">
        <v>2573</v>
      </c>
      <c r="G1206" s="1">
        <v>26891</v>
      </c>
      <c r="H1206" s="6" t="str">
        <f>HYPERLINK("http://www.ensembl.org/Mus_musculus/Gene/Summary?db=core;g=ENSMUSG00000035297","ENSMUSG00000035297")</f>
        <v>ENSMUSG00000035297</v>
      </c>
      <c r="I1206" s="6" t="str">
        <f>HYPERLINK("http://www.informatics.jax.org/marker/MGI:1349414","MGI:1349414")</f>
        <v>MGI:1349414</v>
      </c>
      <c r="J1206" s="7" t="s">
        <v>12</v>
      </c>
    </row>
    <row r="1207" spans="1:10" x14ac:dyDescent="0.2">
      <c r="A1207" s="3">
        <v>284.03095105520498</v>
      </c>
      <c r="B1207" s="1">
        <v>-0.23864878028963801</v>
      </c>
      <c r="C1207" s="1">
        <v>1.5368409563236401E-3</v>
      </c>
      <c r="D1207" s="7">
        <v>1.8872406943654201E-2</v>
      </c>
      <c r="E1207" s="1" t="s">
        <v>1712</v>
      </c>
      <c r="F1207" s="1" t="s">
        <v>1713</v>
      </c>
      <c r="G1207" s="1">
        <v>224656</v>
      </c>
      <c r="H1207" s="6" t="str">
        <f>HYPERLINK("http://www.ensembl.org/Mus_musculus/Gene/Summary?db=core;g=ENSMUSG00000024220","ENSMUSG00000024220")</f>
        <v>ENSMUSG00000024220</v>
      </c>
      <c r="I1207" s="6" t="str">
        <f>HYPERLINK("http://www.informatics.jax.org/marker/MGI:2687278","MGI:2687278")</f>
        <v>MGI:2687278</v>
      </c>
      <c r="J1207" s="7" t="s">
        <v>12</v>
      </c>
    </row>
    <row r="1208" spans="1:10" x14ac:dyDescent="0.2">
      <c r="A1208" s="3">
        <v>78.038186228862997</v>
      </c>
      <c r="B1208" s="1">
        <v>-0.83470601452662196</v>
      </c>
      <c r="C1208" s="1">
        <v>1.5393031918651599E-3</v>
      </c>
      <c r="D1208" s="7">
        <v>1.8886904109346399E-2</v>
      </c>
      <c r="E1208" s="1" t="s">
        <v>454</v>
      </c>
      <c r="F1208" s="1" t="s">
        <v>455</v>
      </c>
      <c r="G1208" s="1">
        <v>140497</v>
      </c>
      <c r="H1208" s="6" t="str">
        <f>HYPERLINK("http://www.ensembl.org/Mus_musculus/Gene/Summary?db=core;g=ENSMUSG00000044811","ENSMUSG00000044811")</f>
        <v>ENSMUSG00000044811</v>
      </c>
      <c r="I1208" s="6" t="str">
        <f>HYPERLINK("http://www.informatics.jax.org/marker/MGI:2153249","MGI:2153249")</f>
        <v>MGI:2153249</v>
      </c>
      <c r="J1208" s="7" t="s">
        <v>12</v>
      </c>
    </row>
    <row r="1209" spans="1:10" x14ac:dyDescent="0.2">
      <c r="A1209" s="3">
        <v>527.83693015200197</v>
      </c>
      <c r="B1209" s="1">
        <v>-0.312078066383634</v>
      </c>
      <c r="C1209" s="1">
        <v>1.55538756657549E-3</v>
      </c>
      <c r="D1209" s="7">
        <v>1.9068378686403001E-2</v>
      </c>
      <c r="E1209" s="1" t="s">
        <v>1384</v>
      </c>
      <c r="F1209" s="1" t="s">
        <v>1385</v>
      </c>
      <c r="G1209" s="1">
        <v>106952</v>
      </c>
      <c r="H1209" s="6" t="str">
        <f>HYPERLINK("http://www.ensembl.org/Mus_musculus/Gene/Summary?db=core;g=ENSMUSG00000024451","ENSMUSG00000024451")</f>
        <v>ENSMUSG00000024451</v>
      </c>
      <c r="I1209" s="6" t="str">
        <f>HYPERLINK("http://www.informatics.jax.org/marker/MGI:2147274","MGI:2147274")</f>
        <v>MGI:2147274</v>
      </c>
      <c r="J1209" s="7" t="s">
        <v>12</v>
      </c>
    </row>
    <row r="1210" spans="1:10" x14ac:dyDescent="0.2">
      <c r="A1210" s="3">
        <v>838.73124469912898</v>
      </c>
      <c r="B1210" s="1">
        <v>-0.225823024742625</v>
      </c>
      <c r="C1210" s="1">
        <v>1.55869146466223E-3</v>
      </c>
      <c r="D1210" s="7">
        <v>1.9092998689328899E-2</v>
      </c>
      <c r="E1210" s="1" t="s">
        <v>1788</v>
      </c>
      <c r="F1210" s="1" t="s">
        <v>1789</v>
      </c>
      <c r="G1210" s="1">
        <v>16202</v>
      </c>
      <c r="H1210" s="6" t="str">
        <f>HYPERLINK("http://www.ensembl.org/Mus_musculus/Gene/Summary?db=core;g=ENSMUSG00000030890","ENSMUSG00000030890")</f>
        <v>ENSMUSG00000030890</v>
      </c>
      <c r="I1210" s="6" t="str">
        <f>HYPERLINK("http://www.informatics.jax.org/marker/MGI:1195267","MGI:1195267")</f>
        <v>MGI:1195267</v>
      </c>
      <c r="J1210" s="7" t="s">
        <v>12</v>
      </c>
    </row>
    <row r="1211" spans="1:10" x14ac:dyDescent="0.2">
      <c r="A1211" s="3">
        <v>280.17991291932498</v>
      </c>
      <c r="B1211" s="1">
        <v>-0.317420227758898</v>
      </c>
      <c r="C1211" s="1">
        <v>1.5686197530525301E-3</v>
      </c>
      <c r="D1211" s="7">
        <v>1.9198655050649601E-2</v>
      </c>
      <c r="E1211" s="1" t="s">
        <v>1360</v>
      </c>
      <c r="F1211" s="1" t="s">
        <v>1361</v>
      </c>
      <c r="G1211" s="1">
        <v>14251</v>
      </c>
      <c r="H1211" s="6" t="str">
        <f>HYPERLINK("http://www.ensembl.org/Mus_musculus/Gene/Summary?db=core;g=ENSMUSG00000059714","ENSMUSG00000059714")</f>
        <v>ENSMUSG00000059714</v>
      </c>
      <c r="I1211" s="6" t="str">
        <f>HYPERLINK("http://www.informatics.jax.org/marker/MGI:1100500","MGI:1100500")</f>
        <v>MGI:1100500</v>
      </c>
      <c r="J1211" s="7" t="s">
        <v>12</v>
      </c>
    </row>
    <row r="1212" spans="1:10" x14ac:dyDescent="0.2">
      <c r="A1212" s="3">
        <v>25.7061068072443</v>
      </c>
      <c r="B1212" s="1">
        <v>0.90301170043782597</v>
      </c>
      <c r="C1212" s="1">
        <v>1.5791595942294199E-3</v>
      </c>
      <c r="D1212" s="7">
        <v>1.9311614755655401E-2</v>
      </c>
      <c r="E1212" s="1" t="s">
        <v>3306</v>
      </c>
      <c r="F1212" s="1" t="s">
        <v>3307</v>
      </c>
      <c r="G1212" s="1">
        <v>140721</v>
      </c>
      <c r="H1212" s="6" t="str">
        <f>HYPERLINK("http://www.ensembl.org/Mus_musculus/Gene/Summary?db=core;g=ENSMUSG00000034471","ENSMUSG00000034471")</f>
        <v>ENSMUSG00000034471</v>
      </c>
      <c r="I1212" s="6" t="str">
        <f>HYPERLINK("http://www.informatics.jax.org/marker/MGI:2157062","MGI:2157062")</f>
        <v>MGI:2157062</v>
      </c>
      <c r="J1212" s="7" t="s">
        <v>12</v>
      </c>
    </row>
    <row r="1213" spans="1:10" x14ac:dyDescent="0.2">
      <c r="A1213" s="3">
        <v>282.14840253547601</v>
      </c>
      <c r="B1213" s="1">
        <v>-0.44559337768195001</v>
      </c>
      <c r="C1213" s="1">
        <v>1.5870602666698201E-3</v>
      </c>
      <c r="D1213" s="7">
        <v>1.9392139377816298E-2</v>
      </c>
      <c r="E1213" s="1" t="s">
        <v>943</v>
      </c>
      <c r="F1213" s="1" t="s">
        <v>944</v>
      </c>
      <c r="G1213" s="1">
        <v>12489</v>
      </c>
      <c r="H1213" s="6" t="str">
        <f>HYPERLINK("http://www.ensembl.org/Mus_musculus/Gene/Summary?db=core;g=ENSMUSG00000004609","ENSMUSG00000004609")</f>
        <v>ENSMUSG00000004609</v>
      </c>
      <c r="I1213" s="6" t="str">
        <f>HYPERLINK("http://www.informatics.jax.org/marker/MGI:99440","MGI:99440")</f>
        <v>MGI:99440</v>
      </c>
      <c r="J1213" s="7" t="s">
        <v>12</v>
      </c>
    </row>
    <row r="1214" spans="1:10" x14ac:dyDescent="0.2">
      <c r="A1214" s="3">
        <v>912.94087775523599</v>
      </c>
      <c r="B1214" s="1">
        <v>0.19112181043096499</v>
      </c>
      <c r="C1214" s="1">
        <v>1.58998569344162E-3</v>
      </c>
      <c r="D1214" s="7">
        <v>1.94117888803279E-2</v>
      </c>
      <c r="E1214" s="1" t="s">
        <v>2542</v>
      </c>
      <c r="F1214" s="1" t="s">
        <v>2543</v>
      </c>
      <c r="G1214" s="1">
        <v>68927</v>
      </c>
      <c r="H1214" s="6" t="str">
        <f>HYPERLINK("http://www.ensembl.org/Mus_musculus/Gene/Summary?db=core;g=ENSMUSG00000021650","ENSMUSG00000021650")</f>
        <v>ENSMUSG00000021650</v>
      </c>
      <c r="I1214" s="6" t="str">
        <f>HYPERLINK("http://www.informatics.jax.org/marker/MGI:1916177","MGI:1916177")</f>
        <v>MGI:1916177</v>
      </c>
      <c r="J1214" s="7" t="s">
        <v>12</v>
      </c>
    </row>
    <row r="1215" spans="1:10" x14ac:dyDescent="0.2">
      <c r="A1215" s="3">
        <v>6032.09565520254</v>
      </c>
      <c r="B1215" s="1">
        <v>0.15118034761798099</v>
      </c>
      <c r="C1215" s="1">
        <v>1.5925546018071E-3</v>
      </c>
      <c r="D1215" s="7">
        <v>1.9422095174961899E-2</v>
      </c>
      <c r="E1215" s="1" t="s">
        <v>2324</v>
      </c>
      <c r="F1215" s="1" t="s">
        <v>2325</v>
      </c>
      <c r="G1215" s="1">
        <v>103573</v>
      </c>
      <c r="H1215" s="6" t="str">
        <f>HYPERLINK("http://www.ensembl.org/Mus_musculus/Gene/Summary?db=core;g=ENSMUSG00000020290","ENSMUSG00000020290")</f>
        <v>ENSMUSG00000020290</v>
      </c>
      <c r="I1215" s="6" t="str">
        <f>HYPERLINK("http://www.informatics.jax.org/marker/MGI:2144013","MGI:2144013")</f>
        <v>MGI:2144013</v>
      </c>
      <c r="J1215" s="7" t="s">
        <v>12</v>
      </c>
    </row>
    <row r="1216" spans="1:10" x14ac:dyDescent="0.2">
      <c r="A1216" s="3">
        <v>204.92107517499201</v>
      </c>
      <c r="B1216" s="1">
        <v>0.32666627166679402</v>
      </c>
      <c r="C1216" s="1">
        <v>1.5934658704213399E-3</v>
      </c>
      <c r="D1216" s="7">
        <v>1.9422095174961899E-2</v>
      </c>
      <c r="E1216" s="1" t="s">
        <v>3040</v>
      </c>
      <c r="F1216" s="1" t="s">
        <v>3041</v>
      </c>
      <c r="G1216" s="1" t="s">
        <v>45</v>
      </c>
      <c r="H1216" s="6" t="str">
        <f>HYPERLINK("http://www.ensembl.org/Mus_musculus/Gene/Summary?db=core;g=ENSMUSG00000085058","ENSMUSG00000085058")</f>
        <v>ENSMUSG00000085058</v>
      </c>
      <c r="I1216" s="6" t="str">
        <f>HYPERLINK("http://www.informatics.jax.org/marker/MGI:1924459","MGI:1924459")</f>
        <v>MGI:1924459</v>
      </c>
      <c r="J1216" s="7" t="s">
        <v>190</v>
      </c>
    </row>
    <row r="1217" spans="1:10" x14ac:dyDescent="0.2">
      <c r="A1217" s="3">
        <v>2272.33807116041</v>
      </c>
      <c r="B1217" s="1">
        <v>0.158643915231409</v>
      </c>
      <c r="C1217" s="1">
        <v>1.6098366055187401E-3</v>
      </c>
      <c r="D1217" s="7">
        <v>1.9605415056962099E-2</v>
      </c>
      <c r="E1217" s="1" t="s">
        <v>2362</v>
      </c>
      <c r="F1217" s="1" t="s">
        <v>2363</v>
      </c>
      <c r="G1217" s="1">
        <v>56282</v>
      </c>
      <c r="H1217" s="6" t="str">
        <f>HYPERLINK("http://www.ensembl.org/Mus_musculus/Gene/Summary?db=core;g=ENSMUSG00000039640","ENSMUSG00000039640")</f>
        <v>ENSMUSG00000039640</v>
      </c>
      <c r="I1217" s="6" t="str">
        <f>HYPERLINK("http://www.informatics.jax.org/marker/MGI:1926273","MGI:1926273")</f>
        <v>MGI:1926273</v>
      </c>
      <c r="J1217" s="7" t="s">
        <v>12</v>
      </c>
    </row>
    <row r="1218" spans="1:10" x14ac:dyDescent="0.2">
      <c r="A1218" s="3">
        <v>578.22773861992198</v>
      </c>
      <c r="B1218" s="1">
        <v>0.23081256254356999</v>
      </c>
      <c r="C1218" s="1">
        <v>1.6130731720840701E-3</v>
      </c>
      <c r="D1218" s="7">
        <v>1.96286096315696E-2</v>
      </c>
      <c r="E1218" s="1" t="s">
        <v>2794</v>
      </c>
      <c r="F1218" s="1" t="s">
        <v>2795</v>
      </c>
      <c r="G1218" s="1">
        <v>18181</v>
      </c>
      <c r="H1218" s="6" t="str">
        <f>HYPERLINK("http://www.ensembl.org/Mus_musculus/Gene/Summary?db=core;g=ENSMUSG00000058440","ENSMUSG00000058440")</f>
        <v>ENSMUSG00000058440</v>
      </c>
      <c r="I1218" s="6" t="str">
        <f>HYPERLINK("http://www.informatics.jax.org/marker/MGI:1332235","MGI:1332235")</f>
        <v>MGI:1332235</v>
      </c>
      <c r="J1218" s="7" t="s">
        <v>12</v>
      </c>
    </row>
    <row r="1219" spans="1:10" x14ac:dyDescent="0.2">
      <c r="A1219" s="3">
        <v>30855.913137133699</v>
      </c>
      <c r="B1219" s="1">
        <v>-0.19896838412625301</v>
      </c>
      <c r="C1219" s="1">
        <v>1.61738425573354E-3</v>
      </c>
      <c r="D1219" s="7">
        <v>1.96636555365758E-2</v>
      </c>
      <c r="E1219" s="1" t="s">
        <v>1918</v>
      </c>
      <c r="F1219" s="1" t="s">
        <v>1919</v>
      </c>
      <c r="G1219" s="1">
        <v>19156</v>
      </c>
      <c r="H1219" s="6" t="str">
        <f>HYPERLINK("http://www.ensembl.org/Mus_musculus/Gene/Summary?db=core;g=ENSMUSG00000004207","ENSMUSG00000004207")</f>
        <v>ENSMUSG00000004207</v>
      </c>
      <c r="I1219" s="6" t="str">
        <f>HYPERLINK("http://www.informatics.jax.org/marker/MGI:97783","MGI:97783")</f>
        <v>MGI:97783</v>
      </c>
      <c r="J1219" s="7" t="s">
        <v>12</v>
      </c>
    </row>
    <row r="1220" spans="1:10" x14ac:dyDescent="0.2">
      <c r="A1220" s="3">
        <v>1710.05624081581</v>
      </c>
      <c r="B1220" s="1">
        <v>0.15144623434499699</v>
      </c>
      <c r="C1220" s="1">
        <v>1.6206427965433901E-3</v>
      </c>
      <c r="D1220" s="7">
        <v>1.96636555365758E-2</v>
      </c>
      <c r="E1220" s="1" t="s">
        <v>2326</v>
      </c>
      <c r="F1220" s="1" t="s">
        <v>2327</v>
      </c>
      <c r="G1220" s="1">
        <v>226153</v>
      </c>
      <c r="H1220" s="6" t="str">
        <f>HYPERLINK("http://www.ensembl.org/Mus_musculus/Gene/Summary?db=core;g=ENSMUSG00000025209","ENSMUSG00000025209")</f>
        <v>ENSMUSG00000025209</v>
      </c>
      <c r="I1220" s="6" t="str">
        <f>HYPERLINK("http://www.informatics.jax.org/marker/MGI:2137410","MGI:2137410")</f>
        <v>MGI:2137410</v>
      </c>
      <c r="J1220" s="7" t="s">
        <v>12</v>
      </c>
    </row>
    <row r="1221" spans="1:10" x14ac:dyDescent="0.2">
      <c r="A1221" s="3">
        <v>6745.4920832274402</v>
      </c>
      <c r="B1221" s="1">
        <v>0.17929487438714301</v>
      </c>
      <c r="C1221" s="1">
        <v>1.6212908168390099E-3</v>
      </c>
      <c r="D1221" s="7">
        <v>1.96636555365758E-2</v>
      </c>
      <c r="E1221" s="1" t="s">
        <v>2486</v>
      </c>
      <c r="F1221" s="1" t="s">
        <v>2487</v>
      </c>
      <c r="G1221" s="1">
        <v>66882</v>
      </c>
      <c r="H1221" s="6" t="str">
        <f>HYPERLINK("http://www.ensembl.org/Mus_musculus/Gene/Summary?db=core;g=ENSMUSG00000051223","ENSMUSG00000051223")</f>
        <v>ENSMUSG00000051223</v>
      </c>
      <c r="I1221" s="6" t="str">
        <f>HYPERLINK("http://www.informatics.jax.org/marker/MGI:1914132","MGI:1914132")</f>
        <v>MGI:1914132</v>
      </c>
      <c r="J1221" s="7" t="s">
        <v>12</v>
      </c>
    </row>
    <row r="1222" spans="1:10" x14ac:dyDescent="0.2">
      <c r="A1222" s="3">
        <v>498.786174089734</v>
      </c>
      <c r="B1222" s="1">
        <v>0.22962113910194701</v>
      </c>
      <c r="C1222" s="1">
        <v>1.6204385643093799E-3</v>
      </c>
      <c r="D1222" s="7">
        <v>1.96636555365758E-2</v>
      </c>
      <c r="E1222" s="1" t="s">
        <v>2792</v>
      </c>
      <c r="F1222" s="1" t="s">
        <v>2793</v>
      </c>
      <c r="G1222" s="1">
        <v>29858</v>
      </c>
      <c r="H1222" s="6" t="str">
        <f>HYPERLINK("http://www.ensembl.org/Mus_musculus/Gene/Summary?db=core;g=ENSMUSG00000022474","ENSMUSG00000022474")</f>
        <v>ENSMUSG00000022474</v>
      </c>
      <c r="I1222" s="6" t="str">
        <f>HYPERLINK("http://www.informatics.jax.org/marker/MGI:1353418","MGI:1353418")</f>
        <v>MGI:1353418</v>
      </c>
      <c r="J1222" s="7" t="s">
        <v>12</v>
      </c>
    </row>
    <row r="1223" spans="1:10" x14ac:dyDescent="0.2">
      <c r="A1223" s="3">
        <v>329.136784824399</v>
      </c>
      <c r="B1223" s="1">
        <v>-0.30250976819130099</v>
      </c>
      <c r="C1223" s="1">
        <v>1.6340416814071301E-3</v>
      </c>
      <c r="D1223" s="7">
        <v>1.9802005112841699E-2</v>
      </c>
      <c r="E1223" s="1" t="s">
        <v>1446</v>
      </c>
      <c r="F1223" s="1" t="s">
        <v>1447</v>
      </c>
      <c r="G1223" s="1">
        <v>74764</v>
      </c>
      <c r="H1223" s="6" t="str">
        <f>HYPERLINK("http://www.ensembl.org/Mus_musculus/Gene/Summary?db=core;g=ENSMUSG00000003546","ENSMUSG00000003546")</f>
        <v>ENSMUSG00000003546</v>
      </c>
      <c r="I1223" s="6" t="str">
        <f>HYPERLINK("http://www.informatics.jax.org/marker/MGI:1922014","MGI:1922014")</f>
        <v>MGI:1922014</v>
      </c>
      <c r="J1223" s="7" t="s">
        <v>12</v>
      </c>
    </row>
    <row r="1224" spans="1:10" x14ac:dyDescent="0.2">
      <c r="A1224" s="3">
        <v>216.48816568003201</v>
      </c>
      <c r="B1224" s="1">
        <v>0.35369367605768098</v>
      </c>
      <c r="C1224" s="1">
        <v>1.63940583292545E-3</v>
      </c>
      <c r="D1224" s="7">
        <v>1.9850685582571401E-2</v>
      </c>
      <c r="E1224" s="1" t="s">
        <v>3100</v>
      </c>
      <c r="F1224" s="1" t="s">
        <v>3101</v>
      </c>
      <c r="G1224" s="1">
        <v>72500</v>
      </c>
      <c r="H1224" s="6" t="str">
        <f>HYPERLINK("http://www.ensembl.org/Mus_musculus/Gene/Summary?db=core;g=ENSMUSG00000089762","ENSMUSG00000089762")</f>
        <v>ENSMUSG00000089762</v>
      </c>
      <c r="I1224" s="6" t="str">
        <f>HYPERLINK("http://www.informatics.jax.org/marker/MGI:1919750","MGI:1919750")</f>
        <v>MGI:1919750</v>
      </c>
      <c r="J1224" s="7" t="s">
        <v>12</v>
      </c>
    </row>
    <row r="1225" spans="1:10" x14ac:dyDescent="0.2">
      <c r="A1225" s="3">
        <v>666.46248507082305</v>
      </c>
      <c r="B1225" s="1">
        <v>-0.31115698735821901</v>
      </c>
      <c r="C1225" s="1">
        <v>1.6411133268857401E-3</v>
      </c>
      <c r="D1225" s="7">
        <v>1.98550459646866E-2</v>
      </c>
      <c r="E1225" s="1" t="s">
        <v>1390</v>
      </c>
      <c r="F1225" s="1" t="s">
        <v>1391</v>
      </c>
      <c r="G1225" s="1">
        <v>18763</v>
      </c>
      <c r="H1225" s="6" t="str">
        <f>HYPERLINK("http://www.ensembl.org/Mus_musculus/Gene/Summary?db=core;g=ENSMUSG00000032855","ENSMUSG00000032855")</f>
        <v>ENSMUSG00000032855</v>
      </c>
      <c r="I1225" s="6" t="str">
        <f>HYPERLINK("http://www.informatics.jax.org/marker/MGI:97603","MGI:97603")</f>
        <v>MGI:97603</v>
      </c>
      <c r="J1225" s="7" t="s">
        <v>12</v>
      </c>
    </row>
    <row r="1226" spans="1:10" x14ac:dyDescent="0.2">
      <c r="A1226" s="3">
        <v>662.31116077495301</v>
      </c>
      <c r="B1226" s="1">
        <v>-0.16545557324517801</v>
      </c>
      <c r="C1226" s="1">
        <v>1.64422419665564E-3</v>
      </c>
      <c r="D1226" s="7">
        <v>1.9860071935998001E-2</v>
      </c>
      <c r="E1226" s="1" t="s">
        <v>2062</v>
      </c>
      <c r="F1226" s="1" t="s">
        <v>2063</v>
      </c>
      <c r="G1226" s="1">
        <v>11907</v>
      </c>
      <c r="H1226" s="6" t="str">
        <f>HYPERLINK("http://www.ensembl.org/Mus_musculus/Gene/Summary?db=core;g=ENSMUSG00000030850","ENSMUSG00000030850")</f>
        <v>ENSMUSG00000030850</v>
      </c>
      <c r="I1226" s="6" t="str">
        <f>HYPERLINK("http://www.informatics.jax.org/marker/MGI:1333870","MGI:1333870")</f>
        <v>MGI:1333870</v>
      </c>
      <c r="J1226" s="7" t="s">
        <v>12</v>
      </c>
    </row>
    <row r="1227" spans="1:10" x14ac:dyDescent="0.2">
      <c r="A1227" s="3">
        <v>5824.6531037263203</v>
      </c>
      <c r="B1227" s="1">
        <v>0.13818969178637899</v>
      </c>
      <c r="C1227" s="1">
        <v>1.6441944661218101E-3</v>
      </c>
      <c r="D1227" s="7">
        <v>1.9860071935998001E-2</v>
      </c>
      <c r="E1227" s="1" t="s">
        <v>2264</v>
      </c>
      <c r="F1227" s="1" t="s">
        <v>2265</v>
      </c>
      <c r="G1227" s="1">
        <v>67134</v>
      </c>
      <c r="H1227" s="6" t="str">
        <f>HYPERLINK("http://www.ensembl.org/Mus_musculus/Gene/Summary?db=core;g=ENSMUSG00000027405","ENSMUSG00000027405")</f>
        <v>ENSMUSG00000027405</v>
      </c>
      <c r="I1227" s="6" t="str">
        <f>HYPERLINK("http://www.informatics.jax.org/marker/MGI:1914384","MGI:1914384")</f>
        <v>MGI:1914384</v>
      </c>
      <c r="J1227" s="7" t="s">
        <v>12</v>
      </c>
    </row>
    <row r="1228" spans="1:10" x14ac:dyDescent="0.2">
      <c r="A1228" s="3">
        <v>821.733777772287</v>
      </c>
      <c r="B1228" s="1">
        <v>-0.202950804421656</v>
      </c>
      <c r="C1228" s="1">
        <v>1.6464552878798599E-3</v>
      </c>
      <c r="D1228" s="7">
        <v>1.9870733105812999E-2</v>
      </c>
      <c r="E1228" s="1" t="s">
        <v>1892</v>
      </c>
      <c r="F1228" s="1" t="s">
        <v>1893</v>
      </c>
      <c r="G1228" s="1">
        <v>329003</v>
      </c>
      <c r="H1228" s="6" t="str">
        <f>HYPERLINK("http://www.ensembl.org/Mus_musculus/Gene/Summary?db=core;g=ENSMUSG00000058881","ENSMUSG00000058881")</f>
        <v>ENSMUSG00000058881</v>
      </c>
      <c r="I1228" s="6" t="str">
        <f>HYPERLINK("http://www.informatics.jax.org/marker/MGI:2443957","MGI:2443957")</f>
        <v>MGI:2443957</v>
      </c>
      <c r="J1228" s="7" t="s">
        <v>12</v>
      </c>
    </row>
    <row r="1229" spans="1:10" x14ac:dyDescent="0.2">
      <c r="A1229" s="3">
        <v>387.65347314512201</v>
      </c>
      <c r="B1229" s="1">
        <v>0.27174878142580999</v>
      </c>
      <c r="C1229" s="1">
        <v>1.65216175308331E-3</v>
      </c>
      <c r="D1229" s="7">
        <v>1.9923286083007901E-2</v>
      </c>
      <c r="E1229" s="1" t="s">
        <v>2940</v>
      </c>
      <c r="F1229" s="1" t="s">
        <v>2941</v>
      </c>
      <c r="G1229" s="1">
        <v>22401</v>
      </c>
      <c r="H1229" s="6" t="str">
        <f>HYPERLINK("http://www.ensembl.org/Mus_musculus/Gene/Summary?db=core;g=ENSMUSG00000027663","ENSMUSG00000027663")</f>
        <v>ENSMUSG00000027663</v>
      </c>
      <c r="I1229" s="6" t="str">
        <f>HYPERLINK("http://www.informatics.jax.org/marker/MGI:1195270","MGI:1195270")</f>
        <v>MGI:1195270</v>
      </c>
      <c r="J1229" s="7" t="s">
        <v>12</v>
      </c>
    </row>
    <row r="1230" spans="1:10" x14ac:dyDescent="0.2">
      <c r="A1230" s="3">
        <v>873.16326767127498</v>
      </c>
      <c r="B1230" s="1">
        <v>0.19661953995677101</v>
      </c>
      <c r="C1230" s="1">
        <v>1.6605176877421499E-3</v>
      </c>
      <c r="D1230" s="7">
        <v>1.9975011140055701E-2</v>
      </c>
      <c r="E1230" s="1" t="s">
        <v>2578</v>
      </c>
      <c r="F1230" s="1" t="s">
        <v>2579</v>
      </c>
      <c r="G1230" s="1">
        <v>246696</v>
      </c>
      <c r="H1230" s="6" t="str">
        <f>HYPERLINK("http://www.ensembl.org/Mus_musculus/Gene/Summary?db=core;g=ENSMUSG00000040414","ENSMUSG00000040414")</f>
        <v>ENSMUSG00000040414</v>
      </c>
      <c r="I1230" s="6" t="str">
        <f>HYPERLINK("http://www.informatics.jax.org/marker/MGI:2180509","MGI:2180509")</f>
        <v>MGI:2180509</v>
      </c>
      <c r="J1230" s="7" t="s">
        <v>12</v>
      </c>
    </row>
    <row r="1231" spans="1:10" x14ac:dyDescent="0.2">
      <c r="A1231" s="3">
        <v>844.80132389442304</v>
      </c>
      <c r="B1231" s="1">
        <v>0.20111789984661299</v>
      </c>
      <c r="C1231" s="1">
        <v>1.65984517396295E-3</v>
      </c>
      <c r="D1231" s="7">
        <v>1.9975011140055701E-2</v>
      </c>
      <c r="E1231" s="1" t="s">
        <v>2608</v>
      </c>
      <c r="F1231" s="1" t="s">
        <v>2609</v>
      </c>
      <c r="G1231" s="1">
        <v>56321</v>
      </c>
      <c r="H1231" s="6" t="str">
        <f>HYPERLINK("http://www.ensembl.org/Mus_musculus/Gene/Summary?db=core;g=ENSMUSG00000018697","ENSMUSG00000018697")</f>
        <v>ENSMUSG00000018697</v>
      </c>
      <c r="I1231" s="6" t="str">
        <f>HYPERLINK("http://www.informatics.jax.org/marker/MGI:1929608","MGI:1929608")</f>
        <v>MGI:1929608</v>
      </c>
      <c r="J1231" s="7" t="s">
        <v>12</v>
      </c>
    </row>
    <row r="1232" spans="1:10" x14ac:dyDescent="0.2">
      <c r="A1232" s="3">
        <v>376.85920994562002</v>
      </c>
      <c r="B1232" s="1">
        <v>0.219984839528581</v>
      </c>
      <c r="C1232" s="1">
        <v>1.65931350469932E-3</v>
      </c>
      <c r="D1232" s="7">
        <v>1.9975011140055701E-2</v>
      </c>
      <c r="E1232" s="1" t="s">
        <v>2728</v>
      </c>
      <c r="F1232" s="1" t="s">
        <v>2729</v>
      </c>
      <c r="G1232" s="1">
        <v>56075</v>
      </c>
      <c r="H1232" s="6" t="str">
        <f>HYPERLINK("http://www.ensembl.org/Mus_musculus/Gene/Summary?db=core;g=ENSMUSG00000026784","ENSMUSG00000026784")</f>
        <v>ENSMUSG00000026784</v>
      </c>
      <c r="I1232" s="6" t="str">
        <f>HYPERLINK("http://www.informatics.jax.org/marker/MGI:1889278","MGI:1889278")</f>
        <v>MGI:1889278</v>
      </c>
      <c r="J1232" s="7" t="s">
        <v>12</v>
      </c>
    </row>
    <row r="1233" spans="1:10" x14ac:dyDescent="0.2">
      <c r="A1233" s="3">
        <v>68.405043455513805</v>
      </c>
      <c r="B1233" s="1">
        <v>-0.37776014015756998</v>
      </c>
      <c r="C1233" s="1">
        <v>1.6704399079487801E-3</v>
      </c>
      <c r="D1233" s="7">
        <v>2.00779791872212E-2</v>
      </c>
      <c r="E1233" s="1" t="s">
        <v>1142</v>
      </c>
      <c r="F1233" s="1" t="s">
        <v>1143</v>
      </c>
      <c r="G1233" s="1">
        <v>68318</v>
      </c>
      <c r="H1233" s="6" t="str">
        <f>HYPERLINK("http://www.ensembl.org/Mus_musculus/Gene/Summary?db=core;g=ENSMUSG00000053040","ENSMUSG00000053040")</f>
        <v>ENSMUSG00000053040</v>
      </c>
      <c r="I1233" s="6" t="str">
        <f>HYPERLINK("http://www.informatics.jax.org/marker/MGI:1915568","MGI:1915568")</f>
        <v>MGI:1915568</v>
      </c>
      <c r="J1233" s="7" t="s">
        <v>12</v>
      </c>
    </row>
    <row r="1234" spans="1:10" x14ac:dyDescent="0.2">
      <c r="A1234" s="3">
        <v>1673.6098817360601</v>
      </c>
      <c r="B1234" s="1">
        <v>-1.2478370648191699</v>
      </c>
      <c r="C1234" s="1">
        <v>1.67301579023868E-3</v>
      </c>
      <c r="D1234" s="7">
        <v>2.00925514954826E-2</v>
      </c>
      <c r="E1234" s="1" t="s">
        <v>211</v>
      </c>
      <c r="F1234" s="1" t="s">
        <v>212</v>
      </c>
      <c r="G1234" s="1">
        <v>16175</v>
      </c>
      <c r="H1234" s="6" t="str">
        <f>HYPERLINK("http://www.ensembl.org/Mus_musculus/Gene/Summary?db=core;g=ENSMUSG00000027399","ENSMUSG00000027399")</f>
        <v>ENSMUSG00000027399</v>
      </c>
      <c r="I1234" s="6" t="str">
        <f>HYPERLINK("http://www.informatics.jax.org/marker/MGI:96542","MGI:96542")</f>
        <v>MGI:96542</v>
      </c>
      <c r="J1234" s="7" t="s">
        <v>12</v>
      </c>
    </row>
    <row r="1235" spans="1:10" x14ac:dyDescent="0.2">
      <c r="A1235" s="3">
        <v>550.91402104334804</v>
      </c>
      <c r="B1235" s="1">
        <v>0.232503603523326</v>
      </c>
      <c r="C1235" s="1">
        <v>1.69181015799376E-3</v>
      </c>
      <c r="D1235" s="7">
        <v>2.03017218959251E-2</v>
      </c>
      <c r="E1235" s="1" t="s">
        <v>2802</v>
      </c>
      <c r="F1235" s="1" t="s">
        <v>2803</v>
      </c>
      <c r="G1235" s="1">
        <v>68134</v>
      </c>
      <c r="H1235" s="6" t="str">
        <f>HYPERLINK("http://www.ensembl.org/Mus_musculus/Gene/Summary?db=core;g=ENSMUSG00000036572","ENSMUSG00000036572")</f>
        <v>ENSMUSG00000036572</v>
      </c>
      <c r="I1235" s="6" t="str">
        <f>HYPERLINK("http://www.informatics.jax.org/marker/MGI:1915384","MGI:1915384")</f>
        <v>MGI:1915384</v>
      </c>
      <c r="J1235" s="7" t="s">
        <v>12</v>
      </c>
    </row>
    <row r="1236" spans="1:10" x14ac:dyDescent="0.2">
      <c r="A1236" s="3">
        <v>3176.0260493574201</v>
      </c>
      <c r="B1236" s="1">
        <v>0.12774699165463699</v>
      </c>
      <c r="C1236" s="1">
        <v>1.6974493486574501E-3</v>
      </c>
      <c r="D1236" s="7">
        <v>2.0336271220988699E-2</v>
      </c>
      <c r="E1236" s="1" t="s">
        <v>2230</v>
      </c>
      <c r="F1236" s="1" t="s">
        <v>2231</v>
      </c>
      <c r="G1236" s="1">
        <v>19359</v>
      </c>
      <c r="H1236" s="6" t="str">
        <f>HYPERLINK("http://www.ensembl.org/Mus_musculus/Gene/Summary?db=core;g=ENSMUSG00000028426","ENSMUSG00000028426")</f>
        <v>ENSMUSG00000028426</v>
      </c>
      <c r="I1236" s="6" t="str">
        <f>HYPERLINK("http://www.informatics.jax.org/marker/MGI:105128","MGI:105128")</f>
        <v>MGI:105128</v>
      </c>
      <c r="J1236" s="7" t="s">
        <v>12</v>
      </c>
    </row>
    <row r="1237" spans="1:10" x14ac:dyDescent="0.2">
      <c r="A1237" s="3">
        <v>670.627377202567</v>
      </c>
      <c r="B1237" s="1">
        <v>0.19017615553515499</v>
      </c>
      <c r="C1237" s="1">
        <v>1.6973826737683301E-3</v>
      </c>
      <c r="D1237" s="7">
        <v>2.0336271220988699E-2</v>
      </c>
      <c r="E1237" s="1" t="s">
        <v>2534</v>
      </c>
      <c r="F1237" s="1" t="s">
        <v>2535</v>
      </c>
      <c r="G1237" s="1">
        <v>225160</v>
      </c>
      <c r="H1237" s="6" t="str">
        <f>HYPERLINK("http://www.ensembl.org/Mus_musculus/Gene/Summary?db=core;g=ENSMUSG00000024287","ENSMUSG00000024287")</f>
        <v>ENSMUSG00000024287</v>
      </c>
      <c r="I1237" s="6" t="str">
        <f>HYPERLINK("http://www.informatics.jax.org/marker/MGI:1919668","MGI:1919668")</f>
        <v>MGI:1919668</v>
      </c>
      <c r="J1237" s="7" t="s">
        <v>12</v>
      </c>
    </row>
    <row r="1238" spans="1:10" x14ac:dyDescent="0.2">
      <c r="A1238" s="3">
        <v>1755.28384721835</v>
      </c>
      <c r="B1238" s="1">
        <v>-0.17091915216435899</v>
      </c>
      <c r="C1238" s="1">
        <v>1.6996079895248901E-3</v>
      </c>
      <c r="D1238" s="7">
        <v>2.0345591660145199E-2</v>
      </c>
      <c r="E1238" s="1" t="s">
        <v>2054</v>
      </c>
      <c r="F1238" s="1" t="s">
        <v>2055</v>
      </c>
      <c r="G1238" s="1">
        <v>11764</v>
      </c>
      <c r="H1238" s="6" t="str">
        <f>HYPERLINK("http://www.ensembl.org/Mus_musculus/Gene/Summary?db=core;g=ENSMUSG00000009090","ENSMUSG00000009090")</f>
        <v>ENSMUSG00000009090</v>
      </c>
      <c r="I1238" s="6" t="str">
        <f>HYPERLINK("http://www.informatics.jax.org/marker/MGI:1096368","MGI:1096368")</f>
        <v>MGI:1096368</v>
      </c>
      <c r="J1238" s="7" t="s">
        <v>12</v>
      </c>
    </row>
    <row r="1239" spans="1:10" x14ac:dyDescent="0.2">
      <c r="A1239" s="3">
        <v>1349.9540240260301</v>
      </c>
      <c r="B1239" s="1">
        <v>0.19140625134103001</v>
      </c>
      <c r="C1239" s="1">
        <v>1.71710421844229E-3</v>
      </c>
      <c r="D1239" s="7">
        <v>2.0538350456952601E-2</v>
      </c>
      <c r="E1239" s="1" t="s">
        <v>2546</v>
      </c>
      <c r="F1239" s="1" t="s">
        <v>2547</v>
      </c>
      <c r="G1239" s="1">
        <v>14265</v>
      </c>
      <c r="H1239" s="6" t="str">
        <f>HYPERLINK("http://www.ensembl.org/Mus_musculus/Gene/Summary?db=core;g=ENSMUSG00000000838","ENSMUSG00000000838")</f>
        <v>ENSMUSG00000000838</v>
      </c>
      <c r="I1239" s="6" t="str">
        <f>HYPERLINK("http://www.informatics.jax.org/marker/MGI:95564","MGI:95564")</f>
        <v>MGI:95564</v>
      </c>
      <c r="J1239" s="7" t="s">
        <v>12</v>
      </c>
    </row>
    <row r="1240" spans="1:10" x14ac:dyDescent="0.2">
      <c r="A1240" s="3">
        <v>253.62979566842199</v>
      </c>
      <c r="B1240" s="1">
        <v>0.24000327703698701</v>
      </c>
      <c r="C1240" s="1">
        <v>1.73368192998825E-3</v>
      </c>
      <c r="D1240" s="7">
        <v>2.07198190756747E-2</v>
      </c>
      <c r="E1240" s="1" t="s">
        <v>2840</v>
      </c>
      <c r="F1240" s="1" t="s">
        <v>2841</v>
      </c>
      <c r="G1240" s="1">
        <v>272538</v>
      </c>
      <c r="H1240" s="6" t="str">
        <f>HYPERLINK("http://www.ensembl.org/Mus_musculus/Gene/Summary?db=core;g=ENSMUSG00000041949","ENSMUSG00000041949")</f>
        <v>ENSMUSG00000041949</v>
      </c>
      <c r="I1240" s="6" t="str">
        <f>HYPERLINK("http://www.informatics.jax.org/marker/MGI:2142786","MGI:2142786")</f>
        <v>MGI:2142786</v>
      </c>
      <c r="J1240" s="7" t="s">
        <v>12</v>
      </c>
    </row>
    <row r="1241" spans="1:10" x14ac:dyDescent="0.2">
      <c r="A1241" s="3">
        <v>1206.06747458468</v>
      </c>
      <c r="B1241" s="1">
        <v>-0.231785347750671</v>
      </c>
      <c r="C1241" s="1">
        <v>1.7384361903313699E-3</v>
      </c>
      <c r="D1241" s="7">
        <v>2.07598020265179E-2</v>
      </c>
      <c r="E1241" s="1" t="s">
        <v>1748</v>
      </c>
      <c r="F1241" s="1" t="s">
        <v>1749</v>
      </c>
      <c r="G1241" s="1">
        <v>232910</v>
      </c>
      <c r="H1241" s="6" t="str">
        <f>HYPERLINK("http://www.ensembl.org/Mus_musculus/Gene/Summary?db=core;g=ENSMUSG00000008036","ENSMUSG00000008036")</f>
        <v>ENSMUSG00000008036</v>
      </c>
      <c r="I1241" s="6" t="str">
        <f>HYPERLINK("http://www.informatics.jax.org/marker/MGI:2141861","MGI:2141861")</f>
        <v>MGI:2141861</v>
      </c>
      <c r="J1241" s="7" t="s">
        <v>12</v>
      </c>
    </row>
    <row r="1242" spans="1:10" x14ac:dyDescent="0.2">
      <c r="A1242" s="3">
        <v>286.38571746675598</v>
      </c>
      <c r="B1242" s="1">
        <v>0.27537730114484399</v>
      </c>
      <c r="C1242" s="1">
        <v>1.74119065293055E-3</v>
      </c>
      <c r="D1242" s="7">
        <v>2.0775858673347799E-2</v>
      </c>
      <c r="E1242" s="1" t="s">
        <v>2952</v>
      </c>
      <c r="F1242" s="1" t="s">
        <v>2953</v>
      </c>
      <c r="G1242" s="1">
        <v>216363</v>
      </c>
      <c r="H1242" s="6" t="str">
        <f>HYPERLINK("http://www.ensembl.org/Mus_musculus/Gene/Summary?db=core;g=ENSMUSG00000064181","ENSMUSG00000064181")</f>
        <v>ENSMUSG00000064181</v>
      </c>
      <c r="I1242" s="6" t="str">
        <f>HYPERLINK("http://www.informatics.jax.org/marker/MGI:105933","MGI:105933")</f>
        <v>MGI:105933</v>
      </c>
      <c r="J1242" s="7" t="s">
        <v>12</v>
      </c>
    </row>
    <row r="1243" spans="1:10" x14ac:dyDescent="0.2">
      <c r="A1243" s="3">
        <v>2501.7363589249699</v>
      </c>
      <c r="B1243" s="1">
        <v>-0.32616748697998998</v>
      </c>
      <c r="C1243" s="1">
        <v>1.7446267032158499E-3</v>
      </c>
      <c r="D1243" s="7">
        <v>2.0800015451932701E-2</v>
      </c>
      <c r="E1243" s="1" t="s">
        <v>1330</v>
      </c>
      <c r="F1243" s="1" t="s">
        <v>1331</v>
      </c>
      <c r="G1243" s="1">
        <v>57783</v>
      </c>
      <c r="H1243" s="6" t="str">
        <f>HYPERLINK("http://www.ensembl.org/Mus_musculus/Gene/Summary?db=core;g=ENSMUSG00000020400","ENSMUSG00000020400")</f>
        <v>ENSMUSG00000020400</v>
      </c>
      <c r="I1243" s="6" t="str">
        <f>HYPERLINK("http://www.informatics.jax.org/marker/MGI:1926194","MGI:1926194")</f>
        <v>MGI:1926194</v>
      </c>
      <c r="J1243" s="7" t="s">
        <v>12</v>
      </c>
    </row>
    <row r="1244" spans="1:10" x14ac:dyDescent="0.2">
      <c r="A1244" s="3">
        <v>575.88292765895596</v>
      </c>
      <c r="B1244" s="1">
        <v>-0.215745726912177</v>
      </c>
      <c r="C1244" s="1">
        <v>1.7492880570058799E-3</v>
      </c>
      <c r="D1244" s="7">
        <v>2.0838729836732899E-2</v>
      </c>
      <c r="E1244" s="1" t="s">
        <v>1834</v>
      </c>
      <c r="F1244" s="1" t="s">
        <v>1835</v>
      </c>
      <c r="G1244" s="1">
        <v>21812</v>
      </c>
      <c r="H1244" s="6" t="str">
        <f>HYPERLINK("http://www.ensembl.org/Mus_musculus/Gene/Summary?db=core;g=ENSMUSG00000007613","ENSMUSG00000007613")</f>
        <v>ENSMUSG00000007613</v>
      </c>
      <c r="I1244" s="6" t="str">
        <f>HYPERLINK("http://www.informatics.jax.org/marker/MGI:98728","MGI:98728")</f>
        <v>MGI:98728</v>
      </c>
      <c r="J1244" s="7" t="s">
        <v>12</v>
      </c>
    </row>
    <row r="1245" spans="1:10" x14ac:dyDescent="0.2">
      <c r="A1245" s="3">
        <v>1374.4799328962999</v>
      </c>
      <c r="B1245" s="1">
        <v>-0.30508004666994498</v>
      </c>
      <c r="C1245" s="1">
        <v>1.7507744675820201E-3</v>
      </c>
      <c r="D1245" s="7">
        <v>2.0839590108472202E-2</v>
      </c>
      <c r="E1245" s="1" t="s">
        <v>1434</v>
      </c>
      <c r="F1245" s="1" t="s">
        <v>1435</v>
      </c>
      <c r="G1245" s="1">
        <v>17904</v>
      </c>
      <c r="H1245" s="6" t="str">
        <f>HYPERLINK("http://www.ensembl.org/Mus_musculus/Gene/Summary?db=core;g=ENSMUSG00000090841","ENSMUSG00000090841")</f>
        <v>ENSMUSG00000090841</v>
      </c>
      <c r="I1245" s="6" t="str">
        <f>HYPERLINK("http://www.informatics.jax.org/marker/MGI:109318","MGI:109318")</f>
        <v>MGI:109318</v>
      </c>
      <c r="J1245" s="7" t="s">
        <v>12</v>
      </c>
    </row>
    <row r="1246" spans="1:10" x14ac:dyDescent="0.2">
      <c r="A1246" s="3">
        <v>371.87071562120798</v>
      </c>
      <c r="B1246" s="1">
        <v>-0.30145932007533</v>
      </c>
      <c r="C1246" s="1">
        <v>1.7596350972889101E-3</v>
      </c>
      <c r="D1246" s="7">
        <v>2.08776028934375E-2</v>
      </c>
      <c r="E1246" s="1" t="s">
        <v>1452</v>
      </c>
      <c r="F1246" s="1" t="s">
        <v>1453</v>
      </c>
      <c r="G1246" s="1">
        <v>77056</v>
      </c>
      <c r="H1246" s="6" t="str">
        <f>HYPERLINK("http://www.ensembl.org/Mus_musculus/Gene/Summary?db=core;g=ENSMUSG00000041143","ENSMUSG00000041143")</f>
        <v>ENSMUSG00000041143</v>
      </c>
      <c r="I1246" s="6" t="str">
        <f>HYPERLINK("http://www.informatics.jax.org/marker/MGI:1924306","MGI:1924306")</f>
        <v>MGI:1924306</v>
      </c>
      <c r="J1246" s="7" t="s">
        <v>12</v>
      </c>
    </row>
    <row r="1247" spans="1:10" x14ac:dyDescent="0.2">
      <c r="A1247" s="3">
        <v>544.79328167670303</v>
      </c>
      <c r="B1247" s="1">
        <v>-0.17358467604098199</v>
      </c>
      <c r="C1247" s="1">
        <v>1.7586163681598201E-3</v>
      </c>
      <c r="D1247" s="7">
        <v>2.08776028934375E-2</v>
      </c>
      <c r="E1247" s="1" t="s">
        <v>2040</v>
      </c>
      <c r="F1247" s="1" t="s">
        <v>2041</v>
      </c>
      <c r="G1247" s="1">
        <v>69780</v>
      </c>
      <c r="H1247" s="6" t="str">
        <f>HYPERLINK("http://www.ensembl.org/Mus_musculus/Gene/Summary?db=core;g=ENSMUSG00000032870","ENSMUSG00000032870")</f>
        <v>ENSMUSG00000032870</v>
      </c>
      <c r="I1247" s="6" t="str">
        <f>HYPERLINK("http://www.informatics.jax.org/marker/MGI:1917030","MGI:1917030")</f>
        <v>MGI:1917030</v>
      </c>
      <c r="J1247" s="7" t="s">
        <v>12</v>
      </c>
    </row>
    <row r="1248" spans="1:10" x14ac:dyDescent="0.2">
      <c r="A1248" s="3">
        <v>1337.91974853089</v>
      </c>
      <c r="B1248" s="1">
        <v>-0.14731959551180601</v>
      </c>
      <c r="C1248" s="1">
        <v>1.7572486851019399E-3</v>
      </c>
      <c r="D1248" s="7">
        <v>2.08776028934375E-2</v>
      </c>
      <c r="E1248" s="1" t="s">
        <v>2128</v>
      </c>
      <c r="F1248" s="1" t="s">
        <v>2129</v>
      </c>
      <c r="G1248" s="1">
        <v>269338</v>
      </c>
      <c r="H1248" s="6" t="str">
        <f>HYPERLINK("http://www.ensembl.org/Mus_musculus/Gene/Summary?db=core;g=ENSMUSG00000027291","ENSMUSG00000027291")</f>
        <v>ENSMUSG00000027291</v>
      </c>
      <c r="I1248" s="6" t="str">
        <f>HYPERLINK("http://www.informatics.jax.org/marker/MGI:2443189","MGI:2443189")</f>
        <v>MGI:2443189</v>
      </c>
      <c r="J1248" s="7" t="s">
        <v>12</v>
      </c>
    </row>
    <row r="1249" spans="1:10" x14ac:dyDescent="0.2">
      <c r="A1249" s="3">
        <v>390.28998504879502</v>
      </c>
      <c r="B1249" s="1">
        <v>0.21409281067578101</v>
      </c>
      <c r="C1249" s="1">
        <v>1.7573961496450199E-3</v>
      </c>
      <c r="D1249" s="7">
        <v>2.08776028934375E-2</v>
      </c>
      <c r="E1249" s="1" t="s">
        <v>2690</v>
      </c>
      <c r="F1249" s="1" t="s">
        <v>2691</v>
      </c>
      <c r="G1249" s="1">
        <v>12457</v>
      </c>
      <c r="H1249" s="6" t="str">
        <f>HYPERLINK("http://www.ensembl.org/Mus_musculus/Gene/Summary?db=core;g=ENSMUSG00000023087","ENSMUSG00000023087")</f>
        <v>ENSMUSG00000023087</v>
      </c>
      <c r="I1249" s="6" t="str">
        <f>HYPERLINK("http://www.informatics.jax.org/marker/MGI:109382","MGI:109382")</f>
        <v>MGI:109382</v>
      </c>
      <c r="J1249" s="7" t="s">
        <v>12</v>
      </c>
    </row>
    <row r="1250" spans="1:10" x14ac:dyDescent="0.2">
      <c r="A1250" s="3">
        <v>77.160241900734803</v>
      </c>
      <c r="B1250" s="1">
        <v>-1.0214353716258799</v>
      </c>
      <c r="C1250" s="1">
        <v>1.76273023223594E-3</v>
      </c>
      <c r="D1250" s="7">
        <v>2.0897500162694101E-2</v>
      </c>
      <c r="E1250" s="1" t="s">
        <v>331</v>
      </c>
      <c r="F1250" s="1" t="s">
        <v>332</v>
      </c>
      <c r="G1250" s="1">
        <v>12047</v>
      </c>
      <c r="H1250" s="6" t="str">
        <f>HYPERLINK("http://www.ensembl.org/Mus_musculus/Gene/Summary?db=core;g=ENSMUSG00000099974","ENSMUSG00000099974")</f>
        <v>ENSMUSG00000099974</v>
      </c>
      <c r="I1250" s="6" t="str">
        <f>HYPERLINK("http://www.informatics.jax.org/marker/MGI:1278325","MGI:1278325")</f>
        <v>MGI:1278325</v>
      </c>
      <c r="J1250" s="7" t="s">
        <v>12</v>
      </c>
    </row>
    <row r="1251" spans="1:10" x14ac:dyDescent="0.2">
      <c r="A1251" s="3">
        <v>312.62124845919601</v>
      </c>
      <c r="B1251" s="1">
        <v>-0.44549673952816099</v>
      </c>
      <c r="C1251" s="1">
        <v>1.7669657522111899E-3</v>
      </c>
      <c r="D1251" s="7">
        <v>2.09140621080997E-2</v>
      </c>
      <c r="E1251" s="1" t="s">
        <v>945</v>
      </c>
      <c r="F1251" s="1" t="s">
        <v>946</v>
      </c>
      <c r="G1251" s="1">
        <v>56490</v>
      </c>
      <c r="H1251" s="6" t="str">
        <f>HYPERLINK("http://www.ensembl.org/Mus_musculus/Gene/Summary?db=core;g=ENSMUSG00000022708","ENSMUSG00000022708")</f>
        <v>ENSMUSG00000022708</v>
      </c>
      <c r="I1251" s="6" t="str">
        <f>HYPERLINK("http://www.informatics.jax.org/marker/MGI:1929213","MGI:1929213")</f>
        <v>MGI:1929213</v>
      </c>
      <c r="J1251" s="7" t="s">
        <v>12</v>
      </c>
    </row>
    <row r="1252" spans="1:10" x14ac:dyDescent="0.2">
      <c r="A1252" s="3">
        <v>1468.83525576083</v>
      </c>
      <c r="B1252" s="1">
        <v>-0.187339734293166</v>
      </c>
      <c r="C1252" s="1">
        <v>1.7663782227826401E-3</v>
      </c>
      <c r="D1252" s="7">
        <v>2.09140621080997E-2</v>
      </c>
      <c r="E1252" s="1" t="s">
        <v>1974</v>
      </c>
      <c r="F1252" s="1" t="s">
        <v>1975</v>
      </c>
      <c r="G1252" s="1">
        <v>209225</v>
      </c>
      <c r="H1252" s="6" t="str">
        <f>HYPERLINK("http://www.ensembl.org/Mus_musculus/Gene/Summary?db=core;g=ENSMUSG00000048897","ENSMUSG00000048897")</f>
        <v>ENSMUSG00000048897</v>
      </c>
      <c r="I1252" s="6" t="str">
        <f>HYPERLINK("http://www.informatics.jax.org/marker/MGI:1921747","MGI:1921747")</f>
        <v>MGI:1921747</v>
      </c>
      <c r="J1252" s="7" t="s">
        <v>12</v>
      </c>
    </row>
    <row r="1253" spans="1:10" x14ac:dyDescent="0.2">
      <c r="A1253" s="3">
        <v>7977.6458178346102</v>
      </c>
      <c r="B1253" s="1">
        <v>-0.106840198213089</v>
      </c>
      <c r="C1253" s="1">
        <v>1.7759879599274599E-3</v>
      </c>
      <c r="D1253" s="7">
        <v>2.10009745275327E-2</v>
      </c>
      <c r="E1253" s="1" t="s">
        <v>2172</v>
      </c>
      <c r="F1253" s="1" t="s">
        <v>2173</v>
      </c>
      <c r="G1253" s="1">
        <v>21366</v>
      </c>
      <c r="H1253" s="6" t="str">
        <f>HYPERLINK("http://www.ensembl.org/Mus_musculus/Gene/Summary?db=core;g=ENSMUSG00000030096","ENSMUSG00000030096")</f>
        <v>ENSMUSG00000030096</v>
      </c>
      <c r="I1253" s="6" t="str">
        <f>HYPERLINK("http://www.informatics.jax.org/marker/MGI:98488","MGI:98488")</f>
        <v>MGI:98488</v>
      </c>
      <c r="J1253" s="7" t="s">
        <v>12</v>
      </c>
    </row>
    <row r="1254" spans="1:10" x14ac:dyDescent="0.2">
      <c r="A1254" s="3">
        <v>451.728101903496</v>
      </c>
      <c r="B1254" s="1">
        <v>0.22584782545940099</v>
      </c>
      <c r="C1254" s="1">
        <v>1.7771590143752199E-3</v>
      </c>
      <c r="D1254" s="7">
        <v>2.10009745275327E-2</v>
      </c>
      <c r="E1254" s="1" t="s">
        <v>2762</v>
      </c>
      <c r="F1254" s="1" t="s">
        <v>2763</v>
      </c>
      <c r="G1254" s="1">
        <v>18567</v>
      </c>
      <c r="H1254" s="6" t="str">
        <f>HYPERLINK("http://www.ensembl.org/Mus_musculus/Gene/Summary?db=core;g=ENSMUSG00000014771","ENSMUSG00000014771")</f>
        <v>ENSMUSG00000014771</v>
      </c>
      <c r="I1254" s="6" t="str">
        <f>HYPERLINK("http://www.informatics.jax.org/marker/MGI:104643","MGI:104643")</f>
        <v>MGI:104643</v>
      </c>
      <c r="J1254" s="7" t="s">
        <v>12</v>
      </c>
    </row>
    <row r="1255" spans="1:10" x14ac:dyDescent="0.2">
      <c r="A1255" s="3">
        <v>5992.9592300226795</v>
      </c>
      <c r="B1255" s="1">
        <v>0.16394906040146701</v>
      </c>
      <c r="C1255" s="1">
        <v>1.78833552293751E-3</v>
      </c>
      <c r="D1255" s="7">
        <v>2.1116115597762102E-2</v>
      </c>
      <c r="E1255" s="1" t="s">
        <v>2388</v>
      </c>
      <c r="F1255" s="1" t="s">
        <v>2389</v>
      </c>
      <c r="G1255" s="1">
        <v>18572</v>
      </c>
      <c r="H1255" s="6" t="str">
        <f>HYPERLINK("http://www.ensembl.org/Mus_musculus/Gene/Summary?db=core;g=ENSMUSG00000025047","ENSMUSG00000025047")</f>
        <v>ENSMUSG00000025047</v>
      </c>
      <c r="I1255" s="6" t="str">
        <f>HYPERLINK("http://www.informatics.jax.org/marker/MGI:1341788","MGI:1341788")</f>
        <v>MGI:1341788</v>
      </c>
      <c r="J1255" s="7" t="s">
        <v>12</v>
      </c>
    </row>
    <row r="1256" spans="1:10" x14ac:dyDescent="0.2">
      <c r="A1256" s="3">
        <v>429.183713575794</v>
      </c>
      <c r="B1256" s="1">
        <v>-0.33509775252981999</v>
      </c>
      <c r="C1256" s="1">
        <v>1.7916729857572001E-3</v>
      </c>
      <c r="D1256" s="7">
        <v>2.11385853627848E-2</v>
      </c>
      <c r="E1256" s="1" t="s">
        <v>1288</v>
      </c>
      <c r="F1256" s="1" t="s">
        <v>1289</v>
      </c>
      <c r="G1256" s="1">
        <v>230761</v>
      </c>
      <c r="H1256" s="6" t="str">
        <f>HYPERLINK("http://www.ensembl.org/Mus_musculus/Gene/Summary?db=core;g=ENSMUSG00000028799","ENSMUSG00000028799")</f>
        <v>ENSMUSG00000028799</v>
      </c>
      <c r="I1256" s="6" t="str">
        <f>HYPERLINK("http://www.informatics.jax.org/marker/MGI:2652839","MGI:2652839")</f>
        <v>MGI:2652839</v>
      </c>
      <c r="J1256" s="7" t="s">
        <v>12</v>
      </c>
    </row>
    <row r="1257" spans="1:10" x14ac:dyDescent="0.2">
      <c r="A1257" s="3">
        <v>3.17904609635139</v>
      </c>
      <c r="B1257" s="1">
        <v>-1.42659855960629</v>
      </c>
      <c r="C1257" s="1">
        <v>1.7934139506268999E-3</v>
      </c>
      <c r="D1257" s="7">
        <v>2.11421983811504E-2</v>
      </c>
      <c r="E1257" s="1" t="s">
        <v>140</v>
      </c>
      <c r="F1257" s="1" t="s">
        <v>141</v>
      </c>
      <c r="G1257" s="1">
        <v>208677</v>
      </c>
      <c r="H1257" s="6" t="str">
        <f>HYPERLINK("http://www.ensembl.org/Mus_musculus/Gene/Summary?db=core;g=ENSMUSG00000035041","ENSMUSG00000035041")</f>
        <v>ENSMUSG00000035041</v>
      </c>
      <c r="I1257" s="6" t="str">
        <f>HYPERLINK("http://www.informatics.jax.org/marker/MGI:2384786","MGI:2384786")</f>
        <v>MGI:2384786</v>
      </c>
      <c r="J1257" s="7" t="s">
        <v>12</v>
      </c>
    </row>
    <row r="1258" spans="1:10" x14ac:dyDescent="0.2">
      <c r="A1258" s="3">
        <v>132.13154412448</v>
      </c>
      <c r="B1258" s="1">
        <v>-0.32559025334474201</v>
      </c>
      <c r="C1258" s="1">
        <v>1.7975282327407399E-3</v>
      </c>
      <c r="D1258" s="7">
        <v>2.1167270175125302E-2</v>
      </c>
      <c r="E1258" s="1" t="s">
        <v>1332</v>
      </c>
      <c r="F1258" s="1" t="s">
        <v>1333</v>
      </c>
      <c r="G1258" s="1">
        <v>70101</v>
      </c>
      <c r="H1258" s="6" t="str">
        <f>HYPERLINK("http://www.ensembl.org/Mus_musculus/Gene/Summary?db=core;g=ENSMUSG00000048440","ENSMUSG00000048440")</f>
        <v>ENSMUSG00000048440</v>
      </c>
      <c r="I1258" s="6" t="str">
        <f>HYPERLINK("http://www.informatics.jax.org/marker/MGI:1917351","MGI:1917351")</f>
        <v>MGI:1917351</v>
      </c>
      <c r="J1258" s="7" t="s">
        <v>12</v>
      </c>
    </row>
    <row r="1259" spans="1:10" x14ac:dyDescent="0.2">
      <c r="A1259" s="3">
        <v>14.5660001012475</v>
      </c>
      <c r="B1259" s="1">
        <v>0.92517496082397499</v>
      </c>
      <c r="C1259" s="1">
        <v>1.79841356265315E-3</v>
      </c>
      <c r="D1259" s="7">
        <v>2.1167270175125302E-2</v>
      </c>
      <c r="E1259" s="1" t="s">
        <v>3310</v>
      </c>
      <c r="F1259" s="1" t="s">
        <v>3311</v>
      </c>
      <c r="G1259" s="1">
        <v>100042480</v>
      </c>
      <c r="H1259" s="6" t="str">
        <f>HYPERLINK("http://www.ensembl.org/Mus_musculus/Gene/Summary?db=core;g=ENSMUSG00000079481","ENSMUSG00000079481")</f>
        <v>ENSMUSG00000079481</v>
      </c>
      <c r="I1259" s="6" t="str">
        <f>HYPERLINK("http://www.informatics.jax.org/marker/MGI:3645090","MGI:3645090")</f>
        <v>MGI:3645090</v>
      </c>
      <c r="J1259" s="7" t="s">
        <v>12</v>
      </c>
    </row>
    <row r="1260" spans="1:10" x14ac:dyDescent="0.2">
      <c r="A1260" s="3">
        <v>16.850096603801902</v>
      </c>
      <c r="B1260" s="1">
        <v>0.81922963088452605</v>
      </c>
      <c r="C1260" s="1">
        <v>1.80988427783153E-3</v>
      </c>
      <c r="D1260" s="7">
        <v>2.12852791046492E-2</v>
      </c>
      <c r="E1260" s="1" t="s">
        <v>3288</v>
      </c>
      <c r="F1260" s="1" t="s">
        <v>3289</v>
      </c>
      <c r="G1260" s="1">
        <v>27078</v>
      </c>
      <c r="H1260" s="6" t="str">
        <f>HYPERLINK("http://www.ensembl.org/Mus_musculus/Gene/Summary?db=core;g=ENSMUSG00000001039","ENSMUSG00000001039")</f>
        <v>ENSMUSG00000001039</v>
      </c>
      <c r="I1260" s="6" t="str">
        <f>HYPERLINK("http://www.informatics.jax.org/marker/MGI:1351471","MGI:1351471")</f>
        <v>MGI:1351471</v>
      </c>
      <c r="J1260" s="7" t="s">
        <v>12</v>
      </c>
    </row>
    <row r="1261" spans="1:10" x14ac:dyDescent="0.2">
      <c r="A1261" s="3">
        <v>1043.5066998935999</v>
      </c>
      <c r="B1261" s="1">
        <v>-0.22513142210050399</v>
      </c>
      <c r="C1261" s="1">
        <v>1.8171954240616399E-3</v>
      </c>
      <c r="D1261" s="7">
        <v>2.1354219911461199E-2</v>
      </c>
      <c r="E1261" s="1" t="s">
        <v>1794</v>
      </c>
      <c r="F1261" s="1" t="s">
        <v>1795</v>
      </c>
      <c r="G1261" s="1">
        <v>15488</v>
      </c>
      <c r="H1261" s="6" t="str">
        <f>HYPERLINK("http://www.ensembl.org/Mus_musculus/Gene/Summary?db=core;g=ENSMUSG00000024507","ENSMUSG00000024507")</f>
        <v>ENSMUSG00000024507</v>
      </c>
      <c r="I1261" s="6" t="str">
        <f>HYPERLINK("http://www.informatics.jax.org/marker/MGI:105089","MGI:105089")</f>
        <v>MGI:105089</v>
      </c>
      <c r="J1261" s="7" t="s">
        <v>12</v>
      </c>
    </row>
    <row r="1262" spans="1:10" x14ac:dyDescent="0.2">
      <c r="A1262" s="3">
        <v>136.73732502220599</v>
      </c>
      <c r="B1262" s="1">
        <v>0.34997636217714501</v>
      </c>
      <c r="C1262" s="1">
        <v>1.8211229680204499E-3</v>
      </c>
      <c r="D1262" s="7">
        <v>2.1383321160756402E-2</v>
      </c>
      <c r="E1262" s="1" t="s">
        <v>3092</v>
      </c>
      <c r="F1262" s="1" t="s">
        <v>3093</v>
      </c>
      <c r="G1262" s="1">
        <v>170748</v>
      </c>
      <c r="H1262" s="6" t="str">
        <f>HYPERLINK("http://www.ensembl.org/Mus_musculus/Gene/Summary?db=core;g=ENSMUSG00000058173","ENSMUSG00000058173")</f>
        <v>ENSMUSG00000058173</v>
      </c>
      <c r="I1262" s="6" t="str">
        <f>HYPERLINK("http://www.informatics.jax.org/marker/MGI:3039636","MGI:3039636")</f>
        <v>MGI:3039636</v>
      </c>
      <c r="J1262" s="7" t="s">
        <v>12</v>
      </c>
    </row>
    <row r="1263" spans="1:10" x14ac:dyDescent="0.2">
      <c r="A1263" s="3">
        <v>595.42593860039096</v>
      </c>
      <c r="B1263" s="1">
        <v>-0.32835204576438998</v>
      </c>
      <c r="C1263" s="1">
        <v>1.85721723518479E-3</v>
      </c>
      <c r="D1263" s="7">
        <v>2.17897716382827E-2</v>
      </c>
      <c r="E1263" s="1" t="s">
        <v>1316</v>
      </c>
      <c r="F1263" s="1" t="s">
        <v>1317</v>
      </c>
      <c r="G1263" s="1">
        <v>226421</v>
      </c>
      <c r="H1263" s="6" t="str">
        <f>HYPERLINK("http://www.ensembl.org/Mus_musculus/Gene/Summary?db=core;g=ENSMUSG00000052688","ENSMUSG00000052688")</f>
        <v>ENSMUSG00000052688</v>
      </c>
      <c r="I1263" s="6" t="str">
        <f>HYPERLINK("http://www.informatics.jax.org/marker/MGI:2442295","MGI:2442295")</f>
        <v>MGI:2442295</v>
      </c>
      <c r="J1263" s="7" t="s">
        <v>12</v>
      </c>
    </row>
    <row r="1264" spans="1:10" x14ac:dyDescent="0.2">
      <c r="A1264" s="3">
        <v>568.58612212058995</v>
      </c>
      <c r="B1264" s="1">
        <v>0.33196443803207198</v>
      </c>
      <c r="C1264" s="1">
        <v>1.86146404626433E-3</v>
      </c>
      <c r="D1264" s="7">
        <v>2.1822222900358901E-2</v>
      </c>
      <c r="E1264" s="1" t="s">
        <v>3056</v>
      </c>
      <c r="F1264" s="1" t="s">
        <v>3057</v>
      </c>
      <c r="G1264" s="1">
        <v>13340</v>
      </c>
      <c r="H1264" s="6" t="str">
        <f>HYPERLINK("http://www.ensembl.org/Mus_musculus/Gene/Summary?db=core;g=ENSMUSG00000024891","ENSMUSG00000024891")</f>
        <v>ENSMUSG00000024891</v>
      </c>
      <c r="I1264" s="6" t="str">
        <f>HYPERLINK("http://www.informatics.jax.org/marker/MGI:1345278","MGI:1345278")</f>
        <v>MGI:1345278</v>
      </c>
      <c r="J1264" s="7" t="s">
        <v>12</v>
      </c>
    </row>
    <row r="1265" spans="1:10" x14ac:dyDescent="0.2">
      <c r="A1265" s="3">
        <v>4280.46610774702</v>
      </c>
      <c r="B1265" s="1">
        <v>0.11307387721656</v>
      </c>
      <c r="C1265" s="1">
        <v>1.8842538248383001E-3</v>
      </c>
      <c r="D1265" s="7">
        <v>2.2054300526463299E-2</v>
      </c>
      <c r="E1265" s="1" t="s">
        <v>2204</v>
      </c>
      <c r="F1265" s="1" t="s">
        <v>2205</v>
      </c>
      <c r="G1265" s="1">
        <v>14057</v>
      </c>
      <c r="H1265" s="6" t="str">
        <f>HYPERLINK("http://www.ensembl.org/Mus_musculus/Gene/Summary?db=core;g=ENSMUSG00000021474","ENSMUSG00000021474")</f>
        <v>ENSMUSG00000021474</v>
      </c>
      <c r="I1265" s="6" t="str">
        <f>HYPERLINK("http://www.informatics.jax.org/marker/MGI:2137677","MGI:2137677")</f>
        <v>MGI:2137677</v>
      </c>
      <c r="J1265" s="7" t="s">
        <v>12</v>
      </c>
    </row>
    <row r="1266" spans="1:10" x14ac:dyDescent="0.2">
      <c r="A1266" s="3">
        <v>1754.33867281062</v>
      </c>
      <c r="B1266" s="1">
        <v>0.19885733880388601</v>
      </c>
      <c r="C1266" s="1">
        <v>1.8842189718422399E-3</v>
      </c>
      <c r="D1266" s="7">
        <v>2.2054300526463299E-2</v>
      </c>
      <c r="E1266" s="1" t="s">
        <v>2590</v>
      </c>
      <c r="F1266" s="1" t="s">
        <v>2591</v>
      </c>
      <c r="G1266" s="1">
        <v>72722</v>
      </c>
      <c r="H1266" s="6" t="str">
        <f>HYPERLINK("http://www.ensembl.org/Mus_musculus/Gene/Summary?db=core;g=ENSMUSG00000002017","ENSMUSG00000002017")</f>
        <v>ENSMUSG00000002017</v>
      </c>
      <c r="I1266" s="6" t="str">
        <f>HYPERLINK("http://www.informatics.jax.org/marker/MGI:1919972","MGI:1919972")</f>
        <v>MGI:1919972</v>
      </c>
      <c r="J1266" s="7" t="s">
        <v>12</v>
      </c>
    </row>
    <row r="1267" spans="1:10" x14ac:dyDescent="0.2">
      <c r="A1267" s="3">
        <v>550.00040938254494</v>
      </c>
      <c r="B1267" s="1">
        <v>-0.44165301421245101</v>
      </c>
      <c r="C1267" s="1">
        <v>1.8867909624009399E-3</v>
      </c>
      <c r="D1267" s="7">
        <v>2.2058940153010301E-2</v>
      </c>
      <c r="E1267" s="1" t="s">
        <v>959</v>
      </c>
      <c r="F1267" s="1" t="s">
        <v>960</v>
      </c>
      <c r="G1267" s="1">
        <v>68728</v>
      </c>
      <c r="H1267" s="6" t="str">
        <f>HYPERLINK("http://www.ensembl.org/Mus_musculus/Gene/Summary?db=core;g=ENSMUSG00000038375","ENSMUSG00000038375")</f>
        <v>ENSMUSG00000038375</v>
      </c>
      <c r="I1267" s="6" t="str">
        <f>HYPERLINK("http://www.informatics.jax.org/marker/MGI:1915978","MGI:1915978")</f>
        <v>MGI:1915978</v>
      </c>
      <c r="J1267" s="7" t="s">
        <v>12</v>
      </c>
    </row>
    <row r="1268" spans="1:10" x14ac:dyDescent="0.2">
      <c r="A1268" s="3">
        <v>2538.3072912365501</v>
      </c>
      <c r="B1268" s="1">
        <v>-0.215413093560689</v>
      </c>
      <c r="C1268" s="1">
        <v>1.8876441051130599E-3</v>
      </c>
      <c r="D1268" s="7">
        <v>2.2058940153010301E-2</v>
      </c>
      <c r="E1268" s="1" t="s">
        <v>1842</v>
      </c>
      <c r="F1268" s="1" t="s">
        <v>1843</v>
      </c>
      <c r="G1268" s="1">
        <v>217718</v>
      </c>
      <c r="H1268" s="6" t="str">
        <f>HYPERLINK("http://www.ensembl.org/Mus_musculus/Gene/Summary?db=core;g=ENSMUSG00000034290","ENSMUSG00000034290")</f>
        <v>ENSMUSG00000034290</v>
      </c>
      <c r="I1268" s="6" t="str">
        <f>HYPERLINK("http://www.informatics.jax.org/marker/MGI:2387995","MGI:2387995")</f>
        <v>MGI:2387995</v>
      </c>
      <c r="J1268" s="7" t="s">
        <v>12</v>
      </c>
    </row>
    <row r="1269" spans="1:10" x14ac:dyDescent="0.2">
      <c r="A1269" s="3">
        <v>631.91446175192004</v>
      </c>
      <c r="B1269" s="1">
        <v>0.229592832896165</v>
      </c>
      <c r="C1269" s="1">
        <v>1.8982963994355301E-3</v>
      </c>
      <c r="D1269" s="7">
        <v>2.2165844486594199E-2</v>
      </c>
      <c r="E1269" s="1" t="s">
        <v>2790</v>
      </c>
      <c r="F1269" s="1" t="s">
        <v>2791</v>
      </c>
      <c r="G1269" s="1">
        <v>53608</v>
      </c>
      <c r="H1269" s="6" t="str">
        <f>HYPERLINK("http://www.ensembl.org/Mus_musculus/Gene/Summary?db=core;g=ENSMUSG00000028862","ENSMUSG00000028862")</f>
        <v>ENSMUSG00000028862</v>
      </c>
      <c r="I1269" s="6" t="str">
        <f>HYPERLINK("http://www.informatics.jax.org/marker/MGI:1855691","MGI:1855691")</f>
        <v>MGI:1855691</v>
      </c>
      <c r="J1269" s="7" t="s">
        <v>12</v>
      </c>
    </row>
    <row r="1270" spans="1:10" x14ac:dyDescent="0.2">
      <c r="A1270" s="3">
        <v>64.812355916248507</v>
      </c>
      <c r="B1270" s="1">
        <v>0.56526762070230796</v>
      </c>
      <c r="C1270" s="1">
        <v>1.9041212306864E-3</v>
      </c>
      <c r="D1270" s="7">
        <v>2.22162553091012E-2</v>
      </c>
      <c r="E1270" s="1" t="s">
        <v>3232</v>
      </c>
      <c r="F1270" s="1" t="s">
        <v>3233</v>
      </c>
      <c r="G1270" s="1">
        <v>226610</v>
      </c>
      <c r="H1270" s="6" t="str">
        <f>HYPERLINK("http://www.ensembl.org/Mus_musculus/Gene/Summary?db=core;g=ENSMUSG00000060568","ENSMUSG00000060568")</f>
        <v>ENSMUSG00000060568</v>
      </c>
      <c r="I1270" s="6" t="str">
        <f>HYPERLINK("http://www.informatics.jax.org/marker/MGI:2443050","MGI:2443050")</f>
        <v>MGI:2443050</v>
      </c>
      <c r="J1270" s="7" t="s">
        <v>12</v>
      </c>
    </row>
    <row r="1271" spans="1:10" x14ac:dyDescent="0.2">
      <c r="A1271" s="3">
        <v>1468.1818548984199</v>
      </c>
      <c r="B1271" s="1">
        <v>-0.28868849023366999</v>
      </c>
      <c r="C1271" s="1">
        <v>1.9097719142298201E-3</v>
      </c>
      <c r="D1271" s="7">
        <v>2.22645561139957E-2</v>
      </c>
      <c r="E1271" s="1" t="s">
        <v>1508</v>
      </c>
      <c r="F1271" s="1" t="s">
        <v>1509</v>
      </c>
      <c r="G1271" s="1">
        <v>217303</v>
      </c>
      <c r="H1271" s="6" t="str">
        <f>HYPERLINK("http://www.ensembl.org/Mus_musculus/Gene/Summary?db=core;g=ENSMUSG00000034652","ENSMUSG00000034652")</f>
        <v>ENSMUSG00000034652</v>
      </c>
      <c r="I1271" s="6" t="str">
        <f>HYPERLINK("http://www.informatics.jax.org/marker/MGI:2443411","MGI:2443411")</f>
        <v>MGI:2443411</v>
      </c>
      <c r="J1271" s="7" t="s">
        <v>12</v>
      </c>
    </row>
    <row r="1272" spans="1:10" x14ac:dyDescent="0.2">
      <c r="A1272" s="3">
        <v>2507.4674414474198</v>
      </c>
      <c r="B1272" s="1">
        <v>-0.32899542454277703</v>
      </c>
      <c r="C1272" s="1">
        <v>1.9130239130328199E-3</v>
      </c>
      <c r="D1272" s="7">
        <v>2.2284838246997399E-2</v>
      </c>
      <c r="E1272" s="1" t="s">
        <v>1312</v>
      </c>
      <c r="F1272" s="1" t="s">
        <v>1313</v>
      </c>
      <c r="G1272" s="1">
        <v>30935</v>
      </c>
      <c r="H1272" s="6" t="str">
        <f>HYPERLINK("http://www.ensembl.org/Mus_musculus/Gene/Summary?db=core;g=ENSMUSG00000060519","ENSMUSG00000060519")</f>
        <v>ENSMUSG00000060519</v>
      </c>
      <c r="I1272" s="6" t="str">
        <f>HYPERLINK("http://www.informatics.jax.org/marker/MGI:1353652","MGI:1353652")</f>
        <v>MGI:1353652</v>
      </c>
      <c r="J1272" s="7" t="s">
        <v>12</v>
      </c>
    </row>
    <row r="1273" spans="1:10" x14ac:dyDescent="0.2">
      <c r="A1273" s="3">
        <v>937.36539327029698</v>
      </c>
      <c r="B1273" s="1">
        <v>-0.18963524044858099</v>
      </c>
      <c r="C1273" s="1">
        <v>1.9232289329818601E-3</v>
      </c>
      <c r="D1273" s="7">
        <v>2.2386020186746201E-2</v>
      </c>
      <c r="E1273" s="1" t="s">
        <v>1964</v>
      </c>
      <c r="F1273" s="1" t="s">
        <v>1965</v>
      </c>
      <c r="G1273" s="1">
        <v>68137</v>
      </c>
      <c r="H1273" s="6" t="str">
        <f>HYPERLINK("http://www.ensembl.org/Mus_musculus/Gene/Summary?db=core;g=ENSMUSG00000002778","ENSMUSG00000002778")</f>
        <v>ENSMUSG00000002778</v>
      </c>
      <c r="I1273" s="6" t="str">
        <f>HYPERLINK("http://www.informatics.jax.org/marker/MGI:1915387","MGI:1915387")</f>
        <v>MGI:1915387</v>
      </c>
      <c r="J1273" s="7" t="s">
        <v>12</v>
      </c>
    </row>
    <row r="1274" spans="1:10" x14ac:dyDescent="0.2">
      <c r="A1274" s="3">
        <v>1214.2397338084199</v>
      </c>
      <c r="B1274" s="1">
        <v>0.14813346610414699</v>
      </c>
      <c r="C1274" s="1">
        <v>1.92861462469553E-3</v>
      </c>
      <c r="D1274" s="7">
        <v>2.2430990615243299E-2</v>
      </c>
      <c r="E1274" s="1" t="s">
        <v>2314</v>
      </c>
      <c r="F1274" s="1" t="s">
        <v>2315</v>
      </c>
      <c r="G1274" s="1">
        <v>66917</v>
      </c>
      <c r="H1274" s="6" t="str">
        <f>HYPERLINK("http://www.ensembl.org/Mus_musculus/Gene/Summary?db=core;g=ENSMUSG00000001774","ENSMUSG00000001774")</f>
        <v>ENSMUSG00000001774</v>
      </c>
      <c r="I1274" s="6" t="str">
        <f>HYPERLINK("http://www.informatics.jax.org/marker/MGI:1914167","MGI:1914167")</f>
        <v>MGI:1914167</v>
      </c>
      <c r="J1274" s="7" t="s">
        <v>12</v>
      </c>
    </row>
    <row r="1275" spans="1:10" x14ac:dyDescent="0.2">
      <c r="A1275" s="3">
        <v>24.886567962184401</v>
      </c>
      <c r="B1275" s="1">
        <v>-0.64371404894384798</v>
      </c>
      <c r="C1275" s="1">
        <v>1.9323374071306099E-3</v>
      </c>
      <c r="D1275" s="7">
        <v>2.2456564693593601E-2</v>
      </c>
      <c r="E1275" s="1" t="s">
        <v>608</v>
      </c>
      <c r="F1275" s="1" t="s">
        <v>609</v>
      </c>
      <c r="G1275" s="1">
        <v>68852</v>
      </c>
      <c r="H1275" s="6" t="str">
        <f>HYPERLINK("http://www.ensembl.org/Mus_musculus/Gene/Summary?db=core;g=ENSMUSG00000071656","ENSMUSG00000071656")</f>
        <v>ENSMUSG00000071656</v>
      </c>
      <c r="I1275" s="6" t="str">
        <f>HYPERLINK("http://www.informatics.jax.org/marker/MGI:1916102","MGI:1916102")</f>
        <v>MGI:1916102</v>
      </c>
      <c r="J1275" s="7" t="s">
        <v>12</v>
      </c>
    </row>
    <row r="1276" spans="1:10" x14ac:dyDescent="0.2">
      <c r="A1276" s="3">
        <v>771.45197778341901</v>
      </c>
      <c r="B1276" s="1">
        <v>0.249671697945997</v>
      </c>
      <c r="C1276" s="1">
        <v>1.93526285477227E-3</v>
      </c>
      <c r="D1276" s="7">
        <v>2.2472839580712601E-2</v>
      </c>
      <c r="E1276" s="1" t="s">
        <v>2874</v>
      </c>
      <c r="F1276" s="1" t="s">
        <v>2875</v>
      </c>
      <c r="G1276" s="1">
        <v>67291</v>
      </c>
      <c r="H1276" s="6" t="str">
        <f>HYPERLINK("http://www.ensembl.org/Mus_musculus/Gene/Summary?db=core;g=ENSMUSG00000049957","ENSMUSG00000049957")</f>
        <v>ENSMUSG00000049957</v>
      </c>
      <c r="I1276" s="6" t="str">
        <f>HYPERLINK("http://www.informatics.jax.org/marker/MGI:1914541","MGI:1914541")</f>
        <v>MGI:1914541</v>
      </c>
      <c r="J1276" s="7" t="s">
        <v>12</v>
      </c>
    </row>
    <row r="1277" spans="1:10" x14ac:dyDescent="0.2">
      <c r="A1277" s="3">
        <v>6123.8397098238202</v>
      </c>
      <c r="B1277" s="1">
        <v>-0.17217382251213201</v>
      </c>
      <c r="C1277" s="1">
        <v>1.9418230295068699E-3</v>
      </c>
      <c r="D1277" s="7">
        <v>2.2531263120325301E-2</v>
      </c>
      <c r="E1277" s="1" t="s">
        <v>2048</v>
      </c>
      <c r="F1277" s="1" t="s">
        <v>2049</v>
      </c>
      <c r="G1277" s="1">
        <v>20375</v>
      </c>
      <c r="H1277" s="6" t="str">
        <f>HYPERLINK("http://www.ensembl.org/Mus_musculus/Gene/Summary?db=core;g=ENSMUSG00000002111","ENSMUSG00000002111")</f>
        <v>ENSMUSG00000002111</v>
      </c>
      <c r="I1277" s="6" t="str">
        <f>HYPERLINK("http://www.informatics.jax.org/marker/MGI:98282","MGI:98282")</f>
        <v>MGI:98282</v>
      </c>
      <c r="J1277" s="7" t="s">
        <v>12</v>
      </c>
    </row>
    <row r="1278" spans="1:10" x14ac:dyDescent="0.2">
      <c r="A1278" s="3">
        <v>118.255067171343</v>
      </c>
      <c r="B1278" s="1">
        <v>-0.39082280643331602</v>
      </c>
      <c r="C1278" s="1">
        <v>1.9471566269652801E-3</v>
      </c>
      <c r="D1278" s="7">
        <v>2.2557625829371399E-2</v>
      </c>
      <c r="E1278" s="1" t="s">
        <v>1121</v>
      </c>
      <c r="F1278" s="1" t="s">
        <v>1122</v>
      </c>
      <c r="G1278" s="1">
        <v>93704</v>
      </c>
      <c r="H1278" s="6" t="str">
        <f>HYPERLINK("http://www.ensembl.org/Mus_musculus/Gene/Summary?db=core;g=ENSMUSG00000104063","ENSMUSG00000104063")</f>
        <v>ENSMUSG00000104063</v>
      </c>
      <c r="I1278" s="6" t="str">
        <f>HYPERLINK("http://www.informatics.jax.org/marker/MGI:1935199","MGI:1935199")</f>
        <v>MGI:1935199</v>
      </c>
      <c r="J1278" s="7" t="s">
        <v>12</v>
      </c>
    </row>
    <row r="1279" spans="1:10" x14ac:dyDescent="0.2">
      <c r="A1279" s="3">
        <v>851.48110930136102</v>
      </c>
      <c r="B1279" s="1">
        <v>-0.23176756232228601</v>
      </c>
      <c r="C1279" s="1">
        <v>1.9466781659469501E-3</v>
      </c>
      <c r="D1279" s="7">
        <v>2.2557625829371399E-2</v>
      </c>
      <c r="E1279" s="1" t="s">
        <v>1750</v>
      </c>
      <c r="F1279" s="1" t="s">
        <v>1751</v>
      </c>
      <c r="G1279" s="1">
        <v>213988</v>
      </c>
      <c r="H1279" s="6" t="str">
        <f>HYPERLINK("http://www.ensembl.org/Mus_musculus/Gene/Summary?db=core;g=ENSMUSG00000047888","ENSMUSG00000047888")</f>
        <v>ENSMUSG00000047888</v>
      </c>
      <c r="I1279" s="6" t="str">
        <f>HYPERLINK("http://www.informatics.jax.org/marker/MGI:2443730","MGI:2443730")</f>
        <v>MGI:2443730</v>
      </c>
      <c r="J1279" s="7" t="s">
        <v>12</v>
      </c>
    </row>
    <row r="1280" spans="1:10" x14ac:dyDescent="0.2">
      <c r="A1280" s="3">
        <v>581.60080437669899</v>
      </c>
      <c r="B1280" s="1">
        <v>-0.27022763774326303</v>
      </c>
      <c r="C1280" s="1">
        <v>1.95168746943734E-3</v>
      </c>
      <c r="D1280" s="7">
        <v>2.2592353927438E-2</v>
      </c>
      <c r="E1280" s="1" t="s">
        <v>1570</v>
      </c>
      <c r="F1280" s="1" t="s">
        <v>1571</v>
      </c>
      <c r="G1280" s="1">
        <v>17939</v>
      </c>
      <c r="H1280" s="6" t="str">
        <f>HYPERLINK("http://www.ensembl.org/Mus_musculus/Gene/Summary?db=core;g=ENSMUSG00000022453","ENSMUSG00000022453")</f>
        <v>ENSMUSG00000022453</v>
      </c>
      <c r="I1280" s="6" t="str">
        <f>HYPERLINK("http://www.informatics.jax.org/marker/MGI:1261422","MGI:1261422")</f>
        <v>MGI:1261422</v>
      </c>
      <c r="J1280" s="7" t="s">
        <v>12</v>
      </c>
    </row>
    <row r="1281" spans="1:10" x14ac:dyDescent="0.2">
      <c r="A1281" s="3">
        <v>815.51269260468905</v>
      </c>
      <c r="B1281" s="1">
        <v>-0.16064042163186601</v>
      </c>
      <c r="C1281" s="1">
        <v>1.9695815378647599E-3</v>
      </c>
      <c r="D1281" s="7">
        <v>2.2781596186793599E-2</v>
      </c>
      <c r="E1281" s="1" t="s">
        <v>2080</v>
      </c>
      <c r="F1281" s="1" t="s">
        <v>2081</v>
      </c>
      <c r="G1281" s="1">
        <v>19245</v>
      </c>
      <c r="H1281" s="6" t="str">
        <f>HYPERLINK("http://www.ensembl.org/Mus_musculus/Gene/Summary?db=core;g=ENSMUSG00000059895","ENSMUSG00000059895")</f>
        <v>ENSMUSG00000059895</v>
      </c>
      <c r="I1281" s="6" t="str">
        <f>HYPERLINK("http://www.informatics.jax.org/marker/MGI:1277098","MGI:1277098")</f>
        <v>MGI:1277098</v>
      </c>
      <c r="J1281" s="7" t="s">
        <v>12</v>
      </c>
    </row>
    <row r="1282" spans="1:10" x14ac:dyDescent="0.2">
      <c r="A1282" s="3">
        <v>655.43413830919405</v>
      </c>
      <c r="B1282" s="1">
        <v>-0.23421852000298701</v>
      </c>
      <c r="C1282" s="1">
        <v>1.9750236778750801E-3</v>
      </c>
      <c r="D1282" s="7">
        <v>2.2822081404796399E-2</v>
      </c>
      <c r="E1282" s="1" t="s">
        <v>1740</v>
      </c>
      <c r="F1282" s="1" t="s">
        <v>1741</v>
      </c>
      <c r="G1282" s="1">
        <v>22259</v>
      </c>
      <c r="H1282" s="6" t="str">
        <f>HYPERLINK("http://www.ensembl.org/Mus_musculus/Gene/Summary?db=core;g=ENSMUSG00000002108","ENSMUSG00000002108")</f>
        <v>ENSMUSG00000002108</v>
      </c>
      <c r="I1282" s="6" t="str">
        <f>HYPERLINK("http://www.informatics.jax.org/marker/MGI:1352462","MGI:1352462")</f>
        <v>MGI:1352462</v>
      </c>
      <c r="J1282" s="7" t="s">
        <v>12</v>
      </c>
    </row>
    <row r="1283" spans="1:10" x14ac:dyDescent="0.2">
      <c r="A1283" s="3">
        <v>227.55400795211301</v>
      </c>
      <c r="B1283" s="1">
        <v>0.27035302246473603</v>
      </c>
      <c r="C1283" s="1">
        <v>1.9761791444435498E-3</v>
      </c>
      <c r="D1283" s="7">
        <v>2.2822081404796399E-2</v>
      </c>
      <c r="E1283" s="1" t="s">
        <v>2936</v>
      </c>
      <c r="F1283" s="1" t="s">
        <v>2937</v>
      </c>
      <c r="G1283" s="1">
        <v>53886</v>
      </c>
      <c r="H1283" s="6" t="str">
        <f>HYPERLINK("http://www.ensembl.org/Mus_musculus/Gene/Summary?db=core;g=ENSMUSG00000029403","ENSMUSG00000029403")</f>
        <v>ENSMUSG00000029403</v>
      </c>
      <c r="I1283" s="6" t="str">
        <f>HYPERLINK("http://www.informatics.jax.org/marker/MGI:1858227","MGI:1858227")</f>
        <v>MGI:1858227</v>
      </c>
      <c r="J1283" s="7" t="s">
        <v>12</v>
      </c>
    </row>
    <row r="1284" spans="1:10" x14ac:dyDescent="0.2">
      <c r="A1284" s="3">
        <v>1938.7686635608</v>
      </c>
      <c r="B1284" s="1">
        <v>-0.24644134933370301</v>
      </c>
      <c r="C1284" s="1">
        <v>1.9788683402581601E-3</v>
      </c>
      <c r="D1284" s="7">
        <v>2.2826672309551599E-2</v>
      </c>
      <c r="E1284" s="1" t="s">
        <v>1678</v>
      </c>
      <c r="F1284" s="1" t="s">
        <v>1679</v>
      </c>
      <c r="G1284" s="1">
        <v>105559</v>
      </c>
      <c r="H1284" s="6" t="str">
        <f>HYPERLINK("http://www.ensembl.org/Mus_musculus/Gene/Summary?db=core;g=ENSMUSG00000022139","ENSMUSG00000022139")</f>
        <v>ENSMUSG00000022139</v>
      </c>
      <c r="I1284" s="6" t="str">
        <f>HYPERLINK("http://www.informatics.jax.org/marker/MGI:2145597","MGI:2145597")</f>
        <v>MGI:2145597</v>
      </c>
      <c r="J1284" s="7" t="s">
        <v>12</v>
      </c>
    </row>
    <row r="1285" spans="1:10" x14ac:dyDescent="0.2">
      <c r="A1285" s="3">
        <v>145.39987402358801</v>
      </c>
      <c r="B1285" s="1">
        <v>0.32665314585851302</v>
      </c>
      <c r="C1285" s="1">
        <v>1.9796747564879901E-3</v>
      </c>
      <c r="D1285" s="7">
        <v>2.2826672309551599E-2</v>
      </c>
      <c r="E1285" s="1" t="s">
        <v>3038</v>
      </c>
      <c r="F1285" s="1" t="s">
        <v>3039</v>
      </c>
      <c r="G1285" s="1">
        <v>223669</v>
      </c>
      <c r="H1285" s="6" t="str">
        <f>HYPERLINK("http://www.ensembl.org/Mus_musculus/Gene/Summary?db=core;g=ENSMUSG00000033669","ENSMUSG00000033669")</f>
        <v>ENSMUSG00000033669</v>
      </c>
      <c r="I1285" s="6" t="str">
        <f>HYPERLINK("http://www.informatics.jax.org/marker/MGI:99208","MGI:99208")</f>
        <v>MGI:99208</v>
      </c>
      <c r="J1285" s="7" t="s">
        <v>12</v>
      </c>
    </row>
    <row r="1286" spans="1:10" x14ac:dyDescent="0.2">
      <c r="A1286" s="3">
        <v>401.50141852437298</v>
      </c>
      <c r="B1286" s="1">
        <v>-0.33745200065710801</v>
      </c>
      <c r="C1286" s="1">
        <v>1.9932100080678099E-3</v>
      </c>
      <c r="D1286" s="7">
        <v>2.2964771445572501E-2</v>
      </c>
      <c r="E1286" s="1" t="s">
        <v>1274</v>
      </c>
      <c r="F1286" s="1" t="s">
        <v>1275</v>
      </c>
      <c r="G1286" s="1">
        <v>100121</v>
      </c>
      <c r="H1286" s="6" t="str">
        <f>HYPERLINK("http://www.ensembl.org/Mus_musculus/Gene/Summary?db=core;g=ENSMUSG00000035517","ENSMUSG00000035517")</f>
        <v>ENSMUSG00000035517</v>
      </c>
      <c r="I1286" s="6" t="str">
        <f>HYPERLINK("http://www.informatics.jax.org/marker/MGI:2140279","MGI:2140279")</f>
        <v>MGI:2140279</v>
      </c>
      <c r="J1286" s="7" t="s">
        <v>12</v>
      </c>
    </row>
    <row r="1287" spans="1:10" x14ac:dyDescent="0.2">
      <c r="A1287" s="3">
        <v>714.44323569970902</v>
      </c>
      <c r="B1287" s="1">
        <v>-0.174841885260205</v>
      </c>
      <c r="C1287" s="1">
        <v>2.0025049507419999E-3</v>
      </c>
      <c r="D1287" s="7">
        <v>2.3017872819137399E-2</v>
      </c>
      <c r="E1287" s="1" t="s">
        <v>2034</v>
      </c>
      <c r="F1287" s="1" t="s">
        <v>2035</v>
      </c>
      <c r="G1287" s="1">
        <v>140579</v>
      </c>
      <c r="H1287" s="6" t="str">
        <f>HYPERLINK("http://www.ensembl.org/Mus_musculus/Gene/Summary?db=core;g=ENSMUSG00000017670","ENSMUSG00000017670")</f>
        <v>ENSMUSG00000017670</v>
      </c>
      <c r="I1287" s="6" t="str">
        <f>HYPERLINK("http://www.informatics.jax.org/marker/MGI:2153045","MGI:2153045")</f>
        <v>MGI:2153045</v>
      </c>
      <c r="J1287" s="7" t="s">
        <v>12</v>
      </c>
    </row>
    <row r="1288" spans="1:10" x14ac:dyDescent="0.2">
      <c r="A1288" s="3">
        <v>2132.4231567771899</v>
      </c>
      <c r="B1288" s="1">
        <v>0.17080613532681799</v>
      </c>
      <c r="C1288" s="1">
        <v>2.00157374597689E-3</v>
      </c>
      <c r="D1288" s="7">
        <v>2.3017872819137399E-2</v>
      </c>
      <c r="E1288" s="1" t="s">
        <v>2430</v>
      </c>
      <c r="F1288" s="1" t="s">
        <v>2431</v>
      </c>
      <c r="G1288" s="1">
        <v>229363</v>
      </c>
      <c r="H1288" s="6" t="str">
        <f>HYPERLINK("http://www.ensembl.org/Mus_musculus/Gene/Summary?db=core;g=ENSMUSG00000027823","ENSMUSG00000027823")</f>
        <v>ENSMUSG00000027823</v>
      </c>
      <c r="I1288" s="6" t="str">
        <f>HYPERLINK("http://www.informatics.jax.org/marker/MGI:2448526","MGI:2448526")</f>
        <v>MGI:2448526</v>
      </c>
      <c r="J1288" s="7" t="s">
        <v>12</v>
      </c>
    </row>
    <row r="1289" spans="1:10" x14ac:dyDescent="0.2">
      <c r="A1289" s="3">
        <v>116.046653973441</v>
      </c>
      <c r="B1289" s="1">
        <v>0.33630357662621102</v>
      </c>
      <c r="C1289" s="1">
        <v>1.9995047856525899E-3</v>
      </c>
      <c r="D1289" s="7">
        <v>2.3017872819137399E-2</v>
      </c>
      <c r="E1289" s="1" t="s">
        <v>3070</v>
      </c>
      <c r="F1289" s="1" t="s">
        <v>3071</v>
      </c>
      <c r="G1289" s="1">
        <v>106564</v>
      </c>
      <c r="H1289" s="6" t="str">
        <f>HYPERLINK("http://www.ensembl.org/Mus_musculus/Gene/Summary?db=core;g=ENSMUSG00000028636","ENSMUSG00000028636")</f>
        <v>ENSMUSG00000028636</v>
      </c>
      <c r="I1289" s="6" t="str">
        <f>HYPERLINK("http://www.informatics.jax.org/marker/MGI:1915237","MGI:1915237")</f>
        <v>MGI:1915237</v>
      </c>
      <c r="J1289" s="7" t="s">
        <v>12</v>
      </c>
    </row>
    <row r="1290" spans="1:10" x14ac:dyDescent="0.2">
      <c r="A1290" s="3">
        <v>563.29958807812</v>
      </c>
      <c r="B1290" s="1">
        <v>0.23930566216538399</v>
      </c>
      <c r="C1290" s="1">
        <v>2.0139160461321399E-3</v>
      </c>
      <c r="D1290" s="7">
        <v>2.3130995211070302E-2</v>
      </c>
      <c r="E1290" s="1" t="s">
        <v>2836</v>
      </c>
      <c r="F1290" s="1" t="s">
        <v>2837</v>
      </c>
      <c r="G1290" s="1">
        <v>69662</v>
      </c>
      <c r="H1290" s="6" t="str">
        <f>HYPERLINK("http://www.ensembl.org/Mus_musculus/Gene/Summary?db=core;g=ENSMUSG00000050705","ENSMUSG00000050705")</f>
        <v>ENSMUSG00000050705</v>
      </c>
      <c r="I1290" s="6" t="str">
        <f>HYPERLINK("http://www.informatics.jax.org/marker/MGI:1916912","MGI:1916912")</f>
        <v>MGI:1916912</v>
      </c>
      <c r="J1290" s="7" t="s">
        <v>12</v>
      </c>
    </row>
    <row r="1291" spans="1:10" x14ac:dyDescent="0.2">
      <c r="A1291" s="3">
        <v>5828.5108547547197</v>
      </c>
      <c r="B1291" s="1">
        <v>0.112317720339789</v>
      </c>
      <c r="C1291" s="1">
        <v>2.01667135500965E-3</v>
      </c>
      <c r="D1291" s="7">
        <v>2.31446020930079E-2</v>
      </c>
      <c r="E1291" s="1" t="s">
        <v>2202</v>
      </c>
      <c r="F1291" s="1" t="s">
        <v>2203</v>
      </c>
      <c r="G1291" s="1">
        <v>223691</v>
      </c>
      <c r="H1291" s="6" t="str">
        <f>HYPERLINK("http://www.ensembl.org/Mus_musculus/Gene/Summary?db=core;g=ENSMUSG00000033047","ENSMUSG00000033047")</f>
        <v>ENSMUSG00000033047</v>
      </c>
      <c r="I1291" s="6" t="str">
        <f>HYPERLINK("http://www.informatics.jax.org/marker/MGI:2386251","MGI:2386251")</f>
        <v>MGI:2386251</v>
      </c>
      <c r="J1291" s="7" t="s">
        <v>12</v>
      </c>
    </row>
    <row r="1292" spans="1:10" x14ac:dyDescent="0.2">
      <c r="A1292" s="3">
        <v>5649.5709175742104</v>
      </c>
      <c r="B1292" s="1">
        <v>0.101528314798185</v>
      </c>
      <c r="C1292" s="1">
        <v>2.0209678999810101E-3</v>
      </c>
      <c r="D1292" s="7">
        <v>2.3175862236669401E-2</v>
      </c>
      <c r="E1292" s="1" t="s">
        <v>2188</v>
      </c>
      <c r="F1292" s="1" t="s">
        <v>2189</v>
      </c>
      <c r="G1292" s="1">
        <v>108147</v>
      </c>
      <c r="H1292" s="6" t="str">
        <f>HYPERLINK("http://www.ensembl.org/Mus_musculus/Gene/Summary?db=core;g=ENSMUSG00000026192","ENSMUSG00000026192")</f>
        <v>ENSMUSG00000026192</v>
      </c>
      <c r="I1292" s="6" t="str">
        <f>HYPERLINK("http://www.informatics.jax.org/marker/MGI:1351352","MGI:1351352")</f>
        <v>MGI:1351352</v>
      </c>
      <c r="J1292" s="7" t="s">
        <v>12</v>
      </c>
    </row>
    <row r="1293" spans="1:10" x14ac:dyDescent="0.2">
      <c r="A1293" s="3">
        <v>220.655911117269</v>
      </c>
      <c r="B1293" s="1">
        <v>-0.82503677565466904</v>
      </c>
      <c r="C1293" s="1">
        <v>2.0259227062612299E-3</v>
      </c>
      <c r="D1293" s="7">
        <v>2.3214616640330799E-2</v>
      </c>
      <c r="E1293" s="1" t="s">
        <v>462</v>
      </c>
      <c r="F1293" s="1" t="s">
        <v>463</v>
      </c>
      <c r="G1293" s="1">
        <v>15042</v>
      </c>
      <c r="H1293" s="6" t="str">
        <f>HYPERLINK("http://www.ensembl.org/Mus_musculus/Gene/Summary?db=core;g=ENSMUSG00000053835","ENSMUSG00000053835")</f>
        <v>ENSMUSG00000053835</v>
      </c>
      <c r="I1293" s="6" t="str">
        <f>HYPERLINK("http://www.informatics.jax.org/marker/MGI:95958","MGI:95958")</f>
        <v>MGI:95958</v>
      </c>
      <c r="J1293" s="7" t="s">
        <v>12</v>
      </c>
    </row>
    <row r="1294" spans="1:10" x14ac:dyDescent="0.2">
      <c r="A1294" s="3">
        <v>205.890871172038</v>
      </c>
      <c r="B1294" s="1">
        <v>-0.31885125101280398</v>
      </c>
      <c r="C1294" s="1">
        <v>2.0321410501543198E-3</v>
      </c>
      <c r="D1294" s="7">
        <v>2.3267778177990701E-2</v>
      </c>
      <c r="E1294" s="1" t="s">
        <v>1354</v>
      </c>
      <c r="F1294" s="1" t="s">
        <v>1355</v>
      </c>
      <c r="G1294" s="1">
        <v>17952</v>
      </c>
      <c r="H1294" s="6" t="str">
        <f>HYPERLINK("http://www.ensembl.org/Mus_musculus/Gene/Summary?db=core;g=ENSMUSG00000078942","ENSMUSG00000078942")</f>
        <v>ENSMUSG00000078942</v>
      </c>
      <c r="I1294" s="6" t="str">
        <f>HYPERLINK("http://www.informatics.jax.org/marker/MGI:1298222","MGI:1298222")</f>
        <v>MGI:1298222</v>
      </c>
      <c r="J1294" s="7" t="s">
        <v>12</v>
      </c>
    </row>
    <row r="1295" spans="1:10" x14ac:dyDescent="0.2">
      <c r="A1295" s="3">
        <v>1020.24206681228</v>
      </c>
      <c r="B1295" s="1">
        <v>0.137238719448039</v>
      </c>
      <c r="C1295" s="1">
        <v>2.0347597853665302E-3</v>
      </c>
      <c r="D1295" s="7">
        <v>2.3279674066118899E-2</v>
      </c>
      <c r="E1295" s="1" t="s">
        <v>2260</v>
      </c>
      <c r="F1295" s="1" t="s">
        <v>2261</v>
      </c>
      <c r="G1295" s="1">
        <v>23827</v>
      </c>
      <c r="H1295" s="6" t="str">
        <f>HYPERLINK("http://www.ensembl.org/Mus_musculus/Gene/Summary?db=core;g=ENSMUSG00000026617","ENSMUSG00000026617")</f>
        <v>ENSMUSG00000026617</v>
      </c>
      <c r="I1295" s="6" t="str">
        <f>HYPERLINK("http://www.informatics.jax.org/marker/MGI:1338800","MGI:1338800")</f>
        <v>MGI:1338800</v>
      </c>
      <c r="J1295" s="7" t="s">
        <v>12</v>
      </c>
    </row>
    <row r="1296" spans="1:10" x14ac:dyDescent="0.2">
      <c r="A1296" s="3">
        <v>6768.6149552550496</v>
      </c>
      <c r="B1296" s="1">
        <v>0.32619367640038699</v>
      </c>
      <c r="C1296" s="1">
        <v>2.0369207792296801E-3</v>
      </c>
      <c r="D1296" s="7">
        <v>2.3286318543621901E-2</v>
      </c>
      <c r="E1296" s="1" t="s">
        <v>3036</v>
      </c>
      <c r="F1296" s="1" t="s">
        <v>3037</v>
      </c>
      <c r="G1296" s="1">
        <v>20539</v>
      </c>
      <c r="H1296" s="6" t="str">
        <f>HYPERLINK("http://www.ensembl.org/Mus_musculus/Gene/Summary?db=core;g=ENSMUSG00000040010","ENSMUSG00000040010")</f>
        <v>ENSMUSG00000040010</v>
      </c>
      <c r="I1296" s="6" t="str">
        <f>HYPERLINK("http://www.informatics.jax.org/marker/MGI:1298205","MGI:1298205")</f>
        <v>MGI:1298205</v>
      </c>
      <c r="J1296" s="7" t="s">
        <v>12</v>
      </c>
    </row>
    <row r="1297" spans="1:10" x14ac:dyDescent="0.2">
      <c r="A1297" s="3">
        <v>2394.91338805958</v>
      </c>
      <c r="B1297" s="1">
        <v>0.22696236444041501</v>
      </c>
      <c r="C1297" s="1">
        <v>2.04770380145969E-3</v>
      </c>
      <c r="D1297" s="7">
        <v>2.3391444355279099E-2</v>
      </c>
      <c r="E1297" s="1" t="s">
        <v>2772</v>
      </c>
      <c r="F1297" s="1" t="s">
        <v>2773</v>
      </c>
      <c r="G1297" s="1">
        <v>67089</v>
      </c>
      <c r="H1297" s="6" t="str">
        <f>HYPERLINK("http://www.ensembl.org/Mus_musculus/Gene/Summary?db=core;g=ENSMUSG00000021832","ENSMUSG00000021832")</f>
        <v>ENSMUSG00000021832</v>
      </c>
      <c r="I1297" s="6" t="str">
        <f>HYPERLINK("http://www.informatics.jax.org/marker/MGI:1914339","MGI:1914339")</f>
        <v>MGI:1914339</v>
      </c>
      <c r="J1297" s="7" t="s">
        <v>12</v>
      </c>
    </row>
    <row r="1298" spans="1:10" x14ac:dyDescent="0.2">
      <c r="A1298" s="3">
        <v>415.67818543952598</v>
      </c>
      <c r="B1298" s="1">
        <v>-0.368695819044977</v>
      </c>
      <c r="C1298" s="1">
        <v>2.0600749820890302E-3</v>
      </c>
      <c r="D1298" s="7">
        <v>2.35145351944724E-2</v>
      </c>
      <c r="E1298" s="1" t="s">
        <v>1178</v>
      </c>
      <c r="F1298" s="1" t="s">
        <v>1179</v>
      </c>
      <c r="G1298" s="1">
        <v>229521</v>
      </c>
      <c r="H1298" s="6" t="str">
        <f>HYPERLINK("http://www.ensembl.org/Mus_musculus/Gene/Summary?db=core;g=ENSMUSG00000068923","ENSMUSG00000068923")</f>
        <v>ENSMUSG00000068923</v>
      </c>
      <c r="I1298" s="6" t="str">
        <f>HYPERLINK("http://www.informatics.jax.org/marker/MGI:1859547","MGI:1859547")</f>
        <v>MGI:1859547</v>
      </c>
      <c r="J1298" s="7" t="s">
        <v>12</v>
      </c>
    </row>
    <row r="1299" spans="1:10" x14ac:dyDescent="0.2">
      <c r="A1299" s="3">
        <v>798.09253789647903</v>
      </c>
      <c r="B1299" s="1">
        <v>-0.18200521595029601</v>
      </c>
      <c r="C1299" s="1">
        <v>2.0834026622961301E-3</v>
      </c>
      <c r="D1299" s="7">
        <v>2.3744022916934001E-2</v>
      </c>
      <c r="E1299" s="1" t="s">
        <v>2002</v>
      </c>
      <c r="F1299" s="1" t="s">
        <v>2003</v>
      </c>
      <c r="G1299" s="1">
        <v>14423</v>
      </c>
      <c r="H1299" s="6" t="str">
        <f>HYPERLINK("http://www.ensembl.org/Mus_musculus/Gene/Summary?db=core;g=ENSMUSG00000000420","ENSMUSG00000000420")</f>
        <v>ENSMUSG00000000420</v>
      </c>
      <c r="I1299" s="6" t="str">
        <f>HYPERLINK("http://www.informatics.jax.org/marker/MGI:894693","MGI:894693")</f>
        <v>MGI:894693</v>
      </c>
      <c r="J1299" s="7" t="s">
        <v>12</v>
      </c>
    </row>
    <row r="1300" spans="1:10" x14ac:dyDescent="0.2">
      <c r="A1300" s="3">
        <v>3132.71509514032</v>
      </c>
      <c r="B1300" s="1">
        <v>0.14533585165623</v>
      </c>
      <c r="C1300" s="1">
        <v>2.0824197479750398E-3</v>
      </c>
      <c r="D1300" s="7">
        <v>2.3744022916934001E-2</v>
      </c>
      <c r="E1300" s="1" t="s">
        <v>2294</v>
      </c>
      <c r="F1300" s="1" t="s">
        <v>2295</v>
      </c>
      <c r="G1300" s="1">
        <v>76014</v>
      </c>
      <c r="H1300" s="6" t="str">
        <f>HYPERLINK("http://www.ensembl.org/Mus_musculus/Gene/Summary?db=core;g=ENSMUSG00000017478","ENSMUSG00000017478")</f>
        <v>ENSMUSG00000017478</v>
      </c>
      <c r="I1300" s="6" t="str">
        <f>HYPERLINK("http://www.informatics.jax.org/marker/MGI:1923264","MGI:1923264")</f>
        <v>MGI:1923264</v>
      </c>
      <c r="J1300" s="7" t="s">
        <v>12</v>
      </c>
    </row>
    <row r="1301" spans="1:10" x14ac:dyDescent="0.2">
      <c r="A1301" s="3">
        <v>974.66221013854602</v>
      </c>
      <c r="B1301" s="1">
        <v>0.20502566210231701</v>
      </c>
      <c r="C1301" s="1">
        <v>2.0941206104158798E-3</v>
      </c>
      <c r="D1301" s="7">
        <v>2.38477289915675E-2</v>
      </c>
      <c r="E1301" s="1" t="s">
        <v>2636</v>
      </c>
      <c r="F1301" s="1" t="s">
        <v>2637</v>
      </c>
      <c r="G1301" s="1">
        <v>67065</v>
      </c>
      <c r="H1301" s="6" t="str">
        <f>HYPERLINK("http://www.ensembl.org/Mus_musculus/Gene/Summary?db=core;g=ENSMUSG00000000776","ENSMUSG00000000776")</f>
        <v>ENSMUSG00000000776</v>
      </c>
      <c r="I1301" s="6" t="str">
        <f>HYPERLINK("http://www.informatics.jax.org/marker/MGI:1914315","MGI:1914315")</f>
        <v>MGI:1914315</v>
      </c>
      <c r="J1301" s="7" t="s">
        <v>12</v>
      </c>
    </row>
    <row r="1302" spans="1:10" x14ac:dyDescent="0.2">
      <c r="A1302" s="3">
        <v>188.67721656517401</v>
      </c>
      <c r="B1302" s="1">
        <v>0.27695886893448801</v>
      </c>
      <c r="C1302" s="1">
        <v>2.10202345188864E-3</v>
      </c>
      <c r="D1302" s="7">
        <v>2.39192413799467E-2</v>
      </c>
      <c r="E1302" s="1" t="s">
        <v>2956</v>
      </c>
      <c r="F1302" s="1" t="s">
        <v>2957</v>
      </c>
      <c r="G1302" s="1">
        <v>70551</v>
      </c>
      <c r="H1302" s="6" t="str">
        <f>HYPERLINK("http://www.ensembl.org/Mus_musculus/Gene/Summary?db=core;g=ENSMUSG00000041594","ENSMUSG00000041594")</f>
        <v>ENSMUSG00000041594</v>
      </c>
      <c r="I1302" s="6" t="str">
        <f>HYPERLINK("http://www.informatics.jax.org/marker/MGI:1921050","MGI:1921050")</f>
        <v>MGI:1921050</v>
      </c>
      <c r="J1302" s="7" t="s">
        <v>12</v>
      </c>
    </row>
    <row r="1303" spans="1:10" x14ac:dyDescent="0.2">
      <c r="A1303" s="3">
        <v>60.8083631220927</v>
      </c>
      <c r="B1303" s="1">
        <v>-0.56745877821110302</v>
      </c>
      <c r="C1303" s="1">
        <v>2.1074852848582699E-3</v>
      </c>
      <c r="D1303" s="7">
        <v>2.3962888238944099E-2</v>
      </c>
      <c r="E1303" s="1" t="s">
        <v>731</v>
      </c>
      <c r="F1303" s="1" t="s">
        <v>732</v>
      </c>
      <c r="G1303" s="1">
        <v>107885</v>
      </c>
      <c r="H1303" s="6" t="str">
        <f>HYPERLINK("http://www.ensembl.org/Mus_musculus/Gene/Summary?db=core;g=ENSMUSG00000066442","ENSMUSG00000066442")</f>
        <v>ENSMUSG00000066442</v>
      </c>
      <c r="I1303" s="6" t="str">
        <f>HYPERLINK("http://www.informatics.jax.org/marker/MGI:1340032","MGI:1340032")</f>
        <v>MGI:1340032</v>
      </c>
      <c r="J1303" s="7" t="s">
        <v>12</v>
      </c>
    </row>
    <row r="1304" spans="1:10" x14ac:dyDescent="0.2">
      <c r="A1304" s="3">
        <v>4410.7165767225197</v>
      </c>
      <c r="B1304" s="1">
        <v>0.272780868279001</v>
      </c>
      <c r="C1304" s="1">
        <v>2.1319230263801502E-3</v>
      </c>
      <c r="D1304" s="7">
        <v>2.4222064546443999E-2</v>
      </c>
      <c r="E1304" s="1" t="s">
        <v>2944</v>
      </c>
      <c r="F1304" s="1" t="s">
        <v>2945</v>
      </c>
      <c r="G1304" s="1">
        <v>216197</v>
      </c>
      <c r="H1304" s="6" t="str">
        <f>HYPERLINK("http://www.ensembl.org/Mus_musculus/Gene/Summary?db=core;g=ENSMUSG00000046841","ENSMUSG00000046841")</f>
        <v>ENSMUSG00000046841</v>
      </c>
      <c r="I1304" s="6" t="str">
        <f>HYPERLINK("http://www.informatics.jax.org/marker/MGI:2444926","MGI:2444926")</f>
        <v>MGI:2444926</v>
      </c>
      <c r="J1304" s="7" t="s">
        <v>12</v>
      </c>
    </row>
    <row r="1305" spans="1:10" x14ac:dyDescent="0.2">
      <c r="A1305" s="3">
        <v>7497.8869628928096</v>
      </c>
      <c r="B1305" s="1">
        <v>9.4551016338378299E-2</v>
      </c>
      <c r="C1305" s="1">
        <v>2.1427472089040698E-3</v>
      </c>
      <c r="D1305" s="7">
        <v>2.4326288806171301E-2</v>
      </c>
      <c r="E1305" s="1" t="s">
        <v>2180</v>
      </c>
      <c r="F1305" s="1" t="s">
        <v>2181</v>
      </c>
      <c r="G1305" s="1">
        <v>21454</v>
      </c>
      <c r="H1305" s="6" t="str">
        <f>HYPERLINK("http://www.ensembl.org/Mus_musculus/Gene/Summary?db=core;g=ENSMUSG00000068039","ENSMUSG00000068039")</f>
        <v>ENSMUSG00000068039</v>
      </c>
      <c r="I1305" s="6" t="str">
        <f>HYPERLINK("http://www.informatics.jax.org/marker/MGI:98535","MGI:98535")</f>
        <v>MGI:98535</v>
      </c>
      <c r="J1305" s="7" t="s">
        <v>12</v>
      </c>
    </row>
    <row r="1306" spans="1:10" x14ac:dyDescent="0.2">
      <c r="A1306" s="3">
        <v>7.8009875154708599</v>
      </c>
      <c r="B1306" s="1">
        <v>-1.0391762352254901</v>
      </c>
      <c r="C1306" s="1">
        <v>2.1509015028545798E-3</v>
      </c>
      <c r="D1306" s="7">
        <v>2.44000650855004E-2</v>
      </c>
      <c r="E1306" s="1" t="s">
        <v>315</v>
      </c>
      <c r="F1306" s="1" t="s">
        <v>316</v>
      </c>
      <c r="G1306" s="1">
        <v>269152</v>
      </c>
      <c r="H1306" s="6" t="str">
        <f>HYPERLINK("http://www.ensembl.org/Mus_musculus/Gene/Summary?db=core;g=ENSMUSG00000026494","ENSMUSG00000026494")</f>
        <v>ENSMUSG00000026494</v>
      </c>
      <c r="I1306" s="6" t="str">
        <f>HYPERLINK("http://www.informatics.jax.org/marker/MGI:2447076","MGI:2447076")</f>
        <v>MGI:2447076</v>
      </c>
      <c r="J1306" s="7" t="s">
        <v>12</v>
      </c>
    </row>
    <row r="1307" spans="1:10" x14ac:dyDescent="0.2">
      <c r="A1307" s="3">
        <v>4113.3195203191199</v>
      </c>
      <c r="B1307" s="1">
        <v>-0.25776054898995898</v>
      </c>
      <c r="C1307" s="1">
        <v>2.1550093158135301E-3</v>
      </c>
      <c r="D1307" s="7">
        <v>2.44278594444832E-2</v>
      </c>
      <c r="E1307" s="1" t="s">
        <v>1628</v>
      </c>
      <c r="F1307" s="1" t="s">
        <v>1629</v>
      </c>
      <c r="G1307" s="1">
        <v>12359</v>
      </c>
      <c r="H1307" s="6" t="str">
        <f>HYPERLINK("http://www.ensembl.org/Mus_musculus/Gene/Summary?db=core;g=ENSMUSG00000027187","ENSMUSG00000027187")</f>
        <v>ENSMUSG00000027187</v>
      </c>
      <c r="I1307" s="6" t="str">
        <f>HYPERLINK("http://www.informatics.jax.org/marker/MGI:88271","MGI:88271")</f>
        <v>MGI:88271</v>
      </c>
      <c r="J1307" s="7" t="s">
        <v>12</v>
      </c>
    </row>
    <row r="1308" spans="1:10" x14ac:dyDescent="0.2">
      <c r="A1308" s="3">
        <v>128.72229584942701</v>
      </c>
      <c r="B1308" s="1">
        <v>0.34702003044632501</v>
      </c>
      <c r="C1308" s="1">
        <v>2.15909372084534E-3</v>
      </c>
      <c r="D1308" s="7">
        <v>2.44553459418731E-2</v>
      </c>
      <c r="E1308" s="1" t="s">
        <v>3090</v>
      </c>
      <c r="F1308" s="1" t="s">
        <v>3091</v>
      </c>
      <c r="G1308" s="1">
        <v>66423</v>
      </c>
      <c r="H1308" s="6" t="str">
        <f>HYPERLINK("http://www.ensembl.org/Mus_musculus/Gene/Summary?db=core;g=ENSMUSG00000031458","ENSMUSG00000031458")</f>
        <v>ENSMUSG00000031458</v>
      </c>
      <c r="I1308" s="6" t="str">
        <f>HYPERLINK("http://www.informatics.jax.org/marker/MGI:1913673","MGI:1913673")</f>
        <v>MGI:1913673</v>
      </c>
      <c r="J1308" s="7" t="s">
        <v>12</v>
      </c>
    </row>
    <row r="1309" spans="1:10" x14ac:dyDescent="0.2">
      <c r="A1309" s="3">
        <v>3999.0475764144298</v>
      </c>
      <c r="B1309" s="1">
        <v>-0.14716573792766599</v>
      </c>
      <c r="C1309" s="1">
        <v>2.1696588968105899E-3</v>
      </c>
      <c r="D1309" s="7">
        <v>2.4556139403533701E-2</v>
      </c>
      <c r="E1309" s="1" t="s">
        <v>2130</v>
      </c>
      <c r="F1309" s="1" t="s">
        <v>2131</v>
      </c>
      <c r="G1309" s="1">
        <v>72472</v>
      </c>
      <c r="H1309" s="6" t="str">
        <f>HYPERLINK("http://www.ensembl.org/Mus_musculus/Gene/Summary?db=core;g=ENSMUSG00000019838","ENSMUSG00000019838")</f>
        <v>ENSMUSG00000019838</v>
      </c>
      <c r="I1309" s="6" t="str">
        <f>HYPERLINK("http://www.informatics.jax.org/marker/MGI:1919722","MGI:1919722")</f>
        <v>MGI:1919722</v>
      </c>
      <c r="J1309" s="7" t="s">
        <v>12</v>
      </c>
    </row>
    <row r="1310" spans="1:10" x14ac:dyDescent="0.2">
      <c r="A1310" s="3">
        <v>1556.4749619071799</v>
      </c>
      <c r="B1310" s="1">
        <v>0.15419075276466099</v>
      </c>
      <c r="C1310" s="1">
        <v>2.1740893854366298E-3</v>
      </c>
      <c r="D1310" s="7">
        <v>2.4587399220103001E-2</v>
      </c>
      <c r="E1310" s="1" t="s">
        <v>2338</v>
      </c>
      <c r="F1310" s="1" t="s">
        <v>2339</v>
      </c>
      <c r="G1310" s="1">
        <v>21854</v>
      </c>
      <c r="H1310" s="6" t="str">
        <f>HYPERLINK("http://www.ensembl.org/Mus_musculus/Gene/Summary?db=core;g=ENSMUSG00000062580","ENSMUSG00000062580")</f>
        <v>ENSMUSG00000062580</v>
      </c>
      <c r="I1310" s="6" t="str">
        <f>HYPERLINK("http://www.informatics.jax.org/marker/MGI:1343131","MGI:1343131")</f>
        <v>MGI:1343131</v>
      </c>
      <c r="J1310" s="7" t="s">
        <v>12</v>
      </c>
    </row>
    <row r="1311" spans="1:10" x14ac:dyDescent="0.2">
      <c r="A1311" s="3">
        <v>68.090497337197604</v>
      </c>
      <c r="B1311" s="1">
        <v>0.42587086483144998</v>
      </c>
      <c r="C1311" s="1">
        <v>2.1763434748225102E-3</v>
      </c>
      <c r="D1311" s="7">
        <v>2.4594016445540198E-2</v>
      </c>
      <c r="E1311" s="1" t="s">
        <v>3158</v>
      </c>
      <c r="F1311" s="1" t="s">
        <v>3159</v>
      </c>
      <c r="G1311" s="1">
        <v>433466</v>
      </c>
      <c r="H1311" s="6" t="str">
        <f>HYPERLINK("http://www.ensembl.org/Mus_musculus/Gene/Summary?db=core;g=ENSMUSG00000098789","ENSMUSG00000098789")</f>
        <v>ENSMUSG00000098789</v>
      </c>
      <c r="I1311" s="6" t="str">
        <f>HYPERLINK("http://www.informatics.jax.org/marker/MGI:3845785","MGI:3845785")</f>
        <v>MGI:3845785</v>
      </c>
      <c r="J1311" s="7" t="s">
        <v>12</v>
      </c>
    </row>
    <row r="1312" spans="1:10" x14ac:dyDescent="0.2">
      <c r="A1312" s="3">
        <v>102.56495548253299</v>
      </c>
      <c r="B1312" s="1">
        <v>-0.435130640949901</v>
      </c>
      <c r="C1312" s="1">
        <v>2.18018766587697E-3</v>
      </c>
      <c r="D1312" s="7">
        <v>2.4618578884569399E-2</v>
      </c>
      <c r="E1312" s="1" t="s">
        <v>983</v>
      </c>
      <c r="F1312" s="1" t="s">
        <v>984</v>
      </c>
      <c r="G1312" s="1" t="s">
        <v>45</v>
      </c>
      <c r="H1312" s="6" t="str">
        <f>HYPERLINK("http://www.ensembl.org/Mus_musculus/Gene/Summary?db=core;g=ENSMUSG00000068240","ENSMUSG00000068240")</f>
        <v>ENSMUSG00000068240</v>
      </c>
      <c r="I1312" s="6" t="str">
        <f>HYPERLINK("http://www.informatics.jax.org/marker/MGI:3649356","MGI:3649356")</f>
        <v>MGI:3649356</v>
      </c>
      <c r="J1312" s="7" t="s">
        <v>12</v>
      </c>
    </row>
    <row r="1313" spans="1:10" x14ac:dyDescent="0.2">
      <c r="A1313" s="3">
        <v>601.898278746492</v>
      </c>
      <c r="B1313" s="1">
        <v>-0.24445055408999</v>
      </c>
      <c r="C1313" s="1">
        <v>2.1841021955125201E-3</v>
      </c>
      <c r="D1313" s="7">
        <v>2.4640623421135901E-2</v>
      </c>
      <c r="E1313" s="1" t="s">
        <v>1692</v>
      </c>
      <c r="F1313" s="1" t="s">
        <v>1693</v>
      </c>
      <c r="G1313" s="1">
        <v>83704</v>
      </c>
      <c r="H1313" s="6" t="str">
        <f>HYPERLINK("http://www.ensembl.org/Mus_musculus/Gene/Summary?db=core;g=ENSMUSG00000037344","ENSMUSG00000037344")</f>
        <v>ENSMUSG00000037344</v>
      </c>
      <c r="I1313" s="6" t="str">
        <f>HYPERLINK("http://www.informatics.jax.org/marker/MGI:1933532","MGI:1933532")</f>
        <v>MGI:1933532</v>
      </c>
      <c r="J1313" s="7" t="s">
        <v>12</v>
      </c>
    </row>
    <row r="1314" spans="1:10" x14ac:dyDescent="0.2">
      <c r="A1314" s="3">
        <v>728.36945604339405</v>
      </c>
      <c r="B1314" s="1">
        <v>0.22032949696280099</v>
      </c>
      <c r="C1314" s="1">
        <v>2.1854841755852799E-3</v>
      </c>
      <c r="D1314" s="7">
        <v>2.4640623421135901E-2</v>
      </c>
      <c r="E1314" s="1" t="s">
        <v>2730</v>
      </c>
      <c r="F1314" s="1" t="s">
        <v>2731</v>
      </c>
      <c r="G1314" s="1">
        <v>59053</v>
      </c>
      <c r="H1314" s="6" t="str">
        <f>HYPERLINK("http://www.ensembl.org/Mus_musculus/Gene/Summary?db=core;g=ENSMUSG00000022554","ENSMUSG00000022554")</f>
        <v>ENSMUSG00000022554</v>
      </c>
      <c r="I1314" s="6" t="str">
        <f>HYPERLINK("http://www.informatics.jax.org/marker/MGI:1930628","MGI:1930628")</f>
        <v>MGI:1930628</v>
      </c>
      <c r="J1314" s="7" t="s">
        <v>12</v>
      </c>
    </row>
    <row r="1315" spans="1:10" x14ac:dyDescent="0.2">
      <c r="A1315" s="3">
        <v>1665.9313791008501</v>
      </c>
      <c r="B1315" s="1">
        <v>-0.21731561962452001</v>
      </c>
      <c r="C1315" s="1">
        <v>2.2000023693910199E-3</v>
      </c>
      <c r="D1315" s="7">
        <v>2.4766413227919101E-2</v>
      </c>
      <c r="E1315" s="1" t="s">
        <v>1830</v>
      </c>
      <c r="F1315" s="1" t="s">
        <v>1831</v>
      </c>
      <c r="G1315" s="1">
        <v>12125</v>
      </c>
      <c r="H1315" s="6" t="str">
        <f>HYPERLINK("http://www.ensembl.org/Mus_musculus/Gene/Summary?db=core;g=ENSMUSG00000027381","ENSMUSG00000027381")</f>
        <v>ENSMUSG00000027381</v>
      </c>
      <c r="I1315" s="6" t="str">
        <f>HYPERLINK("http://www.informatics.jax.org/marker/MGI:1197519","MGI:1197519")</f>
        <v>MGI:1197519</v>
      </c>
      <c r="J1315" s="7" t="s">
        <v>12</v>
      </c>
    </row>
    <row r="1316" spans="1:10" x14ac:dyDescent="0.2">
      <c r="A1316" s="3">
        <v>891.72902003480999</v>
      </c>
      <c r="B1316" s="1">
        <v>-0.20193747519480101</v>
      </c>
      <c r="C1316" s="1">
        <v>2.1993623807985002E-3</v>
      </c>
      <c r="D1316" s="7">
        <v>2.4766413227919101E-2</v>
      </c>
      <c r="E1316" s="1" t="s">
        <v>1894</v>
      </c>
      <c r="F1316" s="1" t="s">
        <v>1895</v>
      </c>
      <c r="G1316" s="1">
        <v>66863</v>
      </c>
      <c r="H1316" s="6" t="str">
        <f>HYPERLINK("http://www.ensembl.org/Mus_musculus/Gene/Summary?db=core;g=ENSMUSG00000022761","ENSMUSG00000022761")</f>
        <v>ENSMUSG00000022761</v>
      </c>
      <c r="I1316" s="6" t="str">
        <f>HYPERLINK("http://www.informatics.jax.org/marker/MGI:1914113","MGI:1914113")</f>
        <v>MGI:1914113</v>
      </c>
      <c r="J1316" s="7" t="s">
        <v>12</v>
      </c>
    </row>
    <row r="1317" spans="1:10" x14ac:dyDescent="0.2">
      <c r="A1317" s="3">
        <v>378.03672907495599</v>
      </c>
      <c r="B1317" s="1">
        <v>-0.47957695574113102</v>
      </c>
      <c r="C1317" s="1">
        <v>2.2069876501846701E-3</v>
      </c>
      <c r="D1317" s="7">
        <v>2.4807147225874401E-2</v>
      </c>
      <c r="E1317" s="1" t="s">
        <v>879</v>
      </c>
      <c r="F1317" s="1" t="s">
        <v>880</v>
      </c>
      <c r="G1317" s="1">
        <v>66058</v>
      </c>
      <c r="H1317" s="6" t="str">
        <f>HYPERLINK("http://www.ensembl.org/Mus_musculus/Gene/Summary?db=core;g=ENSMUSG00000023367","ENSMUSG00000023367")</f>
        <v>ENSMUSG00000023367</v>
      </c>
      <c r="I1317" s="6" t="str">
        <f>HYPERLINK("http://www.informatics.jax.org/marker/MGI:1913308","MGI:1913308")</f>
        <v>MGI:1913308</v>
      </c>
      <c r="J1317" s="7" t="s">
        <v>12</v>
      </c>
    </row>
    <row r="1318" spans="1:10" x14ac:dyDescent="0.2">
      <c r="A1318" s="3">
        <v>317.94339531827302</v>
      </c>
      <c r="B1318" s="1">
        <v>0.52412169807273301</v>
      </c>
      <c r="C1318" s="1">
        <v>2.2069534162026398E-3</v>
      </c>
      <c r="D1318" s="7">
        <v>2.4807147225874401E-2</v>
      </c>
      <c r="E1318" s="1" t="s">
        <v>3208</v>
      </c>
      <c r="F1318" s="1" t="s">
        <v>3209</v>
      </c>
      <c r="G1318" s="1">
        <v>238161</v>
      </c>
      <c r="H1318" s="6" t="str">
        <f>HYPERLINK("http://www.ensembl.org/Mus_musculus/Gene/Summary?db=core;g=ENSMUSG00000061603","ENSMUSG00000061603")</f>
        <v>ENSMUSG00000061603</v>
      </c>
      <c r="I1318" s="6" t="str">
        <f>HYPERLINK("http://www.informatics.jax.org/marker/MGI:3050566","MGI:3050566")</f>
        <v>MGI:3050566</v>
      </c>
      <c r="J1318" s="7" t="s">
        <v>12</v>
      </c>
    </row>
    <row r="1319" spans="1:10" x14ac:dyDescent="0.2">
      <c r="A1319" s="3">
        <v>29.601621685430299</v>
      </c>
      <c r="B1319" s="1">
        <v>-0.66111543293455699</v>
      </c>
      <c r="C1319" s="1">
        <v>2.21480444030116E-3</v>
      </c>
      <c r="D1319" s="7">
        <v>2.4876035238016701E-2</v>
      </c>
      <c r="E1319" s="1" t="s">
        <v>588</v>
      </c>
      <c r="F1319" s="1" t="s">
        <v>589</v>
      </c>
      <c r="G1319" s="1" t="s">
        <v>45</v>
      </c>
      <c r="H1319" s="6" t="str">
        <f>HYPERLINK("http://www.ensembl.org/Mus_musculus/Gene/Summary?db=core;g=ENSMUSG00000087523","ENSMUSG00000087523")</f>
        <v>ENSMUSG00000087523</v>
      </c>
      <c r="I1319" s="6" t="str">
        <f>HYPERLINK("http://www.informatics.jax.org/marker/MGI:3649749","MGI:3649749")</f>
        <v>MGI:3649749</v>
      </c>
      <c r="J1319" s="7" t="s">
        <v>95</v>
      </c>
    </row>
    <row r="1320" spans="1:10" x14ac:dyDescent="0.2">
      <c r="A1320" s="3">
        <v>238.68516398774901</v>
      </c>
      <c r="B1320" s="1">
        <v>-0.37162833806804302</v>
      </c>
      <c r="C1320" s="1">
        <v>2.2362920168619601E-3</v>
      </c>
      <c r="D1320" s="7">
        <v>2.50982476469747E-2</v>
      </c>
      <c r="E1320" s="1" t="s">
        <v>1168</v>
      </c>
      <c r="F1320" s="1" t="s">
        <v>1169</v>
      </c>
      <c r="G1320" s="1" t="s">
        <v>45</v>
      </c>
      <c r="H1320" s="6" t="str">
        <f>HYPERLINK("http://www.ensembl.org/Mus_musculus/Gene/Summary?db=core;g=ENSMUSG00000118087","ENSMUSG00000118087")</f>
        <v>ENSMUSG00000118087</v>
      </c>
      <c r="I1320" s="6" t="str">
        <f>HYPERLINK("http://www.informatics.jax.org/marker/MGI:2147599","MGI:2147599")</f>
        <v>MGI:2147599</v>
      </c>
      <c r="J1320" s="7" t="s">
        <v>224</v>
      </c>
    </row>
    <row r="1321" spans="1:10" x14ac:dyDescent="0.2">
      <c r="A1321" s="3">
        <v>41.136141188387199</v>
      </c>
      <c r="B1321" s="1">
        <v>-0.55214643722196999</v>
      </c>
      <c r="C1321" s="1">
        <v>2.2490573984944098E-3</v>
      </c>
      <c r="D1321" s="7">
        <v>2.5203125341607301E-2</v>
      </c>
      <c r="E1321" s="1" t="s">
        <v>759</v>
      </c>
      <c r="F1321" s="1" t="s">
        <v>760</v>
      </c>
      <c r="G1321" s="1" t="s">
        <v>45</v>
      </c>
      <c r="H1321" s="6" t="str">
        <f>HYPERLINK("http://www.ensembl.org/Mus_musculus/Gene/Summary?db=core;g=ENSMUSG00000117698","ENSMUSG00000117698")</f>
        <v>ENSMUSG00000117698</v>
      </c>
      <c r="I1321" s="6" t="str">
        <f>HYPERLINK("http://www.informatics.jax.org/marker/MGI:2652856","MGI:2652856")</f>
        <v>MGI:2652856</v>
      </c>
      <c r="J1321" s="7" t="s">
        <v>190</v>
      </c>
    </row>
    <row r="1322" spans="1:10" x14ac:dyDescent="0.2">
      <c r="A1322" s="3">
        <v>285.87182262014301</v>
      </c>
      <c r="B1322" s="1">
        <v>-0.36406402691536399</v>
      </c>
      <c r="C1322" s="1">
        <v>2.2475071081421599E-3</v>
      </c>
      <c r="D1322" s="7">
        <v>2.5203125341607301E-2</v>
      </c>
      <c r="E1322" s="1" t="s">
        <v>1190</v>
      </c>
      <c r="F1322" s="1" t="s">
        <v>1191</v>
      </c>
      <c r="G1322" s="1">
        <v>68552</v>
      </c>
      <c r="H1322" s="6" t="str">
        <f>HYPERLINK("http://www.ensembl.org/Mus_musculus/Gene/Summary?db=core;g=ENSMUSG00000037822","ENSMUSG00000037822")</f>
        <v>ENSMUSG00000037822</v>
      </c>
      <c r="I1322" s="6" t="str">
        <f>HYPERLINK("http://www.informatics.jax.org/marker/MGI:1915802","MGI:1915802")</f>
        <v>MGI:1915802</v>
      </c>
      <c r="J1322" s="7" t="s">
        <v>12</v>
      </c>
    </row>
    <row r="1323" spans="1:10" x14ac:dyDescent="0.2">
      <c r="A1323" s="3">
        <v>1396.0161952634701</v>
      </c>
      <c r="B1323" s="1">
        <v>-0.21291348779123001</v>
      </c>
      <c r="C1323" s="1">
        <v>2.2543849469087202E-3</v>
      </c>
      <c r="D1323" s="7">
        <v>2.5224462093885298E-2</v>
      </c>
      <c r="E1323" s="1" t="s">
        <v>1848</v>
      </c>
      <c r="F1323" s="1" t="s">
        <v>1849</v>
      </c>
      <c r="G1323" s="1">
        <v>106504</v>
      </c>
      <c r="H1323" s="6" t="str">
        <f>HYPERLINK("http://www.ensembl.org/Mus_musculus/Gene/Summary?db=core;g=ENSMUSG00000024006","ENSMUSG00000024006")</f>
        <v>ENSMUSG00000024006</v>
      </c>
      <c r="I1323" s="6" t="str">
        <f>HYPERLINK("http://www.informatics.jax.org/marker/MGI:2442572","MGI:2442572")</f>
        <v>MGI:2442572</v>
      </c>
      <c r="J1323" s="7" t="s">
        <v>12</v>
      </c>
    </row>
    <row r="1324" spans="1:10" x14ac:dyDescent="0.2">
      <c r="A1324" s="3">
        <v>2629.0921944629099</v>
      </c>
      <c r="B1324" s="1">
        <v>-0.16224457554117799</v>
      </c>
      <c r="C1324" s="1">
        <v>2.2543449110925201E-3</v>
      </c>
      <c r="D1324" s="7">
        <v>2.5224462093885298E-2</v>
      </c>
      <c r="E1324" s="1" t="s">
        <v>2072</v>
      </c>
      <c r="F1324" s="1" t="s">
        <v>2073</v>
      </c>
      <c r="G1324" s="1">
        <v>57912</v>
      </c>
      <c r="H1324" s="6" t="str">
        <f>HYPERLINK("http://www.ensembl.org/Mus_musculus/Gene/Summary?db=core;g=ENSMUSG00000046722","ENSMUSG00000046722")</f>
        <v>ENSMUSG00000046722</v>
      </c>
      <c r="I1324" s="6" t="str">
        <f>HYPERLINK("http://www.informatics.jax.org/marker/MGI:1889510","MGI:1889510")</f>
        <v>MGI:1889510</v>
      </c>
      <c r="J1324" s="7" t="s">
        <v>12</v>
      </c>
    </row>
    <row r="1325" spans="1:10" x14ac:dyDescent="0.2">
      <c r="A1325" s="3">
        <v>170.02056059270799</v>
      </c>
      <c r="B1325" s="1">
        <v>-0.34613496910107</v>
      </c>
      <c r="C1325" s="1">
        <v>2.2608131285317898E-3</v>
      </c>
      <c r="D1325" s="7">
        <v>2.52771944325072E-2</v>
      </c>
      <c r="E1325" s="1" t="s">
        <v>1264</v>
      </c>
      <c r="F1325" s="1" t="s">
        <v>1265</v>
      </c>
      <c r="G1325" s="1">
        <v>239849</v>
      </c>
      <c r="H1325" s="6" t="str">
        <f>HYPERLINK("http://www.ensembl.org/Mus_musculus/Gene/Summary?db=core;g=ENSMUSG00000062082","ENSMUSG00000062082")</f>
        <v>ENSMUSG00000062082</v>
      </c>
      <c r="I1325" s="6" t="str">
        <f>HYPERLINK("http://www.informatics.jax.org/marker/MGI:3036289","MGI:3036289")</f>
        <v>MGI:3036289</v>
      </c>
      <c r="J1325" s="7" t="s">
        <v>12</v>
      </c>
    </row>
    <row r="1326" spans="1:10" x14ac:dyDescent="0.2">
      <c r="A1326" s="3">
        <v>948.40655427034005</v>
      </c>
      <c r="B1326" s="1">
        <v>-0.20854410125002401</v>
      </c>
      <c r="C1326" s="1">
        <v>2.2682408177875399E-3</v>
      </c>
      <c r="D1326" s="7">
        <v>2.53410134123709E-2</v>
      </c>
      <c r="E1326" s="1" t="s">
        <v>1876</v>
      </c>
      <c r="F1326" s="1" t="s">
        <v>1877</v>
      </c>
      <c r="G1326" s="1">
        <v>76795</v>
      </c>
      <c r="H1326" s="6" t="str">
        <f>HYPERLINK("http://www.ensembl.org/Mus_musculus/Gene/Summary?db=core;g=ENSMUSG00000036644","ENSMUSG00000036644")</f>
        <v>ENSMUSG00000036644</v>
      </c>
      <c r="I1326" s="6" t="str">
        <f>HYPERLINK("http://www.informatics.jax.org/marker/MGI:1924045","MGI:1924045")</f>
        <v>MGI:1924045</v>
      </c>
      <c r="J1326" s="7" t="s">
        <v>12</v>
      </c>
    </row>
    <row r="1327" spans="1:10" x14ac:dyDescent="0.2">
      <c r="A1327" s="3">
        <v>369.28513185407297</v>
      </c>
      <c r="B1327" s="1">
        <v>-0.27443887075411499</v>
      </c>
      <c r="C1327" s="1">
        <v>2.2795430773221801E-3</v>
      </c>
      <c r="D1327" s="7">
        <v>2.5447989990469402E-2</v>
      </c>
      <c r="E1327" s="1" t="s">
        <v>1554</v>
      </c>
      <c r="F1327" s="1" t="s">
        <v>1555</v>
      </c>
      <c r="G1327" s="1">
        <v>381510</v>
      </c>
      <c r="H1327" s="6" t="str">
        <f>HYPERLINK("http://www.ensembl.org/Mus_musculus/Gene/Summary?db=core;g=ENSMUSG00000045205","ENSMUSG00000045205")</f>
        <v>ENSMUSG00000045205</v>
      </c>
      <c r="I1327" s="6" t="str">
        <f>HYPERLINK("http://www.informatics.jax.org/marker/MGI:2685869","MGI:2685869")</f>
        <v>MGI:2685869</v>
      </c>
      <c r="J1327" s="7" t="s">
        <v>12</v>
      </c>
    </row>
    <row r="1328" spans="1:10" x14ac:dyDescent="0.2">
      <c r="A1328" s="3">
        <v>16708.207250242998</v>
      </c>
      <c r="B1328" s="1">
        <v>0.128949575624841</v>
      </c>
      <c r="C1328" s="1">
        <v>2.3080488859677098E-3</v>
      </c>
      <c r="D1328" s="7">
        <v>2.5746713386540599E-2</v>
      </c>
      <c r="E1328" s="1" t="s">
        <v>2238</v>
      </c>
      <c r="F1328" s="1" t="s">
        <v>2239</v>
      </c>
      <c r="G1328" s="1">
        <v>70769</v>
      </c>
      <c r="H1328" s="6" t="str">
        <f>HYPERLINK("http://www.ensembl.org/Mus_musculus/Gene/Summary?db=core;g=ENSMUSG00000015176","ENSMUSG00000015176")</f>
        <v>ENSMUSG00000015176</v>
      </c>
      <c r="I1328" s="6" t="str">
        <f>HYPERLINK("http://www.informatics.jax.org/marker/MGI:1918019","MGI:1918019")</f>
        <v>MGI:1918019</v>
      </c>
      <c r="J1328" s="7" t="s">
        <v>12</v>
      </c>
    </row>
    <row r="1329" spans="1:10" x14ac:dyDescent="0.2">
      <c r="A1329" s="3">
        <v>1383.1033349311599</v>
      </c>
      <c r="B1329" s="1">
        <v>-0.14176059950692699</v>
      </c>
      <c r="C1329" s="1">
        <v>2.3265858465158998E-3</v>
      </c>
      <c r="D1329" s="7">
        <v>2.5930675325926401E-2</v>
      </c>
      <c r="E1329" s="1" t="s">
        <v>2136</v>
      </c>
      <c r="F1329" s="1" t="s">
        <v>2137</v>
      </c>
      <c r="G1329" s="1">
        <v>223455</v>
      </c>
      <c r="H1329" s="6" t="str">
        <f>HYPERLINK("http://www.ensembl.org/Mus_musculus/Gene/Summary?db=core;g=ENSMUSG00000039100","ENSMUSG00000039100")</f>
        <v>ENSMUSG00000039100</v>
      </c>
      <c r="I1329" s="6" t="str">
        <f>HYPERLINK("http://www.informatics.jax.org/marker/MGI:2442773","MGI:2442773")</f>
        <v>MGI:2442773</v>
      </c>
      <c r="J1329" s="7" t="s">
        <v>12</v>
      </c>
    </row>
    <row r="1330" spans="1:10" x14ac:dyDescent="0.2">
      <c r="A1330" s="3">
        <v>2760.7940735049001</v>
      </c>
      <c r="B1330" s="1">
        <v>0.12969524886409101</v>
      </c>
      <c r="C1330" s="1">
        <v>2.3280594093512898E-3</v>
      </c>
      <c r="D1330" s="7">
        <v>2.5930675325926401E-2</v>
      </c>
      <c r="E1330" s="1" t="s">
        <v>2242</v>
      </c>
      <c r="F1330" s="1" t="s">
        <v>2243</v>
      </c>
      <c r="G1330" s="1">
        <v>59035</v>
      </c>
      <c r="H1330" s="6" t="str">
        <f>HYPERLINK("http://www.ensembl.org/Mus_musculus/Gene/Summary?db=core;g=ENSMUSG00000032185","ENSMUSG00000032185")</f>
        <v>ENSMUSG00000032185</v>
      </c>
      <c r="I1330" s="6" t="str">
        <f>HYPERLINK("http://www.informatics.jax.org/marker/MGI:1913208","MGI:1913208")</f>
        <v>MGI:1913208</v>
      </c>
      <c r="J1330" s="7" t="s">
        <v>12</v>
      </c>
    </row>
    <row r="1331" spans="1:10" x14ac:dyDescent="0.2">
      <c r="A1331" s="3">
        <v>1976.0924201825801</v>
      </c>
      <c r="B1331" s="1">
        <v>0.116042574478777</v>
      </c>
      <c r="C1331" s="1">
        <v>2.33268646632241E-3</v>
      </c>
      <c r="D1331" s="7">
        <v>2.5962588948434302E-2</v>
      </c>
      <c r="E1331" s="1" t="s">
        <v>2212</v>
      </c>
      <c r="F1331" s="1" t="s">
        <v>2213</v>
      </c>
      <c r="G1331" s="1">
        <v>233875</v>
      </c>
      <c r="H1331" s="6" t="str">
        <f>HYPERLINK("http://www.ensembl.org/Mus_musculus/Gene/Summary?db=core;g=ENSMUSG00000030689","ENSMUSG00000030689")</f>
        <v>ENSMUSG00000030689</v>
      </c>
      <c r="I1331" s="6" t="str">
        <f>HYPERLINK("http://www.informatics.jax.org/marker/MGI:2141881","MGI:2141881")</f>
        <v>MGI:2141881</v>
      </c>
      <c r="J1331" s="7" t="s">
        <v>12</v>
      </c>
    </row>
    <row r="1332" spans="1:10" x14ac:dyDescent="0.2">
      <c r="A1332" s="3">
        <v>976.03518898309005</v>
      </c>
      <c r="B1332" s="1">
        <v>-1.28794934611002</v>
      </c>
      <c r="C1332" s="1">
        <v>2.3849695261967999E-3</v>
      </c>
      <c r="D1332" s="7">
        <v>2.6505788210703998E-2</v>
      </c>
      <c r="E1332" s="1" t="s">
        <v>186</v>
      </c>
      <c r="F1332" s="1" t="s">
        <v>187</v>
      </c>
      <c r="G1332" s="1">
        <v>20310</v>
      </c>
      <c r="H1332" s="6" t="str">
        <f>HYPERLINK("http://www.ensembl.org/Mus_musculus/Gene/Summary?db=core;g=ENSMUSG00000058427","ENSMUSG00000058427")</f>
        <v>ENSMUSG00000058427</v>
      </c>
      <c r="I1332" s="6" t="str">
        <f>HYPERLINK("http://www.informatics.jax.org/marker/MGI:1340094","MGI:1340094")</f>
        <v>MGI:1340094</v>
      </c>
      <c r="J1332" s="7" t="s">
        <v>12</v>
      </c>
    </row>
    <row r="1333" spans="1:10" x14ac:dyDescent="0.2">
      <c r="A1333" s="3">
        <v>500.36326839035002</v>
      </c>
      <c r="B1333" s="1">
        <v>-0.26158573193715701</v>
      </c>
      <c r="C1333" s="1">
        <v>2.3850892486016202E-3</v>
      </c>
      <c r="D1333" s="7">
        <v>2.6505788210703998E-2</v>
      </c>
      <c r="E1333" s="1" t="s">
        <v>1612</v>
      </c>
      <c r="F1333" s="1" t="s">
        <v>1613</v>
      </c>
      <c r="G1333" s="1">
        <v>242864</v>
      </c>
      <c r="H1333" s="6" t="str">
        <f>HYPERLINK("http://www.ensembl.org/Mus_musculus/Gene/Summary?db=core;g=ENSMUSG00000044968","ENSMUSG00000044968")</f>
        <v>ENSMUSG00000044968</v>
      </c>
      <c r="I1333" s="6" t="str">
        <f>HYPERLINK("http://www.informatics.jax.org/marker/MGI:2140885","MGI:2140885")</f>
        <v>MGI:2140885</v>
      </c>
      <c r="J1333" s="7" t="s">
        <v>12</v>
      </c>
    </row>
    <row r="1334" spans="1:10" x14ac:dyDescent="0.2">
      <c r="A1334" s="3">
        <v>2139.8824175895402</v>
      </c>
      <c r="B1334" s="1">
        <v>-0.15657085335864901</v>
      </c>
      <c r="C1334" s="1">
        <v>2.3874859156034199E-3</v>
      </c>
      <c r="D1334" s="7">
        <v>2.65124283740257E-2</v>
      </c>
      <c r="E1334" s="1" t="s">
        <v>2104</v>
      </c>
      <c r="F1334" s="1" t="s">
        <v>2105</v>
      </c>
      <c r="G1334" s="1">
        <v>84092</v>
      </c>
      <c r="H1334" s="6" t="str">
        <f>HYPERLINK("http://www.ensembl.org/Mus_musculus/Gene/Summary?db=core;g=ENSMUSG00000027363","ENSMUSG00000027363")</f>
        <v>ENSMUSG00000027363</v>
      </c>
      <c r="I1334" s="6" t="str">
        <f>HYPERLINK("http://www.informatics.jax.org/marker/MGI:1934029","MGI:1934029")</f>
        <v>MGI:1934029</v>
      </c>
      <c r="J1334" s="7" t="s">
        <v>12</v>
      </c>
    </row>
    <row r="1335" spans="1:10" x14ac:dyDescent="0.2">
      <c r="A1335" s="3">
        <v>435.71998925329501</v>
      </c>
      <c r="B1335" s="1">
        <v>0.20990571211651601</v>
      </c>
      <c r="C1335" s="1">
        <v>2.3952038631071099E-3</v>
      </c>
      <c r="D1335" s="7">
        <v>2.65781055171283E-2</v>
      </c>
      <c r="E1335" s="1" t="s">
        <v>2670</v>
      </c>
      <c r="F1335" s="1" t="s">
        <v>2671</v>
      </c>
      <c r="G1335" s="1" t="s">
        <v>45</v>
      </c>
      <c r="H1335" s="6" t="str">
        <f>HYPERLINK("http://www.ensembl.org/Mus_musculus/Gene/Summary?db=core;g=ENSMUSG00000116016","ENSMUSG00000116016")</f>
        <v>ENSMUSG00000116016</v>
      </c>
      <c r="I1335" s="6" t="str">
        <f>HYPERLINK("http://www.informatics.jax.org/marker/MGI:6155177","MGI:6155177")</f>
        <v>MGI:6155177</v>
      </c>
      <c r="J1335" s="7" t="s">
        <v>12</v>
      </c>
    </row>
    <row r="1336" spans="1:10" x14ac:dyDescent="0.2">
      <c r="A1336" s="3">
        <v>1968.92056859428</v>
      </c>
      <c r="B1336" s="1">
        <v>0.208004367043469</v>
      </c>
      <c r="C1336" s="1">
        <v>2.39779927101701E-3</v>
      </c>
      <c r="D1336" s="7">
        <v>2.6586884919267601E-2</v>
      </c>
      <c r="E1336" s="1" t="s">
        <v>2650</v>
      </c>
      <c r="F1336" s="1" t="s">
        <v>2651</v>
      </c>
      <c r="G1336" s="1">
        <v>56436</v>
      </c>
      <c r="H1336" s="6" t="str">
        <f>HYPERLINK("http://www.ensembl.org/Mus_musculus/Gene/Summary?db=core;g=ENSMUSG00000039041","ENSMUSG00000039041")</f>
        <v>ENSMUSG00000039041</v>
      </c>
      <c r="I1336" s="6" t="str">
        <f>HYPERLINK("http://www.informatics.jax.org/marker/MGI:1929289","MGI:1929289")</f>
        <v>MGI:1929289</v>
      </c>
      <c r="J1336" s="7" t="s">
        <v>12</v>
      </c>
    </row>
    <row r="1337" spans="1:10" x14ac:dyDescent="0.2">
      <c r="A1337" s="3">
        <v>288.735032568615</v>
      </c>
      <c r="B1337" s="1">
        <v>-0.28996299696801803</v>
      </c>
      <c r="C1337" s="1">
        <v>2.4069137961363401E-3</v>
      </c>
      <c r="D1337" s="7">
        <v>2.66641815831009E-2</v>
      </c>
      <c r="E1337" s="1" t="s">
        <v>1496</v>
      </c>
      <c r="F1337" s="1" t="s">
        <v>1497</v>
      </c>
      <c r="G1337" s="1">
        <v>69769</v>
      </c>
      <c r="H1337" s="6" t="str">
        <f>HYPERLINK("http://www.ensembl.org/Mus_musculus/Gene/Summary?db=core;g=ENSMUSG00000013707","ENSMUSG00000013707")</f>
        <v>ENSMUSG00000013707</v>
      </c>
      <c r="I1337" s="6" t="str">
        <f>HYPERLINK("http://www.informatics.jax.org/marker/MGI:1917019","MGI:1917019")</f>
        <v>MGI:1917019</v>
      </c>
      <c r="J1337" s="7" t="s">
        <v>12</v>
      </c>
    </row>
    <row r="1338" spans="1:10" x14ac:dyDescent="0.2">
      <c r="A1338" s="3">
        <v>2213.5176409988599</v>
      </c>
      <c r="B1338" s="1">
        <v>-0.121544652151027</v>
      </c>
      <c r="C1338" s="1">
        <v>2.40838936530316E-3</v>
      </c>
      <c r="D1338" s="7">
        <v>2.66641815831009E-2</v>
      </c>
      <c r="E1338" s="1" t="s">
        <v>2166</v>
      </c>
      <c r="F1338" s="1" t="s">
        <v>2167</v>
      </c>
      <c r="G1338" s="1">
        <v>12988</v>
      </c>
      <c r="H1338" s="6" t="str">
        <f>HYPERLINK("http://www.ensembl.org/Mus_musculus/Gene/Summary?db=core;g=ENSMUSG00000032312","ENSMUSG00000032312")</f>
        <v>ENSMUSG00000032312</v>
      </c>
      <c r="I1338" s="6" t="str">
        <f>HYPERLINK("http://www.informatics.jax.org/marker/MGI:88537","MGI:88537")</f>
        <v>MGI:88537</v>
      </c>
      <c r="J1338" s="7" t="s">
        <v>12</v>
      </c>
    </row>
    <row r="1339" spans="1:10" x14ac:dyDescent="0.2">
      <c r="A1339" s="3">
        <v>145.29338452414299</v>
      </c>
      <c r="B1339" s="1">
        <v>-0.57591828404845302</v>
      </c>
      <c r="C1339" s="1">
        <v>2.4167074071491301E-3</v>
      </c>
      <c r="D1339" s="7">
        <v>2.6729251650497301E-2</v>
      </c>
      <c r="E1339" s="1" t="s">
        <v>719</v>
      </c>
      <c r="F1339" s="1" t="s">
        <v>720</v>
      </c>
      <c r="G1339" s="1">
        <v>213233</v>
      </c>
      <c r="H1339" s="6" t="str">
        <f>HYPERLINK("http://www.ensembl.org/Mus_musculus/Gene/Summary?db=core;g=ENSMUSG00000038213","ENSMUSG00000038213")</f>
        <v>ENSMUSG00000038213</v>
      </c>
      <c r="I1339" s="6" t="str">
        <f>HYPERLINK("http://www.informatics.jax.org/marker/MGI:2384853","MGI:2384853")</f>
        <v>MGI:2384853</v>
      </c>
      <c r="J1339" s="7" t="s">
        <v>12</v>
      </c>
    </row>
    <row r="1340" spans="1:10" x14ac:dyDescent="0.2">
      <c r="A1340" s="3">
        <v>391.45271436503998</v>
      </c>
      <c r="B1340" s="1">
        <v>-0.37660397419664798</v>
      </c>
      <c r="C1340" s="1">
        <v>2.41845774607008E-3</v>
      </c>
      <c r="D1340" s="7">
        <v>2.6729251650497301E-2</v>
      </c>
      <c r="E1340" s="1" t="s">
        <v>1144</v>
      </c>
      <c r="F1340" s="1" t="s">
        <v>1145</v>
      </c>
      <c r="G1340" s="1">
        <v>214922</v>
      </c>
      <c r="H1340" s="6" t="str">
        <f>HYPERLINK("http://www.ensembl.org/Mus_musculus/Gene/Summary?db=core;g=ENSMUSG00000072572","ENSMUSG00000072572")</f>
        <v>ENSMUSG00000072572</v>
      </c>
      <c r="I1340" s="6" t="str">
        <f>HYPERLINK("http://www.informatics.jax.org/marker/MGI:2684326","MGI:2684326")</f>
        <v>MGI:2684326</v>
      </c>
      <c r="J1340" s="7" t="s">
        <v>12</v>
      </c>
    </row>
    <row r="1341" spans="1:10" x14ac:dyDescent="0.2">
      <c r="A1341" s="3">
        <v>873.41380034685301</v>
      </c>
      <c r="B1341" s="1">
        <v>0.14962658312992799</v>
      </c>
      <c r="C1341" s="1">
        <v>2.4197083130946999E-3</v>
      </c>
      <c r="D1341" s="7">
        <v>2.6729251650497301E-2</v>
      </c>
      <c r="E1341" s="1" t="s">
        <v>2318</v>
      </c>
      <c r="F1341" s="1" t="s">
        <v>2319</v>
      </c>
      <c r="G1341" s="1">
        <v>228769</v>
      </c>
      <c r="H1341" s="6" t="str">
        <f>HYPERLINK("http://www.ensembl.org/Mus_musculus/Gene/Summary?db=core;g=ENSMUSG00000032869","ENSMUSG00000032869")</f>
        <v>ENSMUSG00000032869</v>
      </c>
      <c r="I1341" s="6" t="str">
        <f>HYPERLINK("http://www.informatics.jax.org/marker/MGI:1346072","MGI:1346072")</f>
        <v>MGI:1346072</v>
      </c>
      <c r="J1341" s="7" t="s">
        <v>12</v>
      </c>
    </row>
    <row r="1342" spans="1:10" x14ac:dyDescent="0.2">
      <c r="A1342" s="3">
        <v>1451.4587493597201</v>
      </c>
      <c r="B1342" s="1">
        <v>-0.180654041349947</v>
      </c>
      <c r="C1342" s="1">
        <v>2.4267282303152798E-3</v>
      </c>
      <c r="D1342" s="7">
        <v>2.67867170051879E-2</v>
      </c>
      <c r="E1342" s="1" t="s">
        <v>2006</v>
      </c>
      <c r="F1342" s="1" t="s">
        <v>2007</v>
      </c>
      <c r="G1342" s="1">
        <v>68750</v>
      </c>
      <c r="H1342" s="6" t="str">
        <f>HYPERLINK("http://www.ensembl.org/Mus_musculus/Gene/Summary?db=core;g=ENSMUSG00000039087","ENSMUSG00000039087")</f>
        <v>ENSMUSG00000039087</v>
      </c>
      <c r="I1342" s="6" t="str">
        <f>HYPERLINK("http://www.informatics.jax.org/marker/MGI:2443664","MGI:2443664")</f>
        <v>MGI:2443664</v>
      </c>
      <c r="J1342" s="7" t="s">
        <v>12</v>
      </c>
    </row>
    <row r="1343" spans="1:10" x14ac:dyDescent="0.2">
      <c r="A1343" s="3">
        <v>3895.1896571918601</v>
      </c>
      <c r="B1343" s="1">
        <v>0.17315516337634099</v>
      </c>
      <c r="C1343" s="1">
        <v>2.4315028613374899E-3</v>
      </c>
      <c r="D1343" s="7">
        <v>2.6819330961578802E-2</v>
      </c>
      <c r="E1343" s="1" t="s">
        <v>2444</v>
      </c>
      <c r="F1343" s="1" t="s">
        <v>2445</v>
      </c>
      <c r="G1343" s="1">
        <v>12301</v>
      </c>
      <c r="H1343" s="6" t="str">
        <f>HYPERLINK("http://www.ensembl.org/Mus_musculus/Gene/Summary?db=core;g=ENSMUSG00000014226","ENSMUSG00000014226")</f>
        <v>ENSMUSG00000014226</v>
      </c>
      <c r="I1343" s="6" t="str">
        <f>HYPERLINK("http://www.informatics.jax.org/marker/MGI:1270839","MGI:1270839")</f>
        <v>MGI:1270839</v>
      </c>
      <c r="J1343" s="7" t="s">
        <v>12</v>
      </c>
    </row>
    <row r="1344" spans="1:10" x14ac:dyDescent="0.2">
      <c r="A1344" s="3">
        <v>1133.4638972125299</v>
      </c>
      <c r="B1344" s="1">
        <v>-0.14792752335341</v>
      </c>
      <c r="C1344" s="1">
        <v>2.44073185198213E-3</v>
      </c>
      <c r="D1344" s="7">
        <v>2.6860809985667401E-2</v>
      </c>
      <c r="E1344" s="1" t="s">
        <v>2126</v>
      </c>
      <c r="F1344" s="1" t="s">
        <v>2127</v>
      </c>
      <c r="G1344" s="1">
        <v>69150</v>
      </c>
      <c r="H1344" s="6" t="str">
        <f>HYPERLINK("http://www.ensembl.org/Mus_musculus/Gene/Summary?db=core;g=ENSMUSG00000022808","ENSMUSG00000022808")</f>
        <v>ENSMUSG00000022808</v>
      </c>
      <c r="I1344" s="6" t="str">
        <f>HYPERLINK("http://www.informatics.jax.org/marker/MGI:1916400","MGI:1916400")</f>
        <v>MGI:1916400</v>
      </c>
      <c r="J1344" s="7" t="s">
        <v>12</v>
      </c>
    </row>
    <row r="1345" spans="1:10" x14ac:dyDescent="0.2">
      <c r="A1345" s="3">
        <v>387.24711679512501</v>
      </c>
      <c r="B1345" s="1">
        <v>0.200368031179534</v>
      </c>
      <c r="C1345" s="1">
        <v>2.4404065946091501E-3</v>
      </c>
      <c r="D1345" s="7">
        <v>2.6860809985667401E-2</v>
      </c>
      <c r="E1345" s="1" t="s">
        <v>2604</v>
      </c>
      <c r="F1345" s="1" t="s">
        <v>2605</v>
      </c>
      <c r="G1345" s="1">
        <v>232536</v>
      </c>
      <c r="H1345" s="6" t="str">
        <f>HYPERLINK("http://www.ensembl.org/Mus_musculus/Gene/Summary?db=core;g=ENSMUSG00000040112","ENSMUSG00000040112")</f>
        <v>ENSMUSG00000040112</v>
      </c>
      <c r="I1345" s="6" t="str">
        <f>HYPERLINK("http://www.informatics.jax.org/marker/MGI:2385255","MGI:2385255")</f>
        <v>MGI:2385255</v>
      </c>
      <c r="J1345" s="7" t="s">
        <v>12</v>
      </c>
    </row>
    <row r="1346" spans="1:10" x14ac:dyDescent="0.2">
      <c r="A1346" s="3">
        <v>910.70050799706098</v>
      </c>
      <c r="B1346" s="1">
        <v>0.22708833446546101</v>
      </c>
      <c r="C1346" s="1">
        <v>2.43955185703421E-3</v>
      </c>
      <c r="D1346" s="7">
        <v>2.6860809985667401E-2</v>
      </c>
      <c r="E1346" s="1" t="s">
        <v>2776</v>
      </c>
      <c r="F1346" s="1" t="s">
        <v>2777</v>
      </c>
      <c r="G1346" s="1">
        <v>23917</v>
      </c>
      <c r="H1346" s="6" t="str">
        <f>HYPERLINK("http://www.ensembl.org/Mus_musculus/Gene/Summary?db=core;g=ENSMUSG00000003500","ENSMUSG00000003500")</f>
        <v>ENSMUSG00000003500</v>
      </c>
      <c r="I1346" s="6" t="str">
        <f>HYPERLINK("http://www.informatics.jax.org/marker/MGI:96567","MGI:96567")</f>
        <v>MGI:96567</v>
      </c>
      <c r="J1346" s="7" t="s">
        <v>12</v>
      </c>
    </row>
    <row r="1347" spans="1:10" x14ac:dyDescent="0.2">
      <c r="A1347" s="3">
        <v>3924.8596971070101</v>
      </c>
      <c r="B1347" s="1">
        <v>-0.19040813741884999</v>
      </c>
      <c r="C1347" s="1">
        <v>2.44755216272523E-3</v>
      </c>
      <c r="D1347" s="7">
        <v>2.6915767664118701E-2</v>
      </c>
      <c r="E1347" s="1" t="s">
        <v>1960</v>
      </c>
      <c r="F1347" s="1" t="s">
        <v>1961</v>
      </c>
      <c r="G1347" s="1">
        <v>67501</v>
      </c>
      <c r="H1347" s="6" t="str">
        <f>HYPERLINK("http://www.ensembl.org/Mus_musculus/Gene/Summary?db=core;g=ENSMUSG00000038127","ENSMUSG00000038127")</f>
        <v>ENSMUSG00000038127</v>
      </c>
      <c r="I1347" s="6" t="str">
        <f>HYPERLINK("http://www.informatics.jax.org/marker/MGI:1914751","MGI:1914751")</f>
        <v>MGI:1914751</v>
      </c>
      <c r="J1347" s="7" t="s">
        <v>12</v>
      </c>
    </row>
    <row r="1348" spans="1:10" x14ac:dyDescent="0.2">
      <c r="A1348" s="3">
        <v>443.33326797734497</v>
      </c>
      <c r="B1348" s="1">
        <v>-0.23205889607323901</v>
      </c>
      <c r="C1348" s="1">
        <v>2.4580605802629199E-3</v>
      </c>
      <c r="D1348" s="7">
        <v>2.70111712981017E-2</v>
      </c>
      <c r="E1348" s="1" t="s">
        <v>1746</v>
      </c>
      <c r="F1348" s="1" t="s">
        <v>1747</v>
      </c>
      <c r="G1348" s="1">
        <v>77929</v>
      </c>
      <c r="H1348" s="6" t="str">
        <f>HYPERLINK("http://www.ensembl.org/Mus_musculus/Gene/Summary?db=core;g=ENSMUSG00000047694","ENSMUSG00000047694")</f>
        <v>ENSMUSG00000047694</v>
      </c>
      <c r="I1348" s="6" t="str">
        <f>HYPERLINK("http://www.informatics.jax.org/marker/MGI:1925179","MGI:1925179")</f>
        <v>MGI:1925179</v>
      </c>
      <c r="J1348" s="7" t="s">
        <v>12</v>
      </c>
    </row>
    <row r="1349" spans="1:10" x14ac:dyDescent="0.2">
      <c r="A1349" s="3">
        <v>2752.3653788870101</v>
      </c>
      <c r="B1349" s="1">
        <v>0.13439765783989099</v>
      </c>
      <c r="C1349" s="1">
        <v>2.4855790032892E-3</v>
      </c>
      <c r="D1349" s="7">
        <v>2.72932132581741E-2</v>
      </c>
      <c r="E1349" s="1" t="s">
        <v>2254</v>
      </c>
      <c r="F1349" s="1" t="s">
        <v>2255</v>
      </c>
      <c r="G1349" s="1">
        <v>218975</v>
      </c>
      <c r="H1349" s="6" t="str">
        <f>HYPERLINK("http://www.ensembl.org/Mus_musculus/Gene/Summary?db=core;g=ENSMUSG00000021840","ENSMUSG00000021840")</f>
        <v>ENSMUSG00000021840</v>
      </c>
      <c r="I1349" s="6" t="str">
        <f>HYPERLINK("http://www.informatics.jax.org/marker/MGI:2444022","MGI:2444022")</f>
        <v>MGI:2444022</v>
      </c>
      <c r="J1349" s="7" t="s">
        <v>12</v>
      </c>
    </row>
    <row r="1350" spans="1:10" x14ac:dyDescent="0.2">
      <c r="A1350" s="3">
        <v>1262.9326939530299</v>
      </c>
      <c r="B1350" s="1">
        <v>0.17904150784905101</v>
      </c>
      <c r="C1350" s="1">
        <v>2.5067411941985199E-3</v>
      </c>
      <c r="D1350" s="7">
        <v>2.7505091763000301E-2</v>
      </c>
      <c r="E1350" s="1" t="s">
        <v>2482</v>
      </c>
      <c r="F1350" s="1" t="s">
        <v>2483</v>
      </c>
      <c r="G1350" s="1">
        <v>68981</v>
      </c>
      <c r="H1350" s="6" t="str">
        <f>HYPERLINK("http://www.ensembl.org/Mus_musculus/Gene/Summary?db=core;g=ENSMUSG00000030512","ENSMUSG00000030512")</f>
        <v>ENSMUSG00000030512</v>
      </c>
      <c r="I1350" s="6" t="str">
        <f>HYPERLINK("http://www.informatics.jax.org/marker/MGI:1916231","MGI:1916231")</f>
        <v>MGI:1916231</v>
      </c>
      <c r="J1350" s="7" t="s">
        <v>12</v>
      </c>
    </row>
    <row r="1351" spans="1:10" x14ac:dyDescent="0.2">
      <c r="A1351" s="3">
        <v>3999.0050365820798</v>
      </c>
      <c r="B1351" s="1">
        <v>0.138939930169973</v>
      </c>
      <c r="C1351" s="1">
        <v>2.5112483116962901E-3</v>
      </c>
      <c r="D1351" s="7">
        <v>2.75340439889557E-2</v>
      </c>
      <c r="E1351" s="1" t="s">
        <v>2266</v>
      </c>
      <c r="F1351" s="1" t="s">
        <v>2267</v>
      </c>
      <c r="G1351" s="1">
        <v>56095</v>
      </c>
      <c r="H1351" s="6" t="str">
        <f>HYPERLINK("http://www.ensembl.org/Mus_musculus/Gene/Summary?db=core;g=ENSMUSG00000020706","ENSMUSG00000020706")</f>
        <v>ENSMUSG00000020706</v>
      </c>
      <c r="I1351" s="6" t="str">
        <f>HYPERLINK("http://www.informatics.jax.org/marker/MGI:1860295","MGI:1860295")</f>
        <v>MGI:1860295</v>
      </c>
      <c r="J1351" s="7" t="s">
        <v>12</v>
      </c>
    </row>
    <row r="1352" spans="1:10" x14ac:dyDescent="0.2">
      <c r="A1352" s="3">
        <v>269.80192787766902</v>
      </c>
      <c r="B1352" s="1">
        <v>0.26657767077970701</v>
      </c>
      <c r="C1352" s="1">
        <v>2.51698956196142E-3</v>
      </c>
      <c r="D1352" s="7">
        <v>2.7576474487035998E-2</v>
      </c>
      <c r="E1352" s="1" t="s">
        <v>2924</v>
      </c>
      <c r="F1352" s="1" t="s">
        <v>2925</v>
      </c>
      <c r="G1352" s="1">
        <v>229780</v>
      </c>
      <c r="H1352" s="6" t="str">
        <f>HYPERLINK("http://www.ensembl.org/Mus_musculus/Gene/Summary?db=core;g=ENSMUSG00000033439","ENSMUSG00000033439")</f>
        <v>ENSMUSG00000033439</v>
      </c>
      <c r="I1352" s="6" t="str">
        <f>HYPERLINK("http://www.informatics.jax.org/marker/MGI:1925219","MGI:1925219")</f>
        <v>MGI:1925219</v>
      </c>
      <c r="J1352" s="7" t="s">
        <v>12</v>
      </c>
    </row>
    <row r="1353" spans="1:10" x14ac:dyDescent="0.2">
      <c r="A1353" s="3">
        <v>806.19646541140798</v>
      </c>
      <c r="B1353" s="1">
        <v>-0.17258729762908101</v>
      </c>
      <c r="C1353" s="1">
        <v>2.5262902310758599E-3</v>
      </c>
      <c r="D1353" s="7">
        <v>2.7657810434720601E-2</v>
      </c>
      <c r="E1353" s="1" t="s">
        <v>2042</v>
      </c>
      <c r="F1353" s="1" t="s">
        <v>2043</v>
      </c>
      <c r="G1353" s="1">
        <v>74763</v>
      </c>
      <c r="H1353" s="6" t="str">
        <f>HYPERLINK("http://www.ensembl.org/Mus_musculus/Gene/Summary?db=core;g=ENSMUSG00000005982","ENSMUSG00000005982")</f>
        <v>ENSMUSG00000005982</v>
      </c>
      <c r="I1353" s="6" t="str">
        <f>HYPERLINK("http://www.informatics.jax.org/marker/MGI:1922013","MGI:1922013")</f>
        <v>MGI:1922013</v>
      </c>
      <c r="J1353" s="7" t="s">
        <v>12</v>
      </c>
    </row>
    <row r="1354" spans="1:10" x14ac:dyDescent="0.2">
      <c r="A1354" s="3">
        <v>926.01401877293097</v>
      </c>
      <c r="B1354" s="1">
        <v>0.17322572712791201</v>
      </c>
      <c r="C1354" s="1">
        <v>2.5286234527149799E-3</v>
      </c>
      <c r="D1354" s="7">
        <v>2.7662802672017799E-2</v>
      </c>
      <c r="E1354" s="1" t="s">
        <v>2446</v>
      </c>
      <c r="F1354" s="1" t="s">
        <v>2447</v>
      </c>
      <c r="G1354" s="1">
        <v>78244</v>
      </c>
      <c r="H1354" s="6" t="str">
        <f>HYPERLINK("http://www.ensembl.org/Mus_musculus/Gene/Summary?db=core;g=ENSMUSG00000044224","ENSMUSG00000044224")</f>
        <v>ENSMUSG00000044224</v>
      </c>
      <c r="I1354" s="6" t="str">
        <f>HYPERLINK("http://www.informatics.jax.org/marker/MGI:1925371","MGI:1925371")</f>
        <v>MGI:1925371</v>
      </c>
      <c r="J1354" s="7" t="s">
        <v>12</v>
      </c>
    </row>
    <row r="1355" spans="1:10" x14ac:dyDescent="0.2">
      <c r="A1355" s="3">
        <v>192.16603122083501</v>
      </c>
      <c r="B1355" s="1">
        <v>0.40137272003149499</v>
      </c>
      <c r="C1355" s="1">
        <v>2.5314029274305099E-3</v>
      </c>
      <c r="D1355" s="7">
        <v>2.7672665829833801E-2</v>
      </c>
      <c r="E1355" s="1" t="s">
        <v>3146</v>
      </c>
      <c r="F1355" s="1" t="s">
        <v>3147</v>
      </c>
      <c r="G1355" s="1" t="s">
        <v>45</v>
      </c>
      <c r="H1355" s="6" t="str">
        <f>HYPERLINK("http://www.ensembl.org/Mus_musculus/Gene/Summary?db=core;g=ENSMUSG00000110605","ENSMUSG00000110605")</f>
        <v>ENSMUSG00000110605</v>
      </c>
      <c r="I1355" s="6" t="str">
        <f>HYPERLINK("http://www.informatics.jax.org/marker/MGI:5592015","MGI:5592015")</f>
        <v>MGI:5592015</v>
      </c>
      <c r="J1355" s="7" t="s">
        <v>95</v>
      </c>
    </row>
    <row r="1356" spans="1:10" x14ac:dyDescent="0.2">
      <c r="A1356" s="3">
        <v>114.179163104011</v>
      </c>
      <c r="B1356" s="1">
        <v>-0.52887278528300596</v>
      </c>
      <c r="C1356" s="1">
        <v>2.54322668846545E-3</v>
      </c>
      <c r="D1356" s="7">
        <v>2.7760732208316201E-2</v>
      </c>
      <c r="E1356" s="1" t="s">
        <v>799</v>
      </c>
      <c r="F1356" s="1" t="s">
        <v>800</v>
      </c>
      <c r="G1356" s="1">
        <v>268973</v>
      </c>
      <c r="H1356" s="6" t="str">
        <f>HYPERLINK("http://www.ensembl.org/Mus_musculus/Gene/Summary?db=core;g=ENSMUSG00000039193","ENSMUSG00000039193")</f>
        <v>ENSMUSG00000039193</v>
      </c>
      <c r="I1356" s="6" t="str">
        <f>HYPERLINK("http://www.informatics.jax.org/marker/MGI:3036243","MGI:3036243")</f>
        <v>MGI:3036243</v>
      </c>
      <c r="J1356" s="7" t="s">
        <v>12</v>
      </c>
    </row>
    <row r="1357" spans="1:10" x14ac:dyDescent="0.2">
      <c r="A1357" s="3">
        <v>242.85364547613699</v>
      </c>
      <c r="B1357" s="1">
        <v>-0.27434631293226702</v>
      </c>
      <c r="C1357" s="1">
        <v>2.54137241616624E-3</v>
      </c>
      <c r="D1357" s="7">
        <v>2.7760732208316201E-2</v>
      </c>
      <c r="E1357" s="1" t="s">
        <v>1556</v>
      </c>
      <c r="F1357" s="1" t="s">
        <v>1557</v>
      </c>
      <c r="G1357" s="1">
        <v>219094</v>
      </c>
      <c r="H1357" s="6" t="str">
        <f>HYPERLINK("http://www.ensembl.org/Mus_musculus/Gene/Summary?db=core;g=ENSMUSG00000047153","ENSMUSG00000047153")</f>
        <v>ENSMUSG00000047153</v>
      </c>
      <c r="I1357" s="6" t="str">
        <f>HYPERLINK("http://www.informatics.jax.org/marker/MGI:2451333","MGI:2451333")</f>
        <v>MGI:2451333</v>
      </c>
      <c r="J1357" s="7" t="s">
        <v>12</v>
      </c>
    </row>
    <row r="1358" spans="1:10" x14ac:dyDescent="0.2">
      <c r="A1358" s="3">
        <v>24.862690434819601</v>
      </c>
      <c r="B1358" s="1">
        <v>0.62022078368670797</v>
      </c>
      <c r="C1358" s="1">
        <v>2.5486668088486901E-3</v>
      </c>
      <c r="D1358" s="7">
        <v>2.77995219061394E-2</v>
      </c>
      <c r="E1358" s="1" t="s">
        <v>3248</v>
      </c>
      <c r="F1358" s="1" t="s">
        <v>3249</v>
      </c>
      <c r="G1358" s="1">
        <v>56013</v>
      </c>
      <c r="H1358" s="6" t="str">
        <f>HYPERLINK("http://www.ensembl.org/Mus_musculus/Gene/Summary?db=core;g=ENSMUSG00000038453","ENSMUSG00000038453")</f>
        <v>ENSMUSG00000038453</v>
      </c>
      <c r="I1358" s="6" t="str">
        <f>HYPERLINK("http://www.informatics.jax.org/marker/MGI:1933179","MGI:1933179")</f>
        <v>MGI:1933179</v>
      </c>
      <c r="J1358" s="7" t="s">
        <v>12</v>
      </c>
    </row>
    <row r="1359" spans="1:10" x14ac:dyDescent="0.2">
      <c r="A1359" s="3">
        <v>93.197213972589395</v>
      </c>
      <c r="B1359" s="1">
        <v>-0.49839750755276202</v>
      </c>
      <c r="C1359" s="1">
        <v>2.5542249200205601E-3</v>
      </c>
      <c r="D1359" s="7">
        <v>2.78395402525318E-2</v>
      </c>
      <c r="E1359" s="1" t="s">
        <v>837</v>
      </c>
      <c r="F1359" s="1" t="s">
        <v>838</v>
      </c>
      <c r="G1359" s="1">
        <v>16560</v>
      </c>
      <c r="H1359" s="6" t="str">
        <f>HYPERLINK("http://www.ensembl.org/Mus_musculus/Gene/Summary?db=core;g=ENSMUSG00000014602","ENSMUSG00000014602")</f>
        <v>ENSMUSG00000014602</v>
      </c>
      <c r="I1359" s="6" t="str">
        <f>HYPERLINK("http://www.informatics.jax.org/marker/MGI:108391","MGI:108391")</f>
        <v>MGI:108391</v>
      </c>
      <c r="J1359" s="7" t="s">
        <v>12</v>
      </c>
    </row>
    <row r="1360" spans="1:10" x14ac:dyDescent="0.2">
      <c r="A1360" s="3">
        <v>344.306337882207</v>
      </c>
      <c r="B1360" s="1">
        <v>-0.99024779995135204</v>
      </c>
      <c r="C1360" s="1">
        <v>2.5638031982922701E-3</v>
      </c>
      <c r="D1360" s="7">
        <v>2.7893258802368998E-2</v>
      </c>
      <c r="E1360" s="1" t="s">
        <v>349</v>
      </c>
      <c r="F1360" s="1" t="s">
        <v>350</v>
      </c>
      <c r="G1360" s="1">
        <v>13601</v>
      </c>
      <c r="H1360" s="6" t="str">
        <f>HYPERLINK("http://www.ensembl.org/Mus_musculus/Gene/Summary?db=core;g=ENSMUSG00000028108","ENSMUSG00000028108")</f>
        <v>ENSMUSG00000028108</v>
      </c>
      <c r="I1360" s="6" t="str">
        <f>HYPERLINK("http://www.informatics.jax.org/marker/MGI:103060","MGI:103060")</f>
        <v>MGI:103060</v>
      </c>
      <c r="J1360" s="7" t="s">
        <v>12</v>
      </c>
    </row>
    <row r="1361" spans="1:10" x14ac:dyDescent="0.2">
      <c r="A1361" s="3">
        <v>663.17678157089802</v>
      </c>
      <c r="B1361" s="1">
        <v>-0.241203508829923</v>
      </c>
      <c r="C1361" s="1">
        <v>2.56301312586078E-3</v>
      </c>
      <c r="D1361" s="7">
        <v>2.7893258802368998E-2</v>
      </c>
      <c r="E1361" s="1" t="s">
        <v>1700</v>
      </c>
      <c r="F1361" s="1" t="s">
        <v>1701</v>
      </c>
      <c r="G1361" s="1">
        <v>108723</v>
      </c>
      <c r="H1361" s="6" t="str">
        <f>HYPERLINK("http://www.ensembl.org/Mus_musculus/Gene/Summary?db=core;g=ENSMUSG00000036526","ENSMUSG00000036526")</f>
        <v>ENSMUSG00000036526</v>
      </c>
      <c r="I1361" s="6" t="str">
        <f>HYPERLINK("http://www.informatics.jax.org/marker/MGI:1916978","MGI:1916978")</f>
        <v>MGI:1916978</v>
      </c>
      <c r="J1361" s="7" t="s">
        <v>12</v>
      </c>
    </row>
    <row r="1362" spans="1:10" x14ac:dyDescent="0.2">
      <c r="A1362" s="3">
        <v>3504.5135478433999</v>
      </c>
      <c r="B1362" s="1">
        <v>-0.236008221127498</v>
      </c>
      <c r="C1362" s="1">
        <v>2.5654368216466001E-3</v>
      </c>
      <c r="D1362" s="7">
        <v>2.7893258802368998E-2</v>
      </c>
      <c r="E1362" s="1" t="s">
        <v>1728</v>
      </c>
      <c r="F1362" s="1" t="s">
        <v>1729</v>
      </c>
      <c r="G1362" s="1">
        <v>69202</v>
      </c>
      <c r="H1362" s="6" t="str">
        <f>HYPERLINK("http://www.ensembl.org/Mus_musculus/Gene/Summary?db=core;g=ENSMUSG00000030122","ENSMUSG00000030122")</f>
        <v>ENSMUSG00000030122</v>
      </c>
      <c r="I1362" s="6" t="str">
        <f>HYPERLINK("http://www.informatics.jax.org/marker/MGI:1916452","MGI:1916452")</f>
        <v>MGI:1916452</v>
      </c>
      <c r="J1362" s="7" t="s">
        <v>12</v>
      </c>
    </row>
    <row r="1363" spans="1:10" x14ac:dyDescent="0.2">
      <c r="A1363" s="3">
        <v>970.47469013893499</v>
      </c>
      <c r="B1363" s="1">
        <v>-0.223033488068207</v>
      </c>
      <c r="C1363" s="1">
        <v>2.5667249549411199E-3</v>
      </c>
      <c r="D1363" s="7">
        <v>2.7893258802368998E-2</v>
      </c>
      <c r="E1363" s="1" t="s">
        <v>1802</v>
      </c>
      <c r="F1363" s="1" t="s">
        <v>1803</v>
      </c>
      <c r="G1363" s="1">
        <v>14389</v>
      </c>
      <c r="H1363" s="6" t="str">
        <f>HYPERLINK("http://www.ensembl.org/Mus_musculus/Gene/Summary?db=core;g=ENSMUSG00000004508","ENSMUSG00000004508")</f>
        <v>ENSMUSG00000004508</v>
      </c>
      <c r="I1363" s="6" t="str">
        <f>HYPERLINK("http://www.informatics.jax.org/marker/MGI:1333854","MGI:1333854")</f>
        <v>MGI:1333854</v>
      </c>
      <c r="J1363" s="7" t="s">
        <v>12</v>
      </c>
    </row>
    <row r="1364" spans="1:10" x14ac:dyDescent="0.2">
      <c r="A1364" s="3">
        <v>228.53711369201801</v>
      </c>
      <c r="B1364" s="1">
        <v>-0.87472109277465504</v>
      </c>
      <c r="C1364" s="1">
        <v>2.57094363067434E-3</v>
      </c>
      <c r="D1364" s="7">
        <v>2.7918515358597702E-2</v>
      </c>
      <c r="E1364" s="1" t="s">
        <v>423</v>
      </c>
      <c r="F1364" s="1" t="s">
        <v>424</v>
      </c>
      <c r="G1364" s="1">
        <v>104252</v>
      </c>
      <c r="H1364" s="6" t="str">
        <f>HYPERLINK("http://www.ensembl.org/Mus_musculus/Gene/Summary?db=core;g=ENSMUSG00000045664","ENSMUSG00000045664")</f>
        <v>ENSMUSG00000045664</v>
      </c>
      <c r="I1364" s="6" t="str">
        <f>HYPERLINK("http://www.informatics.jax.org/marker/MGI:1929744","MGI:1929744")</f>
        <v>MGI:1929744</v>
      </c>
      <c r="J1364" s="7" t="s">
        <v>12</v>
      </c>
    </row>
    <row r="1365" spans="1:10" x14ac:dyDescent="0.2">
      <c r="A1365" s="3">
        <v>3840.9872876617201</v>
      </c>
      <c r="B1365" s="1">
        <v>0.140884885496564</v>
      </c>
      <c r="C1365" s="1">
        <v>2.5828311737008101E-3</v>
      </c>
      <c r="D1365" s="7">
        <v>2.80269515284647E-2</v>
      </c>
      <c r="E1365" s="1" t="s">
        <v>2272</v>
      </c>
      <c r="F1365" s="1" t="s">
        <v>2273</v>
      </c>
      <c r="G1365" s="1">
        <v>51886</v>
      </c>
      <c r="H1365" s="6" t="str">
        <f>HYPERLINK("http://www.ensembl.org/Mus_musculus/Gene/Summary?db=core;g=ENSMUSG00000028034","ENSMUSG00000028034")</f>
        <v>ENSMUSG00000028034</v>
      </c>
      <c r="I1365" s="6" t="str">
        <f>HYPERLINK("http://www.informatics.jax.org/marker/MGI:1196294","MGI:1196294")</f>
        <v>MGI:1196294</v>
      </c>
      <c r="J1365" s="7" t="s">
        <v>12</v>
      </c>
    </row>
    <row r="1366" spans="1:10" x14ac:dyDescent="0.2">
      <c r="A1366" s="3">
        <v>883.04042897414502</v>
      </c>
      <c r="B1366" s="1">
        <v>0.20913657166283001</v>
      </c>
      <c r="C1366" s="1">
        <v>2.59084681896308E-3</v>
      </c>
      <c r="D1366" s="7">
        <v>2.80932440943635E-2</v>
      </c>
      <c r="E1366" s="1" t="s">
        <v>2660</v>
      </c>
      <c r="F1366" s="1" t="s">
        <v>2661</v>
      </c>
      <c r="G1366" s="1">
        <v>66196</v>
      </c>
      <c r="H1366" s="6" t="str">
        <f>HYPERLINK("http://www.ensembl.org/Mus_musculus/Gene/Summary?db=core;g=ENSMUSG00000020527","ENSMUSG00000020527")</f>
        <v>ENSMUSG00000020527</v>
      </c>
      <c r="I1366" s="6" t="str">
        <f>HYPERLINK("http://www.informatics.jax.org/marker/MGI:1913446","MGI:1913446")</f>
        <v>MGI:1913446</v>
      </c>
      <c r="J1366" s="7" t="s">
        <v>12</v>
      </c>
    </row>
    <row r="1367" spans="1:10" x14ac:dyDescent="0.2">
      <c r="A1367" s="3">
        <v>233.851098227325</v>
      </c>
      <c r="B1367" s="1">
        <v>-0.43727222047375602</v>
      </c>
      <c r="C1367" s="1">
        <v>2.6087455041819501E-3</v>
      </c>
      <c r="D1367" s="7">
        <v>2.82665248159009E-2</v>
      </c>
      <c r="E1367" s="1" t="s">
        <v>971</v>
      </c>
      <c r="F1367" s="1" t="s">
        <v>972</v>
      </c>
      <c r="G1367" s="1">
        <v>101502</v>
      </c>
      <c r="H1367" s="6" t="str">
        <f>HYPERLINK("http://www.ensembl.org/Mus_musculus/Gene/Summary?db=core;g=ENSMUSG00000042289","ENSMUSG00000042289")</f>
        <v>ENSMUSG00000042289</v>
      </c>
      <c r="I1367" s="6" t="str">
        <f>HYPERLINK("http://www.informatics.jax.org/marker/MGI:2141879","MGI:2141879")</f>
        <v>MGI:2141879</v>
      </c>
      <c r="J1367" s="7" t="s">
        <v>12</v>
      </c>
    </row>
    <row r="1368" spans="1:10" x14ac:dyDescent="0.2">
      <c r="A1368" s="3">
        <v>31.680078836105501</v>
      </c>
      <c r="B1368" s="1">
        <v>-0.86655459686237801</v>
      </c>
      <c r="C1368" s="1">
        <v>2.6339557726515802E-3</v>
      </c>
      <c r="D1368" s="7">
        <v>2.8518715845550099E-2</v>
      </c>
      <c r="E1368" s="1" t="s">
        <v>428</v>
      </c>
      <c r="F1368" s="1" t="s">
        <v>429</v>
      </c>
      <c r="G1368" s="1">
        <v>381290</v>
      </c>
      <c r="H1368" s="6" t="str">
        <f>HYPERLINK("http://www.ensembl.org/Mus_musculus/Gene/Summary?db=core;g=ENSMUSG00000026463","ENSMUSG00000026463")</f>
        <v>ENSMUSG00000026463</v>
      </c>
      <c r="I1368" s="6" t="str">
        <f>HYPERLINK("http://www.informatics.jax.org/marker/MGI:88111","MGI:88111")</f>
        <v>MGI:88111</v>
      </c>
      <c r="J1368" s="7" t="s">
        <v>12</v>
      </c>
    </row>
    <row r="1369" spans="1:10" x14ac:dyDescent="0.2">
      <c r="A1369" s="3">
        <v>194.952011892553</v>
      </c>
      <c r="B1369" s="1">
        <v>-0.48828051855379501</v>
      </c>
      <c r="C1369" s="1">
        <v>2.64351345088433E-3</v>
      </c>
      <c r="D1369" s="7">
        <v>2.8601185177849799E-2</v>
      </c>
      <c r="E1369" s="1" t="s">
        <v>865</v>
      </c>
      <c r="F1369" s="1" t="s">
        <v>866</v>
      </c>
      <c r="G1369" s="1">
        <v>52882</v>
      </c>
      <c r="H1369" s="6" t="str">
        <f>HYPERLINK("http://www.ensembl.org/Mus_musculus/Gene/Summary?db=core;g=ENSMUSG00000021719","ENSMUSG00000021719")</f>
        <v>ENSMUSG00000021719</v>
      </c>
      <c r="I1369" s="6" t="str">
        <f>HYPERLINK("http://www.informatics.jax.org/marker/MGI:106334","MGI:106334")</f>
        <v>MGI:106334</v>
      </c>
      <c r="J1369" s="7" t="s">
        <v>12</v>
      </c>
    </row>
    <row r="1370" spans="1:10" x14ac:dyDescent="0.2">
      <c r="A1370" s="3">
        <v>3071.4331439484999</v>
      </c>
      <c r="B1370" s="1">
        <v>-0.19151431750362699</v>
      </c>
      <c r="C1370" s="1">
        <v>2.64782848565456E-3</v>
      </c>
      <c r="D1370" s="7">
        <v>2.8626852945418699E-2</v>
      </c>
      <c r="E1370" s="1" t="s">
        <v>1952</v>
      </c>
      <c r="F1370" s="1" t="s">
        <v>1953</v>
      </c>
      <c r="G1370" s="1">
        <v>14127</v>
      </c>
      <c r="H1370" s="6" t="str">
        <f>HYPERLINK("http://www.ensembl.org/Mus_musculus/Gene/Summary?db=core;g=ENSMUSG00000058715","ENSMUSG00000058715")</f>
        <v>ENSMUSG00000058715</v>
      </c>
      <c r="I1370" s="6" t="str">
        <f>HYPERLINK("http://www.informatics.jax.org/marker/MGI:95496","MGI:95496")</f>
        <v>MGI:95496</v>
      </c>
      <c r="J1370" s="7" t="s">
        <v>12</v>
      </c>
    </row>
    <row r="1371" spans="1:10" x14ac:dyDescent="0.2">
      <c r="A1371" s="3">
        <v>6.25544153469811</v>
      </c>
      <c r="B1371" s="1">
        <v>-1.2696108655062599</v>
      </c>
      <c r="C1371" s="1">
        <v>2.6604844988587901E-3</v>
      </c>
      <c r="D1371" s="7">
        <v>2.8742594996468501E-2</v>
      </c>
      <c r="E1371" s="1" t="s">
        <v>199</v>
      </c>
      <c r="F1371" s="1" t="s">
        <v>200</v>
      </c>
      <c r="G1371" s="1">
        <v>69926</v>
      </c>
      <c r="H1371" s="6" t="str">
        <f>HYPERLINK("http://www.ensembl.org/Mus_musculus/Gene/Summary?db=core;g=ENSMUSG00000033987","ENSMUSG00000033987")</f>
        <v>ENSMUSG00000033987</v>
      </c>
      <c r="I1371" s="6" t="str">
        <f>HYPERLINK("http://www.informatics.jax.org/marker/MGI:1917176","MGI:1917176")</f>
        <v>MGI:1917176</v>
      </c>
      <c r="J1371" s="7" t="s">
        <v>12</v>
      </c>
    </row>
    <row r="1372" spans="1:10" x14ac:dyDescent="0.2">
      <c r="A1372" s="3">
        <v>3.7936970728218999</v>
      </c>
      <c r="B1372" s="1">
        <v>-1.3652377722272799</v>
      </c>
      <c r="C1372" s="1">
        <v>2.6669101646393601E-3</v>
      </c>
      <c r="D1372" s="7">
        <v>2.8790907096062801E-2</v>
      </c>
      <c r="E1372" s="1" t="s">
        <v>162</v>
      </c>
      <c r="F1372" s="1" t="s">
        <v>163</v>
      </c>
      <c r="G1372" s="1">
        <v>227327</v>
      </c>
      <c r="H1372" s="6" t="str">
        <f>HYPERLINK("http://www.ensembl.org/Mus_musculus/Gene/Summary?db=core;g=ENSMUSG00000079445","ENSMUSG00000079445")</f>
        <v>ENSMUSG00000079445</v>
      </c>
      <c r="I1372" s="6" t="str">
        <f>HYPERLINK("http://www.informatics.jax.org/marker/MGI:2384394","MGI:2384394")</f>
        <v>MGI:2384394</v>
      </c>
      <c r="J1372" s="7" t="s">
        <v>12</v>
      </c>
    </row>
    <row r="1373" spans="1:10" x14ac:dyDescent="0.2">
      <c r="A1373" s="3">
        <v>1305.9785759464701</v>
      </c>
      <c r="B1373" s="1">
        <v>-0.29424718112558601</v>
      </c>
      <c r="C1373" s="1">
        <v>2.6742492873926701E-3</v>
      </c>
      <c r="D1373" s="7">
        <v>2.8849002561506899E-2</v>
      </c>
      <c r="E1373" s="1" t="s">
        <v>1476</v>
      </c>
      <c r="F1373" s="1" t="s">
        <v>1477</v>
      </c>
      <c r="G1373" s="1">
        <v>16822</v>
      </c>
      <c r="H1373" s="6" t="str">
        <f>HYPERLINK("http://www.ensembl.org/Mus_musculus/Gene/Summary?db=core;g=ENSMUSG00000002699","ENSMUSG00000002699")</f>
        <v>ENSMUSG00000002699</v>
      </c>
      <c r="I1373" s="6" t="str">
        <f>HYPERLINK("http://www.informatics.jax.org/marker/MGI:1321402","MGI:1321402")</f>
        <v>MGI:1321402</v>
      </c>
      <c r="J1373" s="7" t="s">
        <v>12</v>
      </c>
    </row>
    <row r="1374" spans="1:10" x14ac:dyDescent="0.2">
      <c r="A1374" s="3">
        <v>1576.1549785529601</v>
      </c>
      <c r="B1374" s="1">
        <v>-0.21107096092864999</v>
      </c>
      <c r="C1374" s="1">
        <v>2.6842124913962202E-3</v>
      </c>
      <c r="D1374" s="7">
        <v>2.89002702325422E-2</v>
      </c>
      <c r="E1374" s="1" t="s">
        <v>1860</v>
      </c>
      <c r="F1374" s="1" t="s">
        <v>1861</v>
      </c>
      <c r="G1374" s="1">
        <v>319468</v>
      </c>
      <c r="H1374" s="6" t="str">
        <f>HYPERLINK("http://www.ensembl.org/Mus_musculus/Gene/Summary?db=core;g=ENSMUSG00000034613","ENSMUSG00000034613")</f>
        <v>ENSMUSG00000034613</v>
      </c>
      <c r="I1374" s="6" t="str">
        <f>HYPERLINK("http://www.informatics.jax.org/marker/MGI:2442087","MGI:2442087")</f>
        <v>MGI:2442087</v>
      </c>
      <c r="J1374" s="7" t="s">
        <v>12</v>
      </c>
    </row>
    <row r="1375" spans="1:10" x14ac:dyDescent="0.2">
      <c r="A1375" s="3">
        <v>1024.08891749548</v>
      </c>
      <c r="B1375" s="1">
        <v>0.14136361119257701</v>
      </c>
      <c r="C1375" s="1">
        <v>2.68360299263054E-3</v>
      </c>
      <c r="D1375" s="7">
        <v>2.89002702325422E-2</v>
      </c>
      <c r="E1375" s="1" t="s">
        <v>2276</v>
      </c>
      <c r="F1375" s="1" t="s">
        <v>2277</v>
      </c>
      <c r="G1375" s="1">
        <v>68832</v>
      </c>
      <c r="H1375" s="6" t="str">
        <f>HYPERLINK("http://www.ensembl.org/Mus_musculus/Gene/Summary?db=core;g=ENSMUSG00000037669","ENSMUSG00000037669")</f>
        <v>ENSMUSG00000037669</v>
      </c>
      <c r="I1375" s="6" t="str">
        <f>HYPERLINK("http://www.informatics.jax.org/marker/MGI:1916082","MGI:1916082")</f>
        <v>MGI:1916082</v>
      </c>
      <c r="J1375" s="7" t="s">
        <v>12</v>
      </c>
    </row>
    <row r="1376" spans="1:10" x14ac:dyDescent="0.2">
      <c r="A1376" s="3">
        <v>580.154945613466</v>
      </c>
      <c r="B1376" s="1">
        <v>0.30579202338120898</v>
      </c>
      <c r="C1376" s="1">
        <v>2.6848853113701399E-3</v>
      </c>
      <c r="D1376" s="7">
        <v>2.89002702325422E-2</v>
      </c>
      <c r="E1376" s="1" t="s">
        <v>3010</v>
      </c>
      <c r="F1376" s="1" t="s">
        <v>3011</v>
      </c>
      <c r="G1376" s="1" t="s">
        <v>45</v>
      </c>
      <c r="H1376" s="6" t="str">
        <f>HYPERLINK("http://www.ensembl.org/Mus_musculus/Gene/Summary?db=core;g=ENSMUSG00000105769","ENSMUSG00000105769")</f>
        <v>ENSMUSG00000105769</v>
      </c>
      <c r="I1376" s="6" t="str">
        <f>HYPERLINK("http://www.informatics.jax.org/marker/MGI:5663488","MGI:5663488")</f>
        <v>MGI:5663488</v>
      </c>
      <c r="J1376" s="7" t="s">
        <v>95</v>
      </c>
    </row>
    <row r="1377" spans="1:10" x14ac:dyDescent="0.2">
      <c r="A1377" s="3">
        <v>39.379497728590401</v>
      </c>
      <c r="B1377" s="1">
        <v>-0.64433604667746303</v>
      </c>
      <c r="C1377" s="1">
        <v>2.6921251423405001E-3</v>
      </c>
      <c r="D1377" s="7">
        <v>2.8957048246371998E-2</v>
      </c>
      <c r="E1377" s="1" t="s">
        <v>606</v>
      </c>
      <c r="F1377" s="1" t="s">
        <v>607</v>
      </c>
      <c r="G1377" s="1">
        <v>29856</v>
      </c>
      <c r="H1377" s="6" t="str">
        <f>HYPERLINK("http://www.ensembl.org/Mus_musculus/Gene/Summary?db=core;g=ENSMUSG00000020439","ENSMUSG00000020439")</f>
        <v>ENSMUSG00000020439</v>
      </c>
      <c r="I1377" s="6" t="str">
        <f>HYPERLINK("http://www.informatics.jax.org/marker/MGI:1354727","MGI:1354727")</f>
        <v>MGI:1354727</v>
      </c>
      <c r="J1377" s="7" t="s">
        <v>12</v>
      </c>
    </row>
    <row r="1378" spans="1:10" x14ac:dyDescent="0.2">
      <c r="A1378" s="3">
        <v>503.91948672465998</v>
      </c>
      <c r="B1378" s="1">
        <v>-0.20940164647791401</v>
      </c>
      <c r="C1378" s="1">
        <v>2.6987091342516902E-3</v>
      </c>
      <c r="D1378" s="7">
        <v>2.9006694239484199E-2</v>
      </c>
      <c r="E1378" s="1" t="s">
        <v>1868</v>
      </c>
      <c r="F1378" s="1" t="s">
        <v>1869</v>
      </c>
      <c r="G1378" s="1">
        <v>54131</v>
      </c>
      <c r="H1378" s="6" t="str">
        <f>HYPERLINK("http://www.ensembl.org/Mus_musculus/Gene/Summary?db=core;g=ENSMUSG00000003184","ENSMUSG00000003184")</f>
        <v>ENSMUSG00000003184</v>
      </c>
      <c r="I1378" s="6" t="str">
        <f>HYPERLINK("http://www.informatics.jax.org/marker/MGI:1859179","MGI:1859179")</f>
        <v>MGI:1859179</v>
      </c>
      <c r="J1378" s="7" t="s">
        <v>12</v>
      </c>
    </row>
    <row r="1379" spans="1:10" x14ac:dyDescent="0.2">
      <c r="A1379" s="3">
        <v>4212.10231696964</v>
      </c>
      <c r="B1379" s="1">
        <v>-0.270433950674417</v>
      </c>
      <c r="C1379" s="1">
        <v>2.7009905234560401E-3</v>
      </c>
      <c r="D1379" s="7">
        <v>2.9010055651347101E-2</v>
      </c>
      <c r="E1379" s="1" t="s">
        <v>1568</v>
      </c>
      <c r="F1379" s="1" t="s">
        <v>1569</v>
      </c>
      <c r="G1379" s="1">
        <v>326618</v>
      </c>
      <c r="H1379" s="6" t="str">
        <f>HYPERLINK("http://www.ensembl.org/Mus_musculus/Gene/Summary?db=core;g=ENSMUSG00000031799","ENSMUSG00000031799")</f>
        <v>ENSMUSG00000031799</v>
      </c>
      <c r="I1379" s="6" t="str">
        <f>HYPERLINK("http://www.informatics.jax.org/marker/MGI:2449202","MGI:2449202")</f>
        <v>MGI:2449202</v>
      </c>
      <c r="J1379" s="7" t="s">
        <v>12</v>
      </c>
    </row>
    <row r="1380" spans="1:10" x14ac:dyDescent="0.2">
      <c r="A1380" s="3">
        <v>516.87697893099403</v>
      </c>
      <c r="B1380" s="1">
        <v>0.17824866158055999</v>
      </c>
      <c r="C1380" s="1">
        <v>2.7115717444317999E-3</v>
      </c>
      <c r="D1380" s="7">
        <v>2.9102491788745102E-2</v>
      </c>
      <c r="E1380" s="1" t="s">
        <v>2474</v>
      </c>
      <c r="F1380" s="1" t="s">
        <v>2475</v>
      </c>
      <c r="G1380" s="1">
        <v>52713</v>
      </c>
      <c r="H1380" s="6" t="str">
        <f>HYPERLINK("http://www.ensembl.org/Mus_musculus/Gene/Summary?db=core;g=ENSMUSG00000019897","ENSMUSG00000019897")</f>
        <v>ENSMUSG00000019897</v>
      </c>
      <c r="I1380" s="6" t="str">
        <f>HYPERLINK("http://www.informatics.jax.org/marker/MGI:1289302","MGI:1289302")</f>
        <v>MGI:1289302</v>
      </c>
      <c r="J1380" s="7" t="s">
        <v>12</v>
      </c>
    </row>
    <row r="1381" spans="1:10" x14ac:dyDescent="0.2">
      <c r="A1381" s="3">
        <v>2141.2201717432299</v>
      </c>
      <c r="B1381" s="1">
        <v>0.14437997590922799</v>
      </c>
      <c r="C1381" s="1">
        <v>2.7187629804854298E-3</v>
      </c>
      <c r="D1381" s="7">
        <v>2.9137230022133299E-2</v>
      </c>
      <c r="E1381" s="1" t="s">
        <v>2290</v>
      </c>
      <c r="F1381" s="1" t="s">
        <v>2291</v>
      </c>
      <c r="G1381" s="1">
        <v>18786</v>
      </c>
      <c r="H1381" s="6" t="str">
        <f>HYPERLINK("http://www.ensembl.org/Mus_musculus/Gene/Summary?db=core;g=ENSMUSG00000028577","ENSMUSG00000028577")</f>
        <v>ENSMUSG00000028577</v>
      </c>
      <c r="I1381" s="6" t="str">
        <f>HYPERLINK("http://www.informatics.jax.org/marker/MGI:104810","MGI:104810")</f>
        <v>MGI:104810</v>
      </c>
      <c r="J1381" s="7" t="s">
        <v>12</v>
      </c>
    </row>
    <row r="1382" spans="1:10" x14ac:dyDescent="0.2">
      <c r="A1382" s="3">
        <v>19.524756835209899</v>
      </c>
      <c r="B1382" s="1">
        <v>0.70257606666577799</v>
      </c>
      <c r="C1382" s="1">
        <v>2.71751878938225E-3</v>
      </c>
      <c r="D1382" s="7">
        <v>2.9137230022133299E-2</v>
      </c>
      <c r="E1382" s="1" t="s">
        <v>3264</v>
      </c>
      <c r="F1382" s="1" t="s">
        <v>3265</v>
      </c>
      <c r="G1382" s="1">
        <v>13637</v>
      </c>
      <c r="H1382" s="6" t="str">
        <f>HYPERLINK("http://www.ensembl.org/Mus_musculus/Gene/Summary?db=core;g=ENSMUSG00000003070","ENSMUSG00000003070")</f>
        <v>ENSMUSG00000003070</v>
      </c>
      <c r="I1382" s="6" t="str">
        <f>HYPERLINK("http://www.informatics.jax.org/marker/MGI:102707","MGI:102707")</f>
        <v>MGI:102707</v>
      </c>
      <c r="J1382" s="7" t="s">
        <v>12</v>
      </c>
    </row>
    <row r="1383" spans="1:10" x14ac:dyDescent="0.2">
      <c r="A1383" s="3">
        <v>958.62533724721902</v>
      </c>
      <c r="B1383" s="1">
        <v>-0.23038972661773799</v>
      </c>
      <c r="C1383" s="1">
        <v>2.74117511598828E-3</v>
      </c>
      <c r="D1383" s="7">
        <v>2.9355941483094301E-2</v>
      </c>
      <c r="E1383" s="1" t="s">
        <v>1760</v>
      </c>
      <c r="F1383" s="1" t="s">
        <v>1761</v>
      </c>
      <c r="G1383" s="1">
        <v>192678</v>
      </c>
      <c r="H1383" s="6" t="str">
        <f>HYPERLINK("http://www.ensembl.org/Mus_musculus/Gene/Summary?db=core;g=ENSMUSG00000025795","ENSMUSG00000025795")</f>
        <v>ENSMUSG00000025795</v>
      </c>
      <c r="I1383" s="6" t="str">
        <f>HYPERLINK("http://www.informatics.jax.org/marker/MGI:2179722","MGI:2179722")</f>
        <v>MGI:2179722</v>
      </c>
      <c r="J1383" s="7" t="s">
        <v>12</v>
      </c>
    </row>
    <row r="1384" spans="1:10" x14ac:dyDescent="0.2">
      <c r="A1384" s="3">
        <v>649.69850252150604</v>
      </c>
      <c r="B1384" s="1">
        <v>-0.21338517345692601</v>
      </c>
      <c r="C1384" s="1">
        <v>2.74315495536243E-3</v>
      </c>
      <c r="D1384" s="7">
        <v>2.9355941483094301E-2</v>
      </c>
      <c r="E1384" s="1" t="s">
        <v>1844</v>
      </c>
      <c r="F1384" s="1" t="s">
        <v>1845</v>
      </c>
      <c r="G1384" s="1">
        <v>11409</v>
      </c>
      <c r="H1384" s="6" t="str">
        <f>HYPERLINK("http://www.ensembl.org/Mus_musculus/Gene/Summary?db=core;g=ENSMUSG00000029545","ENSMUSG00000029545")</f>
        <v>ENSMUSG00000029545</v>
      </c>
      <c r="I1384" s="6" t="str">
        <f>HYPERLINK("http://www.informatics.jax.org/marker/MGI:87868","MGI:87868")</f>
        <v>MGI:87868</v>
      </c>
      <c r="J1384" s="7" t="s">
        <v>12</v>
      </c>
    </row>
    <row r="1385" spans="1:10" x14ac:dyDescent="0.2">
      <c r="A1385" s="3">
        <v>163.68161571452401</v>
      </c>
      <c r="B1385" s="1">
        <v>-0.48205058112157201</v>
      </c>
      <c r="C1385" s="1">
        <v>2.75840587907708E-3</v>
      </c>
      <c r="D1385" s="7">
        <v>2.94846704062924E-2</v>
      </c>
      <c r="E1385" s="1" t="s">
        <v>877</v>
      </c>
      <c r="F1385" s="1" t="s">
        <v>878</v>
      </c>
      <c r="G1385" s="1">
        <v>26410</v>
      </c>
      <c r="H1385" s="6" t="str">
        <f>HYPERLINK("http://www.ensembl.org/Mus_musculus/Gene/Summary?db=core;g=ENSMUSG00000024235","ENSMUSG00000024235")</f>
        <v>ENSMUSG00000024235</v>
      </c>
      <c r="I1385" s="6" t="str">
        <f>HYPERLINK("http://www.informatics.jax.org/marker/MGI:1346878","MGI:1346878")</f>
        <v>MGI:1346878</v>
      </c>
      <c r="J1385" s="7" t="s">
        <v>12</v>
      </c>
    </row>
    <row r="1386" spans="1:10" x14ac:dyDescent="0.2">
      <c r="A1386" s="3">
        <v>140.10183193285101</v>
      </c>
      <c r="B1386" s="1">
        <v>0.36680389621158599</v>
      </c>
      <c r="C1386" s="1">
        <v>2.7591857010231501E-3</v>
      </c>
      <c r="D1386" s="7">
        <v>2.94846704062924E-2</v>
      </c>
      <c r="E1386" s="1" t="s">
        <v>3114</v>
      </c>
      <c r="F1386" s="1" t="s">
        <v>3115</v>
      </c>
      <c r="G1386" s="1" t="s">
        <v>45</v>
      </c>
      <c r="H1386" s="6" t="str">
        <f>HYPERLINK("http://www.ensembl.org/Mus_musculus/Gene/Summary?db=core;g=ENSMUSG00000049230","ENSMUSG00000049230")</f>
        <v>ENSMUSG00000049230</v>
      </c>
      <c r="I1386" s="6" t="str">
        <f>HYPERLINK("http://www.informatics.jax.org/marker/MGI:3641855","MGI:3641855")</f>
        <v>MGI:3641855</v>
      </c>
      <c r="J1386" s="7" t="s">
        <v>12</v>
      </c>
    </row>
    <row r="1387" spans="1:10" x14ac:dyDescent="0.2">
      <c r="A1387" s="3">
        <v>1081.7156508381299</v>
      </c>
      <c r="B1387" s="1">
        <v>-0.16985809878362301</v>
      </c>
      <c r="C1387" s="1">
        <v>2.7681054371657202E-3</v>
      </c>
      <c r="D1387" s="7">
        <v>2.9558551972517399E-2</v>
      </c>
      <c r="E1387" s="1" t="s">
        <v>2058</v>
      </c>
      <c r="F1387" s="1" t="s">
        <v>2059</v>
      </c>
      <c r="G1387" s="1">
        <v>103236</v>
      </c>
      <c r="H1387" s="6" t="str">
        <f>HYPERLINK("http://www.ensembl.org/Mus_musculus/Gene/Summary?db=core;g=ENSMUSG00000003345","ENSMUSG00000003345")</f>
        <v>ENSMUSG00000003345</v>
      </c>
      <c r="I1387" s="6" t="str">
        <f>HYPERLINK("http://www.informatics.jax.org/marker/MGI:1920014","MGI:1920014")</f>
        <v>MGI:1920014</v>
      </c>
      <c r="J1387" s="7" t="s">
        <v>12</v>
      </c>
    </row>
    <row r="1388" spans="1:10" x14ac:dyDescent="0.2">
      <c r="A1388" s="3">
        <v>1328.0306888442699</v>
      </c>
      <c r="B1388" s="1">
        <v>-0.350804114282389</v>
      </c>
      <c r="C1388" s="1">
        <v>2.77253753566143E-3</v>
      </c>
      <c r="D1388" s="7">
        <v>2.9563704159274399E-2</v>
      </c>
      <c r="E1388" s="1" t="s">
        <v>1242</v>
      </c>
      <c r="F1388" s="1" t="s">
        <v>1243</v>
      </c>
      <c r="G1388" s="1">
        <v>223697</v>
      </c>
      <c r="H1388" s="6" t="str">
        <f>HYPERLINK("http://www.ensembl.org/Mus_musculus/Gene/Summary?db=core;g=ENSMUSG00000042524","ENSMUSG00000042524")</f>
        <v>ENSMUSG00000042524</v>
      </c>
      <c r="I1388" s="6" t="str">
        <f>HYPERLINK("http://www.informatics.jax.org/marker/MGI:2443011","MGI:2443011")</f>
        <v>MGI:2443011</v>
      </c>
      <c r="J1388" s="7" t="s">
        <v>12</v>
      </c>
    </row>
    <row r="1389" spans="1:10" x14ac:dyDescent="0.2">
      <c r="A1389" s="3">
        <v>2646.7045307375101</v>
      </c>
      <c r="B1389" s="1">
        <v>0.11857803859852201</v>
      </c>
      <c r="C1389" s="1">
        <v>2.7726003765009E-3</v>
      </c>
      <c r="D1389" s="7">
        <v>2.9563704159274399E-2</v>
      </c>
      <c r="E1389" s="1" t="s">
        <v>2218</v>
      </c>
      <c r="F1389" s="1" t="s">
        <v>2219</v>
      </c>
      <c r="G1389" s="1">
        <v>54451</v>
      </c>
      <c r="H1389" s="6" t="str">
        <f>HYPERLINK("http://www.ensembl.org/Mus_musculus/Gene/Summary?db=core;g=ENSMUSG00000054309","ENSMUSG00000054309")</f>
        <v>ENSMUSG00000054309</v>
      </c>
      <c r="I1389" s="6" t="str">
        <f>HYPERLINK("http://www.informatics.jax.org/marker/MGI:1859328","MGI:1859328")</f>
        <v>MGI:1859328</v>
      </c>
      <c r="J1389" s="7" t="s">
        <v>12</v>
      </c>
    </row>
    <row r="1390" spans="1:10" x14ac:dyDescent="0.2">
      <c r="A1390" s="3">
        <v>1006.35910106022</v>
      </c>
      <c r="B1390" s="1">
        <v>0.18467023773348501</v>
      </c>
      <c r="C1390" s="1">
        <v>2.77467816983646E-3</v>
      </c>
      <c r="D1390" s="7">
        <v>2.95644667467173E-2</v>
      </c>
      <c r="E1390" s="1" t="s">
        <v>2508</v>
      </c>
      <c r="F1390" s="1" t="s">
        <v>2509</v>
      </c>
      <c r="G1390" s="1">
        <v>56505</v>
      </c>
      <c r="H1390" s="6" t="str">
        <f>HYPERLINK("http://www.ensembl.org/Mus_musculus/Gene/Summary?db=core;g=ENSMUSG00000030079","ENSMUSG00000030079")</f>
        <v>ENSMUSG00000030079</v>
      </c>
      <c r="I1390" s="6" t="str">
        <f>HYPERLINK("http://www.informatics.jax.org/marker/MGI:1928760","MGI:1928760")</f>
        <v>MGI:1928760</v>
      </c>
      <c r="J1390" s="7" t="s">
        <v>12</v>
      </c>
    </row>
    <row r="1391" spans="1:10" x14ac:dyDescent="0.2">
      <c r="A1391" s="3">
        <v>947.131538968153</v>
      </c>
      <c r="B1391" s="1">
        <v>-0.16863211160015401</v>
      </c>
      <c r="C1391" s="1">
        <v>2.7818695585725898E-3</v>
      </c>
      <c r="D1391" s="7">
        <v>2.9619674721911599E-2</v>
      </c>
      <c r="E1391" s="1" t="s">
        <v>2060</v>
      </c>
      <c r="F1391" s="1" t="s">
        <v>2061</v>
      </c>
      <c r="G1391" s="1">
        <v>93871</v>
      </c>
      <c r="H1391" s="6" t="str">
        <f>HYPERLINK("http://www.ensembl.org/Mus_musculus/Gene/Summary?db=core;g=ENSMUSG00000022914","ENSMUSG00000022914")</f>
        <v>ENSMUSG00000022914</v>
      </c>
      <c r="I1391" s="6" t="str">
        <f>HYPERLINK("http://www.informatics.jax.org/marker/MGI:1890651","MGI:1890651")</f>
        <v>MGI:1890651</v>
      </c>
      <c r="J1391" s="7" t="s">
        <v>12</v>
      </c>
    </row>
    <row r="1392" spans="1:10" x14ac:dyDescent="0.2">
      <c r="A1392" s="3">
        <v>409.86513551950299</v>
      </c>
      <c r="B1392" s="1">
        <v>-0.53400826177243699</v>
      </c>
      <c r="C1392" s="1">
        <v>2.7902827641993399E-3</v>
      </c>
      <c r="D1392" s="7">
        <v>2.96449940975065E-2</v>
      </c>
      <c r="E1392" s="1" t="s">
        <v>781</v>
      </c>
      <c r="F1392" s="1" t="s">
        <v>782</v>
      </c>
      <c r="G1392" s="1">
        <v>74153</v>
      </c>
      <c r="H1392" s="6" t="str">
        <f>HYPERLINK("http://www.ensembl.org/Mus_musculus/Gene/Summary?db=core;g=ENSMUSG00000032596","ENSMUSG00000032596")</f>
        <v>ENSMUSG00000032596</v>
      </c>
      <c r="I1392" s="6" t="str">
        <f>HYPERLINK("http://www.informatics.jax.org/marker/MGI:1349462","MGI:1349462")</f>
        <v>MGI:1349462</v>
      </c>
      <c r="J1392" s="7" t="s">
        <v>12</v>
      </c>
    </row>
    <row r="1393" spans="1:10" x14ac:dyDescent="0.2">
      <c r="A1393" s="3">
        <v>2484.14969618856</v>
      </c>
      <c r="B1393" s="1">
        <v>0.132558547886268</v>
      </c>
      <c r="C1393" s="1">
        <v>2.7900553671807902E-3</v>
      </c>
      <c r="D1393" s="7">
        <v>2.96449940975065E-2</v>
      </c>
      <c r="E1393" s="1" t="s">
        <v>2248</v>
      </c>
      <c r="F1393" s="1" t="s">
        <v>2249</v>
      </c>
      <c r="G1393" s="1">
        <v>52513</v>
      </c>
      <c r="H1393" s="6" t="str">
        <f>HYPERLINK("http://www.ensembl.org/Mus_musculus/Gene/Summary?db=core;g=ENSMUSG00000004393","ENSMUSG00000004393")</f>
        <v>ENSMUSG00000004393</v>
      </c>
      <c r="I1393" s="6" t="str">
        <f>HYPERLINK("http://www.informatics.jax.org/marker/MGI:1277172","MGI:1277172")</f>
        <v>MGI:1277172</v>
      </c>
      <c r="J1393" s="7" t="s">
        <v>12</v>
      </c>
    </row>
    <row r="1394" spans="1:10" x14ac:dyDescent="0.2">
      <c r="A1394" s="3">
        <v>15.2961947918457</v>
      </c>
      <c r="B1394" s="1">
        <v>0.83403077664777503</v>
      </c>
      <c r="C1394" s="1">
        <v>2.7887647338506101E-3</v>
      </c>
      <c r="D1394" s="7">
        <v>2.96449940975065E-2</v>
      </c>
      <c r="E1394" s="1" t="s">
        <v>3294</v>
      </c>
      <c r="F1394" s="1" t="s">
        <v>3295</v>
      </c>
      <c r="G1394" s="1">
        <v>15205</v>
      </c>
      <c r="H1394" s="6" t="str">
        <f>HYPERLINK("http://www.ensembl.org/Mus_musculus/Gene/Summary?db=core;g=ENSMUSG00000022528","ENSMUSG00000022528")</f>
        <v>ENSMUSG00000022528</v>
      </c>
      <c r="I1394" s="6" t="str">
        <f>HYPERLINK("http://www.informatics.jax.org/marker/MGI:104853","MGI:104853")</f>
        <v>MGI:104853</v>
      </c>
      <c r="J1394" s="7" t="s">
        <v>12</v>
      </c>
    </row>
    <row r="1395" spans="1:10" x14ac:dyDescent="0.2">
      <c r="A1395" s="3">
        <v>3253.15393531263</v>
      </c>
      <c r="B1395" s="1">
        <v>-0.131574858803572</v>
      </c>
      <c r="C1395" s="1">
        <v>2.8086269851823899E-3</v>
      </c>
      <c r="D1395" s="7">
        <v>2.9812435320489099E-2</v>
      </c>
      <c r="E1395" s="1" t="s">
        <v>2148</v>
      </c>
      <c r="F1395" s="1" t="s">
        <v>2149</v>
      </c>
      <c r="G1395" s="1">
        <v>99371</v>
      </c>
      <c r="H1395" s="6" t="str">
        <f>HYPERLINK("http://www.ensembl.org/Mus_musculus/Gene/Summary?db=core;g=ENSMUSG00000074582","ENSMUSG00000074582")</f>
        <v>ENSMUSG00000074582</v>
      </c>
      <c r="I1395" s="6" t="str">
        <f>HYPERLINK("http://www.informatics.jax.org/marker/MGI:2139354","MGI:2139354")</f>
        <v>MGI:2139354</v>
      </c>
      <c r="J1395" s="7" t="s">
        <v>12</v>
      </c>
    </row>
    <row r="1396" spans="1:10" x14ac:dyDescent="0.2">
      <c r="A1396" s="3">
        <v>128.60192217087899</v>
      </c>
      <c r="B1396" s="1">
        <v>0.35283832149364602</v>
      </c>
      <c r="C1396" s="1">
        <v>2.8100890784581501E-3</v>
      </c>
      <c r="D1396" s="7">
        <v>2.9812435320489099E-2</v>
      </c>
      <c r="E1396" s="1" t="s">
        <v>3098</v>
      </c>
      <c r="F1396" s="1" t="s">
        <v>3099</v>
      </c>
      <c r="G1396" s="1">
        <v>68857</v>
      </c>
      <c r="H1396" s="6" t="str">
        <f>HYPERLINK("http://www.ensembl.org/Mus_musculus/Gene/Summary?db=core;g=ENSMUSG00000024505","ENSMUSG00000024505")</f>
        <v>ENSMUSG00000024505</v>
      </c>
      <c r="I1396" s="6" t="str">
        <f>HYPERLINK("http://www.informatics.jax.org/marker/MGI:1916107","MGI:1916107")</f>
        <v>MGI:1916107</v>
      </c>
      <c r="J1396" s="7" t="s">
        <v>12</v>
      </c>
    </row>
    <row r="1397" spans="1:10" x14ac:dyDescent="0.2">
      <c r="A1397" s="3">
        <v>4680.5504637430404</v>
      </c>
      <c r="B1397" s="1">
        <v>-0.530466814480135</v>
      </c>
      <c r="C1397" s="1">
        <v>2.8139681374013299E-3</v>
      </c>
      <c r="D1397" s="7">
        <v>2.9828666418574401E-2</v>
      </c>
      <c r="E1397" s="1" t="s">
        <v>789</v>
      </c>
      <c r="F1397" s="1" t="s">
        <v>790</v>
      </c>
      <c r="G1397" s="1">
        <v>21926</v>
      </c>
      <c r="H1397" s="6" t="str">
        <f>HYPERLINK("http://www.ensembl.org/Mus_musculus/Gene/Summary?db=core;g=ENSMUSG00000024401","ENSMUSG00000024401")</f>
        <v>ENSMUSG00000024401</v>
      </c>
      <c r="I1397" s="6" t="str">
        <f>HYPERLINK("http://www.informatics.jax.org/marker/MGI:104798","MGI:104798")</f>
        <v>MGI:104798</v>
      </c>
      <c r="J1397" s="7" t="s">
        <v>12</v>
      </c>
    </row>
    <row r="1398" spans="1:10" x14ac:dyDescent="0.2">
      <c r="A1398" s="3">
        <v>41.019817582369797</v>
      </c>
      <c r="B1398" s="1">
        <v>-0.52858063202583505</v>
      </c>
      <c r="C1398" s="1">
        <v>2.8156674123396498E-3</v>
      </c>
      <c r="D1398" s="7">
        <v>2.9828666418574401E-2</v>
      </c>
      <c r="E1398" s="1" t="s">
        <v>801</v>
      </c>
      <c r="F1398" s="1" t="s">
        <v>802</v>
      </c>
      <c r="G1398" s="1" t="s">
        <v>45</v>
      </c>
      <c r="H1398" s="6" t="str">
        <f>HYPERLINK("http://www.ensembl.org/Mus_musculus/Gene/Summary?db=core;g=ENSMUSG00000074466","ENSMUSG00000074466")</f>
        <v>ENSMUSG00000074466</v>
      </c>
      <c r="I1398" s="6" t="str">
        <f>HYPERLINK("http://www.informatics.jax.org/marker/MGI:3642531","MGI:3642531")</f>
        <v>MGI:3642531</v>
      </c>
      <c r="J1398" s="7" t="s">
        <v>46</v>
      </c>
    </row>
    <row r="1399" spans="1:10" x14ac:dyDescent="0.2">
      <c r="A1399" s="3">
        <v>1093.7982174693</v>
      </c>
      <c r="B1399" s="1">
        <v>0.15905377499928899</v>
      </c>
      <c r="C1399" s="1">
        <v>2.8328438255244598E-3</v>
      </c>
      <c r="D1399" s="7">
        <v>2.9989070842621E-2</v>
      </c>
      <c r="E1399" s="1" t="s">
        <v>2366</v>
      </c>
      <c r="F1399" s="1" t="s">
        <v>2367</v>
      </c>
      <c r="G1399" s="1">
        <v>209354</v>
      </c>
      <c r="H1399" s="6" t="str">
        <f>HYPERLINK("http://www.ensembl.org/Mus_musculus/Gene/Summary?db=core;g=ENSMUSG00000029388","ENSMUSG00000029388")</f>
        <v>ENSMUSG00000029388</v>
      </c>
      <c r="I1399" s="6" t="str">
        <f>HYPERLINK("http://www.informatics.jax.org/marker/MGI:2384802","MGI:2384802")</f>
        <v>MGI:2384802</v>
      </c>
      <c r="J1399" s="7" t="s">
        <v>12</v>
      </c>
    </row>
    <row r="1400" spans="1:10" x14ac:dyDescent="0.2">
      <c r="A1400" s="3">
        <v>116.762835363238</v>
      </c>
      <c r="B1400" s="1">
        <v>-0.59582975451890396</v>
      </c>
      <c r="C1400" s="1">
        <v>2.84538957567948E-3</v>
      </c>
      <c r="D1400" s="7">
        <v>3.00939476378989E-2</v>
      </c>
      <c r="E1400" s="1" t="s">
        <v>683</v>
      </c>
      <c r="F1400" s="1" t="s">
        <v>684</v>
      </c>
      <c r="G1400" s="1">
        <v>72297</v>
      </c>
      <c r="H1400" s="6" t="str">
        <f>HYPERLINK("http://www.ensembl.org/Mus_musculus/Gene/Summary?db=core;g=ENSMUSG00000031803","ENSMUSG00000031803")</f>
        <v>ENSMUSG00000031803</v>
      </c>
      <c r="I1400" s="6" t="str">
        <f>HYPERLINK("http://www.informatics.jax.org/marker/MGI:2152535","MGI:2152535")</f>
        <v>MGI:2152535</v>
      </c>
      <c r="J1400" s="7" t="s">
        <v>12</v>
      </c>
    </row>
    <row r="1401" spans="1:10" x14ac:dyDescent="0.2">
      <c r="A1401" s="3">
        <v>137.915164783177</v>
      </c>
      <c r="B1401" s="1">
        <v>-0.37209145490034901</v>
      </c>
      <c r="C1401" s="1">
        <v>2.8468351660715999E-3</v>
      </c>
      <c r="D1401" s="7">
        <v>3.00939476378989E-2</v>
      </c>
      <c r="E1401" s="1" t="s">
        <v>1162</v>
      </c>
      <c r="F1401" s="1" t="s">
        <v>1163</v>
      </c>
      <c r="G1401" s="1">
        <v>66300</v>
      </c>
      <c r="H1401" s="6" t="str">
        <f>HYPERLINK("http://www.ensembl.org/Mus_musculus/Gene/Summary?db=core;g=ENSMUSG00000091811","ENSMUSG00000091811")</f>
        <v>ENSMUSG00000091811</v>
      </c>
      <c r="I1401" s="6" t="str">
        <f>HYPERLINK("http://www.informatics.jax.org/marker/MGI:1913550","MGI:1913550")</f>
        <v>MGI:1913550</v>
      </c>
      <c r="J1401" s="7" t="s">
        <v>12</v>
      </c>
    </row>
    <row r="1402" spans="1:10" x14ac:dyDescent="0.2">
      <c r="A1402" s="3">
        <v>523.24939174398696</v>
      </c>
      <c r="B1402" s="1">
        <v>0.281713235971082</v>
      </c>
      <c r="C1402" s="1">
        <v>2.8643304914997502E-3</v>
      </c>
      <c r="D1402" s="7">
        <v>3.02571857510683E-2</v>
      </c>
      <c r="E1402" s="1" t="s">
        <v>2972</v>
      </c>
      <c r="F1402" s="1" t="s">
        <v>2973</v>
      </c>
      <c r="G1402" s="1">
        <v>18415</v>
      </c>
      <c r="H1402" s="6" t="str">
        <f>HYPERLINK("http://www.ensembl.org/Mus_musculus/Gene/Summary?db=core;g=ENSMUSG00000025757","ENSMUSG00000025757")</f>
        <v>ENSMUSG00000025757</v>
      </c>
      <c r="I1402" s="6" t="str">
        <f>HYPERLINK("http://www.informatics.jax.org/marker/MGI:107422","MGI:107422")</f>
        <v>MGI:107422</v>
      </c>
      <c r="J1402" s="7" t="s">
        <v>12</v>
      </c>
    </row>
    <row r="1403" spans="1:10" x14ac:dyDescent="0.2">
      <c r="A1403" s="3">
        <v>385.53239410724098</v>
      </c>
      <c r="B1403" s="1">
        <v>-0.23809133261276999</v>
      </c>
      <c r="C1403" s="1">
        <v>2.8706643966457598E-3</v>
      </c>
      <c r="D1403" s="7">
        <v>3.03023714534182E-2</v>
      </c>
      <c r="E1403" s="1" t="s">
        <v>1718</v>
      </c>
      <c r="F1403" s="1" t="s">
        <v>1719</v>
      </c>
      <c r="G1403" s="1">
        <v>246221</v>
      </c>
      <c r="H1403" s="6" t="str">
        <f>HYPERLINK("http://www.ensembl.org/Mus_musculus/Gene/Summary?db=core;g=ENSMUSG00000071711","ENSMUSG00000071711")</f>
        <v>ENSMUSG00000071711</v>
      </c>
      <c r="I1403" s="6" t="str">
        <f>HYPERLINK("http://www.informatics.jax.org/marker/MGI:2179733","MGI:2179733")</f>
        <v>MGI:2179733</v>
      </c>
      <c r="J1403" s="7" t="s">
        <v>12</v>
      </c>
    </row>
    <row r="1404" spans="1:10" x14ac:dyDescent="0.2">
      <c r="A1404" s="3">
        <v>1588.3156660622401</v>
      </c>
      <c r="B1404" s="1">
        <v>-0.157474741563218</v>
      </c>
      <c r="C1404" s="1">
        <v>2.87562011503018E-3</v>
      </c>
      <c r="D1404" s="7">
        <v>3.03329549141623E-2</v>
      </c>
      <c r="E1404" s="1" t="s">
        <v>2098</v>
      </c>
      <c r="F1404" s="1" t="s">
        <v>2099</v>
      </c>
      <c r="G1404" s="1">
        <v>57915</v>
      </c>
      <c r="H1404" s="6" t="str">
        <f>HYPERLINK("http://www.ensembl.org/Mus_musculus/Gene/Summary?db=core;g=ENSMUSG00000029174","ENSMUSG00000029174")</f>
        <v>ENSMUSG00000029174</v>
      </c>
      <c r="I1404" s="6" t="str">
        <f>HYPERLINK("http://www.informatics.jax.org/marker/MGI:1889508","MGI:1889508")</f>
        <v>MGI:1889508</v>
      </c>
      <c r="J1404" s="7" t="s">
        <v>12</v>
      </c>
    </row>
    <row r="1405" spans="1:10" x14ac:dyDescent="0.2">
      <c r="A1405" s="3">
        <v>218.56821159970301</v>
      </c>
      <c r="B1405" s="1">
        <v>0.287875596618336</v>
      </c>
      <c r="C1405" s="1">
        <v>2.8861345041496598E-3</v>
      </c>
      <c r="D1405" s="7">
        <v>3.0422087305543199E-2</v>
      </c>
      <c r="E1405" s="1" t="s">
        <v>2980</v>
      </c>
      <c r="F1405" s="1" t="s">
        <v>2981</v>
      </c>
      <c r="G1405" s="1">
        <v>170823</v>
      </c>
      <c r="H1405" s="6" t="str">
        <f>HYPERLINK("http://www.ensembl.org/Mus_musculus/Gene/Summary?db=core;g=ENSMUSG00000029276","ENSMUSG00000029276")</f>
        <v>ENSMUSG00000029276</v>
      </c>
      <c r="I1405" s="6" t="str">
        <f>HYPERLINK("http://www.informatics.jax.org/marker/MGI:2141180","MGI:2141180")</f>
        <v>MGI:2141180</v>
      </c>
      <c r="J1405" s="7" t="s">
        <v>12</v>
      </c>
    </row>
    <row r="1406" spans="1:10" x14ac:dyDescent="0.2">
      <c r="A1406" s="3">
        <v>332.32515682959598</v>
      </c>
      <c r="B1406" s="1">
        <v>-0.198592813313615</v>
      </c>
      <c r="C1406" s="1">
        <v>2.8935762984188501E-3</v>
      </c>
      <c r="D1406" s="7">
        <v>3.0478727901000899E-2</v>
      </c>
      <c r="E1406" s="1" t="s">
        <v>1922</v>
      </c>
      <c r="F1406" s="1" t="s">
        <v>1923</v>
      </c>
      <c r="G1406" s="1">
        <v>17828</v>
      </c>
      <c r="H1406" s="6" t="str">
        <f>HYPERLINK("http://www.ensembl.org/Mus_musculus/Gene/Summary?db=core;g=ENSMUSG00000038982","ENSMUSG00000038982")</f>
        <v>ENSMUSG00000038982</v>
      </c>
      <c r="I1406" s="6" t="str">
        <f>HYPERLINK("http://www.informatics.jax.org/marker/MGI:2178598","MGI:2178598")</f>
        <v>MGI:2178598</v>
      </c>
      <c r="J1406" s="7" t="s">
        <v>12</v>
      </c>
    </row>
    <row r="1407" spans="1:10" x14ac:dyDescent="0.2">
      <c r="A1407" s="3">
        <v>39.941568728121098</v>
      </c>
      <c r="B1407" s="1">
        <v>-0.56637898939584297</v>
      </c>
      <c r="C1407" s="1">
        <v>2.9029209214325802E-3</v>
      </c>
      <c r="D1407" s="7">
        <v>3.0555316213021801E-2</v>
      </c>
      <c r="E1407" s="1" t="s">
        <v>735</v>
      </c>
      <c r="F1407" s="1" t="s">
        <v>736</v>
      </c>
      <c r="G1407" s="1" t="s">
        <v>45</v>
      </c>
      <c r="H1407" s="6" t="str">
        <f>HYPERLINK("http://www.ensembl.org/Mus_musculus/Gene/Summary?db=core;g=ENSMUSG00000099632","ENSMUSG00000099632")</f>
        <v>ENSMUSG00000099632</v>
      </c>
      <c r="I1407" s="6" t="str">
        <f>HYPERLINK("http://www.informatics.jax.org/marker/MGI:1915287","MGI:1915287")</f>
        <v>MGI:1915287</v>
      </c>
      <c r="J1407" s="7" t="s">
        <v>46</v>
      </c>
    </row>
    <row r="1408" spans="1:10" x14ac:dyDescent="0.2">
      <c r="A1408" s="3">
        <v>71.136219409554599</v>
      </c>
      <c r="B1408" s="1">
        <v>-0.51450853383235995</v>
      </c>
      <c r="C1408" s="1">
        <v>2.91344455387996E-3</v>
      </c>
      <c r="D1408" s="7">
        <v>3.0644196249803701E-2</v>
      </c>
      <c r="E1408" s="1" t="s">
        <v>813</v>
      </c>
      <c r="F1408" s="1" t="s">
        <v>814</v>
      </c>
      <c r="G1408" s="1">
        <v>77252</v>
      </c>
      <c r="H1408" s="6" t="str">
        <f>HYPERLINK("http://www.ensembl.org/Mus_musculus/Gene/Summary?db=core;g=ENSMUSG00000040139","ENSMUSG00000040139")</f>
        <v>ENSMUSG00000040139</v>
      </c>
      <c r="I1408" s="6" t="str">
        <f>HYPERLINK("http://www.informatics.jax.org/marker/MGI:1924502","MGI:1924502")</f>
        <v>MGI:1924502</v>
      </c>
      <c r="J1408" s="7" t="s">
        <v>12</v>
      </c>
    </row>
    <row r="1409" spans="1:10" x14ac:dyDescent="0.2">
      <c r="A1409" s="3">
        <v>1276.72369728493</v>
      </c>
      <c r="B1409" s="1">
        <v>-0.33644605803053002</v>
      </c>
      <c r="C1409" s="1">
        <v>2.9302524864945798E-3</v>
      </c>
      <c r="D1409" s="7">
        <v>3.0799001883726199E-2</v>
      </c>
      <c r="E1409" s="1" t="s">
        <v>1280</v>
      </c>
      <c r="F1409" s="1" t="s">
        <v>1281</v>
      </c>
      <c r="G1409" s="1">
        <v>11520</v>
      </c>
      <c r="H1409" s="6" t="str">
        <f>HYPERLINK("http://www.ensembl.org/Mus_musculus/Gene/Summary?db=core;g=ENSMUSG00000028494","ENSMUSG00000028494")</f>
        <v>ENSMUSG00000028494</v>
      </c>
      <c r="I1409" s="6" t="str">
        <f>HYPERLINK("http://www.informatics.jax.org/marker/MGI:87920","MGI:87920")</f>
        <v>MGI:87920</v>
      </c>
      <c r="J1409" s="7" t="s">
        <v>12</v>
      </c>
    </row>
    <row r="1410" spans="1:10" x14ac:dyDescent="0.2">
      <c r="A1410" s="3">
        <v>1708.0666724033099</v>
      </c>
      <c r="B1410" s="1">
        <v>-0.20316552065160301</v>
      </c>
      <c r="C1410" s="1">
        <v>2.9436346365246E-3</v>
      </c>
      <c r="D1410" s="7">
        <v>3.0917605134587599E-2</v>
      </c>
      <c r="E1410" s="1" t="s">
        <v>1890</v>
      </c>
      <c r="F1410" s="1" t="s">
        <v>1891</v>
      </c>
      <c r="G1410" s="1">
        <v>227298</v>
      </c>
      <c r="H1410" s="6" t="str">
        <f>HYPERLINK("http://www.ensembl.org/Mus_musculus/Gene/Summary?db=core;g=ENSMUSG00000049339","ENSMUSG00000049339")</f>
        <v>ENSMUSG00000049339</v>
      </c>
      <c r="I1410" s="6" t="str">
        <f>HYPERLINK("http://www.informatics.jax.org/marker/MGI:2388278","MGI:2388278")</f>
        <v>MGI:2388278</v>
      </c>
      <c r="J1410" s="7" t="s">
        <v>12</v>
      </c>
    </row>
    <row r="1411" spans="1:10" x14ac:dyDescent="0.2">
      <c r="A1411" s="3">
        <v>6466.3097469370296</v>
      </c>
      <c r="B1411" s="1">
        <v>-0.40452230439354903</v>
      </c>
      <c r="C1411" s="1">
        <v>2.9526607280641001E-3</v>
      </c>
      <c r="D1411" s="7">
        <v>3.0990319436433499E-2</v>
      </c>
      <c r="E1411" s="1" t="s">
        <v>1089</v>
      </c>
      <c r="F1411" s="1" t="s">
        <v>1090</v>
      </c>
      <c r="G1411" s="1">
        <v>13010</v>
      </c>
      <c r="H1411" s="6" t="str">
        <f>HYPERLINK("http://www.ensembl.org/Mus_musculus/Gene/Summary?db=core;g=ENSMUSG00000027447","ENSMUSG00000027447")</f>
        <v>ENSMUSG00000027447</v>
      </c>
      <c r="I1411" s="6" t="str">
        <f>HYPERLINK("http://www.informatics.jax.org/marker/MGI:102519","MGI:102519")</f>
        <v>MGI:102519</v>
      </c>
      <c r="J1411" s="7" t="s">
        <v>12</v>
      </c>
    </row>
    <row r="1412" spans="1:10" x14ac:dyDescent="0.2">
      <c r="A1412" s="3">
        <v>42.948088835553101</v>
      </c>
      <c r="B1412" s="1">
        <v>-0.586407878180635</v>
      </c>
      <c r="C1412" s="1">
        <v>2.99312733532019E-3</v>
      </c>
      <c r="D1412" s="7">
        <v>3.1392686415144699E-2</v>
      </c>
      <c r="E1412" s="1" t="s">
        <v>697</v>
      </c>
      <c r="F1412" s="1" t="s">
        <v>698</v>
      </c>
      <c r="G1412" s="1">
        <v>66892</v>
      </c>
      <c r="H1412" s="6" t="str">
        <f>HYPERLINK("http://www.ensembl.org/Mus_musculus/Gene/Summary?db=core;g=ENSMUSG00000093661","ENSMUSG00000093661")</f>
        <v>ENSMUSG00000093661</v>
      </c>
      <c r="I1412" s="6" t="str">
        <f>HYPERLINK("http://www.informatics.jax.org/marker/MGI:1914142","MGI:1914142")</f>
        <v>MGI:1914142</v>
      </c>
      <c r="J1412" s="7" t="s">
        <v>12</v>
      </c>
    </row>
    <row r="1413" spans="1:10" x14ac:dyDescent="0.2">
      <c r="A1413" s="3">
        <v>60.310927079922202</v>
      </c>
      <c r="B1413" s="1">
        <v>0.55038954731415501</v>
      </c>
      <c r="C1413" s="1">
        <v>2.9989898855885002E-3</v>
      </c>
      <c r="D1413" s="7">
        <v>3.14318029545037E-2</v>
      </c>
      <c r="E1413" s="1" t="s">
        <v>3222</v>
      </c>
      <c r="F1413" s="1" t="s">
        <v>3223</v>
      </c>
      <c r="G1413" s="1">
        <v>54447</v>
      </c>
      <c r="H1413" s="6" t="str">
        <f>HYPERLINK("http://www.ensembl.org/Mus_musculus/Gene/Summary?db=core;g=ENSMUSG00000024887","ENSMUSG00000024887")</f>
        <v>ENSMUSG00000024887</v>
      </c>
      <c r="I1413" s="6" t="str">
        <f>HYPERLINK("http://www.informatics.jax.org/marker/MGI:1859310","MGI:1859310")</f>
        <v>MGI:1859310</v>
      </c>
      <c r="J1413" s="7" t="s">
        <v>12</v>
      </c>
    </row>
    <row r="1414" spans="1:10" x14ac:dyDescent="0.2">
      <c r="A1414" s="3">
        <v>1027.2297998638901</v>
      </c>
      <c r="B1414" s="1">
        <v>-0.211605424912649</v>
      </c>
      <c r="C1414" s="1">
        <v>3.0058387282887499E-3</v>
      </c>
      <c r="D1414" s="7">
        <v>3.1481193674529603E-2</v>
      </c>
      <c r="E1414" s="1" t="s">
        <v>1854</v>
      </c>
      <c r="F1414" s="1" t="s">
        <v>1855</v>
      </c>
      <c r="G1414" s="1">
        <v>21815</v>
      </c>
      <c r="H1414" s="6" t="str">
        <f>HYPERLINK("http://www.ensembl.org/Mus_musculus/Gene/Summary?db=core;g=ENSMUSG00000047407","ENSMUSG00000047407")</f>
        <v>ENSMUSG00000047407</v>
      </c>
      <c r="I1414" s="6" t="str">
        <f>HYPERLINK("http://www.informatics.jax.org/marker/MGI:1194497","MGI:1194497")</f>
        <v>MGI:1194497</v>
      </c>
      <c r="J1414" s="7" t="s">
        <v>12</v>
      </c>
    </row>
    <row r="1415" spans="1:10" x14ac:dyDescent="0.2">
      <c r="A1415" s="3">
        <v>3980.97520846509</v>
      </c>
      <c r="B1415" s="1">
        <v>0.101087976390936</v>
      </c>
      <c r="C1415" s="1">
        <v>3.0168014092720199E-3</v>
      </c>
      <c r="D1415" s="7">
        <v>3.1573569294767401E-2</v>
      </c>
      <c r="E1415" s="1" t="s">
        <v>2184</v>
      </c>
      <c r="F1415" s="1" t="s">
        <v>2185</v>
      </c>
      <c r="G1415" s="1">
        <v>11800</v>
      </c>
      <c r="H1415" s="6" t="str">
        <f>HYPERLINK("http://www.ensembl.org/Mus_musculus/Gene/Summary?db=core;g=ENSMUSG00000027193","ENSMUSG00000027193")</f>
        <v>ENSMUSG00000027193</v>
      </c>
      <c r="I1415" s="6" t="str">
        <f>HYPERLINK("http://www.informatics.jax.org/marker/MGI:1888993","MGI:1888993")</f>
        <v>MGI:1888993</v>
      </c>
      <c r="J1415" s="7" t="s">
        <v>12</v>
      </c>
    </row>
    <row r="1416" spans="1:10" x14ac:dyDescent="0.2">
      <c r="A1416" s="3">
        <v>1757.61899814967</v>
      </c>
      <c r="B1416" s="1">
        <v>-0.17604091567414401</v>
      </c>
      <c r="C1416" s="1">
        <v>3.0337841056466701E-3</v>
      </c>
      <c r="D1416" s="7">
        <v>3.1728774010510503E-2</v>
      </c>
      <c r="E1416" s="1" t="s">
        <v>2026</v>
      </c>
      <c r="F1416" s="1" t="s">
        <v>2027</v>
      </c>
      <c r="G1416" s="1">
        <v>110651</v>
      </c>
      <c r="H1416" s="6" t="str">
        <f>HYPERLINK("http://www.ensembl.org/Mus_musculus/Gene/Summary?db=core;g=ENSMUSG00000031309","ENSMUSG00000031309")</f>
        <v>ENSMUSG00000031309</v>
      </c>
      <c r="I1416" s="6" t="str">
        <f>HYPERLINK("http://www.informatics.jax.org/marker/MGI:104557","MGI:104557")</f>
        <v>MGI:104557</v>
      </c>
      <c r="J1416" s="7" t="s">
        <v>12</v>
      </c>
    </row>
    <row r="1417" spans="1:10" x14ac:dyDescent="0.2">
      <c r="A1417" s="3">
        <v>451.47461798524603</v>
      </c>
      <c r="B1417" s="1">
        <v>0.23675132796715201</v>
      </c>
      <c r="C1417" s="1">
        <v>3.0419673767714799E-3</v>
      </c>
      <c r="D1417" s="7">
        <v>3.1791795222769099E-2</v>
      </c>
      <c r="E1417" s="1" t="s">
        <v>2822</v>
      </c>
      <c r="F1417" s="1" t="s">
        <v>2823</v>
      </c>
      <c r="G1417" s="1">
        <v>73419</v>
      </c>
      <c r="H1417" s="6" t="str">
        <f>HYPERLINK("http://www.ensembl.org/Mus_musculus/Gene/Summary?db=core;g=ENSMUSG00000061759","ENSMUSG00000061759")</f>
        <v>ENSMUSG00000061759</v>
      </c>
      <c r="I1417" s="6" t="str">
        <f>HYPERLINK("http://www.informatics.jax.org/marker/MGI:1920669","MGI:1920669")</f>
        <v>MGI:1920669</v>
      </c>
      <c r="J1417" s="7" t="s">
        <v>12</v>
      </c>
    </row>
    <row r="1418" spans="1:10" x14ac:dyDescent="0.2">
      <c r="A1418" s="3">
        <v>3142.5374072413802</v>
      </c>
      <c r="B1418" s="1">
        <v>0.15259931437355101</v>
      </c>
      <c r="C1418" s="1">
        <v>3.05252215985711E-3</v>
      </c>
      <c r="D1418" s="7">
        <v>3.1879494364035699E-2</v>
      </c>
      <c r="E1418" s="1" t="s">
        <v>2330</v>
      </c>
      <c r="F1418" s="1" t="s">
        <v>2331</v>
      </c>
      <c r="G1418" s="1">
        <v>16341</v>
      </c>
      <c r="H1418" s="6" t="str">
        <f>HYPERLINK("http://www.ensembl.org/Mus_musculus/Gene/Summary?db=core;g=ENSMUSG00000022336","ENSMUSG00000022336")</f>
        <v>ENSMUSG00000022336</v>
      </c>
      <c r="I1418" s="6" t="str">
        <f>HYPERLINK("http://www.informatics.jax.org/marker/MGI:99257","MGI:99257")</f>
        <v>MGI:99257</v>
      </c>
      <c r="J1418" s="7" t="s">
        <v>12</v>
      </c>
    </row>
    <row r="1419" spans="1:10" x14ac:dyDescent="0.2">
      <c r="A1419" s="3">
        <v>218.96525592236</v>
      </c>
      <c r="B1419" s="1">
        <v>0.24362168634883799</v>
      </c>
      <c r="C1419" s="1">
        <v>3.0696204089071498E-3</v>
      </c>
      <c r="D1419" s="7">
        <v>3.2035358601739297E-2</v>
      </c>
      <c r="E1419" s="1" t="s">
        <v>2854</v>
      </c>
      <c r="F1419" s="1" t="s">
        <v>2855</v>
      </c>
      <c r="G1419" s="1">
        <v>70207</v>
      </c>
      <c r="H1419" s="6" t="str">
        <f>HYPERLINK("http://www.ensembl.org/Mus_musculus/Gene/Summary?db=core;g=ENSMUSG00000001983","ENSMUSG00000001983")</f>
        <v>ENSMUSG00000001983</v>
      </c>
      <c r="I1419" s="6" t="str">
        <f>HYPERLINK("http://www.informatics.jax.org/marker/MGI:1917457","MGI:1917457")</f>
        <v>MGI:1917457</v>
      </c>
      <c r="J1419" s="7" t="s">
        <v>12</v>
      </c>
    </row>
    <row r="1420" spans="1:10" x14ac:dyDescent="0.2">
      <c r="A1420" s="3">
        <v>2988.5399233549501</v>
      </c>
      <c r="B1420" s="1">
        <v>0.156413490520731</v>
      </c>
      <c r="C1420" s="1">
        <v>3.0899837610737298E-3</v>
      </c>
      <c r="D1420" s="7">
        <v>3.2225053576208397E-2</v>
      </c>
      <c r="E1420" s="1" t="s">
        <v>2354</v>
      </c>
      <c r="F1420" s="1" t="s">
        <v>2355</v>
      </c>
      <c r="G1420" s="1">
        <v>12848</v>
      </c>
      <c r="H1420" s="6" t="str">
        <f>HYPERLINK("http://www.ensembl.org/Mus_musculus/Gene/Summary?db=core;g=ENSMUSG00000027206","ENSMUSG00000027206")</f>
        <v>ENSMUSG00000027206</v>
      </c>
      <c r="I1420" s="6" t="str">
        <f>HYPERLINK("http://www.informatics.jax.org/marker/MGI:1330276","MGI:1330276")</f>
        <v>MGI:1330276</v>
      </c>
      <c r="J1420" s="7" t="s">
        <v>12</v>
      </c>
    </row>
    <row r="1421" spans="1:10" x14ac:dyDescent="0.2">
      <c r="A1421" s="3">
        <v>302.95569716191397</v>
      </c>
      <c r="B1421" s="1">
        <v>-0.31118334910734302</v>
      </c>
      <c r="C1421" s="1">
        <v>3.0924097557353302E-3</v>
      </c>
      <c r="D1421" s="7">
        <v>3.2227546082401602E-2</v>
      </c>
      <c r="E1421" s="1" t="s">
        <v>1388</v>
      </c>
      <c r="F1421" s="1" t="s">
        <v>1389</v>
      </c>
      <c r="G1421" s="1">
        <v>270118</v>
      </c>
      <c r="H1421" s="6" t="str">
        <f>HYPERLINK("http://www.ensembl.org/Mus_musculus/Gene/Summary?db=core;g=ENSMUSG00000031925","ENSMUSG00000031925")</f>
        <v>ENSMUSG00000031925</v>
      </c>
      <c r="I1421" s="6" t="str">
        <f>HYPERLINK("http://www.informatics.jax.org/marker/MGI:2389460","MGI:2389460")</f>
        <v>MGI:2389460</v>
      </c>
      <c r="J1421" s="7" t="s">
        <v>12</v>
      </c>
    </row>
    <row r="1422" spans="1:10" x14ac:dyDescent="0.2">
      <c r="A1422" s="3">
        <v>673.89961456019898</v>
      </c>
      <c r="B1422" s="1">
        <v>-0.31089048106901102</v>
      </c>
      <c r="C1422" s="1">
        <v>3.09732027989694E-3</v>
      </c>
      <c r="D1422" s="7">
        <v>3.2255909289442601E-2</v>
      </c>
      <c r="E1422" s="1" t="s">
        <v>1392</v>
      </c>
      <c r="F1422" s="1" t="s">
        <v>1393</v>
      </c>
      <c r="G1422" s="1">
        <v>192654</v>
      </c>
      <c r="H1422" s="6" t="str">
        <f>HYPERLINK("http://www.ensembl.org/Mus_musculus/Gene/Summary?db=core;g=ENSMUSG00000031903","ENSMUSG00000031903")</f>
        <v>ENSMUSG00000031903</v>
      </c>
      <c r="I1422" s="6" t="str">
        <f>HYPERLINK("http://www.informatics.jax.org/marker/MGI:2178076","MGI:2178076")</f>
        <v>MGI:2178076</v>
      </c>
      <c r="J1422" s="7" t="s">
        <v>12</v>
      </c>
    </row>
    <row r="1423" spans="1:10" x14ac:dyDescent="0.2">
      <c r="A1423" s="3">
        <v>912.42459483013204</v>
      </c>
      <c r="B1423" s="1">
        <v>0.17605423019333699</v>
      </c>
      <c r="C1423" s="1">
        <v>3.1049537539773E-3</v>
      </c>
      <c r="D1423" s="7">
        <v>3.2312569575289198E-2</v>
      </c>
      <c r="E1423" s="1" t="s">
        <v>2466</v>
      </c>
      <c r="F1423" s="1" t="s">
        <v>2467</v>
      </c>
      <c r="G1423" s="1">
        <v>328162</v>
      </c>
      <c r="H1423" s="6" t="str">
        <f>HYPERLINK("http://www.ensembl.org/Mus_musculus/Gene/Summary?db=core;g=ENSMUSG00000060950","ENSMUSG00000060950")</f>
        <v>ENSMUSG00000060950</v>
      </c>
      <c r="I1423" s="6" t="str">
        <f>HYPERLINK("http://www.informatics.jax.org/marker/MGI:2443487","MGI:2443487")</f>
        <v>MGI:2443487</v>
      </c>
      <c r="J1423" s="7" t="s">
        <v>12</v>
      </c>
    </row>
    <row r="1424" spans="1:10" x14ac:dyDescent="0.2">
      <c r="A1424" s="3">
        <v>302.44858313248</v>
      </c>
      <c r="B1424" s="1">
        <v>-0.19534208573709499</v>
      </c>
      <c r="C1424" s="1">
        <v>3.1089334808307501E-3</v>
      </c>
      <c r="D1424" s="7">
        <v>3.2323798337126002E-2</v>
      </c>
      <c r="E1424" s="1" t="s">
        <v>1936</v>
      </c>
      <c r="F1424" s="1" t="s">
        <v>1937</v>
      </c>
      <c r="G1424" s="1">
        <v>69930</v>
      </c>
      <c r="H1424" s="6" t="str">
        <f>HYPERLINK("http://www.ensembl.org/Mus_musculus/Gene/Summary?db=core;g=ENSMUSG00000012640","ENSMUSG00000012640")</f>
        <v>ENSMUSG00000012640</v>
      </c>
      <c r="I1424" s="6" t="str">
        <f>HYPERLINK("http://www.informatics.jax.org/marker/MGI:1917180","MGI:1917180")</f>
        <v>MGI:1917180</v>
      </c>
      <c r="J1424" s="7" t="s">
        <v>12</v>
      </c>
    </row>
    <row r="1425" spans="1:10" x14ac:dyDescent="0.2">
      <c r="A1425" s="3">
        <v>4711.3216247499804</v>
      </c>
      <c r="B1425" s="1">
        <v>0.11356420480564999</v>
      </c>
      <c r="C1425" s="1">
        <v>3.11041979112681E-3</v>
      </c>
      <c r="D1425" s="7">
        <v>3.2323798337126002E-2</v>
      </c>
      <c r="E1425" s="1" t="s">
        <v>2208</v>
      </c>
      <c r="F1425" s="1" t="s">
        <v>2209</v>
      </c>
      <c r="G1425" s="1">
        <v>53421</v>
      </c>
      <c r="H1425" s="6" t="str">
        <f>HYPERLINK("http://www.ensembl.org/Mus_musculus/Gene/Summary?db=core;g=ENSMUSG00000030082","ENSMUSG00000030082")</f>
        <v>ENSMUSG00000030082</v>
      </c>
      <c r="I1425" s="6" t="str">
        <f>HYPERLINK("http://www.informatics.jax.org/marker/MGI:1858417","MGI:1858417")</f>
        <v>MGI:1858417</v>
      </c>
      <c r="J1425" s="7" t="s">
        <v>12</v>
      </c>
    </row>
    <row r="1426" spans="1:10" x14ac:dyDescent="0.2">
      <c r="A1426" s="3">
        <v>26.3967174772927</v>
      </c>
      <c r="B1426" s="1">
        <v>-1.0507559062476</v>
      </c>
      <c r="C1426" s="1">
        <v>3.1203312976982498E-3</v>
      </c>
      <c r="D1426" s="7">
        <v>3.2403947852629601E-2</v>
      </c>
      <c r="E1426" s="1" t="s">
        <v>297</v>
      </c>
      <c r="F1426" s="1" t="s">
        <v>298</v>
      </c>
      <c r="G1426" s="1" t="s">
        <v>45</v>
      </c>
      <c r="H1426" s="6" t="str">
        <f>HYPERLINK("http://www.ensembl.org/Mus_musculus/Gene/Summary?db=core;g=ENSMUSG00000085586","ENSMUSG00000085586")</f>
        <v>ENSMUSG00000085586</v>
      </c>
      <c r="I1426" s="6" t="str">
        <f>HYPERLINK("http://www.informatics.jax.org/marker/MGI:3651819","MGI:3651819")</f>
        <v>MGI:3651819</v>
      </c>
      <c r="J1426" s="7" t="s">
        <v>190</v>
      </c>
    </row>
    <row r="1427" spans="1:10" x14ac:dyDescent="0.2">
      <c r="A1427" s="3">
        <v>2878.6106727249498</v>
      </c>
      <c r="B1427" s="1">
        <v>0.17438661197029701</v>
      </c>
      <c r="C1427" s="1">
        <v>3.1407655967931902E-3</v>
      </c>
      <c r="D1427" s="7">
        <v>3.2593184390383403E-2</v>
      </c>
      <c r="E1427" s="1" t="s">
        <v>2454</v>
      </c>
      <c r="F1427" s="1" t="s">
        <v>2455</v>
      </c>
      <c r="G1427" s="1">
        <v>14571</v>
      </c>
      <c r="H1427" s="6" t="str">
        <f>HYPERLINK("http://www.ensembl.org/Mus_musculus/Gene/Summary?db=core;g=ENSMUSG00000026827","ENSMUSG00000026827")</f>
        <v>ENSMUSG00000026827</v>
      </c>
      <c r="I1427" s="6" t="str">
        <f>HYPERLINK("http://www.informatics.jax.org/marker/MGI:99778","MGI:99778")</f>
        <v>MGI:99778</v>
      </c>
      <c r="J1427" s="7" t="s">
        <v>12</v>
      </c>
    </row>
    <row r="1428" spans="1:10" x14ac:dyDescent="0.2">
      <c r="A1428" s="3">
        <v>280.12062783369299</v>
      </c>
      <c r="B1428" s="1">
        <v>-0.37181849689749902</v>
      </c>
      <c r="C1428" s="1">
        <v>3.1432706398146098E-3</v>
      </c>
      <c r="D1428" s="7">
        <v>3.25962252978945E-2</v>
      </c>
      <c r="E1428" s="1" t="s">
        <v>1164</v>
      </c>
      <c r="F1428" s="1" t="s">
        <v>1165</v>
      </c>
      <c r="G1428" s="1">
        <v>67488</v>
      </c>
      <c r="H1428" s="6" t="str">
        <f>HYPERLINK("http://www.ensembl.org/Mus_musculus/Gene/Summary?db=core;g=ENSMUSG00000023055","ENSMUSG00000023055")</f>
        <v>ENSMUSG00000023055</v>
      </c>
      <c r="I1428" s="6" t="str">
        <f>HYPERLINK("http://www.informatics.jax.org/marker/MGI:1914738","MGI:1914738")</f>
        <v>MGI:1914738</v>
      </c>
      <c r="J1428" s="7" t="s">
        <v>12</v>
      </c>
    </row>
    <row r="1429" spans="1:10" x14ac:dyDescent="0.2">
      <c r="A1429" s="3">
        <v>117.946072988542</v>
      </c>
      <c r="B1429" s="1">
        <v>-0.37061359019537099</v>
      </c>
      <c r="C1429" s="1">
        <v>3.1502596878047202E-3</v>
      </c>
      <c r="D1429" s="7">
        <v>3.2622787603296101E-2</v>
      </c>
      <c r="E1429" s="1" t="s">
        <v>1172</v>
      </c>
      <c r="F1429" s="1" t="s">
        <v>1173</v>
      </c>
      <c r="G1429" s="1">
        <v>12293</v>
      </c>
      <c r="H1429" s="6" t="str">
        <f>HYPERLINK("http://www.ensembl.org/Mus_musculus/Gene/Summary?db=core;g=ENSMUSG00000040118","ENSMUSG00000040118")</f>
        <v>ENSMUSG00000040118</v>
      </c>
      <c r="I1429" s="6" t="str">
        <f>HYPERLINK("http://www.informatics.jax.org/marker/MGI:88295","MGI:88295")</f>
        <v>MGI:88295</v>
      </c>
      <c r="J1429" s="7" t="s">
        <v>12</v>
      </c>
    </row>
    <row r="1430" spans="1:10" x14ac:dyDescent="0.2">
      <c r="A1430" s="3">
        <v>1585.1897101110801</v>
      </c>
      <c r="B1430" s="1">
        <v>0.16883727736911799</v>
      </c>
      <c r="C1430" s="1">
        <v>3.1489654517526302E-3</v>
      </c>
      <c r="D1430" s="7">
        <v>3.2622787603296101E-2</v>
      </c>
      <c r="E1430" s="1" t="s">
        <v>2416</v>
      </c>
      <c r="F1430" s="1" t="s">
        <v>2417</v>
      </c>
      <c r="G1430" s="1">
        <v>67842</v>
      </c>
      <c r="H1430" s="6" t="str">
        <f>HYPERLINK("http://www.ensembl.org/Mus_musculus/Gene/Summary?db=core;g=ENSMUSG00000019297","ENSMUSG00000019297")</f>
        <v>ENSMUSG00000019297</v>
      </c>
      <c r="I1430" s="6" t="str">
        <f>HYPERLINK("http://www.informatics.jax.org/marker/MGI:1915092","MGI:1915092")</f>
        <v>MGI:1915092</v>
      </c>
      <c r="J1430" s="7" t="s">
        <v>12</v>
      </c>
    </row>
    <row r="1431" spans="1:10" x14ac:dyDescent="0.2">
      <c r="A1431" s="3">
        <v>3194.94420735839</v>
      </c>
      <c r="B1431" s="1">
        <v>-0.122153742415095</v>
      </c>
      <c r="C1431" s="1">
        <v>3.1553708909758098E-3</v>
      </c>
      <c r="D1431" s="7">
        <v>3.26527706807722E-2</v>
      </c>
      <c r="E1431" s="1" t="s">
        <v>2164</v>
      </c>
      <c r="F1431" s="1" t="s">
        <v>2165</v>
      </c>
      <c r="G1431" s="1">
        <v>59008</v>
      </c>
      <c r="H1431" s="6" t="str">
        <f>HYPERLINK("http://www.ensembl.org/Mus_musculus/Gene/Summary?db=core;g=ENSMUSG00000029472","ENSMUSG00000029472")</f>
        <v>ENSMUSG00000029472</v>
      </c>
      <c r="I1431" s="6" t="str">
        <f>HYPERLINK("http://www.informatics.jax.org/marker/MGI:1929722","MGI:1929722")</f>
        <v>MGI:1929722</v>
      </c>
      <c r="J1431" s="7" t="s">
        <v>12</v>
      </c>
    </row>
    <row r="1432" spans="1:10" x14ac:dyDescent="0.2">
      <c r="A1432" s="3">
        <v>34.405747622904101</v>
      </c>
      <c r="B1432" s="1">
        <v>-0.57412898175677396</v>
      </c>
      <c r="C1432" s="1">
        <v>3.1810766890058499E-3</v>
      </c>
      <c r="D1432" s="7">
        <v>3.2895681466098399E-2</v>
      </c>
      <c r="E1432" s="1" t="s">
        <v>723</v>
      </c>
      <c r="F1432" s="1" t="s">
        <v>724</v>
      </c>
      <c r="G1432" s="1">
        <v>15064</v>
      </c>
      <c r="H1432" s="6" t="str">
        <f>HYPERLINK("http://www.ensembl.org/Mus_musculus/Gene/Summary?db=core;g=ENSMUSG00000026471","ENSMUSG00000026471")</f>
        <v>ENSMUSG00000026471</v>
      </c>
      <c r="I1432" s="6" t="str">
        <f>HYPERLINK("http://www.informatics.jax.org/marker/MGI:1195463","MGI:1195463")</f>
        <v>MGI:1195463</v>
      </c>
      <c r="J1432" s="7" t="s">
        <v>12</v>
      </c>
    </row>
    <row r="1433" spans="1:10" x14ac:dyDescent="0.2">
      <c r="A1433" s="3">
        <v>325.81872502091602</v>
      </c>
      <c r="B1433" s="1">
        <v>-0.22266041911318499</v>
      </c>
      <c r="C1433" s="1">
        <v>3.1875222359139398E-3</v>
      </c>
      <c r="D1433" s="7">
        <v>3.2939219963834303E-2</v>
      </c>
      <c r="E1433" s="1" t="s">
        <v>1806</v>
      </c>
      <c r="F1433" s="1" t="s">
        <v>1807</v>
      </c>
      <c r="G1433" s="1">
        <v>67706</v>
      </c>
      <c r="H1433" s="6" t="str">
        <f>HYPERLINK("http://www.ensembl.org/Mus_musculus/Gene/Summary?db=core;g=ENSMUSG00000118346","ENSMUSG00000118346")</f>
        <v>ENSMUSG00000118346</v>
      </c>
      <c r="I1433" s="6" t="str">
        <f>HYPERLINK("http://www.informatics.jax.org/marker/MGI:1914956","MGI:1914956")</f>
        <v>MGI:1914956</v>
      </c>
      <c r="J1433" s="7" t="s">
        <v>12</v>
      </c>
    </row>
    <row r="1434" spans="1:10" x14ac:dyDescent="0.2">
      <c r="A1434" s="3">
        <v>154.71671577954299</v>
      </c>
      <c r="B1434" s="1">
        <v>-0.38630352433424597</v>
      </c>
      <c r="C1434" s="1">
        <v>3.1899530828633101E-3</v>
      </c>
      <c r="D1434" s="7">
        <v>3.2941239403695602E-2</v>
      </c>
      <c r="E1434" s="1" t="s">
        <v>1123</v>
      </c>
      <c r="F1434" s="1" t="s">
        <v>1124</v>
      </c>
      <c r="G1434" s="1">
        <v>268512</v>
      </c>
      <c r="H1434" s="6" t="str">
        <f>HYPERLINK("http://www.ensembl.org/Mus_musculus/Gene/Summary?db=core;g=ENSMUSG00000039908","ENSMUSG00000039908")</f>
        <v>ENSMUSG00000039908</v>
      </c>
      <c r="I1434" s="6" t="str">
        <f>HYPERLINK("http://www.informatics.jax.org/marker/MGI:2444589","MGI:2444589")</f>
        <v>MGI:2444589</v>
      </c>
      <c r="J1434" s="7" t="s">
        <v>12</v>
      </c>
    </row>
    <row r="1435" spans="1:10" x14ac:dyDescent="0.2">
      <c r="A1435" s="3">
        <v>1009.96764140396</v>
      </c>
      <c r="B1435" s="1">
        <v>0.15526321231038401</v>
      </c>
      <c r="C1435" s="1">
        <v>3.2029148331039902E-3</v>
      </c>
      <c r="D1435" s="7">
        <v>3.3051927857577303E-2</v>
      </c>
      <c r="E1435" s="1" t="s">
        <v>2344</v>
      </c>
      <c r="F1435" s="1" t="s">
        <v>2345</v>
      </c>
      <c r="G1435" s="1">
        <v>12442</v>
      </c>
      <c r="H1435" s="6" t="str">
        <f>HYPERLINK("http://www.ensembl.org/Mus_musculus/Gene/Summary?db=core;g=ENSMUSG00000032218","ENSMUSG00000032218")</f>
        <v>ENSMUSG00000032218</v>
      </c>
      <c r="I1435" s="6" t="str">
        <f>HYPERLINK("http://www.informatics.jax.org/marker/MGI:88311","MGI:88311")</f>
        <v>MGI:88311</v>
      </c>
      <c r="J1435" s="7" t="s">
        <v>12</v>
      </c>
    </row>
    <row r="1436" spans="1:10" x14ac:dyDescent="0.2">
      <c r="A1436" s="3">
        <v>1575.4972383034001</v>
      </c>
      <c r="B1436" s="1">
        <v>-0.40571972552179902</v>
      </c>
      <c r="C1436" s="1">
        <v>3.2101683708095998E-3</v>
      </c>
      <c r="D1436" s="7">
        <v>3.3103597699265401E-2</v>
      </c>
      <c r="E1436" s="1" t="s">
        <v>1085</v>
      </c>
      <c r="F1436" s="1" t="s">
        <v>1086</v>
      </c>
      <c r="G1436" s="1">
        <v>15944</v>
      </c>
      <c r="H1436" s="6" t="str">
        <f>HYPERLINK("http://www.ensembl.org/Mus_musculus/Gene/Summary?db=core;g=ENSMUSG00000046879","ENSMUSG00000046879")</f>
        <v>ENSMUSG00000046879</v>
      </c>
      <c r="I1436" s="6" t="str">
        <f>HYPERLINK("http://www.informatics.jax.org/marker/MGI:107567","MGI:107567")</f>
        <v>MGI:107567</v>
      </c>
      <c r="J1436" s="7" t="s">
        <v>12</v>
      </c>
    </row>
    <row r="1437" spans="1:10" x14ac:dyDescent="0.2">
      <c r="A1437" s="3">
        <v>1202.81532093278</v>
      </c>
      <c r="B1437" s="1">
        <v>0.153459510322138</v>
      </c>
      <c r="C1437" s="1">
        <v>3.2162854924481302E-3</v>
      </c>
      <c r="D1437" s="7">
        <v>3.3143484627073901E-2</v>
      </c>
      <c r="E1437" s="1" t="s">
        <v>2334</v>
      </c>
      <c r="F1437" s="1" t="s">
        <v>2335</v>
      </c>
      <c r="G1437" s="1">
        <v>67973</v>
      </c>
      <c r="H1437" s="6" t="str">
        <f>HYPERLINK("http://www.ensembl.org/Mus_musculus/Gene/Summary?db=core;g=ENSMUSG00000030521","ENSMUSG00000030521")</f>
        <v>ENSMUSG00000030521</v>
      </c>
      <c r="I1437" s="6" t="str">
        <f>HYPERLINK("http://www.informatics.jax.org/marker/MGI:1915223","MGI:1915223")</f>
        <v>MGI:1915223</v>
      </c>
      <c r="J1437" s="7" t="s">
        <v>12</v>
      </c>
    </row>
    <row r="1438" spans="1:10" x14ac:dyDescent="0.2">
      <c r="A1438" s="3">
        <v>20.1676515735038</v>
      </c>
      <c r="B1438" s="1">
        <v>0.78613358941407996</v>
      </c>
      <c r="C1438" s="1">
        <v>3.2332612825080802E-3</v>
      </c>
      <c r="D1438" s="7">
        <v>3.3295135051739401E-2</v>
      </c>
      <c r="E1438" s="1" t="s">
        <v>3280</v>
      </c>
      <c r="F1438" s="1" t="s">
        <v>3281</v>
      </c>
      <c r="G1438" s="1">
        <v>171531</v>
      </c>
      <c r="H1438" s="6" t="str">
        <f>HYPERLINK("http://www.ensembl.org/Mus_musculus/Gene/Summary?db=core;g=ENSMUSG00000026303","ENSMUSG00000026303")</f>
        <v>ENSMUSG00000026303</v>
      </c>
      <c r="I1438" s="6" t="str">
        <f>HYPERLINK("http://www.informatics.jax.org/marker/MGI:2176380","MGI:2176380")</f>
        <v>MGI:2176380</v>
      </c>
      <c r="J1438" s="7" t="s">
        <v>12</v>
      </c>
    </row>
    <row r="1439" spans="1:10" x14ac:dyDescent="0.2">
      <c r="A1439" s="3">
        <v>1700.5635800676</v>
      </c>
      <c r="B1439" s="1">
        <v>-0.35804106058527702</v>
      </c>
      <c r="C1439" s="1">
        <v>3.24691042367072E-3</v>
      </c>
      <c r="D1439" s="7">
        <v>3.3412340784365703E-2</v>
      </c>
      <c r="E1439" s="1" t="s">
        <v>1216</v>
      </c>
      <c r="F1439" s="1" t="s">
        <v>1217</v>
      </c>
      <c r="G1439" s="1">
        <v>80285</v>
      </c>
      <c r="H1439" s="6" t="str">
        <f>HYPERLINK("http://www.ensembl.org/Mus_musculus/Gene/Summary?db=core;g=ENSMUSG00000022906","ENSMUSG00000022906")</f>
        <v>ENSMUSG00000022906</v>
      </c>
      <c r="I1439" s="6" t="str">
        <f>HYPERLINK("http://www.informatics.jax.org/marker/MGI:1933117","MGI:1933117")</f>
        <v>MGI:1933117</v>
      </c>
      <c r="J1439" s="7" t="s">
        <v>12</v>
      </c>
    </row>
    <row r="1440" spans="1:10" x14ac:dyDescent="0.2">
      <c r="A1440" s="3">
        <v>203.01383720783301</v>
      </c>
      <c r="B1440" s="1">
        <v>0.292862258522612</v>
      </c>
      <c r="C1440" s="1">
        <v>3.25410844013944E-3</v>
      </c>
      <c r="D1440" s="7">
        <v>3.3463043945495298E-2</v>
      </c>
      <c r="E1440" s="1" t="s">
        <v>2990</v>
      </c>
      <c r="F1440" s="1" t="s">
        <v>2991</v>
      </c>
      <c r="G1440" s="1">
        <v>243574</v>
      </c>
      <c r="H1440" s="6" t="str">
        <f>HYPERLINK("http://www.ensembl.org/Mus_musculus/Gene/Summary?db=core;g=ENSMUSG00000030031","ENSMUSG00000030031")</f>
        <v>ENSMUSG00000030031</v>
      </c>
      <c r="I1440" s="6" t="str">
        <f>HYPERLINK("http://www.informatics.jax.org/marker/MGI:2661430","MGI:2661430")</f>
        <v>MGI:2661430</v>
      </c>
      <c r="J1440" s="7" t="s">
        <v>12</v>
      </c>
    </row>
    <row r="1441" spans="1:10" x14ac:dyDescent="0.2">
      <c r="A1441" s="3">
        <v>442.98812231872301</v>
      </c>
      <c r="B1441" s="1">
        <v>-0.37632443020960399</v>
      </c>
      <c r="C1441" s="1">
        <v>3.26070793398322E-3</v>
      </c>
      <c r="D1441" s="7">
        <v>3.3507525882271003E-2</v>
      </c>
      <c r="E1441" s="1" t="s">
        <v>1148</v>
      </c>
      <c r="F1441" s="1" t="s">
        <v>1149</v>
      </c>
      <c r="G1441" s="1">
        <v>76408</v>
      </c>
      <c r="H1441" s="6" t="str">
        <f>HYPERLINK("http://www.ensembl.org/Mus_musculus/Gene/Summary?db=core;g=ENSMUSG00000020865","ENSMUSG00000020865")</f>
        <v>ENSMUSG00000020865</v>
      </c>
      <c r="I1441" s="6" t="str">
        <f>HYPERLINK("http://www.informatics.jax.org/marker/MGI:1923658","MGI:1923658")</f>
        <v>MGI:1923658</v>
      </c>
      <c r="J1441" s="7" t="s">
        <v>12</v>
      </c>
    </row>
    <row r="1442" spans="1:10" x14ac:dyDescent="0.2">
      <c r="A1442" s="3">
        <v>684.01009145989497</v>
      </c>
      <c r="B1442" s="1">
        <v>0.24716761272451299</v>
      </c>
      <c r="C1442" s="1">
        <v>3.2656282561684402E-3</v>
      </c>
      <c r="D1442" s="7">
        <v>3.3534702427106801E-2</v>
      </c>
      <c r="E1442" s="1" t="s">
        <v>2868</v>
      </c>
      <c r="F1442" s="1" t="s">
        <v>2869</v>
      </c>
      <c r="G1442" s="1">
        <v>59009</v>
      </c>
      <c r="H1442" s="6" t="str">
        <f>HYPERLINK("http://www.ensembl.org/Mus_musculus/Gene/Summary?db=core;g=ENSMUSG00000031642","ENSMUSG00000031642")</f>
        <v>ENSMUSG00000031642</v>
      </c>
      <c r="I1442" s="6" t="str">
        <f>HYPERLINK("http://www.informatics.jax.org/marker/MGI:1913066","MGI:1913066")</f>
        <v>MGI:1913066</v>
      </c>
      <c r="J1442" s="7" t="s">
        <v>12</v>
      </c>
    </row>
    <row r="1443" spans="1:10" x14ac:dyDescent="0.2">
      <c r="A1443" s="3">
        <v>1478.1293214196201</v>
      </c>
      <c r="B1443" s="1">
        <v>0.21823068824095501</v>
      </c>
      <c r="C1443" s="1">
        <v>3.28518261150177E-3</v>
      </c>
      <c r="D1443" s="7">
        <v>3.3712013205494502E-2</v>
      </c>
      <c r="E1443" s="1" t="s">
        <v>2718</v>
      </c>
      <c r="F1443" s="1" t="s">
        <v>2719</v>
      </c>
      <c r="G1443" s="1">
        <v>66143</v>
      </c>
      <c r="H1443" s="6" t="str">
        <f>HYPERLINK("http://www.ensembl.org/Mus_musculus/Gene/Summary?db=core;g=ENSMUSG00000001707","ENSMUSG00000001707")</f>
        <v>ENSMUSG00000001707</v>
      </c>
      <c r="I1443" s="6" t="str">
        <f>HYPERLINK("http://www.informatics.jax.org/marker/MGI:1913393","MGI:1913393")</f>
        <v>MGI:1913393</v>
      </c>
      <c r="J1443" s="7" t="s">
        <v>12</v>
      </c>
    </row>
    <row r="1444" spans="1:10" x14ac:dyDescent="0.2">
      <c r="A1444" s="3">
        <v>10869.796480929101</v>
      </c>
      <c r="B1444" s="1">
        <v>-0.359869206204458</v>
      </c>
      <c r="C1444" s="1">
        <v>3.2939033689615401E-3</v>
      </c>
      <c r="D1444" s="7">
        <v>3.3736125636313001E-2</v>
      </c>
      <c r="E1444" s="1" t="s">
        <v>1206</v>
      </c>
      <c r="F1444" s="1" t="s">
        <v>1207</v>
      </c>
      <c r="G1444" s="1">
        <v>110006</v>
      </c>
      <c r="H1444" s="6" t="str">
        <f>HYPERLINK("http://www.ensembl.org/Mus_musculus/Gene/Summary?db=core;g=ENSMUSG00000025534","ENSMUSG00000025534")</f>
        <v>ENSMUSG00000025534</v>
      </c>
      <c r="I1444" s="6" t="str">
        <f>HYPERLINK("http://www.informatics.jax.org/marker/MGI:95872","MGI:95872")</f>
        <v>MGI:95872</v>
      </c>
      <c r="J1444" s="7" t="s">
        <v>12</v>
      </c>
    </row>
    <row r="1445" spans="1:10" x14ac:dyDescent="0.2">
      <c r="A1445" s="3">
        <v>283.62190876882698</v>
      </c>
      <c r="B1445" s="1">
        <v>-0.30757517718361199</v>
      </c>
      <c r="C1445" s="1">
        <v>3.2906438043423399E-3</v>
      </c>
      <c r="D1445" s="7">
        <v>3.3736125636313001E-2</v>
      </c>
      <c r="E1445" s="1" t="s">
        <v>1422</v>
      </c>
      <c r="F1445" s="1" t="s">
        <v>1423</v>
      </c>
      <c r="G1445" s="1">
        <v>67698</v>
      </c>
      <c r="H1445" s="6" t="str">
        <f>HYPERLINK("http://www.ensembl.org/Mus_musculus/Gene/Summary?db=core;g=ENSMUSG00000051185","ENSMUSG00000051185")</f>
        <v>ENSMUSG00000051185</v>
      </c>
      <c r="I1445" s="6" t="str">
        <f>HYPERLINK("http://www.informatics.jax.org/marker/MGI:1914948","MGI:1914948")</f>
        <v>MGI:1914948</v>
      </c>
      <c r="J1445" s="7" t="s">
        <v>12</v>
      </c>
    </row>
    <row r="1446" spans="1:10" x14ac:dyDescent="0.2">
      <c r="A1446" s="3">
        <v>2287.6408949237498</v>
      </c>
      <c r="B1446" s="1">
        <v>0.166052264049765</v>
      </c>
      <c r="C1446" s="1">
        <v>3.2944004336763299E-3</v>
      </c>
      <c r="D1446" s="7">
        <v>3.3736125636313001E-2</v>
      </c>
      <c r="E1446" s="1" t="s">
        <v>2408</v>
      </c>
      <c r="F1446" s="1" t="s">
        <v>2409</v>
      </c>
      <c r="G1446" s="1">
        <v>12028</v>
      </c>
      <c r="H1446" s="6" t="str">
        <f>HYPERLINK("http://www.ensembl.org/Mus_musculus/Gene/Summary?db=core;g=ENSMUSG00000003873","ENSMUSG00000003873")</f>
        <v>ENSMUSG00000003873</v>
      </c>
      <c r="I1446" s="6" t="str">
        <f>HYPERLINK("http://www.informatics.jax.org/marker/MGI:99702","MGI:99702")</f>
        <v>MGI:99702</v>
      </c>
      <c r="J1446" s="7" t="s">
        <v>12</v>
      </c>
    </row>
    <row r="1447" spans="1:10" x14ac:dyDescent="0.2">
      <c r="A1447" s="3">
        <v>834.513372674263</v>
      </c>
      <c r="B1447" s="1">
        <v>-0.18315568337587801</v>
      </c>
      <c r="C1447" s="1">
        <v>3.3031108575746499E-3</v>
      </c>
      <c r="D1447" s="7">
        <v>3.3801834442513903E-2</v>
      </c>
      <c r="E1447" s="1" t="s">
        <v>1996</v>
      </c>
      <c r="F1447" s="1" t="s">
        <v>1997</v>
      </c>
      <c r="G1447" s="1">
        <v>223433</v>
      </c>
      <c r="H1447" s="6" t="str">
        <f>HYPERLINK("http://www.ensembl.org/Mus_musculus/Gene/Summary?db=core;g=ENSMUSG00000056069","ENSMUSG00000056069")</f>
        <v>ENSMUSG00000056069</v>
      </c>
      <c r="I1447" s="6" t="str">
        <f>HYPERLINK("http://www.informatics.jax.org/marker/MGI:2687281","MGI:2687281")</f>
        <v>MGI:2687281</v>
      </c>
      <c r="J1447" s="7" t="s">
        <v>12</v>
      </c>
    </row>
    <row r="1448" spans="1:10" x14ac:dyDescent="0.2">
      <c r="A1448" s="3">
        <v>1578.84095627907</v>
      </c>
      <c r="B1448" s="1">
        <v>-0.21758359988400899</v>
      </c>
      <c r="C1448" s="1">
        <v>3.3084781209484402E-3</v>
      </c>
      <c r="D1448" s="7">
        <v>3.3814083779007201E-2</v>
      </c>
      <c r="E1448" s="1" t="s">
        <v>1828</v>
      </c>
      <c r="F1448" s="1" t="s">
        <v>1829</v>
      </c>
      <c r="G1448" s="1">
        <v>70834</v>
      </c>
      <c r="H1448" s="6" t="str">
        <f>HYPERLINK("http://www.ensembl.org/Mus_musculus/Gene/Summary?db=core;g=ENSMUSG00000020859","ENSMUSG00000020859")</f>
        <v>ENSMUSG00000020859</v>
      </c>
      <c r="I1448" s="6" t="str">
        <f>HYPERLINK("http://www.informatics.jax.org/marker/MGI:1918084","MGI:1918084")</f>
        <v>MGI:1918084</v>
      </c>
      <c r="J1448" s="7" t="s">
        <v>12</v>
      </c>
    </row>
    <row r="1449" spans="1:10" x14ac:dyDescent="0.2">
      <c r="A1449" s="3">
        <v>1825.6987746218499</v>
      </c>
      <c r="B1449" s="1">
        <v>-0.15485804258116601</v>
      </c>
      <c r="C1449" s="1">
        <v>3.30889717761458E-3</v>
      </c>
      <c r="D1449" s="7">
        <v>3.3814083779007201E-2</v>
      </c>
      <c r="E1449" s="1" t="s">
        <v>2112</v>
      </c>
      <c r="F1449" s="1" t="s">
        <v>2113</v>
      </c>
      <c r="G1449" s="1">
        <v>13822</v>
      </c>
      <c r="H1449" s="6" t="str">
        <f>HYPERLINK("http://www.ensembl.org/Mus_musculus/Gene/Summary?db=core;g=ENSMUSG00000019978","ENSMUSG00000019978")</f>
        <v>ENSMUSG00000019978</v>
      </c>
      <c r="I1449" s="6" t="str">
        <f>HYPERLINK("http://www.informatics.jax.org/marker/MGI:103009","MGI:103009")</f>
        <v>MGI:103009</v>
      </c>
      <c r="J1449" s="7" t="s">
        <v>12</v>
      </c>
    </row>
    <row r="1450" spans="1:10" x14ac:dyDescent="0.2">
      <c r="A1450" s="3">
        <v>2885.0537689389698</v>
      </c>
      <c r="B1450" s="1">
        <v>0.16518893476347901</v>
      </c>
      <c r="C1450" s="1">
        <v>3.33427754485283E-3</v>
      </c>
      <c r="D1450" s="7">
        <v>3.40498363831956E-2</v>
      </c>
      <c r="E1450" s="1" t="s">
        <v>2400</v>
      </c>
      <c r="F1450" s="1" t="s">
        <v>2401</v>
      </c>
      <c r="G1450" s="1">
        <v>73658</v>
      </c>
      <c r="H1450" s="6" t="str">
        <f>HYPERLINK("http://www.ensembl.org/Mus_musculus/Gene/Summary?db=core;g=ENSMUSG00000030741","ENSMUSG00000030741")</f>
        <v>ENSMUSG00000030741</v>
      </c>
      <c r="I1450" s="6" t="str">
        <f>HYPERLINK("http://www.informatics.jax.org/marker/MGI:1920908","MGI:1920908")</f>
        <v>MGI:1920908</v>
      </c>
      <c r="J1450" s="7" t="s">
        <v>12</v>
      </c>
    </row>
    <row r="1451" spans="1:10" x14ac:dyDescent="0.2">
      <c r="A1451" s="3">
        <v>316.12260279069801</v>
      </c>
      <c r="B1451" s="1">
        <v>-0.230719691397204</v>
      </c>
      <c r="C1451" s="1">
        <v>3.3406608062104899E-3</v>
      </c>
      <c r="D1451" s="7">
        <v>3.4067804595375603E-2</v>
      </c>
      <c r="E1451" s="1" t="s">
        <v>1756</v>
      </c>
      <c r="F1451" s="1" t="s">
        <v>1757</v>
      </c>
      <c r="G1451" s="1">
        <v>28200</v>
      </c>
      <c r="H1451" s="6" t="str">
        <f>HYPERLINK("http://www.ensembl.org/Mus_musculus/Gene/Summary?db=core;g=ENSMUSG00000022210","ENSMUSG00000022210")</f>
        <v>ENSMUSG00000022210</v>
      </c>
      <c r="I1451" s="6" t="str">
        <f>HYPERLINK("http://www.informatics.jax.org/marker/MGI:90169","MGI:90169")</f>
        <v>MGI:90169</v>
      </c>
      <c r="J1451" s="7" t="s">
        <v>12</v>
      </c>
    </row>
    <row r="1452" spans="1:10" x14ac:dyDescent="0.2">
      <c r="A1452" s="3">
        <v>1481.2493609651999</v>
      </c>
      <c r="B1452" s="1">
        <v>-0.14094492582359699</v>
      </c>
      <c r="C1452" s="1">
        <v>3.3397927338576399E-3</v>
      </c>
      <c r="D1452" s="7">
        <v>3.4067804595375603E-2</v>
      </c>
      <c r="E1452" s="1" t="s">
        <v>2140</v>
      </c>
      <c r="F1452" s="1" t="s">
        <v>2141</v>
      </c>
      <c r="G1452" s="1">
        <v>12752</v>
      </c>
      <c r="H1452" s="6" t="str">
        <f>HYPERLINK("http://www.ensembl.org/Mus_musculus/Gene/Summary?db=core;g=ENSMUSG00000030720","ENSMUSG00000030720")</f>
        <v>ENSMUSG00000030720</v>
      </c>
      <c r="I1452" s="6" t="str">
        <f>HYPERLINK("http://www.informatics.jax.org/marker/MGI:107537","MGI:107537")</f>
        <v>MGI:107537</v>
      </c>
      <c r="J1452" s="7" t="s">
        <v>12</v>
      </c>
    </row>
    <row r="1453" spans="1:10" x14ac:dyDescent="0.2">
      <c r="A1453" s="3">
        <v>633.95630240619403</v>
      </c>
      <c r="B1453" s="1">
        <v>-0.28057771301169199</v>
      </c>
      <c r="C1453" s="1">
        <v>3.3589501115572399E-3</v>
      </c>
      <c r="D1453" s="7">
        <v>3.42306285227576E-2</v>
      </c>
      <c r="E1453" s="1" t="s">
        <v>1542</v>
      </c>
      <c r="F1453" s="1" t="s">
        <v>1543</v>
      </c>
      <c r="G1453" s="1">
        <v>21877</v>
      </c>
      <c r="H1453" s="6" t="str">
        <f>HYPERLINK("http://www.ensembl.org/Mus_musculus/Gene/Summary?db=core;g=ENSMUSG00000025574","ENSMUSG00000025574")</f>
        <v>ENSMUSG00000025574</v>
      </c>
      <c r="I1453" s="6" t="str">
        <f>HYPERLINK("http://www.informatics.jax.org/marker/MGI:98763","MGI:98763")</f>
        <v>MGI:98763</v>
      </c>
      <c r="J1453" s="7" t="s">
        <v>12</v>
      </c>
    </row>
    <row r="1454" spans="1:10" x14ac:dyDescent="0.2">
      <c r="A1454" s="3">
        <v>2205.2681990677602</v>
      </c>
      <c r="B1454" s="1">
        <v>-0.19862957677884399</v>
      </c>
      <c r="C1454" s="1">
        <v>3.3613826397744101E-3</v>
      </c>
      <c r="D1454" s="7">
        <v>3.4231744699181499E-2</v>
      </c>
      <c r="E1454" s="1" t="s">
        <v>1920</v>
      </c>
      <c r="F1454" s="1" t="s">
        <v>1921</v>
      </c>
      <c r="G1454" s="1">
        <v>70296</v>
      </c>
      <c r="H1454" s="6" t="str">
        <f>HYPERLINK("http://www.ensembl.org/Mus_musculus/Gene/Summary?db=core;g=ENSMUSG00000039678","ENSMUSG00000039678")</f>
        <v>ENSMUSG00000039678</v>
      </c>
      <c r="I1454" s="6" t="str">
        <f>HYPERLINK("http://www.informatics.jax.org/marker/MGI:2385326","MGI:2385326")</f>
        <v>MGI:2385326</v>
      </c>
      <c r="J1454" s="7" t="s">
        <v>12</v>
      </c>
    </row>
    <row r="1455" spans="1:10" x14ac:dyDescent="0.2">
      <c r="A1455" s="3">
        <v>576.99113365954304</v>
      </c>
      <c r="B1455" s="1">
        <v>-0.178976262514247</v>
      </c>
      <c r="C1455" s="1">
        <v>3.3717599353584398E-3</v>
      </c>
      <c r="D1455" s="7">
        <v>3.4313711607349397E-2</v>
      </c>
      <c r="E1455" s="1" t="s">
        <v>2016</v>
      </c>
      <c r="F1455" s="1" t="s">
        <v>2017</v>
      </c>
      <c r="G1455" s="1">
        <v>12380</v>
      </c>
      <c r="H1455" s="6" t="str">
        <f>HYPERLINK("http://www.ensembl.org/Mus_musculus/Gene/Summary?db=core;g=ENSMUSG00000021585","ENSMUSG00000021585")</f>
        <v>ENSMUSG00000021585</v>
      </c>
      <c r="I1455" s="6" t="str">
        <f>HYPERLINK("http://www.informatics.jax.org/marker/MGI:1098236","MGI:1098236")</f>
        <v>MGI:1098236</v>
      </c>
      <c r="J1455" s="7" t="s">
        <v>12</v>
      </c>
    </row>
    <row r="1456" spans="1:10" x14ac:dyDescent="0.2">
      <c r="A1456" s="3">
        <v>441.00267840960299</v>
      </c>
      <c r="B1456" s="1">
        <v>0.260497615648626</v>
      </c>
      <c r="C1456" s="1">
        <v>3.3769188139760901E-3</v>
      </c>
      <c r="D1456" s="7">
        <v>3.4342495267599499E-2</v>
      </c>
      <c r="E1456" s="1" t="s">
        <v>2910</v>
      </c>
      <c r="F1456" s="1" t="s">
        <v>2911</v>
      </c>
      <c r="G1456" s="1">
        <v>101831</v>
      </c>
      <c r="H1456" s="6" t="str">
        <f>HYPERLINK("http://www.ensembl.org/Mus_musculus/Gene/Summary?db=core;g=ENSMUSG00000030493","ENSMUSG00000030493")</f>
        <v>ENSMUSG00000030493</v>
      </c>
      <c r="I1456" s="6" t="str">
        <f>HYPERLINK("http://www.informatics.jax.org/marker/MGI:2142208","MGI:2142208")</f>
        <v>MGI:2142208</v>
      </c>
      <c r="J1456" s="7" t="s">
        <v>12</v>
      </c>
    </row>
    <row r="1457" spans="1:10" x14ac:dyDescent="0.2">
      <c r="A1457" s="3">
        <v>3113.5890079608998</v>
      </c>
      <c r="B1457" s="1">
        <v>0.224224879961613</v>
      </c>
      <c r="C1457" s="1">
        <v>3.3957120946053999E-3</v>
      </c>
      <c r="D1457" s="7">
        <v>3.4509802362831098E-2</v>
      </c>
      <c r="E1457" s="1" t="s">
        <v>2748</v>
      </c>
      <c r="F1457" s="1" t="s">
        <v>2749</v>
      </c>
      <c r="G1457" s="1">
        <v>17865</v>
      </c>
      <c r="H1457" s="6" t="str">
        <f>HYPERLINK("http://www.ensembl.org/Mus_musculus/Gene/Summary?db=core;g=ENSMUSG00000017861","ENSMUSG00000017861")</f>
        <v>ENSMUSG00000017861</v>
      </c>
      <c r="I1457" s="6" t="str">
        <f>HYPERLINK("http://www.informatics.jax.org/marker/MGI:101785","MGI:101785")</f>
        <v>MGI:101785</v>
      </c>
      <c r="J1457" s="7" t="s">
        <v>12</v>
      </c>
    </row>
    <row r="1458" spans="1:10" x14ac:dyDescent="0.2">
      <c r="A1458" s="3">
        <v>588.76078804269901</v>
      </c>
      <c r="B1458" s="1">
        <v>-0.240237978116803</v>
      </c>
      <c r="C1458" s="1">
        <v>3.4097519731455198E-3</v>
      </c>
      <c r="D1458" s="7">
        <v>3.46166207649799E-2</v>
      </c>
      <c r="E1458" s="1" t="s">
        <v>1706</v>
      </c>
      <c r="F1458" s="1" t="s">
        <v>1707</v>
      </c>
      <c r="G1458" s="1">
        <v>19344</v>
      </c>
      <c r="H1458" s="6" t="str">
        <f>HYPERLINK("http://www.ensembl.org/Mus_musculus/Gene/Summary?db=core;g=ENSMUSG00000000711","ENSMUSG00000000711")</f>
        <v>ENSMUSG00000000711</v>
      </c>
      <c r="I1458" s="6" t="str">
        <f>HYPERLINK("http://www.informatics.jax.org/marker/MGI:105938","MGI:105938")</f>
        <v>MGI:105938</v>
      </c>
      <c r="J1458" s="7" t="s">
        <v>12</v>
      </c>
    </row>
    <row r="1459" spans="1:10" x14ac:dyDescent="0.2">
      <c r="A1459" s="3">
        <v>1310.55557195201</v>
      </c>
      <c r="B1459" s="1">
        <v>-0.15581301627799399</v>
      </c>
      <c r="C1459" s="1">
        <v>3.4109211014353201E-3</v>
      </c>
      <c r="D1459" s="7">
        <v>3.46166207649799E-2</v>
      </c>
      <c r="E1459" s="1" t="s">
        <v>2110</v>
      </c>
      <c r="F1459" s="1" t="s">
        <v>2111</v>
      </c>
      <c r="G1459" s="1">
        <v>18709</v>
      </c>
      <c r="H1459" s="6" t="str">
        <f>HYPERLINK("http://www.ensembl.org/Mus_musculus/Gene/Summary?db=core;g=ENSMUSG00000031834","ENSMUSG00000031834")</f>
        <v>ENSMUSG00000031834</v>
      </c>
      <c r="I1459" s="6" t="str">
        <f>HYPERLINK("http://www.informatics.jax.org/marker/MGI:1098772","MGI:1098772")</f>
        <v>MGI:1098772</v>
      </c>
      <c r="J1459" s="7" t="s">
        <v>12</v>
      </c>
    </row>
    <row r="1460" spans="1:10" x14ac:dyDescent="0.2">
      <c r="A1460" s="3">
        <v>848.90924338256002</v>
      </c>
      <c r="B1460" s="1">
        <v>-0.20060394812277199</v>
      </c>
      <c r="C1460" s="1">
        <v>3.4242932241547899E-3</v>
      </c>
      <c r="D1460" s="7">
        <v>3.4728413593355101E-2</v>
      </c>
      <c r="E1460" s="1" t="s">
        <v>1902</v>
      </c>
      <c r="F1460" s="1" t="s">
        <v>1903</v>
      </c>
      <c r="G1460" s="1">
        <v>11370</v>
      </c>
      <c r="H1460" s="6" t="str">
        <f>HYPERLINK("http://www.ensembl.org/Mus_musculus/Gene/Summary?db=core;g=ENSMUSG00000018574","ENSMUSG00000018574")</f>
        <v>ENSMUSG00000018574</v>
      </c>
      <c r="I1460" s="6" t="str">
        <f>HYPERLINK("http://www.informatics.jax.org/marker/MGI:895149","MGI:895149")</f>
        <v>MGI:895149</v>
      </c>
      <c r="J1460" s="7" t="s">
        <v>12</v>
      </c>
    </row>
    <row r="1461" spans="1:10" x14ac:dyDescent="0.2">
      <c r="A1461" s="3">
        <v>1420.5794496324199</v>
      </c>
      <c r="B1461" s="1">
        <v>-0.246103610045349</v>
      </c>
      <c r="C1461" s="1">
        <v>3.4276283389453998E-3</v>
      </c>
      <c r="D1461" s="7">
        <v>3.4738329575446703E-2</v>
      </c>
      <c r="E1461" s="1" t="s">
        <v>1680</v>
      </c>
      <c r="F1461" s="1" t="s">
        <v>1681</v>
      </c>
      <c r="G1461" s="1">
        <v>68279</v>
      </c>
      <c r="H1461" s="6" t="str">
        <f>HYPERLINK("http://www.ensembl.org/Mus_musculus/Gene/Summary?db=core;g=ENSMUSG00000011008","ENSMUSG00000011008")</f>
        <v>ENSMUSG00000011008</v>
      </c>
      <c r="I1461" s="6" t="str">
        <f>HYPERLINK("http://www.informatics.jax.org/marker/MGI:1915529","MGI:1915529")</f>
        <v>MGI:1915529</v>
      </c>
      <c r="J1461" s="7" t="s">
        <v>12</v>
      </c>
    </row>
    <row r="1462" spans="1:10" x14ac:dyDescent="0.2">
      <c r="A1462" s="3">
        <v>1005.29558204518</v>
      </c>
      <c r="B1462" s="1">
        <v>-0.159965404453034</v>
      </c>
      <c r="C1462" s="1">
        <v>3.4399534227689101E-3</v>
      </c>
      <c r="D1462" s="7">
        <v>3.4778680824318703E-2</v>
      </c>
      <c r="E1462" s="1" t="s">
        <v>2082</v>
      </c>
      <c r="F1462" s="1" t="s">
        <v>2083</v>
      </c>
      <c r="G1462" s="1">
        <v>330662</v>
      </c>
      <c r="H1462" s="6" t="str">
        <f>HYPERLINK("http://www.ensembl.org/Mus_musculus/Gene/Summary?db=core;g=ENSMUSG00000058325","ENSMUSG00000058325")</f>
        <v>ENSMUSG00000058325</v>
      </c>
      <c r="I1462" s="6" t="str">
        <f>HYPERLINK("http://www.informatics.jax.org/marker/MGI:2429765","MGI:2429765")</f>
        <v>MGI:2429765</v>
      </c>
      <c r="J1462" s="7" t="s">
        <v>12</v>
      </c>
    </row>
    <row r="1463" spans="1:10" x14ac:dyDescent="0.2">
      <c r="A1463" s="3">
        <v>3519.92216866219</v>
      </c>
      <c r="B1463" s="1">
        <v>0.13749741427856599</v>
      </c>
      <c r="C1463" s="1">
        <v>3.4345707878328299E-3</v>
      </c>
      <c r="D1463" s="7">
        <v>3.4778680824318703E-2</v>
      </c>
      <c r="E1463" s="1" t="s">
        <v>2262</v>
      </c>
      <c r="F1463" s="1" t="s">
        <v>2263</v>
      </c>
      <c r="G1463" s="1">
        <v>216766</v>
      </c>
      <c r="H1463" s="6" t="str">
        <f>HYPERLINK("http://www.ensembl.org/Mus_musculus/Gene/Summary?db=core;g=ENSMUSG00000037275","ENSMUSG00000037275")</f>
        <v>ENSMUSG00000037275</v>
      </c>
      <c r="I1463" s="6" t="str">
        <f>HYPERLINK("http://www.informatics.jax.org/marker/MGI:2449311","MGI:2449311")</f>
        <v>MGI:2449311</v>
      </c>
      <c r="J1463" s="7" t="s">
        <v>12</v>
      </c>
    </row>
    <row r="1464" spans="1:10" x14ac:dyDescent="0.2">
      <c r="A1464" s="3">
        <v>1848.6548364442301</v>
      </c>
      <c r="B1464" s="1">
        <v>0.15512383534660301</v>
      </c>
      <c r="C1464" s="1">
        <v>3.4434103774892101E-3</v>
      </c>
      <c r="D1464" s="7">
        <v>3.4778680824318703E-2</v>
      </c>
      <c r="E1464" s="1" t="s">
        <v>2340</v>
      </c>
      <c r="F1464" s="1" t="s">
        <v>2341</v>
      </c>
      <c r="G1464" s="1">
        <v>76938</v>
      </c>
      <c r="H1464" s="6" t="str">
        <f>HYPERLINK("http://www.ensembl.org/Mus_musculus/Gene/Summary?db=core;g=ENSMUSG00000037197","ENSMUSG00000037197")</f>
        <v>ENSMUSG00000037197</v>
      </c>
      <c r="I1464" s="6" t="str">
        <f>HYPERLINK("http://www.informatics.jax.org/marker/MGI:1924188","MGI:1924188")</f>
        <v>MGI:1924188</v>
      </c>
      <c r="J1464" s="7" t="s">
        <v>12</v>
      </c>
    </row>
    <row r="1465" spans="1:10" x14ac:dyDescent="0.2">
      <c r="A1465" s="3">
        <v>681.18399283202405</v>
      </c>
      <c r="B1465" s="1">
        <v>0.19171417043830999</v>
      </c>
      <c r="C1465" s="1">
        <v>3.4375178251507699E-3</v>
      </c>
      <c r="D1465" s="7">
        <v>3.4778680824318703E-2</v>
      </c>
      <c r="E1465" s="1" t="s">
        <v>2548</v>
      </c>
      <c r="F1465" s="1" t="s">
        <v>2549</v>
      </c>
      <c r="G1465" s="1">
        <v>28077</v>
      </c>
      <c r="H1465" s="6" t="str">
        <f>HYPERLINK("http://www.ensembl.org/Mus_musculus/Gene/Summary?db=core;g=ENSMUSG00000021598","ENSMUSG00000021598")</f>
        <v>ENSMUSG00000021598</v>
      </c>
      <c r="I1465" s="6" t="str">
        <f>HYPERLINK("http://www.informatics.jax.org/marker/MGI:106331","MGI:106331")</f>
        <v>MGI:106331</v>
      </c>
      <c r="J1465" s="7" t="s">
        <v>12</v>
      </c>
    </row>
    <row r="1466" spans="1:10" x14ac:dyDescent="0.2">
      <c r="A1466" s="3">
        <v>535.44922062680905</v>
      </c>
      <c r="B1466" s="1">
        <v>0.21912761326740601</v>
      </c>
      <c r="C1466" s="1">
        <v>3.4429603520410999E-3</v>
      </c>
      <c r="D1466" s="7">
        <v>3.4778680824318703E-2</v>
      </c>
      <c r="E1466" s="1" t="s">
        <v>2724</v>
      </c>
      <c r="F1466" s="1" t="s">
        <v>2725</v>
      </c>
      <c r="G1466" s="1">
        <v>26419</v>
      </c>
      <c r="H1466" s="6" t="str">
        <f>HYPERLINK("http://www.ensembl.org/Mus_musculus/Gene/Summary?db=core;g=ENSMUSG00000021936","ENSMUSG00000021936")</f>
        <v>ENSMUSG00000021936</v>
      </c>
      <c r="I1466" s="6" t="str">
        <f>HYPERLINK("http://www.informatics.jax.org/marker/MGI:1346861","MGI:1346861")</f>
        <v>MGI:1346861</v>
      </c>
      <c r="J1466" s="7" t="s">
        <v>12</v>
      </c>
    </row>
    <row r="1467" spans="1:10" x14ac:dyDescent="0.2">
      <c r="A1467" s="3">
        <v>1204.5475557193599</v>
      </c>
      <c r="B1467" s="1">
        <v>-0.18802592950851699</v>
      </c>
      <c r="C1467" s="1">
        <v>3.4490378935095201E-3</v>
      </c>
      <c r="D1467" s="7">
        <v>3.4791965151896601E-2</v>
      </c>
      <c r="E1467" s="1" t="s">
        <v>1970</v>
      </c>
      <c r="F1467" s="1" t="s">
        <v>1971</v>
      </c>
      <c r="G1467" s="1">
        <v>17859</v>
      </c>
      <c r="H1467" s="6" t="str">
        <f>HYPERLINK("http://www.ensembl.org/Mus_musculus/Gene/Summary?db=core;g=ENSMUSG00000025025","ENSMUSG00000025025")</f>
        <v>ENSMUSG00000025025</v>
      </c>
      <c r="I1467" s="6" t="str">
        <f>HYPERLINK("http://www.informatics.jax.org/marker/MGI:97245","MGI:97245")</f>
        <v>MGI:97245</v>
      </c>
      <c r="J1467" s="7" t="s">
        <v>12</v>
      </c>
    </row>
    <row r="1468" spans="1:10" x14ac:dyDescent="0.2">
      <c r="A1468" s="3">
        <v>5406.75716144337</v>
      </c>
      <c r="B1468" s="1">
        <v>8.2169630134672794E-2</v>
      </c>
      <c r="C1468" s="1">
        <v>3.44944768505164E-3</v>
      </c>
      <c r="D1468" s="7">
        <v>3.4791965151896601E-2</v>
      </c>
      <c r="E1468" s="1" t="s">
        <v>2174</v>
      </c>
      <c r="F1468" s="1" t="s">
        <v>2175</v>
      </c>
      <c r="G1468" s="1">
        <v>14688</v>
      </c>
      <c r="H1468" s="6" t="str">
        <f>HYPERLINK("http://www.ensembl.org/Mus_musculus/Gene/Summary?db=core;g=ENSMUSG00000029064","ENSMUSG00000029064")</f>
        <v>ENSMUSG00000029064</v>
      </c>
      <c r="I1468" s="6" t="str">
        <f>HYPERLINK("http://www.informatics.jax.org/marker/MGI:95781","MGI:95781")</f>
        <v>MGI:95781</v>
      </c>
      <c r="J1468" s="7" t="s">
        <v>12</v>
      </c>
    </row>
    <row r="1469" spans="1:10" x14ac:dyDescent="0.2">
      <c r="A1469" s="3">
        <v>585.27320273784699</v>
      </c>
      <c r="B1469" s="1">
        <v>0.201388730369612</v>
      </c>
      <c r="C1469" s="1">
        <v>3.4711919205716001E-3</v>
      </c>
      <c r="D1469" s="7">
        <v>3.49873352541335E-2</v>
      </c>
      <c r="E1469" s="1" t="s">
        <v>2610</v>
      </c>
      <c r="F1469" s="1" t="s">
        <v>2611</v>
      </c>
      <c r="G1469" s="1">
        <v>12450</v>
      </c>
      <c r="H1469" s="6" t="str">
        <f>HYPERLINK("http://www.ensembl.org/Mus_musculus/Gene/Summary?db=core;g=ENSMUSG00000020326","ENSMUSG00000020326")</f>
        <v>ENSMUSG00000020326</v>
      </c>
      <c r="I1469" s="6" t="str">
        <f>HYPERLINK("http://www.informatics.jax.org/marker/MGI:102890","MGI:102890")</f>
        <v>MGI:102890</v>
      </c>
      <c r="J1469" s="7" t="s">
        <v>12</v>
      </c>
    </row>
    <row r="1470" spans="1:10" x14ac:dyDescent="0.2">
      <c r="A1470" s="3">
        <v>4383.4212477440296</v>
      </c>
      <c r="B1470" s="1">
        <v>8.5267226106824495E-2</v>
      </c>
      <c r="C1470" s="1">
        <v>3.4784693525071698E-3</v>
      </c>
      <c r="D1470" s="7">
        <v>3.5036722063257399E-2</v>
      </c>
      <c r="E1470" s="1" t="s">
        <v>2176</v>
      </c>
      <c r="F1470" s="1" t="s">
        <v>2177</v>
      </c>
      <c r="G1470" s="1">
        <v>78920</v>
      </c>
      <c r="H1470" s="6" t="str">
        <f>HYPERLINK("http://www.ensembl.org/Mus_musculus/Gene/Summary?db=core;g=ENSMUSG00000004789","ENSMUSG00000004789")</f>
        <v>ENSMUSG00000004789</v>
      </c>
      <c r="I1470" s="6" t="str">
        <f>HYPERLINK("http://www.informatics.jax.org/marker/MGI:1926170","MGI:1926170")</f>
        <v>MGI:1926170</v>
      </c>
      <c r="J1470" s="7" t="s">
        <v>12</v>
      </c>
    </row>
    <row r="1471" spans="1:10" x14ac:dyDescent="0.2">
      <c r="A1471" s="3">
        <v>641.99047602595101</v>
      </c>
      <c r="B1471" s="1">
        <v>-0.33837226050656499</v>
      </c>
      <c r="C1471" s="1">
        <v>3.4902373073728899E-3</v>
      </c>
      <c r="D1471" s="7">
        <v>3.5131241093884401E-2</v>
      </c>
      <c r="E1471" s="1" t="s">
        <v>1272</v>
      </c>
      <c r="F1471" s="1" t="s">
        <v>1273</v>
      </c>
      <c r="G1471" s="1">
        <v>98388</v>
      </c>
      <c r="H1471" s="6" t="str">
        <f>HYPERLINK("http://www.ensembl.org/Mus_musculus/Gene/Summary?db=core;g=ENSMUSG00000026080","ENSMUSG00000026080")</f>
        <v>ENSMUSG00000026080</v>
      </c>
      <c r="I1471" s="6" t="str">
        <f>HYPERLINK("http://www.informatics.jax.org/marker/MGI:2138283","MGI:2138283")</f>
        <v>MGI:2138283</v>
      </c>
      <c r="J1471" s="7" t="s">
        <v>12</v>
      </c>
    </row>
    <row r="1472" spans="1:10" x14ac:dyDescent="0.2">
      <c r="A1472" s="3">
        <v>1703.0684844366499</v>
      </c>
      <c r="B1472" s="1">
        <v>0.14632817299894901</v>
      </c>
      <c r="C1472" s="1">
        <v>3.49599165888682E-3</v>
      </c>
      <c r="D1472" s="7">
        <v>3.5165142037785799E-2</v>
      </c>
      <c r="E1472" s="1" t="s">
        <v>2298</v>
      </c>
      <c r="F1472" s="1" t="s">
        <v>2299</v>
      </c>
      <c r="G1472" s="1">
        <v>56354</v>
      </c>
      <c r="H1472" s="6" t="str">
        <f>HYPERLINK("http://www.ensembl.org/Mus_musculus/Gene/Summary?db=core;g=ENSMUSG00000014195","ENSMUSG00000014195")</f>
        <v>ENSMUSG00000014195</v>
      </c>
      <c r="I1472" s="6" t="str">
        <f>HYPERLINK("http://www.informatics.jax.org/marker/MGI:1928373","MGI:1928373")</f>
        <v>MGI:1928373</v>
      </c>
      <c r="J1472" s="7" t="s">
        <v>12</v>
      </c>
    </row>
    <row r="1473" spans="1:10" x14ac:dyDescent="0.2">
      <c r="A1473" s="3">
        <v>1714.81757078336</v>
      </c>
      <c r="B1473" s="1">
        <v>0.17550366737804901</v>
      </c>
      <c r="C1473" s="1">
        <v>3.4990925113619099E-3</v>
      </c>
      <c r="D1473" s="7">
        <v>3.5172324179692398E-2</v>
      </c>
      <c r="E1473" s="1" t="s">
        <v>2464</v>
      </c>
      <c r="F1473" s="1" t="s">
        <v>2465</v>
      </c>
      <c r="G1473" s="1">
        <v>66580</v>
      </c>
      <c r="H1473" s="6" t="str">
        <f>HYPERLINK("http://www.ensembl.org/Mus_musculus/Gene/Summary?db=core;g=ENSMUSG00000045624","ENSMUSG00000045624")</f>
        <v>ENSMUSG00000045624</v>
      </c>
      <c r="I1473" s="6" t="str">
        <f>HYPERLINK("http://www.informatics.jax.org/marker/MGI:1913830","MGI:1913830")</f>
        <v>MGI:1913830</v>
      </c>
      <c r="J1473" s="7" t="s">
        <v>12</v>
      </c>
    </row>
    <row r="1474" spans="1:10" x14ac:dyDescent="0.2">
      <c r="A1474" s="3">
        <v>1278.8274139954201</v>
      </c>
      <c r="B1474" s="1">
        <v>-0.15662799893922399</v>
      </c>
      <c r="C1474" s="1">
        <v>3.5039858037603298E-3</v>
      </c>
      <c r="D1474" s="7">
        <v>3.5197501570696801E-2</v>
      </c>
      <c r="E1474" s="1" t="s">
        <v>2102</v>
      </c>
      <c r="F1474" s="1" t="s">
        <v>2103</v>
      </c>
      <c r="G1474" s="1">
        <v>11798</v>
      </c>
      <c r="H1474" s="6" t="str">
        <f>HYPERLINK("http://www.ensembl.org/Mus_musculus/Gene/Summary?db=core;g=ENSMUSG00000025860","ENSMUSG00000025860")</f>
        <v>ENSMUSG00000025860</v>
      </c>
      <c r="I1474" s="6" t="str">
        <f>HYPERLINK("http://www.informatics.jax.org/marker/MGI:107572","MGI:107572")</f>
        <v>MGI:107572</v>
      </c>
      <c r="J1474" s="7" t="s">
        <v>12</v>
      </c>
    </row>
    <row r="1475" spans="1:10" x14ac:dyDescent="0.2">
      <c r="A1475" s="3">
        <v>17.916047241528801</v>
      </c>
      <c r="B1475" s="1">
        <v>-0.83076888433446305</v>
      </c>
      <c r="C1475" s="1">
        <v>3.5311893921915901E-3</v>
      </c>
      <c r="D1475" s="7">
        <v>3.5446598694370099E-2</v>
      </c>
      <c r="E1475" s="1" t="s">
        <v>458</v>
      </c>
      <c r="F1475" s="1" t="s">
        <v>459</v>
      </c>
      <c r="G1475" s="1">
        <v>68107</v>
      </c>
      <c r="H1475" s="6" t="str">
        <f>HYPERLINK("http://www.ensembl.org/Mus_musculus/Gene/Summary?db=core;g=ENSMUSG00000078653","ENSMUSG00000078653")</f>
        <v>ENSMUSG00000078653</v>
      </c>
      <c r="I1475" s="6" t="str">
        <f>HYPERLINK("http://www.informatics.jax.org/marker/MGI:1923965","MGI:1923965")</f>
        <v>MGI:1923965</v>
      </c>
      <c r="J1475" s="7" t="s">
        <v>12</v>
      </c>
    </row>
    <row r="1476" spans="1:10" x14ac:dyDescent="0.2">
      <c r="A1476" s="3">
        <v>4.4170748950166496</v>
      </c>
      <c r="B1476" s="1">
        <v>-1.2111108772307799</v>
      </c>
      <c r="C1476" s="1">
        <v>3.5435298862957201E-3</v>
      </c>
      <c r="D1476" s="7">
        <v>3.5449732793247597E-2</v>
      </c>
      <c r="E1476" s="1" t="s">
        <v>227</v>
      </c>
      <c r="F1476" s="1" t="s">
        <v>228</v>
      </c>
      <c r="G1476" s="1">
        <v>384059</v>
      </c>
      <c r="H1476" s="6" t="str">
        <f>HYPERLINK("http://www.ensembl.org/Mus_musculus/Gene/Summary?db=core;g=ENSMUSG00000062545","ENSMUSG00000062545")</f>
        <v>ENSMUSG00000062545</v>
      </c>
      <c r="I1476" s="6" t="str">
        <f>HYPERLINK("http://www.informatics.jax.org/marker/MGI:3045221","MGI:3045221")</f>
        <v>MGI:3045221</v>
      </c>
      <c r="J1476" s="7" t="s">
        <v>12</v>
      </c>
    </row>
    <row r="1477" spans="1:10" x14ac:dyDescent="0.2">
      <c r="A1477" s="3">
        <v>1002.73673783177</v>
      </c>
      <c r="B1477" s="1">
        <v>-0.35857926390314199</v>
      </c>
      <c r="C1477" s="1">
        <v>3.5359308294144001E-3</v>
      </c>
      <c r="D1477" s="7">
        <v>3.5449732793247597E-2</v>
      </c>
      <c r="E1477" s="1" t="s">
        <v>1214</v>
      </c>
      <c r="F1477" s="1" t="s">
        <v>1215</v>
      </c>
      <c r="G1477" s="1">
        <v>671535</v>
      </c>
      <c r="H1477" s="6" t="str">
        <f>HYPERLINK("http://www.ensembl.org/Mus_musculus/Gene/Summary?db=core;g=ENSMUSG00000063268","ENSMUSG00000063268")</f>
        <v>ENSMUSG00000063268</v>
      </c>
      <c r="I1477" s="6" t="str">
        <f>HYPERLINK("http://www.informatics.jax.org/marker/MGI:3712326","MGI:3712326")</f>
        <v>MGI:3712326</v>
      </c>
      <c r="J1477" s="7" t="s">
        <v>12</v>
      </c>
    </row>
    <row r="1478" spans="1:10" x14ac:dyDescent="0.2">
      <c r="A1478" s="3">
        <v>1604.77647278636</v>
      </c>
      <c r="B1478" s="1">
        <v>-0.21845373293301401</v>
      </c>
      <c r="C1478" s="1">
        <v>3.5394711010141799E-3</v>
      </c>
      <c r="D1478" s="7">
        <v>3.5449732793247597E-2</v>
      </c>
      <c r="E1478" s="1" t="s">
        <v>1824</v>
      </c>
      <c r="F1478" s="1" t="s">
        <v>1825</v>
      </c>
      <c r="G1478" s="1">
        <v>13476</v>
      </c>
      <c r="H1478" s="6" t="str">
        <f>HYPERLINK("http://www.ensembl.org/Mus_musculus/Gene/Summary?db=core;g=ENSMUSG00000005873","ENSMUSG00000005873")</f>
        <v>ENSMUSG00000005873</v>
      </c>
      <c r="I1478" s="6" t="str">
        <f>HYPERLINK("http://www.informatics.jax.org/marker/MGI:1270152","MGI:1270152")</f>
        <v>MGI:1270152</v>
      </c>
      <c r="J1478" s="7" t="s">
        <v>12</v>
      </c>
    </row>
    <row r="1479" spans="1:10" x14ac:dyDescent="0.2">
      <c r="A1479" s="3">
        <v>1759.15274169945</v>
      </c>
      <c r="B1479" s="1">
        <v>-0.15048322721434801</v>
      </c>
      <c r="C1479" s="1">
        <v>3.5373653236473899E-3</v>
      </c>
      <c r="D1479" s="7">
        <v>3.5449732793247597E-2</v>
      </c>
      <c r="E1479" s="1" t="s">
        <v>2122</v>
      </c>
      <c r="F1479" s="1" t="s">
        <v>2123</v>
      </c>
      <c r="G1479" s="1">
        <v>240028</v>
      </c>
      <c r="H1479" s="6" t="str">
        <f>HYPERLINK("http://www.ensembl.org/Mus_musculus/Gene/Summary?db=core;g=ENSMUSG00000023845","ENSMUSG00000023845")</f>
        <v>ENSMUSG00000023845</v>
      </c>
      <c r="I1479" s="6" t="str">
        <f>HYPERLINK("http://www.informatics.jax.org/marker/MGI:2387123","MGI:2387123")</f>
        <v>MGI:2387123</v>
      </c>
      <c r="J1479" s="7" t="s">
        <v>12</v>
      </c>
    </row>
    <row r="1480" spans="1:10" x14ac:dyDescent="0.2">
      <c r="A1480" s="3">
        <v>289.43625753989301</v>
      </c>
      <c r="B1480" s="1">
        <v>0.517995807592456</v>
      </c>
      <c r="C1480" s="1">
        <v>3.5414102917832699E-3</v>
      </c>
      <c r="D1480" s="7">
        <v>3.5449732793247597E-2</v>
      </c>
      <c r="E1480" s="1" t="s">
        <v>3204</v>
      </c>
      <c r="F1480" s="1" t="s">
        <v>3205</v>
      </c>
      <c r="G1480" s="1" t="s">
        <v>45</v>
      </c>
      <c r="H1480" s="6" t="str">
        <f>HYPERLINK("http://www.ensembl.org/Mus_musculus/Gene/Summary?db=core;g=ENSMUSG00000089726","ENSMUSG00000089726")</f>
        <v>ENSMUSG00000089726</v>
      </c>
      <c r="I1480" s="6" t="str">
        <f>HYPERLINK("http://www.informatics.jax.org/marker/MGI:1923207","MGI:1923207")</f>
        <v>MGI:1923207</v>
      </c>
      <c r="J1480" s="7" t="s">
        <v>95</v>
      </c>
    </row>
    <row r="1481" spans="1:10" x14ac:dyDescent="0.2">
      <c r="A1481" s="3">
        <v>25.880951636398901</v>
      </c>
      <c r="B1481" s="1">
        <v>-0.53035116680213001</v>
      </c>
      <c r="C1481" s="1">
        <v>3.5522220628278599E-3</v>
      </c>
      <c r="D1481" s="7">
        <v>3.5512580948325101E-2</v>
      </c>
      <c r="E1481" s="1" t="s">
        <v>791</v>
      </c>
      <c r="F1481" s="1" t="s">
        <v>792</v>
      </c>
      <c r="G1481" s="1">
        <v>382018</v>
      </c>
      <c r="H1481" s="6" t="str">
        <f>HYPERLINK("http://www.ensembl.org/Mus_musculus/Gene/Summary?db=core;g=ENSMUSG00000034799","ENSMUSG00000034799")</f>
        <v>ENSMUSG00000034799</v>
      </c>
      <c r="I1481" s="6" t="str">
        <f>HYPERLINK("http://www.informatics.jax.org/marker/MGI:3051532","MGI:3051532")</f>
        <v>MGI:3051532</v>
      </c>
      <c r="J1481" s="7" t="s">
        <v>12</v>
      </c>
    </row>
    <row r="1482" spans="1:10" x14ac:dyDescent="0.2">
      <c r="A1482" s="3">
        <v>106.994363184758</v>
      </c>
      <c r="B1482" s="1">
        <v>-0.363668156787611</v>
      </c>
      <c r="C1482" s="1">
        <v>3.5578046364128399E-3</v>
      </c>
      <c r="D1482" s="7">
        <v>3.5544277370969199E-2</v>
      </c>
      <c r="E1482" s="1" t="s">
        <v>1194</v>
      </c>
      <c r="F1482" s="1" t="s">
        <v>1195</v>
      </c>
      <c r="G1482" s="1">
        <v>74559</v>
      </c>
      <c r="H1482" s="6" t="str">
        <f>HYPERLINK("http://www.ensembl.org/Mus_musculus/Gene/Summary?db=core;g=ENSMUSG00000021696","ENSMUSG00000021696")</f>
        <v>ENSMUSG00000021696</v>
      </c>
      <c r="I1482" s="6" t="str">
        <f>HYPERLINK("http://www.informatics.jax.org/marker/MGI:1921809","MGI:1921809")</f>
        <v>MGI:1921809</v>
      </c>
      <c r="J1482" s="7" t="s">
        <v>12</v>
      </c>
    </row>
    <row r="1483" spans="1:10" x14ac:dyDescent="0.2">
      <c r="A1483" s="3">
        <v>434.70423941004901</v>
      </c>
      <c r="B1483" s="1">
        <v>0.19962804249257299</v>
      </c>
      <c r="C1483" s="1">
        <v>3.5705723192466102E-3</v>
      </c>
      <c r="D1483" s="7">
        <v>3.5647665105974197E-2</v>
      </c>
      <c r="E1483" s="1" t="s">
        <v>2600</v>
      </c>
      <c r="F1483" s="1" t="s">
        <v>2601</v>
      </c>
      <c r="G1483" s="1">
        <v>30947</v>
      </c>
      <c r="H1483" s="6" t="str">
        <f>HYPERLINK("http://www.ensembl.org/Mus_musculus/Gene/Summary?db=core;g=ENSMUSG00000031949","ENSMUSG00000031949")</f>
        <v>ENSMUSG00000031949</v>
      </c>
      <c r="I1483" s="6" t="str">
        <f>HYPERLINK("http://www.informatics.jax.org/marker/MGI:1353631","MGI:1353631")</f>
        <v>MGI:1353631</v>
      </c>
      <c r="J1483" s="7" t="s">
        <v>12</v>
      </c>
    </row>
    <row r="1484" spans="1:10" x14ac:dyDescent="0.2">
      <c r="A1484" s="3">
        <v>841.60184325042701</v>
      </c>
      <c r="B1484" s="1">
        <v>0.146329932388192</v>
      </c>
      <c r="C1484" s="1">
        <v>3.5782413185379601E-3</v>
      </c>
      <c r="D1484" s="7">
        <v>3.57000433784532E-2</v>
      </c>
      <c r="E1484" s="1" t="s">
        <v>2300</v>
      </c>
      <c r="F1484" s="1" t="s">
        <v>2301</v>
      </c>
      <c r="G1484" s="1">
        <v>26428</v>
      </c>
      <c r="H1484" s="6" t="str">
        <f>HYPERLINK("http://www.ensembl.org/Mus_musculus/Gene/Summary?db=core;g=ENSMUSG00000026761","ENSMUSG00000026761")</f>
        <v>ENSMUSG00000026761</v>
      </c>
      <c r="I1484" s="6" t="str">
        <f>HYPERLINK("http://www.informatics.jax.org/marker/MGI:1347043","MGI:1347043")</f>
        <v>MGI:1347043</v>
      </c>
      <c r="J1484" s="7" t="s">
        <v>12</v>
      </c>
    </row>
    <row r="1485" spans="1:10" x14ac:dyDescent="0.2">
      <c r="A1485" s="3">
        <v>352.66044416706302</v>
      </c>
      <c r="B1485" s="1">
        <v>-0.22844405888996799</v>
      </c>
      <c r="C1485" s="1">
        <v>3.5909363622412399E-3</v>
      </c>
      <c r="D1485" s="7">
        <v>3.5802461592684E-2</v>
      </c>
      <c r="E1485" s="1" t="s">
        <v>1776</v>
      </c>
      <c r="F1485" s="1" t="s">
        <v>1777</v>
      </c>
      <c r="G1485" s="1">
        <v>217695</v>
      </c>
      <c r="H1485" s="6" t="str">
        <f>HYPERLINK("http://www.ensembl.org/Mus_musculus/Gene/Summary?db=core;g=ENSMUSG00000042628","ENSMUSG00000042628")</f>
        <v>ENSMUSG00000042628</v>
      </c>
      <c r="I1485" s="6" t="str">
        <f>HYPERLINK("http://www.informatics.jax.org/marker/MGI:3026685","MGI:3026685")</f>
        <v>MGI:3026685</v>
      </c>
      <c r="J1485" s="7" t="s">
        <v>12</v>
      </c>
    </row>
    <row r="1486" spans="1:10" x14ac:dyDescent="0.2">
      <c r="A1486" s="3">
        <v>502.40591952850002</v>
      </c>
      <c r="B1486" s="1">
        <v>-0.40350027381509401</v>
      </c>
      <c r="C1486" s="1">
        <v>3.6107089238583499E-3</v>
      </c>
      <c r="D1486" s="7">
        <v>3.5943553090831797E-2</v>
      </c>
      <c r="E1486" s="1" t="s">
        <v>1093</v>
      </c>
      <c r="F1486" s="1" t="s">
        <v>1094</v>
      </c>
      <c r="G1486" s="1">
        <v>58809</v>
      </c>
      <c r="H1486" s="6" t="str">
        <f>HYPERLINK("http://www.ensembl.org/Mus_musculus/Gene/Summary?db=core;g=ENSMUSG00000021876","ENSMUSG00000021876")</f>
        <v>ENSMUSG00000021876</v>
      </c>
      <c r="I1486" s="6" t="str">
        <f>HYPERLINK("http://www.informatics.jax.org/marker/MGI:1926217","MGI:1926217")</f>
        <v>MGI:1926217</v>
      </c>
      <c r="J1486" s="7" t="s">
        <v>12</v>
      </c>
    </row>
    <row r="1487" spans="1:10" x14ac:dyDescent="0.2">
      <c r="A1487" s="3">
        <v>799.05929655712805</v>
      </c>
      <c r="B1487" s="1">
        <v>-0.21042020321536301</v>
      </c>
      <c r="C1487" s="1">
        <v>3.6124051389469199E-3</v>
      </c>
      <c r="D1487" s="7">
        <v>3.5943553090831797E-2</v>
      </c>
      <c r="E1487" s="1" t="s">
        <v>1862</v>
      </c>
      <c r="F1487" s="1" t="s">
        <v>1863</v>
      </c>
      <c r="G1487" s="1">
        <v>12908</v>
      </c>
      <c r="H1487" s="6" t="str">
        <f>HYPERLINK("http://www.ensembl.org/Mus_musculus/Gene/Summary?db=core;g=ENSMUSG00000026853","ENSMUSG00000026853")</f>
        <v>ENSMUSG00000026853</v>
      </c>
      <c r="I1487" s="6" t="str">
        <f>HYPERLINK("http://www.informatics.jax.org/marker/MGI:109501","MGI:109501")</f>
        <v>MGI:109501</v>
      </c>
      <c r="J1487" s="7" t="s">
        <v>12</v>
      </c>
    </row>
    <row r="1488" spans="1:10" x14ac:dyDescent="0.2">
      <c r="A1488" s="3">
        <v>541.08211475622602</v>
      </c>
      <c r="B1488" s="1">
        <v>0.19445220246189901</v>
      </c>
      <c r="C1488" s="1">
        <v>3.6077995756829198E-3</v>
      </c>
      <c r="D1488" s="7">
        <v>3.5943553090831797E-2</v>
      </c>
      <c r="E1488" s="1" t="s">
        <v>2560</v>
      </c>
      <c r="F1488" s="1" t="s">
        <v>2561</v>
      </c>
      <c r="G1488" s="1">
        <v>66521</v>
      </c>
      <c r="H1488" s="6" t="str">
        <f>HYPERLINK("http://www.ensembl.org/Mus_musculus/Gene/Summary?db=core;g=ENSMUSG00000019782","ENSMUSG00000019782")</f>
        <v>ENSMUSG00000019782</v>
      </c>
      <c r="I1488" s="6" t="str">
        <f>HYPERLINK("http://www.informatics.jax.org/marker/MGI:1913771","MGI:1913771")</f>
        <v>MGI:1913771</v>
      </c>
      <c r="J1488" s="7" t="s">
        <v>12</v>
      </c>
    </row>
    <row r="1489" spans="1:10" x14ac:dyDescent="0.2">
      <c r="A1489" s="3">
        <v>1875.5810766331999</v>
      </c>
      <c r="B1489" s="1">
        <v>-0.16083486760572199</v>
      </c>
      <c r="C1489" s="1">
        <v>3.6176298675787799E-3</v>
      </c>
      <c r="D1489" s="7">
        <v>3.5971250829042498E-2</v>
      </c>
      <c r="E1489" s="1" t="s">
        <v>2078</v>
      </c>
      <c r="F1489" s="1" t="s">
        <v>2079</v>
      </c>
      <c r="G1489" s="1">
        <v>14784</v>
      </c>
      <c r="H1489" s="6" t="str">
        <f>HYPERLINK("http://www.ensembl.org/Mus_musculus/Gene/Summary?db=core;g=ENSMUSG00000059923","ENSMUSG00000059923")</f>
        <v>ENSMUSG00000059923</v>
      </c>
      <c r="I1489" s="6" t="str">
        <f>HYPERLINK("http://www.informatics.jax.org/marker/MGI:95805","MGI:95805")</f>
        <v>MGI:95805</v>
      </c>
      <c r="J1489" s="7" t="s">
        <v>12</v>
      </c>
    </row>
    <row r="1490" spans="1:10" x14ac:dyDescent="0.2">
      <c r="A1490" s="3">
        <v>592.83699121055702</v>
      </c>
      <c r="B1490" s="1">
        <v>-0.199267494872264</v>
      </c>
      <c r="C1490" s="1">
        <v>3.62191323425895E-3</v>
      </c>
      <c r="D1490" s="7">
        <v>3.5989557262333001E-2</v>
      </c>
      <c r="E1490" s="1" t="s">
        <v>1914</v>
      </c>
      <c r="F1490" s="1" t="s">
        <v>1915</v>
      </c>
      <c r="G1490" s="1">
        <v>54160</v>
      </c>
      <c r="H1490" s="6" t="str">
        <f>HYPERLINK("http://www.ensembl.org/Mus_musculus/Gene/Summary?db=core;g=ENSMUSG00000025607","ENSMUSG00000025607")</f>
        <v>ENSMUSG00000025607</v>
      </c>
      <c r="I1490" s="6" t="str">
        <f>HYPERLINK("http://www.informatics.jax.org/marker/MGI:1858683","MGI:1858683")</f>
        <v>MGI:1858683</v>
      </c>
      <c r="J1490" s="7" t="s">
        <v>12</v>
      </c>
    </row>
    <row r="1491" spans="1:10" x14ac:dyDescent="0.2">
      <c r="A1491" s="3">
        <v>286.96529834050602</v>
      </c>
      <c r="B1491" s="1">
        <v>0.24154874867981499</v>
      </c>
      <c r="C1491" s="1">
        <v>3.62449627466585E-3</v>
      </c>
      <c r="D1491" s="7">
        <v>3.5990954921479697E-2</v>
      </c>
      <c r="E1491" s="1" t="s">
        <v>2850</v>
      </c>
      <c r="F1491" s="1" t="s">
        <v>2851</v>
      </c>
      <c r="G1491" s="1">
        <v>72306</v>
      </c>
      <c r="H1491" s="6" t="str">
        <f>HYPERLINK("http://www.ensembl.org/Mus_musculus/Gene/Summary?db=core;g=ENSMUSG00000071477","ENSMUSG00000071477")</f>
        <v>ENSMUSG00000071477</v>
      </c>
      <c r="I1491" s="6" t="str">
        <f>HYPERLINK("http://www.informatics.jax.org/marker/MGI:1919556","MGI:1919556")</f>
        <v>MGI:1919556</v>
      </c>
      <c r="J1491" s="7" t="s">
        <v>12</v>
      </c>
    </row>
    <row r="1492" spans="1:10" x14ac:dyDescent="0.2">
      <c r="A1492" s="3">
        <v>834.50006472748805</v>
      </c>
      <c r="B1492" s="1">
        <v>-0.54386331109858099</v>
      </c>
      <c r="C1492" s="1">
        <v>3.6340350408186001E-3</v>
      </c>
      <c r="D1492" s="7">
        <v>3.6061373980810003E-2</v>
      </c>
      <c r="E1492" s="1" t="s">
        <v>771</v>
      </c>
      <c r="F1492" s="1" t="s">
        <v>772</v>
      </c>
      <c r="G1492" s="1">
        <v>27419</v>
      </c>
      <c r="H1492" s="6" t="str">
        <f>HYPERLINK("http://www.ensembl.org/Mus_musculus/Gene/Summary?db=core;g=ENSMUSG00000001751","ENSMUSG00000001751")</f>
        <v>ENSMUSG00000001751</v>
      </c>
      <c r="I1492" s="6" t="str">
        <f>HYPERLINK("http://www.informatics.jax.org/marker/MGI:1351641","MGI:1351641")</f>
        <v>MGI:1351641</v>
      </c>
      <c r="J1492" s="7" t="s">
        <v>12</v>
      </c>
    </row>
    <row r="1493" spans="1:10" x14ac:dyDescent="0.2">
      <c r="A1493" s="3">
        <v>183.05640294871</v>
      </c>
      <c r="B1493" s="1">
        <v>-0.29289647497523302</v>
      </c>
      <c r="C1493" s="1">
        <v>3.63751147569324E-3</v>
      </c>
      <c r="D1493" s="7">
        <v>3.6071580824909598E-2</v>
      </c>
      <c r="E1493" s="1" t="s">
        <v>1484</v>
      </c>
      <c r="F1493" s="1" t="s">
        <v>1485</v>
      </c>
      <c r="G1493" s="1">
        <v>269180</v>
      </c>
      <c r="H1493" s="6" t="str">
        <f>HYPERLINK("http://www.ensembl.org/Mus_musculus/Gene/Summary?db=core;g=ENSMUSG00000026113","ENSMUSG00000026113")</f>
        <v>ENSMUSG00000026113</v>
      </c>
      <c r="I1493" s="6" t="str">
        <f>HYPERLINK("http://www.informatics.jax.org/marker/MGI:1931123","MGI:1931123")</f>
        <v>MGI:1931123</v>
      </c>
      <c r="J1493" s="7" t="s">
        <v>12</v>
      </c>
    </row>
    <row r="1494" spans="1:10" x14ac:dyDescent="0.2">
      <c r="A1494" s="3">
        <v>316.14323295827597</v>
      </c>
      <c r="B1494" s="1">
        <v>-1.0529616502621699</v>
      </c>
      <c r="C1494" s="1">
        <v>3.6483781337469101E-3</v>
      </c>
      <c r="D1494" s="7">
        <v>3.6155010207730001E-2</v>
      </c>
      <c r="E1494" s="1" t="s">
        <v>295</v>
      </c>
      <c r="F1494" s="1" t="s">
        <v>296</v>
      </c>
      <c r="G1494" s="1">
        <v>209086</v>
      </c>
      <c r="H1494" s="6" t="str">
        <f>HYPERLINK("http://www.ensembl.org/Mus_musculus/Gene/Summary?db=core;g=ENSMUSG00000047735","ENSMUSG00000047735")</f>
        <v>ENSMUSG00000047735</v>
      </c>
      <c r="I1494" s="6" t="str">
        <f>HYPERLINK("http://www.informatics.jax.org/marker/MGI:1343184","MGI:1343184")</f>
        <v>MGI:1343184</v>
      </c>
      <c r="J1494" s="7" t="s">
        <v>12</v>
      </c>
    </row>
    <row r="1495" spans="1:10" x14ac:dyDescent="0.2">
      <c r="A1495" s="3">
        <v>791.52400382824999</v>
      </c>
      <c r="B1495" s="1">
        <v>0.13192770028308501</v>
      </c>
      <c r="C1495" s="1">
        <v>3.6587890434775102E-3</v>
      </c>
      <c r="D1495" s="7">
        <v>3.6233814075728898E-2</v>
      </c>
      <c r="E1495" s="1" t="s">
        <v>2246</v>
      </c>
      <c r="F1495" s="1" t="s">
        <v>2247</v>
      </c>
      <c r="G1495" s="1">
        <v>97884</v>
      </c>
      <c r="H1495" s="6" t="str">
        <f>HYPERLINK("http://www.ensembl.org/Mus_musculus/Gene/Summary?db=core;g=ENSMUSG00000039242","ENSMUSG00000039242")</f>
        <v>ENSMUSG00000039242</v>
      </c>
      <c r="I1495" s="6" t="str">
        <f>HYPERLINK("http://www.informatics.jax.org/marker/MGI:2145517","MGI:2145517")</f>
        <v>MGI:2145517</v>
      </c>
      <c r="J1495" s="7" t="s">
        <v>12</v>
      </c>
    </row>
    <row r="1496" spans="1:10" x14ac:dyDescent="0.2">
      <c r="A1496" s="3">
        <v>3693.56987543371</v>
      </c>
      <c r="B1496" s="1">
        <v>0.111349650663835</v>
      </c>
      <c r="C1496" s="1">
        <v>3.6664997086851602E-3</v>
      </c>
      <c r="D1496" s="7">
        <v>3.6261436045090301E-2</v>
      </c>
      <c r="E1496" s="1" t="s">
        <v>2200</v>
      </c>
      <c r="F1496" s="1" t="s">
        <v>2201</v>
      </c>
      <c r="G1496" s="1">
        <v>55944</v>
      </c>
      <c r="H1496" s="6" t="str">
        <f>HYPERLINK("http://www.ensembl.org/Mus_musculus/Gene/Summary?db=core;g=ENSMUSG00000016554","ENSMUSG00000016554")</f>
        <v>ENSMUSG00000016554</v>
      </c>
      <c r="I1496" s="6" t="str">
        <f>HYPERLINK("http://www.informatics.jax.org/marker/MGI:1933181","MGI:1933181")</f>
        <v>MGI:1933181</v>
      </c>
      <c r="J1496" s="7" t="s">
        <v>12</v>
      </c>
    </row>
    <row r="1497" spans="1:10" x14ac:dyDescent="0.2">
      <c r="A1497" s="3">
        <v>2083.9611285574001</v>
      </c>
      <c r="B1497" s="1">
        <v>0.13101819801228001</v>
      </c>
      <c r="C1497" s="1">
        <v>3.6652766637928001E-3</v>
      </c>
      <c r="D1497" s="7">
        <v>3.6261436045090301E-2</v>
      </c>
      <c r="E1497" s="1" t="s">
        <v>2244</v>
      </c>
      <c r="F1497" s="1" t="s">
        <v>2245</v>
      </c>
      <c r="G1497" s="1">
        <v>14712</v>
      </c>
      <c r="H1497" s="6" t="str">
        <f>HYPERLINK("http://www.ensembl.org/Mus_musculus/Gene/Summary?db=core;g=ENSMUSG00000031985","ENSMUSG00000031985")</f>
        <v>ENSMUSG00000031985</v>
      </c>
      <c r="I1497" s="6" t="str">
        <f>HYPERLINK("http://www.informatics.jax.org/marker/MGI:1343460","MGI:1343460")</f>
        <v>MGI:1343460</v>
      </c>
      <c r="J1497" s="7" t="s">
        <v>12</v>
      </c>
    </row>
    <row r="1498" spans="1:10" x14ac:dyDescent="0.2">
      <c r="A1498" s="3">
        <v>64.972832975056804</v>
      </c>
      <c r="B1498" s="1">
        <v>0.48320128585931998</v>
      </c>
      <c r="C1498" s="1">
        <v>3.67758845677656E-3</v>
      </c>
      <c r="D1498" s="7">
        <v>3.6346709254902299E-2</v>
      </c>
      <c r="E1498" s="1" t="s">
        <v>3188</v>
      </c>
      <c r="F1498" s="1" t="s">
        <v>3189</v>
      </c>
      <c r="G1498" s="1" t="s">
        <v>45</v>
      </c>
      <c r="H1498" s="6" t="str">
        <f>HYPERLINK("http://www.ensembl.org/Mus_musculus/Gene/Summary?db=core;g=ENSMUSG00000065353","ENSMUSG00000065353")</f>
        <v>ENSMUSG00000065353</v>
      </c>
      <c r="I1498" s="6" t="str">
        <f>HYPERLINK("http://www.informatics.jax.org/marker/MGI:4360049","MGI:4360049")</f>
        <v>MGI:4360049</v>
      </c>
      <c r="J1498" s="7" t="s">
        <v>674</v>
      </c>
    </row>
    <row r="1499" spans="1:10" x14ac:dyDescent="0.2">
      <c r="A1499" s="3">
        <v>10598.196282885599</v>
      </c>
      <c r="B1499" s="1">
        <v>-1.25507151510867</v>
      </c>
      <c r="C1499" s="1">
        <v>3.6825675227909198E-3</v>
      </c>
      <c r="D1499" s="7">
        <v>3.6371524809548902E-2</v>
      </c>
      <c r="E1499" s="1" t="s">
        <v>205</v>
      </c>
      <c r="F1499" s="1" t="s">
        <v>206</v>
      </c>
      <c r="G1499" s="1">
        <v>58185</v>
      </c>
      <c r="H1499" s="6" t="str">
        <f>HYPERLINK("http://www.ensembl.org/Mus_musculus/Gene/Summary?db=core;g=ENSMUSG00000020641","ENSMUSG00000020641")</f>
        <v>ENSMUSG00000020641</v>
      </c>
      <c r="I1499" s="6" t="str">
        <f>HYPERLINK("http://www.informatics.jax.org/marker/MGI:1929628","MGI:1929628")</f>
        <v>MGI:1929628</v>
      </c>
      <c r="J1499" s="7" t="s">
        <v>12</v>
      </c>
    </row>
    <row r="1500" spans="1:10" x14ac:dyDescent="0.2">
      <c r="A1500" s="3">
        <v>17.577511259586402</v>
      </c>
      <c r="B1500" s="1">
        <v>0.71749866625762804</v>
      </c>
      <c r="C1500" s="1">
        <v>3.6925616114192499E-3</v>
      </c>
      <c r="D1500" s="7">
        <v>3.64458056971695E-2</v>
      </c>
      <c r="E1500" s="1" t="s">
        <v>3266</v>
      </c>
      <c r="F1500" s="1" t="s">
        <v>3267</v>
      </c>
      <c r="G1500" s="1">
        <v>84653</v>
      </c>
      <c r="H1500" s="6" t="str">
        <f>HYPERLINK("http://www.ensembl.org/Mus_musculus/Gene/Summary?db=core;g=ENSMUSG00000023781","ENSMUSG00000023781")</f>
        <v>ENSMUSG00000023781</v>
      </c>
      <c r="I1500" s="6" t="str">
        <f>HYPERLINK("http://www.informatics.jax.org/marker/MGI:2135679","MGI:2135679")</f>
        <v>MGI:2135679</v>
      </c>
      <c r="J1500" s="7" t="s">
        <v>12</v>
      </c>
    </row>
    <row r="1501" spans="1:10" x14ac:dyDescent="0.2">
      <c r="A1501" s="3">
        <v>13.0000935230929</v>
      </c>
      <c r="B1501" s="1">
        <v>-0.87551036735450305</v>
      </c>
      <c r="C1501" s="1">
        <v>3.7322097989041401E-3</v>
      </c>
      <c r="D1501" s="7">
        <v>3.6812478980355702E-2</v>
      </c>
      <c r="E1501" s="1" t="s">
        <v>421</v>
      </c>
      <c r="F1501" s="1" t="s">
        <v>422</v>
      </c>
      <c r="G1501" s="1">
        <v>279029</v>
      </c>
      <c r="H1501" s="6" t="str">
        <f>HYPERLINK("http://www.ensembl.org/Mus_musculus/Gene/Summary?db=core;g=ENSMUSG00000049897","ENSMUSG00000049897")</f>
        <v>ENSMUSG00000049897</v>
      </c>
      <c r="I1501" s="6" t="str">
        <f>HYPERLINK("http://www.informatics.jax.org/marker/MGI:2685557","MGI:2685557")</f>
        <v>MGI:2685557</v>
      </c>
      <c r="J1501" s="7" t="s">
        <v>12</v>
      </c>
    </row>
    <row r="1502" spans="1:10" x14ac:dyDescent="0.2">
      <c r="A1502" s="3">
        <v>362.744858669846</v>
      </c>
      <c r="B1502" s="1">
        <v>-0.230162017057157</v>
      </c>
      <c r="C1502" s="1">
        <v>3.7407196266978698E-3</v>
      </c>
      <c r="D1502" s="7">
        <v>3.68717353973377E-2</v>
      </c>
      <c r="E1502" s="1" t="s">
        <v>1762</v>
      </c>
      <c r="F1502" s="1" t="s">
        <v>1763</v>
      </c>
      <c r="G1502" s="1">
        <v>66943</v>
      </c>
      <c r="H1502" s="6" t="str">
        <f>HYPERLINK("http://www.ensembl.org/Mus_musculus/Gene/Summary?db=core;g=ENSMUSG00000034006","ENSMUSG00000034006")</f>
        <v>ENSMUSG00000034006</v>
      </c>
      <c r="I1502" s="6" t="str">
        <f>HYPERLINK("http://www.informatics.jax.org/marker/MGI:1914193","MGI:1914193")</f>
        <v>MGI:1914193</v>
      </c>
      <c r="J1502" s="7" t="s">
        <v>12</v>
      </c>
    </row>
    <row r="1503" spans="1:10" x14ac:dyDescent="0.2">
      <c r="A1503" s="3">
        <v>857.555609592976</v>
      </c>
      <c r="B1503" s="1">
        <v>-0.237982971389811</v>
      </c>
      <c r="C1503" s="1">
        <v>3.7454257949254399E-3</v>
      </c>
      <c r="D1503" s="7">
        <v>3.6893445530762903E-2</v>
      </c>
      <c r="E1503" s="1" t="s">
        <v>1720</v>
      </c>
      <c r="F1503" s="1" t="s">
        <v>1721</v>
      </c>
      <c r="G1503" s="1">
        <v>67338</v>
      </c>
      <c r="H1503" s="6" t="str">
        <f>HYPERLINK("http://www.ensembl.org/Mus_musculus/Gene/Summary?db=core;g=ENSMUSG00000020696","ENSMUSG00000020696")</f>
        <v>ENSMUSG00000020696</v>
      </c>
      <c r="I1503" s="6" t="str">
        <f>HYPERLINK("http://www.informatics.jax.org/marker/MGI:1914588","MGI:1914588")</f>
        <v>MGI:1914588</v>
      </c>
      <c r="J1503" s="7" t="s">
        <v>12</v>
      </c>
    </row>
    <row r="1504" spans="1:10" x14ac:dyDescent="0.2">
      <c r="A1504" s="3">
        <v>30.471575383421001</v>
      </c>
      <c r="B1504" s="1">
        <v>-0.66972583651968898</v>
      </c>
      <c r="C1504" s="1">
        <v>3.7535835565871999E-3</v>
      </c>
      <c r="D1504" s="7">
        <v>3.6949103066044799E-2</v>
      </c>
      <c r="E1504" s="1" t="s">
        <v>584</v>
      </c>
      <c r="F1504" s="1" t="s">
        <v>585</v>
      </c>
      <c r="G1504" s="1">
        <v>16661</v>
      </c>
      <c r="H1504" s="6" t="str">
        <f>HYPERLINK("http://www.ensembl.org/Mus_musculus/Gene/Summary?db=core;g=ENSMUSG00000019761","ENSMUSG00000019761")</f>
        <v>ENSMUSG00000019761</v>
      </c>
      <c r="I1504" s="6" t="str">
        <f>HYPERLINK("http://www.informatics.jax.org/marker/MGI:96685","MGI:96685")</f>
        <v>MGI:96685</v>
      </c>
      <c r="J1504" s="7" t="s">
        <v>12</v>
      </c>
    </row>
    <row r="1505" spans="1:10" x14ac:dyDescent="0.2">
      <c r="A1505" s="3">
        <v>815.55496949171402</v>
      </c>
      <c r="B1505" s="1">
        <v>-0.362879387229401</v>
      </c>
      <c r="C1505" s="1">
        <v>3.7681578003986201E-3</v>
      </c>
      <c r="D1505" s="7">
        <v>3.6969090110968099E-2</v>
      </c>
      <c r="E1505" s="1" t="s">
        <v>1198</v>
      </c>
      <c r="F1505" s="1" t="s">
        <v>1199</v>
      </c>
      <c r="G1505" s="1">
        <v>106581</v>
      </c>
      <c r="H1505" s="6" t="str">
        <f>HYPERLINK("http://www.ensembl.org/Mus_musculus/Gene/Summary?db=core;g=ENSMUSG00000024187","ENSMUSG00000024187")</f>
        <v>ENSMUSG00000024187</v>
      </c>
      <c r="I1505" s="6" t="str">
        <f>HYPERLINK("http://www.informatics.jax.org/marker/MGI:2146854","MGI:2146854")</f>
        <v>MGI:2146854</v>
      </c>
      <c r="J1505" s="7" t="s">
        <v>12</v>
      </c>
    </row>
    <row r="1506" spans="1:10" x14ac:dyDescent="0.2">
      <c r="A1506" s="3">
        <v>676.34324914967601</v>
      </c>
      <c r="B1506" s="1">
        <v>-0.27237941494200002</v>
      </c>
      <c r="C1506" s="1">
        <v>3.76372355525022E-3</v>
      </c>
      <c r="D1506" s="7">
        <v>3.6969090110968099E-2</v>
      </c>
      <c r="E1506" s="1" t="s">
        <v>1562</v>
      </c>
      <c r="F1506" s="1" t="s">
        <v>1563</v>
      </c>
      <c r="G1506" s="1">
        <v>235633</v>
      </c>
      <c r="H1506" s="6" t="str">
        <f>HYPERLINK("http://www.ensembl.org/Mus_musculus/Gene/Summary?db=core;g=ENSMUSG00000044037","ENSMUSG00000044037")</f>
        <v>ENSMUSG00000044037</v>
      </c>
      <c r="I1506" s="6" t="str">
        <f>HYPERLINK("http://www.informatics.jax.org/marker/MGI:2447532","MGI:2447532")</f>
        <v>MGI:2447532</v>
      </c>
      <c r="J1506" s="7" t="s">
        <v>12</v>
      </c>
    </row>
    <row r="1507" spans="1:10" x14ac:dyDescent="0.2">
      <c r="A1507" s="3">
        <v>408.36039289975201</v>
      </c>
      <c r="B1507" s="1">
        <v>-0.22520583615843101</v>
      </c>
      <c r="C1507" s="1">
        <v>3.7621470974009801E-3</v>
      </c>
      <c r="D1507" s="7">
        <v>3.6969090110968099E-2</v>
      </c>
      <c r="E1507" s="1" t="s">
        <v>1792</v>
      </c>
      <c r="F1507" s="1" t="s">
        <v>1793</v>
      </c>
      <c r="G1507" s="1">
        <v>18768</v>
      </c>
      <c r="H1507" s="6" t="str">
        <f>HYPERLINK("http://www.ensembl.org/Mus_musculus/Gene/Summary?db=core;g=ENSMUSG00000019876","ENSMUSG00000019876")</f>
        <v>ENSMUSG00000019876</v>
      </c>
      <c r="I1507" s="6" t="str">
        <f>HYPERLINK("http://www.informatics.jax.org/marker/MGI:101937","MGI:101937")</f>
        <v>MGI:101937</v>
      </c>
      <c r="J1507" s="7" t="s">
        <v>12</v>
      </c>
    </row>
    <row r="1508" spans="1:10" x14ac:dyDescent="0.2">
      <c r="A1508" s="3">
        <v>514.87707721815195</v>
      </c>
      <c r="B1508" s="1">
        <v>-0.16301205145799699</v>
      </c>
      <c r="C1508" s="1">
        <v>3.76720975192867E-3</v>
      </c>
      <c r="D1508" s="7">
        <v>3.6969090110968099E-2</v>
      </c>
      <c r="E1508" s="1" t="s">
        <v>2070</v>
      </c>
      <c r="F1508" s="1" t="s">
        <v>2071</v>
      </c>
      <c r="G1508" s="1">
        <v>17257</v>
      </c>
      <c r="H1508" s="6" t="str">
        <f>HYPERLINK("http://www.ensembl.org/Mus_musculus/Gene/Summary?db=core;g=ENSMUSG00000031393","ENSMUSG00000031393")</f>
        <v>ENSMUSG00000031393</v>
      </c>
      <c r="I1508" s="6" t="str">
        <f>HYPERLINK("http://www.informatics.jax.org/marker/MGI:99918","MGI:99918")</f>
        <v>MGI:99918</v>
      </c>
      <c r="J1508" s="7" t="s">
        <v>12</v>
      </c>
    </row>
    <row r="1509" spans="1:10" x14ac:dyDescent="0.2">
      <c r="A1509" s="3">
        <v>6382.4890038886597</v>
      </c>
      <c r="B1509" s="1">
        <v>0.128464584477294</v>
      </c>
      <c r="C1509" s="1">
        <v>3.7600113093895601E-3</v>
      </c>
      <c r="D1509" s="7">
        <v>3.6969090110968099E-2</v>
      </c>
      <c r="E1509" s="1" t="s">
        <v>2234</v>
      </c>
      <c r="F1509" s="1" t="s">
        <v>2235</v>
      </c>
      <c r="G1509" s="1">
        <v>233726</v>
      </c>
      <c r="H1509" s="6" t="str">
        <f>HYPERLINK("http://www.ensembl.org/Mus_musculus/Gene/Summary?db=core;g=ENSMUSG00000066232","ENSMUSG00000066232")</f>
        <v>ENSMUSG00000066232</v>
      </c>
      <c r="I1509" s="6" t="str">
        <f>HYPERLINK("http://www.informatics.jax.org/marker/MGI:2152414","MGI:2152414")</f>
        <v>MGI:2152414</v>
      </c>
      <c r="J1509" s="7" t="s">
        <v>12</v>
      </c>
    </row>
    <row r="1510" spans="1:10" x14ac:dyDescent="0.2">
      <c r="A1510" s="3">
        <v>65.144532805980404</v>
      </c>
      <c r="B1510" s="1">
        <v>-0.40238767494516198</v>
      </c>
      <c r="C1510" s="1">
        <v>3.80314122712848E-3</v>
      </c>
      <c r="D1510" s="7">
        <v>3.7287484446417302E-2</v>
      </c>
      <c r="E1510" s="1" t="s">
        <v>1097</v>
      </c>
      <c r="F1510" s="1" t="s">
        <v>1098</v>
      </c>
      <c r="G1510" s="1">
        <v>59038</v>
      </c>
      <c r="H1510" s="6" t="str">
        <f>HYPERLINK("http://www.ensembl.org/Mus_musculus/Gene/Summary?db=core;g=ENSMUSG00000000876","ENSMUSG00000000876")</f>
        <v>ENSMUSG00000000876</v>
      </c>
      <c r="I1510" s="6" t="str">
        <f>HYPERLINK("http://www.informatics.jax.org/marker/MGI:1891701","MGI:1891701")</f>
        <v>MGI:1891701</v>
      </c>
      <c r="J1510" s="7" t="s">
        <v>12</v>
      </c>
    </row>
    <row r="1511" spans="1:10" x14ac:dyDescent="0.2">
      <c r="A1511" s="3">
        <v>1255.8370548337</v>
      </c>
      <c r="B1511" s="1">
        <v>-0.185552040233009</v>
      </c>
      <c r="C1511" s="1">
        <v>3.8191061028607599E-3</v>
      </c>
      <c r="D1511" s="7">
        <v>3.7417319719838298E-2</v>
      </c>
      <c r="E1511" s="1" t="s">
        <v>1986</v>
      </c>
      <c r="F1511" s="1" t="s">
        <v>1987</v>
      </c>
      <c r="G1511" s="1">
        <v>19766</v>
      </c>
      <c r="H1511" s="6" t="str">
        <f>HYPERLINK("http://www.ensembl.org/Mus_musculus/Gene/Summary?db=core;g=ENSMUSG00000021408","ENSMUSG00000021408")</f>
        <v>ENSMUSG00000021408</v>
      </c>
      <c r="I1511" s="6" t="str">
        <f>HYPERLINK("http://www.informatics.jax.org/marker/MGI:108212","MGI:108212")</f>
        <v>MGI:108212</v>
      </c>
      <c r="J1511" s="7" t="s">
        <v>12</v>
      </c>
    </row>
    <row r="1512" spans="1:10" x14ac:dyDescent="0.2">
      <c r="A1512" s="3">
        <v>2.8182407929244899</v>
      </c>
      <c r="B1512" s="1">
        <v>1.2802545618902801</v>
      </c>
      <c r="C1512" s="1">
        <v>3.8214621456539501E-3</v>
      </c>
      <c r="D1512" s="7">
        <v>3.7417319719838298E-2</v>
      </c>
      <c r="E1512" s="1" t="s">
        <v>3339</v>
      </c>
      <c r="F1512" s="1" t="s">
        <v>3340</v>
      </c>
      <c r="G1512" s="1">
        <v>22337</v>
      </c>
      <c r="H1512" s="6" t="str">
        <f>HYPERLINK("http://www.ensembl.org/Mus_musculus/Gene/Summary?db=core;g=ENSMUSG00000022479","ENSMUSG00000022479")</f>
        <v>ENSMUSG00000022479</v>
      </c>
      <c r="I1512" s="6" t="str">
        <f>HYPERLINK("http://www.informatics.jax.org/marker/MGI:103076","MGI:103076")</f>
        <v>MGI:103076</v>
      </c>
      <c r="J1512" s="7" t="s">
        <v>12</v>
      </c>
    </row>
    <row r="1513" spans="1:10" x14ac:dyDescent="0.2">
      <c r="A1513" s="3">
        <v>3625.1456502190499</v>
      </c>
      <c r="B1513" s="1">
        <v>0.14042741030484299</v>
      </c>
      <c r="C1513" s="1">
        <v>3.83393884083122E-3</v>
      </c>
      <c r="D1513" s="7">
        <v>3.7514556944547799E-2</v>
      </c>
      <c r="E1513" s="1" t="s">
        <v>2270</v>
      </c>
      <c r="F1513" s="1" t="s">
        <v>2271</v>
      </c>
      <c r="G1513" s="1">
        <v>17463</v>
      </c>
      <c r="H1513" s="6" t="str">
        <f>HYPERLINK("http://www.ensembl.org/Mus_musculus/Gene/Summary?db=core;g=ENSMUSG00000039067","ENSMUSG00000039067")</f>
        <v>ENSMUSG00000039067</v>
      </c>
      <c r="I1513" s="6" t="str">
        <f>HYPERLINK("http://www.informatics.jax.org/marker/MGI:1351511","MGI:1351511")</f>
        <v>MGI:1351511</v>
      </c>
      <c r="J1513" s="7" t="s">
        <v>12</v>
      </c>
    </row>
    <row r="1514" spans="1:10" x14ac:dyDescent="0.2">
      <c r="A1514" s="3">
        <v>1545.61107424225</v>
      </c>
      <c r="B1514" s="1">
        <v>-0.30235070028514699</v>
      </c>
      <c r="C1514" s="1">
        <v>3.8471146382318502E-3</v>
      </c>
      <c r="D1514" s="7">
        <v>3.7593555244684697E-2</v>
      </c>
      <c r="E1514" s="1" t="s">
        <v>1448</v>
      </c>
      <c r="F1514" s="1" t="s">
        <v>1449</v>
      </c>
      <c r="G1514" s="1">
        <v>66940</v>
      </c>
      <c r="H1514" s="6" t="str">
        <f>HYPERLINK("http://www.ensembl.org/Mus_musculus/Gene/Summary?db=core;g=ENSMUSG00000025647","ENSMUSG00000025647")</f>
        <v>ENSMUSG00000025647</v>
      </c>
      <c r="I1514" s="6" t="str">
        <f>HYPERLINK("http://www.informatics.jax.org/marker/MGI:1915044","MGI:1915044")</f>
        <v>MGI:1915044</v>
      </c>
      <c r="J1514" s="7" t="s">
        <v>12</v>
      </c>
    </row>
    <row r="1515" spans="1:10" x14ac:dyDescent="0.2">
      <c r="A1515" s="3">
        <v>183.72861685344</v>
      </c>
      <c r="B1515" s="1">
        <v>-0.25619469228901898</v>
      </c>
      <c r="C1515" s="1">
        <v>3.8460778471142102E-3</v>
      </c>
      <c r="D1515" s="7">
        <v>3.7593555244684697E-2</v>
      </c>
      <c r="E1515" s="1" t="s">
        <v>1638</v>
      </c>
      <c r="F1515" s="1" t="s">
        <v>1639</v>
      </c>
      <c r="G1515" s="1">
        <v>19286</v>
      </c>
      <c r="H1515" s="6" t="str">
        <f>HYPERLINK("http://www.ensembl.org/Mus_musculus/Gene/Summary?db=core;g=ENSMUSG00000032067","ENSMUSG00000032067")</f>
        <v>ENSMUSG00000032067</v>
      </c>
      <c r="I1515" s="6" t="str">
        <f>HYPERLINK("http://www.informatics.jax.org/marker/MGI:1338783","MGI:1338783")</f>
        <v>MGI:1338783</v>
      </c>
      <c r="J1515" s="7" t="s">
        <v>12</v>
      </c>
    </row>
    <row r="1516" spans="1:10" x14ac:dyDescent="0.2">
      <c r="A1516" s="3">
        <v>899.24874363468302</v>
      </c>
      <c r="B1516" s="1">
        <v>0.16398388616128801</v>
      </c>
      <c r="C1516" s="1">
        <v>3.86373198404141E-3</v>
      </c>
      <c r="D1516" s="7">
        <v>3.77309175061857E-2</v>
      </c>
      <c r="E1516" s="1" t="s">
        <v>2392</v>
      </c>
      <c r="F1516" s="1" t="s">
        <v>2393</v>
      </c>
      <c r="G1516" s="1">
        <v>26430</v>
      </c>
      <c r="H1516" s="6" t="str">
        <f>HYPERLINK("http://www.ensembl.org/Mus_musculus/Gene/Summary?db=core;g=ENSMUSG00000021911","ENSMUSG00000021911")</f>
        <v>ENSMUSG00000021911</v>
      </c>
      <c r="I1516" s="6" t="str">
        <f>HYPERLINK("http://www.informatics.jax.org/marker/MGI:1347094","MGI:1347094")</f>
        <v>MGI:1347094</v>
      </c>
      <c r="J1516" s="7" t="s">
        <v>12</v>
      </c>
    </row>
    <row r="1517" spans="1:10" x14ac:dyDescent="0.2">
      <c r="A1517" s="3">
        <v>10367.220868739099</v>
      </c>
      <c r="B1517" s="1">
        <v>0.128490813619134</v>
      </c>
      <c r="C1517" s="1">
        <v>3.8670169243251399E-3</v>
      </c>
      <c r="D1517" s="7">
        <v>3.7737987680036597E-2</v>
      </c>
      <c r="E1517" s="1" t="s">
        <v>2236</v>
      </c>
      <c r="F1517" s="1" t="s">
        <v>2237</v>
      </c>
      <c r="G1517" s="1">
        <v>18813</v>
      </c>
      <c r="H1517" s="6" t="str">
        <f>HYPERLINK("http://www.ensembl.org/Mus_musculus/Gene/Summary?db=core;g=ENSMUSG00000025364","ENSMUSG00000025364")</f>
        <v>ENSMUSG00000025364</v>
      </c>
      <c r="I1517" s="6" t="str">
        <f>HYPERLINK("http://www.informatics.jax.org/marker/MGI:894684","MGI:894684")</f>
        <v>MGI:894684</v>
      </c>
      <c r="J1517" s="7" t="s">
        <v>12</v>
      </c>
    </row>
    <row r="1518" spans="1:10" x14ac:dyDescent="0.2">
      <c r="A1518" s="3">
        <v>1665.2373183242601</v>
      </c>
      <c r="B1518" s="1">
        <v>0.14266527637906101</v>
      </c>
      <c r="C1518" s="1">
        <v>3.8720125409097599E-3</v>
      </c>
      <c r="D1518" s="7">
        <v>3.7761731835106699E-2</v>
      </c>
      <c r="E1518" s="1" t="s">
        <v>2282</v>
      </c>
      <c r="F1518" s="1" t="s">
        <v>2283</v>
      </c>
      <c r="G1518" s="1">
        <v>232187</v>
      </c>
      <c r="H1518" s="6" t="str">
        <f>HYPERLINK("http://www.ensembl.org/Mus_musculus/Gene/Summary?db=core;g=ENSMUSG00000033706","ENSMUSG00000033706")</f>
        <v>ENSMUSG00000033706</v>
      </c>
      <c r="I1518" s="6" t="str">
        <f>HYPERLINK("http://www.informatics.jax.org/marker/MGI:108048","MGI:108048")</f>
        <v>MGI:108048</v>
      </c>
      <c r="J1518" s="7" t="s">
        <v>12</v>
      </c>
    </row>
    <row r="1519" spans="1:10" x14ac:dyDescent="0.2">
      <c r="A1519" s="3">
        <v>1019.0807609111999</v>
      </c>
      <c r="B1519" s="1">
        <v>-0.17616395660169301</v>
      </c>
      <c r="C1519" s="1">
        <v>3.8796712614732999E-3</v>
      </c>
      <c r="D1519" s="7">
        <v>3.7811399278485799E-2</v>
      </c>
      <c r="E1519" s="1" t="s">
        <v>2024</v>
      </c>
      <c r="F1519" s="1" t="s">
        <v>2025</v>
      </c>
      <c r="G1519" s="1">
        <v>68744</v>
      </c>
      <c r="H1519" s="6" t="str">
        <f>HYPERLINK("http://www.ensembl.org/Mus_musculus/Gene/Summary?db=core;g=ENSMUSG00000046897","ENSMUSG00000046897")</f>
        <v>ENSMUSG00000046897</v>
      </c>
      <c r="I1519" s="6" t="str">
        <f>HYPERLINK("http://www.informatics.jax.org/marker/MGI:1915994","MGI:1915994")</f>
        <v>MGI:1915994</v>
      </c>
      <c r="J1519" s="7" t="s">
        <v>12</v>
      </c>
    </row>
    <row r="1520" spans="1:10" x14ac:dyDescent="0.2">
      <c r="A1520" s="3">
        <v>1913.05181497891</v>
      </c>
      <c r="B1520" s="1">
        <v>-0.13524169605299</v>
      </c>
      <c r="C1520" s="1">
        <v>3.8879300552547898E-3</v>
      </c>
      <c r="D1520" s="7">
        <v>3.7841834408345203E-2</v>
      </c>
      <c r="E1520" s="1" t="s">
        <v>2146</v>
      </c>
      <c r="F1520" s="1" t="s">
        <v>2147</v>
      </c>
      <c r="G1520" s="1">
        <v>68095</v>
      </c>
      <c r="H1520" s="6" t="str">
        <f>HYPERLINK("http://www.ensembl.org/Mus_musculus/Gene/Summary?db=core;g=ENSMUSG00000029152","ENSMUSG00000029152")</f>
        <v>ENSMUSG00000029152</v>
      </c>
      <c r="I1520" s="6" t="str">
        <f>HYPERLINK("http://www.informatics.jax.org/marker/MGI:1915345","MGI:1915345")</f>
        <v>MGI:1915345</v>
      </c>
      <c r="J1520" s="7" t="s">
        <v>12</v>
      </c>
    </row>
    <row r="1521" spans="1:10" x14ac:dyDescent="0.2">
      <c r="A1521" s="3">
        <v>4473.5345918112498</v>
      </c>
      <c r="B1521" s="1">
        <v>0.121130933899773</v>
      </c>
      <c r="C1521" s="1">
        <v>3.88763751369462E-3</v>
      </c>
      <c r="D1521" s="7">
        <v>3.7841834408345203E-2</v>
      </c>
      <c r="E1521" s="1" t="s">
        <v>2220</v>
      </c>
      <c r="F1521" s="1" t="s">
        <v>2221</v>
      </c>
      <c r="G1521" s="1">
        <v>56403</v>
      </c>
      <c r="H1521" s="6" t="str">
        <f>HYPERLINK("http://www.ensembl.org/Mus_musculus/Gene/Summary?db=core;g=ENSMUSG00000032423","ENSMUSG00000032423")</f>
        <v>ENSMUSG00000032423</v>
      </c>
      <c r="I1521" s="6" t="str">
        <f>HYPERLINK("http://www.informatics.jax.org/marker/MGI:1891690","MGI:1891690")</f>
        <v>MGI:1891690</v>
      </c>
      <c r="J1521" s="7" t="s">
        <v>12</v>
      </c>
    </row>
    <row r="1522" spans="1:10" x14ac:dyDescent="0.2">
      <c r="A1522" s="3">
        <v>1059.73733567763</v>
      </c>
      <c r="B1522" s="1">
        <v>-0.174864642222268</v>
      </c>
      <c r="C1522" s="1">
        <v>3.9218066714943999E-3</v>
      </c>
      <c r="D1522" s="7">
        <v>3.8146365089862397E-2</v>
      </c>
      <c r="E1522" s="1" t="s">
        <v>2032</v>
      </c>
      <c r="F1522" s="1" t="s">
        <v>2033</v>
      </c>
      <c r="G1522" s="1">
        <v>104799</v>
      </c>
      <c r="H1522" s="6" t="str">
        <f>HYPERLINK("http://www.ensembl.org/Mus_musculus/Gene/Summary?db=core;g=ENSMUSG00000021038","ENSMUSG00000021038")</f>
        <v>ENSMUSG00000021038</v>
      </c>
      <c r="I1522" s="6" t="str">
        <f>HYPERLINK("http://www.informatics.jax.org/marker/MGI:2144805","MGI:2144805")</f>
        <v>MGI:2144805</v>
      </c>
      <c r="J1522" s="7" t="s">
        <v>12</v>
      </c>
    </row>
    <row r="1523" spans="1:10" x14ac:dyDescent="0.2">
      <c r="A1523" s="3">
        <v>11641.7690229613</v>
      </c>
      <c r="B1523" s="1">
        <v>-0.346636316667633</v>
      </c>
      <c r="C1523" s="1">
        <v>3.9350264644272296E-3</v>
      </c>
      <c r="D1523" s="7">
        <v>3.8249703152902201E-2</v>
      </c>
      <c r="E1523" s="1" t="s">
        <v>1262</v>
      </c>
      <c r="F1523" s="1" t="s">
        <v>1263</v>
      </c>
      <c r="G1523" s="1">
        <v>14964</v>
      </c>
      <c r="H1523" s="6" t="str">
        <f>HYPERLINK("http://www.ensembl.org/Mus_musculus/Gene/Summary?db=core;g=ENSMUSG00000073411","ENSMUSG00000073411")</f>
        <v>ENSMUSG00000073411</v>
      </c>
      <c r="I1523" s="6" t="str">
        <f>HYPERLINK("http://www.informatics.jax.org/marker/MGI:95896","MGI:95896")</f>
        <v>MGI:95896</v>
      </c>
      <c r="J1523" s="7" t="s">
        <v>12</v>
      </c>
    </row>
    <row r="1524" spans="1:10" x14ac:dyDescent="0.2">
      <c r="A1524" s="3">
        <v>1934.8458156657</v>
      </c>
      <c r="B1524" s="1">
        <v>-0.26805868995951698</v>
      </c>
      <c r="C1524" s="1">
        <v>3.9519540608723303E-3</v>
      </c>
      <c r="D1524" s="7">
        <v>3.8339159280176303E-2</v>
      </c>
      <c r="E1524" s="1" t="s">
        <v>1586</v>
      </c>
      <c r="F1524" s="1" t="s">
        <v>1587</v>
      </c>
      <c r="G1524" s="1">
        <v>12492</v>
      </c>
      <c r="H1524" s="6" t="str">
        <f>HYPERLINK("http://www.ensembl.org/Mus_musculus/Gene/Summary?db=core;g=ENSMUSG00000029426","ENSMUSG00000029426")</f>
        <v>ENSMUSG00000029426</v>
      </c>
      <c r="I1524" s="6" t="str">
        <f>HYPERLINK("http://www.informatics.jax.org/marker/MGI:1196458","MGI:1196458")</f>
        <v>MGI:1196458</v>
      </c>
      <c r="J1524" s="7" t="s">
        <v>12</v>
      </c>
    </row>
    <row r="1525" spans="1:10" x14ac:dyDescent="0.2">
      <c r="A1525" s="3">
        <v>1029.4078928532799</v>
      </c>
      <c r="B1525" s="1">
        <v>-0.196631055803693</v>
      </c>
      <c r="C1525" s="1">
        <v>3.95463640783578E-3</v>
      </c>
      <c r="D1525" s="7">
        <v>3.8339159280176303E-2</v>
      </c>
      <c r="E1525" s="1" t="s">
        <v>1930</v>
      </c>
      <c r="F1525" s="1" t="s">
        <v>1931</v>
      </c>
      <c r="G1525" s="1">
        <v>16974</v>
      </c>
      <c r="H1525" s="6" t="str">
        <f>HYPERLINK("http://www.ensembl.org/Mus_musculus/Gene/Summary?db=core;g=ENSMUSG00000030201","ENSMUSG00000030201")</f>
        <v>ENSMUSG00000030201</v>
      </c>
      <c r="I1525" s="6" t="str">
        <f>HYPERLINK("http://www.informatics.jax.org/marker/MGI:1298218","MGI:1298218")</f>
        <v>MGI:1298218</v>
      </c>
      <c r="J1525" s="7" t="s">
        <v>12</v>
      </c>
    </row>
    <row r="1526" spans="1:10" x14ac:dyDescent="0.2">
      <c r="A1526" s="3">
        <v>581.79234943613596</v>
      </c>
      <c r="B1526" s="1">
        <v>-0.19453348858570901</v>
      </c>
      <c r="C1526" s="1">
        <v>3.9525906065573701E-3</v>
      </c>
      <c r="D1526" s="7">
        <v>3.8339159280176303E-2</v>
      </c>
      <c r="E1526" s="1" t="s">
        <v>1940</v>
      </c>
      <c r="F1526" s="1" t="s">
        <v>1941</v>
      </c>
      <c r="G1526" s="1">
        <v>74120</v>
      </c>
      <c r="H1526" s="6" t="str">
        <f>HYPERLINK("http://www.ensembl.org/Mus_musculus/Gene/Summary?db=core;g=ENSMUSG00000022529","ENSMUSG00000022529")</f>
        <v>ENSMUSG00000022529</v>
      </c>
      <c r="I1526" s="6" t="str">
        <f>HYPERLINK("http://www.informatics.jax.org/marker/MGI:1921370","MGI:1921370")</f>
        <v>MGI:1921370</v>
      </c>
      <c r="J1526" s="7" t="s">
        <v>12</v>
      </c>
    </row>
    <row r="1527" spans="1:10" x14ac:dyDescent="0.2">
      <c r="A1527" s="3">
        <v>1853.9420654437399</v>
      </c>
      <c r="B1527" s="1">
        <v>-0.124214972837496</v>
      </c>
      <c r="C1527" s="1">
        <v>3.9503172997301297E-3</v>
      </c>
      <c r="D1527" s="7">
        <v>3.8339159280176303E-2</v>
      </c>
      <c r="E1527" s="1" t="s">
        <v>2160</v>
      </c>
      <c r="F1527" s="1" t="s">
        <v>2161</v>
      </c>
      <c r="G1527" s="1">
        <v>14682</v>
      </c>
      <c r="H1527" s="6" t="str">
        <f>HYPERLINK("http://www.ensembl.org/Mus_musculus/Gene/Summary?db=core;g=ENSMUSG00000024639","ENSMUSG00000024639")</f>
        <v>ENSMUSG00000024639</v>
      </c>
      <c r="I1527" s="6" t="str">
        <f>HYPERLINK("http://www.informatics.jax.org/marker/MGI:95776","MGI:95776")</f>
        <v>MGI:95776</v>
      </c>
      <c r="J1527" s="7" t="s">
        <v>12</v>
      </c>
    </row>
    <row r="1528" spans="1:10" x14ac:dyDescent="0.2">
      <c r="A1528" s="3">
        <v>316.396687631833</v>
      </c>
      <c r="B1528" s="1">
        <v>-0.25604692853267702</v>
      </c>
      <c r="C1528" s="1">
        <v>3.9676289511921701E-3</v>
      </c>
      <c r="D1528" s="7">
        <v>3.84398292076054E-2</v>
      </c>
      <c r="E1528" s="1" t="s">
        <v>1640</v>
      </c>
      <c r="F1528" s="1" t="s">
        <v>1641</v>
      </c>
      <c r="G1528" s="1" t="s">
        <v>45</v>
      </c>
      <c r="H1528" s="6" t="str">
        <f>HYPERLINK("http://www.ensembl.org/Mus_musculus/Gene/Summary?db=core;g=ENSMUSG00000099041","ENSMUSG00000099041")</f>
        <v>ENSMUSG00000099041</v>
      </c>
      <c r="I1528" s="6" t="str">
        <f>HYPERLINK("http://www.informatics.jax.org/marker/MGI:5547771","MGI:5547771")</f>
        <v>MGI:5547771</v>
      </c>
      <c r="J1528" s="7" t="s">
        <v>12</v>
      </c>
    </row>
    <row r="1529" spans="1:10" x14ac:dyDescent="0.2">
      <c r="A1529" s="3">
        <v>205.14138314193099</v>
      </c>
      <c r="B1529" s="1">
        <v>-0.50760954423036397</v>
      </c>
      <c r="C1529" s="1">
        <v>3.9766595368823003E-3</v>
      </c>
      <c r="D1529" s="7">
        <v>3.8453616824361998E-2</v>
      </c>
      <c r="E1529" s="1" t="s">
        <v>819</v>
      </c>
      <c r="F1529" s="1" t="s">
        <v>820</v>
      </c>
      <c r="G1529" s="1">
        <v>12517</v>
      </c>
      <c r="H1529" s="6" t="str">
        <f>HYPERLINK("http://www.ensembl.org/Mus_musculus/Gene/Summary?db=core;g=ENSMUSG00000028459","ENSMUSG00000028459")</f>
        <v>ENSMUSG00000028459</v>
      </c>
      <c r="I1529" s="6" t="str">
        <f>HYPERLINK("http://www.informatics.jax.org/marker/MGI:88345","MGI:88345")</f>
        <v>MGI:88345</v>
      </c>
      <c r="J1529" s="7" t="s">
        <v>12</v>
      </c>
    </row>
    <row r="1530" spans="1:10" x14ac:dyDescent="0.2">
      <c r="A1530" s="3">
        <v>191.295282988357</v>
      </c>
      <c r="B1530" s="1">
        <v>-0.32032372151894101</v>
      </c>
      <c r="C1530" s="1">
        <v>3.9768805673403703E-3</v>
      </c>
      <c r="D1530" s="7">
        <v>3.8453616824361998E-2</v>
      </c>
      <c r="E1530" s="1" t="s">
        <v>1346</v>
      </c>
      <c r="F1530" s="1" t="s">
        <v>1347</v>
      </c>
      <c r="G1530" s="1">
        <v>106633</v>
      </c>
      <c r="H1530" s="6" t="str">
        <f>HYPERLINK("http://www.ensembl.org/Mus_musculus/Gene/Summary?db=core;g=ENSMUSG00000024169","ENSMUSG00000024169")</f>
        <v>ENSMUSG00000024169</v>
      </c>
      <c r="I1530" s="6" t="str">
        <f>HYPERLINK("http://www.informatics.jax.org/marker/MGI:2146906","MGI:2146906")</f>
        <v>MGI:2146906</v>
      </c>
      <c r="J1530" s="7" t="s">
        <v>12</v>
      </c>
    </row>
    <row r="1531" spans="1:10" x14ac:dyDescent="0.2">
      <c r="A1531" s="3">
        <v>879.70018764923395</v>
      </c>
      <c r="B1531" s="1">
        <v>-0.28678146040041802</v>
      </c>
      <c r="C1531" s="1">
        <v>3.9739993673129897E-3</v>
      </c>
      <c r="D1531" s="7">
        <v>3.8453616824361998E-2</v>
      </c>
      <c r="E1531" s="1" t="s">
        <v>1518</v>
      </c>
      <c r="F1531" s="1" t="s">
        <v>1519</v>
      </c>
      <c r="G1531" s="1">
        <v>11655</v>
      </c>
      <c r="H1531" s="6" t="str">
        <f>HYPERLINK("http://www.ensembl.org/Mus_musculus/Gene/Summary?db=core;g=ENSMUSG00000032786","ENSMUSG00000032786")</f>
        <v>ENSMUSG00000032786</v>
      </c>
      <c r="I1531" s="6" t="str">
        <f>HYPERLINK("http://www.informatics.jax.org/marker/MGI:87989","MGI:87989")</f>
        <v>MGI:87989</v>
      </c>
      <c r="J1531" s="7" t="s">
        <v>12</v>
      </c>
    </row>
    <row r="1532" spans="1:10" x14ac:dyDescent="0.2">
      <c r="A1532" s="3">
        <v>47.024533438621397</v>
      </c>
      <c r="B1532" s="1">
        <v>0.54073078103238903</v>
      </c>
      <c r="C1532" s="1">
        <v>3.98051382424557E-3</v>
      </c>
      <c r="D1532" s="7">
        <v>3.8463509320709903E-2</v>
      </c>
      <c r="E1532" s="1" t="s">
        <v>3216</v>
      </c>
      <c r="F1532" s="1" t="s">
        <v>3217</v>
      </c>
      <c r="G1532" s="1">
        <v>71962</v>
      </c>
      <c r="H1532" s="6" t="str">
        <f>HYPERLINK("http://www.ensembl.org/Mus_musculus/Gene/Summary?db=core;g=ENSMUSG00000020424","ENSMUSG00000020424")</f>
        <v>ENSMUSG00000020424</v>
      </c>
      <c r="I1532" s="6" t="str">
        <f>HYPERLINK("http://www.informatics.jax.org/marker/MGI:1919212","MGI:1919212")</f>
        <v>MGI:1919212</v>
      </c>
      <c r="J1532" s="7" t="s">
        <v>12</v>
      </c>
    </row>
    <row r="1533" spans="1:10" x14ac:dyDescent="0.2">
      <c r="A1533" s="3">
        <v>2035.48435615778</v>
      </c>
      <c r="B1533" s="1">
        <v>-0.45235067815709001</v>
      </c>
      <c r="C1533" s="1">
        <v>3.9948872801675401E-3</v>
      </c>
      <c r="D1533" s="7">
        <v>3.8577102857502599E-2</v>
      </c>
      <c r="E1533" s="1" t="s">
        <v>925</v>
      </c>
      <c r="F1533" s="1" t="s">
        <v>926</v>
      </c>
      <c r="G1533" s="1">
        <v>246727</v>
      </c>
      <c r="H1533" s="6" t="str">
        <f>HYPERLINK("http://www.ensembl.org/Mus_musculus/Gene/Summary?db=core;g=ENSMUSG00000032661","ENSMUSG00000032661")</f>
        <v>ENSMUSG00000032661</v>
      </c>
      <c r="I1533" s="6" t="str">
        <f>HYPERLINK("http://www.informatics.jax.org/marker/MGI:2180850","MGI:2180850")</f>
        <v>MGI:2180850</v>
      </c>
      <c r="J1533" s="7" t="s">
        <v>12</v>
      </c>
    </row>
    <row r="1534" spans="1:10" x14ac:dyDescent="0.2">
      <c r="A1534" s="3">
        <v>167.60449230351401</v>
      </c>
      <c r="B1534" s="1">
        <v>0.446175277963683</v>
      </c>
      <c r="C1534" s="1">
        <v>4.00070209565295E-3</v>
      </c>
      <c r="D1534" s="7">
        <v>3.86079542118807E-2</v>
      </c>
      <c r="E1534" s="1" t="s">
        <v>3176</v>
      </c>
      <c r="F1534" s="1" t="s">
        <v>3177</v>
      </c>
      <c r="G1534" s="1">
        <v>71704</v>
      </c>
      <c r="H1534" s="6" t="str">
        <f>HYPERLINK("http://www.ensembl.org/Mus_musculus/Gene/Summary?db=core;g=ENSMUSG00000021895","ENSMUSG00000021895")</f>
        <v>ENSMUSG00000021895</v>
      </c>
      <c r="I1534" s="6" t="str">
        <f>HYPERLINK("http://www.informatics.jax.org/marker/MGI:1918954","MGI:1918954")</f>
        <v>MGI:1918954</v>
      </c>
      <c r="J1534" s="7" t="s">
        <v>12</v>
      </c>
    </row>
    <row r="1535" spans="1:10" x14ac:dyDescent="0.2">
      <c r="A1535" s="3">
        <v>841.28964380625405</v>
      </c>
      <c r="B1535" s="1">
        <v>-0.17171484276860599</v>
      </c>
      <c r="C1535" s="1">
        <v>4.0069330563284296E-3</v>
      </c>
      <c r="D1535" s="7">
        <v>3.8631519039345502E-2</v>
      </c>
      <c r="E1535" s="1" t="s">
        <v>2050</v>
      </c>
      <c r="F1535" s="1" t="s">
        <v>2051</v>
      </c>
      <c r="G1535" s="1">
        <v>56632</v>
      </c>
      <c r="H1535" s="6" t="str">
        <f>HYPERLINK("http://www.ensembl.org/Mus_musculus/Gene/Summary?db=core;g=ENSMUSG00000057342","ENSMUSG00000057342")</f>
        <v>ENSMUSG00000057342</v>
      </c>
      <c r="I1535" s="6" t="str">
        <f>HYPERLINK("http://www.informatics.jax.org/marker/MGI:1861380","MGI:1861380")</f>
        <v>MGI:1861380</v>
      </c>
      <c r="J1535" s="7" t="s">
        <v>12</v>
      </c>
    </row>
    <row r="1536" spans="1:10" x14ac:dyDescent="0.2">
      <c r="A1536" s="3">
        <v>4828.2266425751504</v>
      </c>
      <c r="B1536" s="1">
        <v>-0.149992017462593</v>
      </c>
      <c r="C1536" s="1">
        <v>4.00838712073556E-3</v>
      </c>
      <c r="D1536" s="7">
        <v>3.8631519039345502E-2</v>
      </c>
      <c r="E1536" s="1" t="s">
        <v>2124</v>
      </c>
      <c r="F1536" s="1" t="s">
        <v>2125</v>
      </c>
      <c r="G1536" s="1">
        <v>19353</v>
      </c>
      <c r="H1536" s="6" t="str">
        <f>HYPERLINK("http://www.ensembl.org/Mus_musculus/Gene/Summary?db=core;g=ENSMUSG00000001847","ENSMUSG00000001847")</f>
        <v>ENSMUSG00000001847</v>
      </c>
      <c r="I1536" s="6" t="str">
        <f>HYPERLINK("http://www.informatics.jax.org/marker/MGI:97845","MGI:97845")</f>
        <v>MGI:97845</v>
      </c>
      <c r="J1536" s="7" t="s">
        <v>12</v>
      </c>
    </row>
    <row r="1537" spans="1:10" x14ac:dyDescent="0.2">
      <c r="A1537" s="3">
        <v>342.81345868578597</v>
      </c>
      <c r="B1537" s="1">
        <v>-0.25753906835391699</v>
      </c>
      <c r="C1537" s="1">
        <v>4.0264998405426002E-3</v>
      </c>
      <c r="D1537" s="7">
        <v>3.8755389712760102E-2</v>
      </c>
      <c r="E1537" s="1" t="s">
        <v>1630</v>
      </c>
      <c r="F1537" s="1" t="s">
        <v>1631</v>
      </c>
      <c r="G1537" s="1">
        <v>22619</v>
      </c>
      <c r="H1537" s="6" t="str">
        <f>HYPERLINK("http://www.ensembl.org/Mus_musculus/Gene/Summary?db=core;g=ENSMUSG00000001942","ENSMUSG00000001942")</f>
        <v>ENSMUSG00000001942</v>
      </c>
      <c r="I1537" s="6" t="str">
        <f>HYPERLINK("http://www.informatics.jax.org/marker/MGI:104803","MGI:104803")</f>
        <v>MGI:104803</v>
      </c>
      <c r="J1537" s="7" t="s">
        <v>12</v>
      </c>
    </row>
    <row r="1538" spans="1:10" x14ac:dyDescent="0.2">
      <c r="A1538" s="3">
        <v>2781.5240831264</v>
      </c>
      <c r="B1538" s="1">
        <v>0.12635711824598</v>
      </c>
      <c r="C1538" s="1">
        <v>4.0261002575129696E-3</v>
      </c>
      <c r="D1538" s="7">
        <v>3.8755389712760102E-2</v>
      </c>
      <c r="E1538" s="1" t="s">
        <v>2228</v>
      </c>
      <c r="F1538" s="1" t="s">
        <v>2229</v>
      </c>
      <c r="G1538" s="1">
        <v>53356</v>
      </c>
      <c r="H1538" s="6" t="str">
        <f>HYPERLINK("http://www.ensembl.org/Mus_musculus/Gene/Summary?db=core;g=ENSMUSG00000070319","ENSMUSG00000070319")</f>
        <v>ENSMUSG00000070319</v>
      </c>
      <c r="I1538" s="6" t="str">
        <f>HYPERLINK("http://www.informatics.jax.org/marker/MGI:1858258","MGI:1858258")</f>
        <v>MGI:1858258</v>
      </c>
      <c r="J1538" s="7" t="s">
        <v>12</v>
      </c>
    </row>
    <row r="1539" spans="1:10" x14ac:dyDescent="0.2">
      <c r="A1539" s="3">
        <v>1081.9361701671201</v>
      </c>
      <c r="B1539" s="1">
        <v>-0.20856194556914101</v>
      </c>
      <c r="C1539" s="1">
        <v>4.0384908723293299E-3</v>
      </c>
      <c r="D1539" s="7">
        <v>3.8845431785016302E-2</v>
      </c>
      <c r="E1539" s="1" t="s">
        <v>1872</v>
      </c>
      <c r="F1539" s="1" t="s">
        <v>1873</v>
      </c>
      <c r="G1539" s="1">
        <v>18797</v>
      </c>
      <c r="H1539" s="6" t="str">
        <f>HYPERLINK("http://www.ensembl.org/Mus_musculus/Gene/Summary?db=core;g=ENSMUSG00000024960","ENSMUSG00000024960")</f>
        <v>ENSMUSG00000024960</v>
      </c>
      <c r="I1539" s="6" t="str">
        <f>HYPERLINK("http://www.informatics.jax.org/marker/MGI:104778","MGI:104778")</f>
        <v>MGI:104778</v>
      </c>
      <c r="J1539" s="7" t="s">
        <v>12</v>
      </c>
    </row>
    <row r="1540" spans="1:10" x14ac:dyDescent="0.2">
      <c r="A1540" s="3">
        <v>927.89783996307199</v>
      </c>
      <c r="B1540" s="1">
        <v>-0.28160045004141898</v>
      </c>
      <c r="C1540" s="1">
        <v>4.0417970239903303E-3</v>
      </c>
      <c r="D1540" s="7">
        <v>3.8851872762897303E-2</v>
      </c>
      <c r="E1540" s="1" t="s">
        <v>1536</v>
      </c>
      <c r="F1540" s="1" t="s">
        <v>1537</v>
      </c>
      <c r="G1540" s="1">
        <v>14159</v>
      </c>
      <c r="H1540" s="6" t="str">
        <f>HYPERLINK("http://www.ensembl.org/Mus_musculus/Gene/Summary?db=core;g=ENSMUSG00000053158","ENSMUSG00000053158")</f>
        <v>ENSMUSG00000053158</v>
      </c>
      <c r="I1540" s="6" t="str">
        <f>HYPERLINK("http://www.informatics.jax.org/marker/MGI:95514","MGI:95514")</f>
        <v>MGI:95514</v>
      </c>
      <c r="J1540" s="7" t="s">
        <v>12</v>
      </c>
    </row>
    <row r="1541" spans="1:10" x14ac:dyDescent="0.2">
      <c r="A1541" s="3">
        <v>203.694935771199</v>
      </c>
      <c r="B1541" s="1">
        <v>0.33849161308492698</v>
      </c>
      <c r="C1541" s="1">
        <v>4.0488625722132597E-3</v>
      </c>
      <c r="D1541" s="7">
        <v>3.88944190770108E-2</v>
      </c>
      <c r="E1541" s="1" t="s">
        <v>3076</v>
      </c>
      <c r="F1541" s="1" t="s">
        <v>3077</v>
      </c>
      <c r="G1541" s="1">
        <v>12532</v>
      </c>
      <c r="H1541" s="6" t="str">
        <f>HYPERLINK("http://www.ensembl.org/Mus_musculus/Gene/Summary?db=core;g=ENSMUSG00000044201","ENSMUSG00000044201")</f>
        <v>ENSMUSG00000044201</v>
      </c>
      <c r="I1541" s="6" t="str">
        <f>HYPERLINK("http://www.informatics.jax.org/marker/MGI:88350","MGI:88350")</f>
        <v>MGI:88350</v>
      </c>
      <c r="J1541" s="7" t="s">
        <v>12</v>
      </c>
    </row>
    <row r="1542" spans="1:10" x14ac:dyDescent="0.2">
      <c r="A1542" s="3">
        <v>9.6020057538542396</v>
      </c>
      <c r="B1542" s="1">
        <v>-0.851683697984015</v>
      </c>
      <c r="C1542" s="1">
        <v>4.0560408726450399E-3</v>
      </c>
      <c r="D1542" s="7">
        <v>3.8937992377392303E-2</v>
      </c>
      <c r="E1542" s="1" t="s">
        <v>434</v>
      </c>
      <c r="F1542" s="1" t="s">
        <v>435</v>
      </c>
      <c r="G1542" s="1" t="s">
        <v>45</v>
      </c>
      <c r="H1542" s="6" t="str">
        <f>HYPERLINK("http://www.ensembl.org/Mus_musculus/Gene/Summary?db=core;g=ENSMUSG00000051606","ENSMUSG00000051606")</f>
        <v>ENSMUSG00000051606</v>
      </c>
      <c r="I1542" s="6" t="str">
        <f>HYPERLINK("http://www.informatics.jax.org/marker/MGI:1917079","MGI:1917079")</f>
        <v>MGI:1917079</v>
      </c>
      <c r="J1542" s="7" t="s">
        <v>190</v>
      </c>
    </row>
    <row r="1543" spans="1:10" x14ac:dyDescent="0.2">
      <c r="A1543" s="3">
        <v>1575.52661930254</v>
      </c>
      <c r="B1543" s="1">
        <v>-0.163509326651574</v>
      </c>
      <c r="C1543" s="1">
        <v>4.0706674832623304E-3</v>
      </c>
      <c r="D1543" s="7">
        <v>3.9027557601401197E-2</v>
      </c>
      <c r="E1543" s="1" t="s">
        <v>2066</v>
      </c>
      <c r="F1543" s="1" t="s">
        <v>2067</v>
      </c>
      <c r="G1543" s="1">
        <v>56501</v>
      </c>
      <c r="H1543" s="6" t="str">
        <f>HYPERLINK("http://www.ensembl.org/Mus_musculus/Gene/Summary?db=core;g=ENSMUSG00000031103","ENSMUSG00000031103")</f>
        <v>ENSMUSG00000031103</v>
      </c>
      <c r="I1543" s="6" t="str">
        <f>HYPERLINK("http://www.informatics.jax.org/marker/MGI:1928377","MGI:1928377")</f>
        <v>MGI:1928377</v>
      </c>
      <c r="J1543" s="7" t="s">
        <v>12</v>
      </c>
    </row>
    <row r="1544" spans="1:10" x14ac:dyDescent="0.2">
      <c r="A1544" s="3">
        <v>237.310354994683</v>
      </c>
      <c r="B1544" s="1">
        <v>0.28945800743752198</v>
      </c>
      <c r="C1544" s="1">
        <v>4.0681170051692604E-3</v>
      </c>
      <c r="D1544" s="7">
        <v>3.9027557601401197E-2</v>
      </c>
      <c r="E1544" s="1" t="s">
        <v>2984</v>
      </c>
      <c r="F1544" s="1" t="s">
        <v>2985</v>
      </c>
      <c r="G1544" s="1">
        <v>66403</v>
      </c>
      <c r="H1544" s="6" t="str">
        <f>HYPERLINK("http://www.ensembl.org/Mus_musculus/Gene/Summary?db=core;g=ENSMUSG00000019857","ENSMUSG00000019857")</f>
        <v>ENSMUSG00000019857</v>
      </c>
      <c r="I1544" s="6" t="str">
        <f>HYPERLINK("http://www.informatics.jax.org/marker/MGI:1913653","MGI:1913653")</f>
        <v>MGI:1913653</v>
      </c>
      <c r="J1544" s="7" t="s">
        <v>12</v>
      </c>
    </row>
    <row r="1545" spans="1:10" x14ac:dyDescent="0.2">
      <c r="A1545" s="3">
        <v>4615.3829068835203</v>
      </c>
      <c r="B1545" s="1">
        <v>-0.10702252394794901</v>
      </c>
      <c r="C1545" s="1">
        <v>4.0737112200380397E-3</v>
      </c>
      <c r="D1545" s="7">
        <v>3.9031344953498401E-2</v>
      </c>
      <c r="E1545" s="1" t="s">
        <v>2170</v>
      </c>
      <c r="F1545" s="1" t="s">
        <v>2171</v>
      </c>
      <c r="G1545" s="1">
        <v>18738</v>
      </c>
      <c r="H1545" s="6" t="str">
        <f>HYPERLINK("http://www.ensembl.org/Mus_musculus/Gene/Summary?db=core;g=ENSMUSG00000017781","ENSMUSG00000017781")</f>
        <v>ENSMUSG00000017781</v>
      </c>
      <c r="I1545" s="6" t="str">
        <f>HYPERLINK("http://www.informatics.jax.org/marker/MGI:99887","MGI:99887")</f>
        <v>MGI:99887</v>
      </c>
      <c r="J1545" s="7" t="s">
        <v>12</v>
      </c>
    </row>
    <row r="1546" spans="1:10" x14ac:dyDescent="0.2">
      <c r="A1546" s="3">
        <v>2148.4827761781298</v>
      </c>
      <c r="B1546" s="1">
        <v>-0.15393008642245201</v>
      </c>
      <c r="C1546" s="1">
        <v>4.0810261207053196E-3</v>
      </c>
      <c r="D1546" s="7">
        <v>3.9050649944619299E-2</v>
      </c>
      <c r="E1546" s="1" t="s">
        <v>2116</v>
      </c>
      <c r="F1546" s="1" t="s">
        <v>2117</v>
      </c>
      <c r="G1546" s="1">
        <v>19246</v>
      </c>
      <c r="H1546" s="6" t="str">
        <f>HYPERLINK("http://www.ensembl.org/Mus_musculus/Gene/Summary?db=core;g=ENSMUSG00000027540","ENSMUSG00000027540")</f>
        <v>ENSMUSG00000027540</v>
      </c>
      <c r="I1546" s="6" t="str">
        <f>HYPERLINK("http://www.informatics.jax.org/marker/MGI:97805","MGI:97805")</f>
        <v>MGI:97805</v>
      </c>
      <c r="J1546" s="7" t="s">
        <v>12</v>
      </c>
    </row>
    <row r="1547" spans="1:10" x14ac:dyDescent="0.2">
      <c r="A1547" s="3">
        <v>1918.0967696272801</v>
      </c>
      <c r="B1547" s="1">
        <v>0.214341977379509</v>
      </c>
      <c r="C1547" s="1">
        <v>4.0798966322177404E-3</v>
      </c>
      <c r="D1547" s="7">
        <v>3.9050649944619299E-2</v>
      </c>
      <c r="E1547" s="1" t="s">
        <v>2694</v>
      </c>
      <c r="F1547" s="1" t="s">
        <v>2695</v>
      </c>
      <c r="G1547" s="1">
        <v>668158</v>
      </c>
      <c r="H1547" s="6" t="str">
        <f>HYPERLINK("http://www.ensembl.org/Mus_musculus/Gene/Summary?db=core;g=ENSMUSG00000084883","ENSMUSG00000084883")</f>
        <v>ENSMUSG00000084883</v>
      </c>
      <c r="I1547" s="6" t="str">
        <f>HYPERLINK("http://www.informatics.jax.org/marker/MGI:3644008","MGI:3644008")</f>
        <v>MGI:3644008</v>
      </c>
      <c r="J1547" s="7" t="s">
        <v>12</v>
      </c>
    </row>
    <row r="1548" spans="1:10" x14ac:dyDescent="0.2">
      <c r="A1548" s="3">
        <v>479.46061238534497</v>
      </c>
      <c r="B1548" s="1">
        <v>0.196797818153048</v>
      </c>
      <c r="C1548" s="1">
        <v>4.1041062774867902E-3</v>
      </c>
      <c r="D1548" s="7">
        <v>3.9246015642469399E-2</v>
      </c>
      <c r="E1548" s="1" t="s">
        <v>2580</v>
      </c>
      <c r="F1548" s="1" t="s">
        <v>2581</v>
      </c>
      <c r="G1548" s="1">
        <v>72960</v>
      </c>
      <c r="H1548" s="6" t="str">
        <f>HYPERLINK("http://www.ensembl.org/Mus_musculus/Gene/Summary?db=core;g=ENSMUSG00000000934","ENSMUSG00000000934")</f>
        <v>ENSMUSG00000000934</v>
      </c>
      <c r="I1548" s="6" t="str">
        <f>HYPERLINK("http://www.informatics.jax.org/marker/MGI:1920210","MGI:1920210")</f>
        <v>MGI:1920210</v>
      </c>
      <c r="J1548" s="7" t="s">
        <v>12</v>
      </c>
    </row>
    <row r="1549" spans="1:10" x14ac:dyDescent="0.2">
      <c r="A1549" s="3">
        <v>558.353505543913</v>
      </c>
      <c r="B1549" s="1">
        <v>0.19469685115176999</v>
      </c>
      <c r="C1549" s="1">
        <v>4.1116199440308504E-3</v>
      </c>
      <c r="D1549" s="7">
        <v>3.9292368025446597E-2</v>
      </c>
      <c r="E1549" s="1" t="s">
        <v>2566</v>
      </c>
      <c r="F1549" s="1" t="s">
        <v>2567</v>
      </c>
      <c r="G1549" s="1">
        <v>66368</v>
      </c>
      <c r="H1549" s="6" t="str">
        <f>HYPERLINK("http://www.ensembl.org/Mus_musculus/Gene/Summary?db=core;g=ENSMUSG00000000339","ENSMUSG00000000339")</f>
        <v>ENSMUSG00000000339</v>
      </c>
      <c r="I1549" s="6" t="str">
        <f>HYPERLINK("http://www.informatics.jax.org/marker/MGI:1913618","MGI:1913618")</f>
        <v>MGI:1913618</v>
      </c>
      <c r="J1549" s="7" t="s">
        <v>12</v>
      </c>
    </row>
    <row r="1550" spans="1:10" x14ac:dyDescent="0.2">
      <c r="A1550" s="3">
        <v>156.83816795680599</v>
      </c>
      <c r="B1550" s="1">
        <v>-0.28911859799834999</v>
      </c>
      <c r="C1550" s="1">
        <v>4.1391957612856604E-3</v>
      </c>
      <c r="D1550" s="7">
        <v>3.9530258417566799E-2</v>
      </c>
      <c r="E1550" s="1" t="s">
        <v>1504</v>
      </c>
      <c r="F1550" s="1" t="s">
        <v>1505</v>
      </c>
      <c r="G1550" s="1">
        <v>70394</v>
      </c>
      <c r="H1550" s="6" t="str">
        <f>HYPERLINK("http://www.ensembl.org/Mus_musculus/Gene/Summary?db=core;g=ENSMUSG00000006021","ENSMUSG00000006021")</f>
        <v>ENSMUSG00000006021</v>
      </c>
      <c r="I1550" s="6" t="str">
        <f>HYPERLINK("http://www.informatics.jax.org/marker/MGI:1890380","MGI:1890380")</f>
        <v>MGI:1890380</v>
      </c>
      <c r="J1550" s="7" t="s">
        <v>12</v>
      </c>
    </row>
    <row r="1551" spans="1:10" x14ac:dyDescent="0.2">
      <c r="A1551" s="3">
        <v>623.91290692930795</v>
      </c>
      <c r="B1551" s="1">
        <v>0.39236763779189499</v>
      </c>
      <c r="C1551" s="1">
        <v>4.1432467036589104E-3</v>
      </c>
      <c r="D1551" s="7">
        <v>3.9543318280516701E-2</v>
      </c>
      <c r="E1551" s="1" t="s">
        <v>3140</v>
      </c>
      <c r="F1551" s="1" t="s">
        <v>3141</v>
      </c>
      <c r="G1551" s="1">
        <v>67916</v>
      </c>
      <c r="H1551" s="6" t="str">
        <f>HYPERLINK("http://www.ensembl.org/Mus_musculus/Gene/Summary?db=core;g=ENSMUSG00000028517","ENSMUSG00000028517")</f>
        <v>ENSMUSG00000028517</v>
      </c>
      <c r="I1551" s="6" t="str">
        <f>HYPERLINK("http://www.informatics.jax.org/marker/MGI:1915166","MGI:1915166")</f>
        <v>MGI:1915166</v>
      </c>
      <c r="J1551" s="7" t="s">
        <v>12</v>
      </c>
    </row>
    <row r="1552" spans="1:10" x14ac:dyDescent="0.2">
      <c r="A1552" s="3">
        <v>15.1617227219398</v>
      </c>
      <c r="B1552" s="1">
        <v>-0.76110066033087498</v>
      </c>
      <c r="C1552" s="1">
        <v>4.1525973482780202E-3</v>
      </c>
      <c r="D1552" s="7">
        <v>3.9581290119162303E-2</v>
      </c>
      <c r="E1552" s="1" t="s">
        <v>514</v>
      </c>
      <c r="F1552" s="1" t="s">
        <v>515</v>
      </c>
      <c r="G1552" s="1">
        <v>378460</v>
      </c>
      <c r="H1552" s="6" t="str">
        <f>HYPERLINK("http://www.ensembl.org/Mus_musculus/Gene/Summary?db=core;g=ENSMUSG00000032739","ENSMUSG00000032739")</f>
        <v>ENSMUSG00000032739</v>
      </c>
      <c r="I1552" s="6" t="str">
        <f>HYPERLINK("http://www.informatics.jax.org/marker/MGI:3576625","MGI:3576625")</f>
        <v>MGI:3576625</v>
      </c>
      <c r="J1552" s="7" t="s">
        <v>12</v>
      </c>
    </row>
    <row r="1553" spans="1:10" x14ac:dyDescent="0.2">
      <c r="A1553" s="3">
        <v>1743.7170773929799</v>
      </c>
      <c r="B1553" s="1">
        <v>0.24663251926672999</v>
      </c>
      <c r="C1553" s="1">
        <v>4.1499724493312901E-3</v>
      </c>
      <c r="D1553" s="7">
        <v>3.9581290119162303E-2</v>
      </c>
      <c r="E1553" s="1" t="s">
        <v>2866</v>
      </c>
      <c r="F1553" s="1" t="s">
        <v>2867</v>
      </c>
      <c r="G1553" s="1">
        <v>18005</v>
      </c>
      <c r="H1553" s="6" t="str">
        <f>HYPERLINK("http://www.ensembl.org/Mus_musculus/Gene/Summary?db=core;g=ENSMUSG00000026622","ENSMUSG00000026622")</f>
        <v>ENSMUSG00000026622</v>
      </c>
      <c r="I1553" s="6" t="str">
        <f>HYPERLINK("http://www.informatics.jax.org/marker/MGI:109359","MGI:109359")</f>
        <v>MGI:109359</v>
      </c>
      <c r="J1553" s="7" t="s">
        <v>12</v>
      </c>
    </row>
    <row r="1554" spans="1:10" x14ac:dyDescent="0.2">
      <c r="A1554" s="3">
        <v>537.47371904231204</v>
      </c>
      <c r="B1554" s="1">
        <v>0.18113156207960299</v>
      </c>
      <c r="C1554" s="1">
        <v>4.1888158515480996E-3</v>
      </c>
      <c r="D1554" s="7">
        <v>3.9900704840602999E-2</v>
      </c>
      <c r="E1554" s="1" t="s">
        <v>2494</v>
      </c>
      <c r="F1554" s="1" t="s">
        <v>2495</v>
      </c>
      <c r="G1554" s="1">
        <v>74498</v>
      </c>
      <c r="H1554" s="6" t="str">
        <f>HYPERLINK("http://www.ensembl.org/Mus_musculus/Gene/Summary?db=core;g=ENSMUSG00000032513","ENSMUSG00000032513")</f>
        <v>ENSMUSG00000032513</v>
      </c>
      <c r="I1554" s="6" t="str">
        <f>HYPERLINK("http://www.informatics.jax.org/marker/MGI:1921748","MGI:1921748")</f>
        <v>MGI:1921748</v>
      </c>
      <c r="J1554" s="7" t="s">
        <v>12</v>
      </c>
    </row>
    <row r="1555" spans="1:10" x14ac:dyDescent="0.2">
      <c r="A1555" s="3">
        <v>1291.55397369563</v>
      </c>
      <c r="B1555" s="1">
        <v>-0.18300243438081801</v>
      </c>
      <c r="C1555" s="1">
        <v>4.2206506359457503E-3</v>
      </c>
      <c r="D1555" s="7">
        <v>4.0152038587021703E-2</v>
      </c>
      <c r="E1555" s="1" t="s">
        <v>1998</v>
      </c>
      <c r="F1555" s="1" t="s">
        <v>1999</v>
      </c>
      <c r="G1555" s="1">
        <v>12036</v>
      </c>
      <c r="H1555" s="6" t="str">
        <f>HYPERLINK("http://www.ensembl.org/Mus_musculus/Gene/Summary?db=core;g=ENSMUSG00000030826","ENSMUSG00000030826")</f>
        <v>ENSMUSG00000030826</v>
      </c>
      <c r="I1555" s="6" t="str">
        <f>HYPERLINK("http://www.informatics.jax.org/marker/MGI:1276534","MGI:1276534")</f>
        <v>MGI:1276534</v>
      </c>
      <c r="J1555" s="7" t="s">
        <v>12</v>
      </c>
    </row>
    <row r="1556" spans="1:10" x14ac:dyDescent="0.2">
      <c r="A1556" s="3">
        <v>2170.9754120285102</v>
      </c>
      <c r="B1556" s="1">
        <v>0.140941744014694</v>
      </c>
      <c r="C1556" s="1">
        <v>4.2187080325987699E-3</v>
      </c>
      <c r="D1556" s="7">
        <v>4.0152038587021703E-2</v>
      </c>
      <c r="E1556" s="1" t="s">
        <v>2274</v>
      </c>
      <c r="F1556" s="1" t="s">
        <v>2275</v>
      </c>
      <c r="G1556" s="1">
        <v>76559</v>
      </c>
      <c r="H1556" s="6" t="str">
        <f>HYPERLINK("http://www.ensembl.org/Mus_musculus/Gene/Summary?db=core;g=ENSMUSG00000041341","ENSMUSG00000041341")</f>
        <v>ENSMUSG00000041341</v>
      </c>
      <c r="I1556" s="6" t="str">
        <f>HYPERLINK("http://www.informatics.jax.org/marker/MGI:1923809","MGI:1923809")</f>
        <v>MGI:1923809</v>
      </c>
      <c r="J1556" s="7" t="s">
        <v>12</v>
      </c>
    </row>
    <row r="1557" spans="1:10" x14ac:dyDescent="0.2">
      <c r="A1557" s="3">
        <v>226.826978911596</v>
      </c>
      <c r="B1557" s="1">
        <v>0.21820464457310801</v>
      </c>
      <c r="C1557" s="1">
        <v>4.23025452205929E-3</v>
      </c>
      <c r="D1557" s="7">
        <v>4.0217439120687599E-2</v>
      </c>
      <c r="E1557" s="1" t="s">
        <v>2716</v>
      </c>
      <c r="F1557" s="1" t="s">
        <v>2717</v>
      </c>
      <c r="G1557" s="1">
        <v>191578</v>
      </c>
      <c r="H1557" s="6" t="str">
        <f>HYPERLINK("http://www.ensembl.org/Mus_musculus/Gene/Summary?db=core;g=ENSMUSG00000035266","ENSMUSG00000035266")</f>
        <v>ENSMUSG00000035266</v>
      </c>
      <c r="I1557" s="6" t="str">
        <f>HYPERLINK("http://www.informatics.jax.org/marker/MGI:2176740","MGI:2176740")</f>
        <v>MGI:2176740</v>
      </c>
      <c r="J1557" s="7" t="s">
        <v>12</v>
      </c>
    </row>
    <row r="1558" spans="1:10" x14ac:dyDescent="0.2">
      <c r="A1558" s="3">
        <v>600.49358984659295</v>
      </c>
      <c r="B1558" s="1">
        <v>0.19004564795916901</v>
      </c>
      <c r="C1558" s="1">
        <v>4.2352850083137101E-3</v>
      </c>
      <c r="D1558" s="7">
        <v>4.0239303599297699E-2</v>
      </c>
      <c r="E1558" s="1" t="s">
        <v>2528</v>
      </c>
      <c r="F1558" s="1" t="s">
        <v>2529</v>
      </c>
      <c r="G1558" s="1">
        <v>22184</v>
      </c>
      <c r="H1558" s="6" t="str">
        <f>HYPERLINK("http://www.ensembl.org/Mus_musculus/Gene/Summary?db=core;g=ENSMUSG00000031370","ENSMUSG00000031370")</f>
        <v>ENSMUSG00000031370</v>
      </c>
      <c r="I1558" s="6" t="str">
        <f>HYPERLINK("http://www.informatics.jax.org/marker/MGI:103287","MGI:103287")</f>
        <v>MGI:103287</v>
      </c>
      <c r="J1558" s="7" t="s">
        <v>12</v>
      </c>
    </row>
    <row r="1559" spans="1:10" x14ac:dyDescent="0.2">
      <c r="A1559" s="3">
        <v>1262.1887667040701</v>
      </c>
      <c r="B1559" s="1">
        <v>-0.156491386030048</v>
      </c>
      <c r="C1559" s="1">
        <v>4.2443379687274697E-3</v>
      </c>
      <c r="D1559" s="7">
        <v>4.02965357635525E-2</v>
      </c>
      <c r="E1559" s="1" t="s">
        <v>2106</v>
      </c>
      <c r="F1559" s="1" t="s">
        <v>2107</v>
      </c>
      <c r="G1559" s="1">
        <v>227292</v>
      </c>
      <c r="H1559" s="6" t="str">
        <f>HYPERLINK("http://www.ensembl.org/Mus_musculus/Gene/Summary?db=core;g=ENSMUSG00000026176","ENSMUSG00000026176")</f>
        <v>ENSMUSG00000026176</v>
      </c>
      <c r="I1559" s="6" t="str">
        <f>HYPERLINK("http://www.informatics.jax.org/marker/MGI:2654470","MGI:2654470")</f>
        <v>MGI:2654470</v>
      </c>
      <c r="J1559" s="7" t="s">
        <v>12</v>
      </c>
    </row>
    <row r="1560" spans="1:10" x14ac:dyDescent="0.2">
      <c r="A1560" s="3">
        <v>1031.4171477845</v>
      </c>
      <c r="B1560" s="1">
        <v>0.172308251714411</v>
      </c>
      <c r="C1560" s="1">
        <v>4.2467779615090297E-3</v>
      </c>
      <c r="D1560" s="7">
        <v>4.02965357635525E-2</v>
      </c>
      <c r="E1560" s="1" t="s">
        <v>2438</v>
      </c>
      <c r="F1560" s="1" t="s">
        <v>2439</v>
      </c>
      <c r="G1560" s="1">
        <v>107071</v>
      </c>
      <c r="H1560" s="6" t="str">
        <f>HYPERLINK("http://www.ensembl.org/Mus_musculus/Gene/Summary?db=core;g=ENSMUSG00000042729","ENSMUSG00000042729")</f>
        <v>ENSMUSG00000042729</v>
      </c>
      <c r="I1560" s="6" t="str">
        <f>HYPERLINK("http://www.informatics.jax.org/marker/MGI:2147427","MGI:2147427")</f>
        <v>MGI:2147427</v>
      </c>
      <c r="J1560" s="7" t="s">
        <v>12</v>
      </c>
    </row>
    <row r="1561" spans="1:10" x14ac:dyDescent="0.2">
      <c r="A1561" s="3">
        <v>12.072003502794701</v>
      </c>
      <c r="B1561" s="1">
        <v>0.91235987879170699</v>
      </c>
      <c r="C1561" s="1">
        <v>4.2545114004803597E-3</v>
      </c>
      <c r="D1561" s="7">
        <v>4.0343938222315703E-2</v>
      </c>
      <c r="E1561" s="1" t="s">
        <v>3308</v>
      </c>
      <c r="F1561" s="1" t="s">
        <v>3309</v>
      </c>
      <c r="G1561" s="1">
        <v>208647</v>
      </c>
      <c r="H1561" s="6" t="str">
        <f>HYPERLINK("http://www.ensembl.org/Mus_musculus/Gene/Summary?db=core;g=ENSMUSG00000038648","ENSMUSG00000038648")</f>
        <v>ENSMUSG00000038648</v>
      </c>
      <c r="I1561" s="6" t="str">
        <f>HYPERLINK("http://www.informatics.jax.org/marker/MGI:2442695","MGI:2442695")</f>
        <v>MGI:2442695</v>
      </c>
      <c r="J1561" s="7" t="s">
        <v>12</v>
      </c>
    </row>
    <row r="1562" spans="1:10" x14ac:dyDescent="0.2">
      <c r="A1562" s="3">
        <v>2285.63245052506</v>
      </c>
      <c r="B1562" s="1">
        <v>0.110866708479777</v>
      </c>
      <c r="C1562" s="1">
        <v>4.2690120635283796E-3</v>
      </c>
      <c r="D1562" s="7">
        <v>4.0429409876705798E-2</v>
      </c>
      <c r="E1562" s="1" t="s">
        <v>2198</v>
      </c>
      <c r="F1562" s="1" t="s">
        <v>2199</v>
      </c>
      <c r="G1562" s="1">
        <v>28015</v>
      </c>
      <c r="H1562" s="6" t="str">
        <f>HYPERLINK("http://www.ensembl.org/Mus_musculus/Gene/Summary?db=core;g=ENSMUSG00000032199","ENSMUSG00000032199")</f>
        <v>ENSMUSG00000032199</v>
      </c>
      <c r="I1562" s="6" t="str">
        <f>HYPERLINK("http://www.informatics.jax.org/marker/MGI:107282","MGI:107282")</f>
        <v>MGI:107282</v>
      </c>
      <c r="J1562" s="7" t="s">
        <v>12</v>
      </c>
    </row>
    <row r="1563" spans="1:10" x14ac:dyDescent="0.2">
      <c r="A1563" s="3">
        <v>339.533311961462</v>
      </c>
      <c r="B1563" s="1">
        <v>0.21645562280644901</v>
      </c>
      <c r="C1563" s="1">
        <v>4.2671089780002801E-3</v>
      </c>
      <c r="D1563" s="7">
        <v>4.0429409876705798E-2</v>
      </c>
      <c r="E1563" s="1" t="s">
        <v>2710</v>
      </c>
      <c r="F1563" s="1" t="s">
        <v>2711</v>
      </c>
      <c r="G1563" s="1">
        <v>73162</v>
      </c>
      <c r="H1563" s="6" t="str">
        <f>HYPERLINK("http://www.ensembl.org/Mus_musculus/Gene/Summary?db=core;g=ENSMUSG00000041161","ENSMUSG00000041161")</f>
        <v>ENSMUSG00000041161</v>
      </c>
      <c r="I1563" s="6" t="str">
        <f>HYPERLINK("http://www.informatics.jax.org/marker/MGI:1920412","MGI:1920412")</f>
        <v>MGI:1920412</v>
      </c>
      <c r="J1563" s="7" t="s">
        <v>12</v>
      </c>
    </row>
    <row r="1564" spans="1:10" x14ac:dyDescent="0.2">
      <c r="A1564" s="3">
        <v>1632.4667465933901</v>
      </c>
      <c r="B1564" s="1">
        <v>0.20671949986386101</v>
      </c>
      <c r="C1564" s="1">
        <v>4.2736928222324401E-3</v>
      </c>
      <c r="D1564" s="7">
        <v>4.0447744013113199E-2</v>
      </c>
      <c r="E1564" s="1" t="s">
        <v>2642</v>
      </c>
      <c r="F1564" s="1" t="s">
        <v>2643</v>
      </c>
      <c r="G1564" s="1">
        <v>68272</v>
      </c>
      <c r="H1564" s="6" t="str">
        <f>HYPERLINK("http://www.ensembl.org/Mus_musculus/Gene/Summary?db=core;g=ENSMUSG00000029701","ENSMUSG00000029701")</f>
        <v>ENSMUSG00000029701</v>
      </c>
      <c r="I1564" s="6" t="str">
        <f>HYPERLINK("http://www.informatics.jax.org/marker/MGI:2655711","MGI:2655711")</f>
        <v>MGI:2655711</v>
      </c>
      <c r="J1564" s="7" t="s">
        <v>12</v>
      </c>
    </row>
    <row r="1565" spans="1:10" x14ac:dyDescent="0.2">
      <c r="A1565" s="3">
        <v>95.256357693155707</v>
      </c>
      <c r="B1565" s="1">
        <v>-0.49188427989681299</v>
      </c>
      <c r="C1565" s="1">
        <v>4.2798378075123503E-3</v>
      </c>
      <c r="D1565" s="7">
        <v>4.0479903678756098E-2</v>
      </c>
      <c r="E1565" s="1" t="s">
        <v>853</v>
      </c>
      <c r="F1565" s="1" t="s">
        <v>854</v>
      </c>
      <c r="G1565" s="1">
        <v>20491</v>
      </c>
      <c r="H1565" s="6" t="str">
        <f>HYPERLINK("http://www.ensembl.org/Mus_musculus/Gene/Summary?db=core;g=ENSMUSG00000022372","ENSMUSG00000022372")</f>
        <v>ENSMUSG00000022372</v>
      </c>
      <c r="I1565" s="6" t="str">
        <f>HYPERLINK("http://www.informatics.jax.org/marker/MGI:104295","MGI:104295")</f>
        <v>MGI:104295</v>
      </c>
      <c r="J1565" s="7" t="s">
        <v>12</v>
      </c>
    </row>
    <row r="1566" spans="1:10" x14ac:dyDescent="0.2">
      <c r="A1566" s="3">
        <v>5119.1254719563303</v>
      </c>
      <c r="B1566" s="1">
        <v>0.16418541234018899</v>
      </c>
      <c r="C1566" s="1">
        <v>4.2972364529251404E-3</v>
      </c>
      <c r="D1566" s="7">
        <v>4.0592356647631403E-2</v>
      </c>
      <c r="E1566" s="1" t="s">
        <v>2396</v>
      </c>
      <c r="F1566" s="1" t="s">
        <v>2397</v>
      </c>
      <c r="G1566" s="1">
        <v>21453</v>
      </c>
      <c r="H1566" s="6" t="str">
        <f>HYPERLINK("http://www.ensembl.org/Mus_musculus/Gene/Summary?db=core;g=ENSMUSG00000024613","ENSMUSG00000024613")</f>
        <v>ENSMUSG00000024613</v>
      </c>
      <c r="I1566" s="6" t="str">
        <f>HYPERLINK("http://www.informatics.jax.org/marker/MGI:892003","MGI:892003")</f>
        <v>MGI:892003</v>
      </c>
      <c r="J1566" s="7" t="s">
        <v>12</v>
      </c>
    </row>
    <row r="1567" spans="1:10" x14ac:dyDescent="0.2">
      <c r="A1567" s="3">
        <v>323.32857295052702</v>
      </c>
      <c r="B1567" s="1">
        <v>0.23709334038437599</v>
      </c>
      <c r="C1567" s="1">
        <v>4.2951892283045901E-3</v>
      </c>
      <c r="D1567" s="7">
        <v>4.0592356647631403E-2</v>
      </c>
      <c r="E1567" s="1" t="s">
        <v>2826</v>
      </c>
      <c r="F1567" s="1" t="s">
        <v>2827</v>
      </c>
      <c r="G1567" s="1">
        <v>60507</v>
      </c>
      <c r="H1567" s="6" t="str">
        <f>HYPERLINK("http://www.ensembl.org/Mus_musculus/Gene/Summary?db=core;g=ENSMUSG00000002825","ENSMUSG00000002825")</f>
        <v>ENSMUSG00000002825</v>
      </c>
      <c r="I1567" s="6" t="str">
        <f>HYPERLINK("http://www.informatics.jax.org/marker/MGI:1931441","MGI:1931441")</f>
        <v>MGI:1931441</v>
      </c>
      <c r="J1567" s="7" t="s">
        <v>12</v>
      </c>
    </row>
    <row r="1568" spans="1:10" x14ac:dyDescent="0.2">
      <c r="A1568" s="3">
        <v>109.206921576829</v>
      </c>
      <c r="B1568" s="1">
        <v>-0.53859969493255799</v>
      </c>
      <c r="C1568" s="1">
        <v>4.31096400276108E-3</v>
      </c>
      <c r="D1568" s="7">
        <v>4.0659000128880497E-2</v>
      </c>
      <c r="E1568" s="1" t="s">
        <v>777</v>
      </c>
      <c r="F1568" s="1" t="s">
        <v>778</v>
      </c>
      <c r="G1568" s="1">
        <v>12452</v>
      </c>
      <c r="H1568" s="6" t="str">
        <f>HYPERLINK("http://www.ensembl.org/Mus_musculus/Gene/Summary?db=core;g=ENSMUSG00000029385","ENSMUSG00000029385")</f>
        <v>ENSMUSG00000029385</v>
      </c>
      <c r="I1568" s="6" t="str">
        <f>HYPERLINK("http://www.informatics.jax.org/marker/MGI:1095734","MGI:1095734")</f>
        <v>MGI:1095734</v>
      </c>
      <c r="J1568" s="7" t="s">
        <v>12</v>
      </c>
    </row>
    <row r="1569" spans="1:10" x14ac:dyDescent="0.2">
      <c r="A1569" s="3">
        <v>1451.60607852158</v>
      </c>
      <c r="B1569" s="1">
        <v>-0.228360525129264</v>
      </c>
      <c r="C1569" s="1">
        <v>4.3125690283279203E-3</v>
      </c>
      <c r="D1569" s="7">
        <v>4.0659000128880497E-2</v>
      </c>
      <c r="E1569" s="1" t="s">
        <v>1778</v>
      </c>
      <c r="F1569" s="1" t="s">
        <v>1779</v>
      </c>
      <c r="G1569" s="1">
        <v>226971</v>
      </c>
      <c r="H1569" s="6" t="str">
        <f>HYPERLINK("http://www.ensembl.org/Mus_musculus/Gene/Summary?db=core;g=ENSMUSG00000026123","ENSMUSG00000026123")</f>
        <v>ENSMUSG00000026123</v>
      </c>
      <c r="I1569" s="6" t="str">
        <f>HYPERLINK("http://www.informatics.jax.org/marker/MGI:2385825","MGI:2385825")</f>
        <v>MGI:2385825</v>
      </c>
      <c r="J1569" s="7" t="s">
        <v>12</v>
      </c>
    </row>
    <row r="1570" spans="1:10" x14ac:dyDescent="0.2">
      <c r="A1570" s="3">
        <v>216.28749681459499</v>
      </c>
      <c r="B1570" s="1">
        <v>0.26908223279281202</v>
      </c>
      <c r="C1570" s="1">
        <v>4.3100059607765404E-3</v>
      </c>
      <c r="D1570" s="7">
        <v>4.0659000128880497E-2</v>
      </c>
      <c r="E1570" s="1" t="s">
        <v>2930</v>
      </c>
      <c r="F1570" s="1" t="s">
        <v>2931</v>
      </c>
      <c r="G1570" s="1">
        <v>105377</v>
      </c>
      <c r="H1570" s="6" t="str">
        <f>HYPERLINK("http://www.ensembl.org/Mus_musculus/Gene/Summary?db=core;g=ENSMUSG00000021597","ENSMUSG00000021597")</f>
        <v>ENSMUSG00000021597</v>
      </c>
      <c r="I1570" s="6" t="str">
        <f>HYPERLINK("http://www.informatics.jax.org/marker/MGI:2145448","MGI:2145448")</f>
        <v>MGI:2145448</v>
      </c>
      <c r="J1570" s="7" t="s">
        <v>12</v>
      </c>
    </row>
    <row r="1571" spans="1:10" x14ac:dyDescent="0.2">
      <c r="A1571" s="3">
        <v>1008.40365472803</v>
      </c>
      <c r="B1571" s="1">
        <v>0.23760373230168899</v>
      </c>
      <c r="C1571" s="1">
        <v>4.33019837498776E-3</v>
      </c>
      <c r="D1571" s="7">
        <v>4.0799106939782399E-2</v>
      </c>
      <c r="E1571" s="1" t="s">
        <v>2828</v>
      </c>
      <c r="F1571" s="1" t="s">
        <v>2829</v>
      </c>
      <c r="G1571" s="1">
        <v>217431</v>
      </c>
      <c r="H1571" s="6" t="str">
        <f>HYPERLINK("http://www.ensembl.org/Mus_musculus/Gene/Summary?db=core;g=ENSMUSG00000061458","ENSMUSG00000061458")</f>
        <v>ENSMUSG00000061458</v>
      </c>
      <c r="I1571" s="6" t="str">
        <f>HYPERLINK("http://www.informatics.jax.org/marker/MGI:2684913","MGI:2684913")</f>
        <v>MGI:2684913</v>
      </c>
      <c r="J1571" s="7" t="s">
        <v>12</v>
      </c>
    </row>
    <row r="1572" spans="1:10" x14ac:dyDescent="0.2">
      <c r="A1572" s="3">
        <v>441.79755366318602</v>
      </c>
      <c r="B1572" s="1">
        <v>-0.26950167989470297</v>
      </c>
      <c r="C1572" s="1">
        <v>4.38203172106638E-3</v>
      </c>
      <c r="D1572" s="7">
        <v>4.1261098684750301E-2</v>
      </c>
      <c r="E1572" s="1" t="s">
        <v>1576</v>
      </c>
      <c r="F1572" s="1" t="s">
        <v>1577</v>
      </c>
      <c r="G1572" s="1">
        <v>22214</v>
      </c>
      <c r="H1572" s="6" t="str">
        <f>HYPERLINK("http://www.ensembl.org/Mus_musculus/Gene/Summary?db=core;g=ENSMUSG00000039159","ENSMUSG00000039159")</f>
        <v>ENSMUSG00000039159</v>
      </c>
      <c r="I1572" s="6" t="str">
        <f>HYPERLINK("http://www.informatics.jax.org/marker/MGI:104632","MGI:104632")</f>
        <v>MGI:104632</v>
      </c>
      <c r="J1572" s="7" t="s">
        <v>12</v>
      </c>
    </row>
    <row r="1573" spans="1:10" x14ac:dyDescent="0.2">
      <c r="A1573" s="3">
        <v>1282.7512815238299</v>
      </c>
      <c r="B1573" s="1">
        <v>-0.28714999699273103</v>
      </c>
      <c r="C1573" s="1">
        <v>4.4320172583572001E-3</v>
      </c>
      <c r="D1573" s="7">
        <v>4.1705112592050897E-2</v>
      </c>
      <c r="E1573" s="1" t="s">
        <v>1516</v>
      </c>
      <c r="F1573" s="1" t="s">
        <v>1517</v>
      </c>
      <c r="G1573" s="1">
        <v>216440</v>
      </c>
      <c r="H1573" s="6" t="str">
        <f>HYPERLINK("http://www.ensembl.org/Mus_musculus/Gene/Summary?db=core;g=ENSMUSG00000040462","ENSMUSG00000040462")</f>
        <v>ENSMUSG00000040462</v>
      </c>
      <c r="I1573" s="6" t="str">
        <f>HYPERLINK("http://www.informatics.jax.org/marker/MGI:1924301","MGI:1924301")</f>
        <v>MGI:1924301</v>
      </c>
      <c r="J1573" s="7" t="s">
        <v>12</v>
      </c>
    </row>
    <row r="1574" spans="1:10" x14ac:dyDescent="0.2">
      <c r="A1574" s="3">
        <v>213.596094555001</v>
      </c>
      <c r="B1574" s="1">
        <v>-0.30443593231748201</v>
      </c>
      <c r="C1574" s="1">
        <v>4.46872675202796E-3</v>
      </c>
      <c r="D1574" s="7">
        <v>4.2001052709261397E-2</v>
      </c>
      <c r="E1574" s="1" t="s">
        <v>1440</v>
      </c>
      <c r="F1574" s="1" t="s">
        <v>1441</v>
      </c>
      <c r="G1574" s="1">
        <v>69742</v>
      </c>
      <c r="H1574" s="6" t="str">
        <f>HYPERLINK("http://www.ensembl.org/Mus_musculus/Gene/Summary?db=core;g=ENSMUSG00000031556","ENSMUSG00000031556")</f>
        <v>ENSMUSG00000031556</v>
      </c>
      <c r="I1574" s="6" t="str">
        <f>HYPERLINK("http://www.informatics.jax.org/marker/MGI:1916992","MGI:1916992")</f>
        <v>MGI:1916992</v>
      </c>
      <c r="J1574" s="7" t="s">
        <v>12</v>
      </c>
    </row>
    <row r="1575" spans="1:10" x14ac:dyDescent="0.2">
      <c r="A1575" s="3">
        <v>128.116768605321</v>
      </c>
      <c r="B1575" s="1">
        <v>0.37633829252554202</v>
      </c>
      <c r="C1575" s="1">
        <v>4.4691673892590803E-3</v>
      </c>
      <c r="D1575" s="7">
        <v>4.2001052709261397E-2</v>
      </c>
      <c r="E1575" s="1" t="s">
        <v>3122</v>
      </c>
      <c r="F1575" s="1" t="s">
        <v>3123</v>
      </c>
      <c r="G1575" s="1">
        <v>67900</v>
      </c>
      <c r="H1575" s="6" t="str">
        <f>HYPERLINK("http://www.ensembl.org/Mus_musculus/Gene/Summary?db=core;g=ENSMUSG00000004748","ENSMUSG00000004748")</f>
        <v>ENSMUSG00000004748</v>
      </c>
      <c r="I1575" s="6" t="str">
        <f>HYPERLINK("http://www.informatics.jax.org/marker/MGI:1916686","MGI:1916686")</f>
        <v>MGI:1916686</v>
      </c>
      <c r="J1575" s="7" t="s">
        <v>12</v>
      </c>
    </row>
    <row r="1576" spans="1:10" x14ac:dyDescent="0.2">
      <c r="A1576" s="3">
        <v>17.5176677763308</v>
      </c>
      <c r="B1576" s="1">
        <v>-0.83610824014583396</v>
      </c>
      <c r="C1576" s="1">
        <v>4.4818389520016903E-3</v>
      </c>
      <c r="D1576" s="7">
        <v>4.2080979716502202E-2</v>
      </c>
      <c r="E1576" s="1" t="s">
        <v>450</v>
      </c>
      <c r="F1576" s="1" t="s">
        <v>451</v>
      </c>
      <c r="G1576" s="1">
        <v>637515</v>
      </c>
      <c r="H1576" s="6" t="str">
        <f>HYPERLINK("http://www.ensembl.org/Mus_musculus/Gene/Summary?db=core;g=ENSMUSG00000070390","ENSMUSG00000070390")</f>
        <v>ENSMUSG00000070390</v>
      </c>
      <c r="I1576" s="6" t="str">
        <f>HYPERLINK("http://www.informatics.jax.org/marker/MGI:3582959","MGI:3582959")</f>
        <v>MGI:3582959</v>
      </c>
      <c r="J1576" s="7" t="s">
        <v>12</v>
      </c>
    </row>
    <row r="1577" spans="1:10" x14ac:dyDescent="0.2">
      <c r="A1577" s="3">
        <v>73.383291221515805</v>
      </c>
      <c r="B1577" s="1">
        <v>-0.40981406229800099</v>
      </c>
      <c r="C1577" s="1">
        <v>4.4833834252788101E-3</v>
      </c>
      <c r="D1577" s="7">
        <v>4.2080979716502202E-2</v>
      </c>
      <c r="E1577" s="1" t="s">
        <v>1069</v>
      </c>
      <c r="F1577" s="1" t="s">
        <v>1070</v>
      </c>
      <c r="G1577" s="1" t="s">
        <v>45</v>
      </c>
      <c r="H1577" s="6" t="str">
        <f>HYPERLINK("http://www.ensembl.org/Mus_musculus/Gene/Summary?db=core;g=ENSMUSG00000105835","ENSMUSG00000105835")</f>
        <v>ENSMUSG00000105835</v>
      </c>
      <c r="I1577" s="6" t="str">
        <f>HYPERLINK("http://www.informatics.jax.org/marker/MGI:5663689","MGI:5663689")</f>
        <v>MGI:5663689</v>
      </c>
      <c r="J1577" s="7" t="s">
        <v>12</v>
      </c>
    </row>
    <row r="1578" spans="1:10" x14ac:dyDescent="0.2">
      <c r="A1578" s="3">
        <v>1799.8638330715701</v>
      </c>
      <c r="B1578" s="1">
        <v>0.163298360781159</v>
      </c>
      <c r="C1578" s="1">
        <v>4.48832097524307E-3</v>
      </c>
      <c r="D1578" s="7">
        <v>4.21005078874487E-2</v>
      </c>
      <c r="E1578" s="1" t="s">
        <v>2386</v>
      </c>
      <c r="F1578" s="1" t="s">
        <v>2387</v>
      </c>
      <c r="G1578" s="1">
        <v>118451</v>
      </c>
      <c r="H1578" s="6" t="str">
        <f>HYPERLINK("http://www.ensembl.org/Mus_musculus/Gene/Summary?db=core;g=ENSMUSG00000035772","ENSMUSG00000035772")</f>
        <v>ENSMUSG00000035772</v>
      </c>
      <c r="I1578" s="6" t="str">
        <f>HYPERLINK("http://www.informatics.jax.org/marker/MGI:2153089","MGI:2153089")</f>
        <v>MGI:2153089</v>
      </c>
      <c r="J1578" s="7" t="s">
        <v>12</v>
      </c>
    </row>
    <row r="1579" spans="1:10" x14ac:dyDescent="0.2">
      <c r="A1579" s="3">
        <v>432.129785144138</v>
      </c>
      <c r="B1579" s="1">
        <v>-0.19396557532730299</v>
      </c>
      <c r="C1579" s="1">
        <v>4.4938245375632799E-3</v>
      </c>
      <c r="D1579" s="7">
        <v>4.2125317039142803E-2</v>
      </c>
      <c r="E1579" s="1" t="s">
        <v>1942</v>
      </c>
      <c r="F1579" s="1" t="s">
        <v>1943</v>
      </c>
      <c r="G1579" s="1">
        <v>271981</v>
      </c>
      <c r="H1579" s="6" t="str">
        <f>HYPERLINK("http://www.ensembl.org/Mus_musculus/Gene/Summary?db=core;g=ENSMUSG00000028030","ENSMUSG00000028030")</f>
        <v>ENSMUSG00000028030</v>
      </c>
      <c r="I1579" s="6" t="str">
        <f>HYPERLINK("http://www.informatics.jax.org/marker/MGI:2445052","MGI:2445052")</f>
        <v>MGI:2445052</v>
      </c>
      <c r="J1579" s="7" t="s">
        <v>12</v>
      </c>
    </row>
    <row r="1580" spans="1:10" x14ac:dyDescent="0.2">
      <c r="A1580" s="3">
        <v>605.67599938359797</v>
      </c>
      <c r="B1580" s="1">
        <v>0.21874071402814399</v>
      </c>
      <c r="C1580" s="1">
        <v>4.5068342768946404E-3</v>
      </c>
      <c r="D1580" s="7">
        <v>4.2220413162313702E-2</v>
      </c>
      <c r="E1580" s="1" t="s">
        <v>2720</v>
      </c>
      <c r="F1580" s="1" t="s">
        <v>2721</v>
      </c>
      <c r="G1580" s="1">
        <v>109815</v>
      </c>
      <c r="H1580" s="6" t="str">
        <f>HYPERLINK("http://www.ensembl.org/Mus_musculus/Gene/Summary?db=core;g=ENSMUSG00000075701","ENSMUSG00000075701")</f>
        <v>ENSMUSG00000075701</v>
      </c>
      <c r="I1580" s="6" t="str">
        <f>HYPERLINK("http://www.informatics.jax.org/marker/MGI:95994","MGI:95994")</f>
        <v>MGI:95994</v>
      </c>
      <c r="J1580" s="7" t="s">
        <v>12</v>
      </c>
    </row>
    <row r="1581" spans="1:10" x14ac:dyDescent="0.2">
      <c r="A1581" s="3">
        <v>6.4178774758065504</v>
      </c>
      <c r="B1581" s="1">
        <v>-0.92276736674976201</v>
      </c>
      <c r="C1581" s="1">
        <v>4.52533619099114E-3</v>
      </c>
      <c r="D1581" s="7">
        <v>4.2366806931668E-2</v>
      </c>
      <c r="E1581" s="1" t="s">
        <v>389</v>
      </c>
      <c r="F1581" s="1" t="s">
        <v>390</v>
      </c>
      <c r="G1581" s="1" t="s">
        <v>45</v>
      </c>
      <c r="H1581" s="6" t="str">
        <f>HYPERLINK("http://www.ensembl.org/Mus_musculus/Gene/Summary?db=core;g=ENSMUSG00000045231","ENSMUSG00000045231")</f>
        <v>ENSMUSG00000045231</v>
      </c>
      <c r="I1581" s="6" t="str">
        <f>HYPERLINK("http://www.informatics.jax.org/marker/MGI:3702726","MGI:3702726")</f>
        <v>MGI:3702726</v>
      </c>
      <c r="J1581" s="7" t="s">
        <v>190</v>
      </c>
    </row>
    <row r="1582" spans="1:10" x14ac:dyDescent="0.2">
      <c r="A1582" s="3">
        <v>139.332387861619</v>
      </c>
      <c r="B1582" s="1">
        <v>-1.0501385050542</v>
      </c>
      <c r="C1582" s="1">
        <v>4.5391501014024798E-3</v>
      </c>
      <c r="D1582" s="7">
        <v>4.2441938836559001E-2</v>
      </c>
      <c r="E1582" s="1" t="s">
        <v>299</v>
      </c>
      <c r="F1582" s="1" t="s">
        <v>300</v>
      </c>
      <c r="G1582" s="1">
        <v>100034251</v>
      </c>
      <c r="H1582" s="6" t="str">
        <f>HYPERLINK("http://www.ensembl.org/Mus_musculus/Gene/Summary?db=core;g=ENSMUSG00000069792","ENSMUSG00000069792")</f>
        <v>ENSMUSG00000069792</v>
      </c>
      <c r="I1582" s="6" t="str">
        <f>HYPERLINK("http://www.informatics.jax.org/marker/MGI:3649773","MGI:3649773")</f>
        <v>MGI:3649773</v>
      </c>
      <c r="J1582" s="7" t="s">
        <v>12</v>
      </c>
    </row>
    <row r="1583" spans="1:10" x14ac:dyDescent="0.2">
      <c r="A1583" s="3">
        <v>206.490912263621</v>
      </c>
      <c r="B1583" s="1">
        <v>-0.30964738774805101</v>
      </c>
      <c r="C1583" s="1">
        <v>4.53873010480111E-3</v>
      </c>
      <c r="D1583" s="7">
        <v>4.2441938836559001E-2</v>
      </c>
      <c r="E1583" s="1" t="s">
        <v>1400</v>
      </c>
      <c r="F1583" s="1" t="s">
        <v>1401</v>
      </c>
      <c r="G1583" s="1">
        <v>14788</v>
      </c>
      <c r="H1583" s="6" t="str">
        <f>HYPERLINK("http://www.ensembl.org/Mus_musculus/Gene/Summary?db=core;g=ENSMUSG00000038390","ENSMUSG00000038390")</f>
        <v>ENSMUSG00000038390</v>
      </c>
      <c r="I1583" s="6" t="str">
        <f>HYPERLINK("http://www.informatics.jax.org/marker/MGI:1315214","MGI:1315214")</f>
        <v>MGI:1315214</v>
      </c>
      <c r="J1583" s="7" t="s">
        <v>12</v>
      </c>
    </row>
    <row r="1584" spans="1:10" x14ac:dyDescent="0.2">
      <c r="A1584" s="3">
        <v>222.86102419405901</v>
      </c>
      <c r="B1584" s="1">
        <v>0.30555709933946401</v>
      </c>
      <c r="C1584" s="1">
        <v>4.54200173352698E-3</v>
      </c>
      <c r="D1584" s="7">
        <v>4.2441938836559001E-2</v>
      </c>
      <c r="E1584" s="1" t="s">
        <v>3008</v>
      </c>
      <c r="F1584" s="1" t="s">
        <v>3009</v>
      </c>
      <c r="G1584" s="1">
        <v>170787</v>
      </c>
      <c r="H1584" s="6" t="str">
        <f>HYPERLINK("http://www.ensembl.org/Mus_musculus/Gene/Summary?db=core;g=ENSMUSG00000062906","ENSMUSG00000062906")</f>
        <v>ENSMUSG00000062906</v>
      </c>
      <c r="I1584" s="6" t="str">
        <f>HYPERLINK("http://www.informatics.jax.org/marker/MGI:2158340","MGI:2158340")</f>
        <v>MGI:2158340</v>
      </c>
      <c r="J1584" s="7" t="s">
        <v>12</v>
      </c>
    </row>
    <row r="1585" spans="1:10" x14ac:dyDescent="0.2">
      <c r="A1585" s="3">
        <v>4977.7637611166901</v>
      </c>
      <c r="B1585" s="1">
        <v>0.15525675107872</v>
      </c>
      <c r="C1585" s="1">
        <v>4.56928262830914E-3</v>
      </c>
      <c r="D1585" s="7">
        <v>4.2669802795160597E-2</v>
      </c>
      <c r="E1585" s="1" t="s">
        <v>2342</v>
      </c>
      <c r="F1585" s="1" t="s">
        <v>2343</v>
      </c>
      <c r="G1585" s="1">
        <v>56445</v>
      </c>
      <c r="H1585" s="6" t="str">
        <f>HYPERLINK("http://www.ensembl.org/Mus_musculus/Gene/Summary?db=core;g=ENSMUSG00000031701","ENSMUSG00000031701")</f>
        <v>ENSMUSG00000031701</v>
      </c>
      <c r="I1585" s="6" t="str">
        <f>HYPERLINK("http://www.informatics.jax.org/marker/MGI:1931882","MGI:1931882")</f>
        <v>MGI:1931882</v>
      </c>
      <c r="J1585" s="7" t="s">
        <v>12</v>
      </c>
    </row>
    <row r="1586" spans="1:10" x14ac:dyDescent="0.2">
      <c r="A1586" s="3">
        <v>5.5953362493087901</v>
      </c>
      <c r="B1586" s="1">
        <v>-1.0458820491409699</v>
      </c>
      <c r="C1586" s="1">
        <v>4.5800406276878597E-3</v>
      </c>
      <c r="D1586" s="7">
        <v>4.2693485900843799E-2</v>
      </c>
      <c r="E1586" s="1" t="s">
        <v>305</v>
      </c>
      <c r="F1586" s="1" t="s">
        <v>306</v>
      </c>
      <c r="G1586" s="1" t="s">
        <v>45</v>
      </c>
      <c r="H1586" s="6" t="str">
        <f>HYPERLINK("http://www.ensembl.org/Mus_musculus/Gene/Summary?db=core;g=ENSMUSG00000108015","ENSMUSG00000108015")</f>
        <v>ENSMUSG00000108015</v>
      </c>
      <c r="I1586" s="6" t="str">
        <f>HYPERLINK("http://www.informatics.jax.org/marker/MGI:5591750","MGI:5591750")</f>
        <v>MGI:5591750</v>
      </c>
      <c r="J1586" s="7" t="s">
        <v>95</v>
      </c>
    </row>
    <row r="1587" spans="1:10" x14ac:dyDescent="0.2">
      <c r="A1587" s="3">
        <v>647.43521488055706</v>
      </c>
      <c r="B1587" s="1">
        <v>-0.31082560094240702</v>
      </c>
      <c r="C1587" s="1">
        <v>4.5801464801751499E-3</v>
      </c>
      <c r="D1587" s="7">
        <v>4.2693485900843799E-2</v>
      </c>
      <c r="E1587" s="1" t="s">
        <v>1396</v>
      </c>
      <c r="F1587" s="1" t="s">
        <v>1397</v>
      </c>
      <c r="G1587" s="1">
        <v>14284</v>
      </c>
      <c r="H1587" s="6" t="str">
        <f>HYPERLINK("http://www.ensembl.org/Mus_musculus/Gene/Summary?db=core;g=ENSMUSG00000029135","ENSMUSG00000029135")</f>
        <v>ENSMUSG00000029135</v>
      </c>
      <c r="I1587" s="6" t="str">
        <f>HYPERLINK("http://www.informatics.jax.org/marker/MGI:102858","MGI:102858")</f>
        <v>MGI:102858</v>
      </c>
      <c r="J1587" s="7" t="s">
        <v>12</v>
      </c>
    </row>
    <row r="1588" spans="1:10" x14ac:dyDescent="0.2">
      <c r="A1588" s="3">
        <v>566.76189996077403</v>
      </c>
      <c r="B1588" s="1">
        <v>0.186684732625744</v>
      </c>
      <c r="C1588" s="1">
        <v>4.5805103969349904E-3</v>
      </c>
      <c r="D1588" s="7">
        <v>4.2693485900843799E-2</v>
      </c>
      <c r="E1588" s="1" t="s">
        <v>2512</v>
      </c>
      <c r="F1588" s="1" t="s">
        <v>2513</v>
      </c>
      <c r="G1588" s="1">
        <v>105445</v>
      </c>
      <c r="H1588" s="6" t="str">
        <f>HYPERLINK("http://www.ensembl.org/Mus_musculus/Gene/Summary?db=core;g=ENSMUSG00000025558","ENSMUSG00000025558")</f>
        <v>ENSMUSG00000025558</v>
      </c>
      <c r="I1588" s="6" t="str">
        <f>HYPERLINK("http://www.informatics.jax.org/marker/MGI:106321","MGI:106321")</f>
        <v>MGI:106321</v>
      </c>
      <c r="J1588" s="7" t="s">
        <v>12</v>
      </c>
    </row>
    <row r="1589" spans="1:10" x14ac:dyDescent="0.2">
      <c r="A1589" s="3">
        <v>1104.6171698445701</v>
      </c>
      <c r="B1589" s="1">
        <v>-0.53156304876695504</v>
      </c>
      <c r="C1589" s="1">
        <v>4.5928733352065404E-3</v>
      </c>
      <c r="D1589" s="7">
        <v>4.27816570591679E-2</v>
      </c>
      <c r="E1589" s="1" t="s">
        <v>785</v>
      </c>
      <c r="F1589" s="1" t="s">
        <v>786</v>
      </c>
      <c r="G1589" s="1">
        <v>22793</v>
      </c>
      <c r="H1589" s="6" t="str">
        <f>HYPERLINK("http://www.ensembl.org/Mus_musculus/Gene/Summary?db=core;g=ENSMUSG00000029860","ENSMUSG00000029860")</f>
        <v>ENSMUSG00000029860</v>
      </c>
      <c r="I1589" s="6" t="str">
        <f>HYPERLINK("http://www.informatics.jax.org/marker/MGI:103072","MGI:103072")</f>
        <v>MGI:103072</v>
      </c>
      <c r="J1589" s="7" t="s">
        <v>12</v>
      </c>
    </row>
    <row r="1590" spans="1:10" x14ac:dyDescent="0.2">
      <c r="A1590" s="3">
        <v>5297.5647342400398</v>
      </c>
      <c r="B1590" s="1">
        <v>-0.193131826400465</v>
      </c>
      <c r="C1590" s="1">
        <v>4.6072008205439796E-3</v>
      </c>
      <c r="D1590" s="7">
        <v>4.2888004606150401E-2</v>
      </c>
      <c r="E1590" s="1" t="s">
        <v>1944</v>
      </c>
      <c r="F1590" s="1" t="s">
        <v>1945</v>
      </c>
      <c r="G1590" s="1">
        <v>11820</v>
      </c>
      <c r="H1590" s="6" t="str">
        <f>HYPERLINK("http://www.ensembl.org/Mus_musculus/Gene/Summary?db=core;g=ENSMUSG00000022892","ENSMUSG00000022892")</f>
        <v>ENSMUSG00000022892</v>
      </c>
      <c r="I1590" s="6" t="str">
        <f>HYPERLINK("http://www.informatics.jax.org/marker/MGI:88059","MGI:88059")</f>
        <v>MGI:88059</v>
      </c>
      <c r="J1590" s="7" t="s">
        <v>12</v>
      </c>
    </row>
    <row r="1591" spans="1:10" x14ac:dyDescent="0.2">
      <c r="A1591" s="3">
        <v>1189.7805483739</v>
      </c>
      <c r="B1591" s="1">
        <v>0.225617521143443</v>
      </c>
      <c r="C1591" s="1">
        <v>4.6531666696308701E-3</v>
      </c>
      <c r="D1591" s="7">
        <v>4.32885505326265E-2</v>
      </c>
      <c r="E1591" s="1" t="s">
        <v>2760</v>
      </c>
      <c r="F1591" s="1" t="s">
        <v>2761</v>
      </c>
      <c r="G1591" s="1">
        <v>19652</v>
      </c>
      <c r="H1591" s="6" t="str">
        <f>HYPERLINK("http://www.ensembl.org/Mus_musculus/Gene/Summary?db=core;g=ENSMUSG00000031167","ENSMUSG00000031167")</f>
        <v>ENSMUSG00000031167</v>
      </c>
      <c r="I1591" s="6" t="str">
        <f>HYPERLINK("http://www.informatics.jax.org/marker/MGI:1099460","MGI:1099460")</f>
        <v>MGI:1099460</v>
      </c>
      <c r="J1591" s="7" t="s">
        <v>12</v>
      </c>
    </row>
    <row r="1592" spans="1:10" x14ac:dyDescent="0.2">
      <c r="A1592" s="3">
        <v>770.24469420422599</v>
      </c>
      <c r="B1592" s="1">
        <v>0.20867904375697199</v>
      </c>
      <c r="C1592" s="1">
        <v>4.6656646290482101E-3</v>
      </c>
      <c r="D1592" s="7">
        <v>4.3377434683693698E-2</v>
      </c>
      <c r="E1592" s="1" t="s">
        <v>2658</v>
      </c>
      <c r="F1592" s="1" t="s">
        <v>2659</v>
      </c>
      <c r="G1592" s="1">
        <v>320720</v>
      </c>
      <c r="H1592" s="6" t="str">
        <f>HYPERLINK("http://www.ensembl.org/Mus_musculus/Gene/Summary?db=core;g=ENSMUSG00000027086","ENSMUSG00000027086")</f>
        <v>ENSMUSG00000027086</v>
      </c>
      <c r="I1592" s="6" t="str">
        <f>HYPERLINK("http://www.informatics.jax.org/marker/MGI:2444596","MGI:2444596")</f>
        <v>MGI:2444596</v>
      </c>
      <c r="J1592" s="7" t="s">
        <v>12</v>
      </c>
    </row>
    <row r="1593" spans="1:10" x14ac:dyDescent="0.2">
      <c r="A1593" s="3">
        <v>450.26064736328402</v>
      </c>
      <c r="B1593" s="1">
        <v>0.25404201898413298</v>
      </c>
      <c r="C1593" s="1">
        <v>4.6751382283438002E-3</v>
      </c>
      <c r="D1593" s="7">
        <v>4.3400591846959602E-2</v>
      </c>
      <c r="E1593" s="1" t="s">
        <v>2884</v>
      </c>
      <c r="F1593" s="1" t="s">
        <v>2885</v>
      </c>
      <c r="G1593" s="1">
        <v>68001</v>
      </c>
      <c r="H1593" s="6" t="str">
        <f>HYPERLINK("http://www.ensembl.org/Mus_musculus/Gene/Summary?db=core;g=ENSMUSG00000022972","ENSMUSG00000022972")</f>
        <v>ENSMUSG00000022972</v>
      </c>
      <c r="I1593" s="6" t="str">
        <f>HYPERLINK("http://www.informatics.jax.org/marker/MGI:1915251","MGI:1915251")</f>
        <v>MGI:1915251</v>
      </c>
      <c r="J1593" s="7" t="s">
        <v>12</v>
      </c>
    </row>
    <row r="1594" spans="1:10" x14ac:dyDescent="0.2">
      <c r="A1594" s="3">
        <v>257.17907174340098</v>
      </c>
      <c r="B1594" s="1">
        <v>0.25722850562708199</v>
      </c>
      <c r="C1594" s="1">
        <v>4.6765834155540597E-3</v>
      </c>
      <c r="D1594" s="7">
        <v>4.3400591846959602E-2</v>
      </c>
      <c r="E1594" s="1" t="s">
        <v>2890</v>
      </c>
      <c r="F1594" s="1" t="s">
        <v>2891</v>
      </c>
      <c r="G1594" s="1">
        <v>75597</v>
      </c>
      <c r="H1594" s="6" t="str">
        <f>HYPERLINK("http://www.ensembl.org/Mus_musculus/Gene/Summary?db=core;g=ENSMUSG00000068184","ENSMUSG00000068184")</f>
        <v>ENSMUSG00000068184</v>
      </c>
      <c r="I1594" s="6" t="str">
        <f>HYPERLINK("http://www.informatics.jax.org/marker/MGI:1922847","MGI:1922847")</f>
        <v>MGI:1922847</v>
      </c>
      <c r="J1594" s="7" t="s">
        <v>12</v>
      </c>
    </row>
    <row r="1595" spans="1:10" x14ac:dyDescent="0.2">
      <c r="A1595" s="3">
        <v>448.37325524185297</v>
      </c>
      <c r="B1595" s="1">
        <v>0.29168667114017499</v>
      </c>
      <c r="C1595" s="1">
        <v>4.6769910323678004E-3</v>
      </c>
      <c r="D1595" s="7">
        <v>4.3400591846959602E-2</v>
      </c>
      <c r="E1595" s="1" t="s">
        <v>2988</v>
      </c>
      <c r="F1595" s="1" t="s">
        <v>2989</v>
      </c>
      <c r="G1595" s="1">
        <v>12952</v>
      </c>
      <c r="H1595" s="6" t="str">
        <f>HYPERLINK("http://www.ensembl.org/Mus_musculus/Gene/Summary?db=core;g=ENSMUSG00000020038","ENSMUSG00000020038")</f>
        <v>ENSMUSG00000020038</v>
      </c>
      <c r="I1595" s="6" t="str">
        <f>HYPERLINK("http://www.informatics.jax.org/marker/MGI:1270841","MGI:1270841")</f>
        <v>MGI:1270841</v>
      </c>
      <c r="J1595" s="7" t="s">
        <v>12</v>
      </c>
    </row>
    <row r="1596" spans="1:10" x14ac:dyDescent="0.2">
      <c r="A1596" s="3">
        <v>2937.8609491295201</v>
      </c>
      <c r="B1596" s="1">
        <v>0.133061114445472</v>
      </c>
      <c r="C1596" s="1">
        <v>4.6832303723043202E-3</v>
      </c>
      <c r="D1596" s="7">
        <v>4.3431140822074603E-2</v>
      </c>
      <c r="E1596" s="1" t="s">
        <v>2250</v>
      </c>
      <c r="F1596" s="1" t="s">
        <v>2251</v>
      </c>
      <c r="G1596" s="1">
        <v>75416</v>
      </c>
      <c r="H1596" s="6" t="str">
        <f>HYPERLINK("http://www.ensembl.org/Mus_musculus/Gene/Summary?db=core;g=ENSMUSG00000036693","ENSMUSG00000036693")</f>
        <v>ENSMUSG00000036693</v>
      </c>
      <c r="I1596" s="6" t="str">
        <f>HYPERLINK("http://www.informatics.jax.org/marker/MGI:1922666","MGI:1922666")</f>
        <v>MGI:1922666</v>
      </c>
      <c r="J1596" s="7" t="s">
        <v>12</v>
      </c>
    </row>
    <row r="1597" spans="1:10" x14ac:dyDescent="0.2">
      <c r="A1597" s="3">
        <v>998.23847062090704</v>
      </c>
      <c r="B1597" s="1">
        <v>0.15819579054469801</v>
      </c>
      <c r="C1597" s="1">
        <v>4.6930683171525003E-3</v>
      </c>
      <c r="D1597" s="7">
        <v>4.3495002969534201E-2</v>
      </c>
      <c r="E1597" s="1" t="s">
        <v>2356</v>
      </c>
      <c r="F1597" s="1" t="s">
        <v>2357</v>
      </c>
      <c r="G1597" s="1">
        <v>77591</v>
      </c>
      <c r="H1597" s="6" t="str">
        <f>HYPERLINK("http://www.ensembl.org/Mus_musculus/Gene/Summary?db=core;g=ENSMUSG00000053289","ENSMUSG00000053289")</f>
        <v>ENSMUSG00000053289</v>
      </c>
      <c r="I1597" s="6" t="str">
        <f>HYPERLINK("http://www.informatics.jax.org/marker/MGI:1924841","MGI:1924841")</f>
        <v>MGI:1924841</v>
      </c>
      <c r="J1597" s="7" t="s">
        <v>12</v>
      </c>
    </row>
    <row r="1598" spans="1:10" x14ac:dyDescent="0.2">
      <c r="A1598" s="3">
        <v>10788.853809799901</v>
      </c>
      <c r="B1598" s="1">
        <v>0.13566535736389501</v>
      </c>
      <c r="C1598" s="1">
        <v>4.7275745740922E-3</v>
      </c>
      <c r="D1598" s="7">
        <v>4.3787265194106001E-2</v>
      </c>
      <c r="E1598" s="1" t="s">
        <v>2256</v>
      </c>
      <c r="F1598" s="1" t="s">
        <v>2257</v>
      </c>
      <c r="G1598" s="1">
        <v>22627</v>
      </c>
      <c r="H1598" s="6" t="str">
        <f>HYPERLINK("http://www.ensembl.org/Mus_musculus/Gene/Summary?db=core;g=ENSMUSG00000020849","ENSMUSG00000020849")</f>
        <v>ENSMUSG00000020849</v>
      </c>
      <c r="I1598" s="6" t="str">
        <f>HYPERLINK("http://www.informatics.jax.org/marker/MGI:894689","MGI:894689")</f>
        <v>MGI:894689</v>
      </c>
      <c r="J1598" s="7" t="s">
        <v>12</v>
      </c>
    </row>
    <row r="1599" spans="1:10" x14ac:dyDescent="0.2">
      <c r="A1599" s="3">
        <v>817.53323105949801</v>
      </c>
      <c r="B1599" s="1">
        <v>-0.17023046164475</v>
      </c>
      <c r="C1599" s="1">
        <v>4.7310090626069496E-3</v>
      </c>
      <c r="D1599" s="7">
        <v>4.3791551222723601E-2</v>
      </c>
      <c r="E1599" s="1" t="s">
        <v>2056</v>
      </c>
      <c r="F1599" s="1" t="s">
        <v>2057</v>
      </c>
      <c r="G1599" s="1">
        <v>64898</v>
      </c>
      <c r="H1599" s="6" t="str">
        <f>HYPERLINK("http://www.ensembl.org/Mus_musculus/Gene/Summary?db=core;g=ENSMUSG00000024052","ENSMUSG00000024052")</f>
        <v>ENSMUSG00000024052</v>
      </c>
      <c r="I1599" s="6" t="str">
        <f>HYPERLINK("http://www.informatics.jax.org/marker/MGI:1891341","MGI:1891341")</f>
        <v>MGI:1891341</v>
      </c>
      <c r="J1599" s="7" t="s">
        <v>12</v>
      </c>
    </row>
    <row r="1600" spans="1:10" x14ac:dyDescent="0.2">
      <c r="A1600" s="3">
        <v>985.24175467022405</v>
      </c>
      <c r="B1600" s="1">
        <v>0.172192793004283</v>
      </c>
      <c r="C1600" s="1">
        <v>4.7529011885944199E-3</v>
      </c>
      <c r="D1600" s="7">
        <v>4.3966573706922397E-2</v>
      </c>
      <c r="E1600" s="1" t="s">
        <v>2436</v>
      </c>
      <c r="F1600" s="1" t="s">
        <v>2437</v>
      </c>
      <c r="G1600" s="1">
        <v>140499</v>
      </c>
      <c r="H1600" s="6" t="str">
        <f>HYPERLINK("http://www.ensembl.org/Mus_musculus/Gene/Summary?db=core;g=ENSMUSG00000023286","ENSMUSG00000023286")</f>
        <v>ENSMUSG00000023286</v>
      </c>
      <c r="I1600" s="6" t="str">
        <f>HYPERLINK("http://www.informatics.jax.org/marker/MGI:2153608","MGI:2153608")</f>
        <v>MGI:2153608</v>
      </c>
      <c r="J1600" s="7" t="s">
        <v>12</v>
      </c>
    </row>
    <row r="1601" spans="1:10" x14ac:dyDescent="0.2">
      <c r="A1601" s="3">
        <v>250.06205551160599</v>
      </c>
      <c r="B1601" s="1">
        <v>-0.24510936206108899</v>
      </c>
      <c r="C1601" s="1">
        <v>4.7705514009181403E-3</v>
      </c>
      <c r="D1601" s="7">
        <v>4.4102161508111498E-2</v>
      </c>
      <c r="E1601" s="1" t="s">
        <v>1688</v>
      </c>
      <c r="F1601" s="1" t="s">
        <v>1689</v>
      </c>
      <c r="G1601" s="1">
        <v>213452</v>
      </c>
      <c r="H1601" s="6" t="str">
        <f>HYPERLINK("http://www.ensembl.org/Mus_musculus/Gene/Summary?db=core;g=ENSMUSG00000042046","ENSMUSG00000042046")</f>
        <v>ENSMUSG00000042046</v>
      </c>
      <c r="I1601" s="6" t="str">
        <f>HYPERLINK("http://www.informatics.jax.org/marker/MGI:1925064","MGI:1925064")</f>
        <v>MGI:1925064</v>
      </c>
      <c r="J1601" s="7" t="s">
        <v>12</v>
      </c>
    </row>
    <row r="1602" spans="1:10" x14ac:dyDescent="0.2">
      <c r="A1602" s="3">
        <v>4040.8866217334999</v>
      </c>
      <c r="B1602" s="1">
        <v>0.102178081835443</v>
      </c>
      <c r="C1602" s="1">
        <v>4.7747026588704396E-3</v>
      </c>
      <c r="D1602" s="7">
        <v>4.4112864188786703E-2</v>
      </c>
      <c r="E1602" s="1" t="s">
        <v>2190</v>
      </c>
      <c r="F1602" s="1" t="s">
        <v>2191</v>
      </c>
      <c r="G1602" s="1">
        <v>56307</v>
      </c>
      <c r="H1602" s="6" t="str">
        <f>HYPERLINK("http://www.ensembl.org/Mus_musculus/Gene/Summary?db=core;g=ENSMUSG00000036112","ENSMUSG00000036112")</f>
        <v>ENSMUSG00000036112</v>
      </c>
      <c r="I1602" s="6" t="str">
        <f>HYPERLINK("http://www.informatics.jax.org/marker/MGI:1929701","MGI:1929701")</f>
        <v>MGI:1929701</v>
      </c>
      <c r="J1602" s="7" t="s">
        <v>12</v>
      </c>
    </row>
    <row r="1603" spans="1:10" x14ac:dyDescent="0.2">
      <c r="A1603" s="3">
        <v>26.915737193695598</v>
      </c>
      <c r="B1603" s="1">
        <v>-1.0187241822970501</v>
      </c>
      <c r="C1603" s="1">
        <v>4.7845229572369098E-3</v>
      </c>
      <c r="D1603" s="7">
        <v>4.4175896176593399E-2</v>
      </c>
      <c r="E1603" s="1" t="s">
        <v>335</v>
      </c>
      <c r="F1603" s="1" t="s">
        <v>336</v>
      </c>
      <c r="G1603" s="1">
        <v>100042856</v>
      </c>
      <c r="H1603" s="6" t="str">
        <f>HYPERLINK("http://www.ensembl.org/Mus_musculus/Gene/Summary?db=core;g=ENSMUSG00000078606","ENSMUSG00000078606")</f>
        <v>ENSMUSG00000078606</v>
      </c>
      <c r="I1603" s="6" t="str">
        <f>HYPERLINK("http://www.informatics.jax.org/marker/MGI:3782245","MGI:3782245")</f>
        <v>MGI:3782245</v>
      </c>
      <c r="J1603" s="7" t="s">
        <v>12</v>
      </c>
    </row>
    <row r="1604" spans="1:10" x14ac:dyDescent="0.2">
      <c r="A1604" s="3">
        <v>1319.42029124745</v>
      </c>
      <c r="B1604" s="1">
        <v>0.16915838108745199</v>
      </c>
      <c r="C1604" s="1">
        <v>4.79610592055584E-3</v>
      </c>
      <c r="D1604" s="7">
        <v>4.4227419803073098E-2</v>
      </c>
      <c r="E1604" s="1" t="s">
        <v>2420</v>
      </c>
      <c r="F1604" s="1" t="s">
        <v>2421</v>
      </c>
      <c r="G1604" s="1">
        <v>74164</v>
      </c>
      <c r="H1604" s="6" t="str">
        <f>HYPERLINK("http://www.ensembl.org/Mus_musculus/Gene/Summary?db=core;g=ENSMUSG00000028423","ENSMUSG00000028423")</f>
        <v>ENSMUSG00000028423</v>
      </c>
      <c r="I1604" s="6" t="str">
        <f>HYPERLINK("http://www.informatics.jax.org/marker/MGI:1921414","MGI:1921414")</f>
        <v>MGI:1921414</v>
      </c>
      <c r="J1604" s="7" t="s">
        <v>12</v>
      </c>
    </row>
    <row r="1605" spans="1:10" x14ac:dyDescent="0.2">
      <c r="A1605" s="3">
        <v>1072.98028000865</v>
      </c>
      <c r="B1605" s="1">
        <v>0.24612046017431699</v>
      </c>
      <c r="C1605" s="1">
        <v>4.7942607910700201E-3</v>
      </c>
      <c r="D1605" s="7">
        <v>4.4227419803073098E-2</v>
      </c>
      <c r="E1605" s="1" t="s">
        <v>2862</v>
      </c>
      <c r="F1605" s="1" t="s">
        <v>2863</v>
      </c>
      <c r="G1605" s="1">
        <v>13537</v>
      </c>
      <c r="H1605" s="6" t="str">
        <f>HYPERLINK("http://www.ensembl.org/Mus_musculus/Gene/Summary?db=core;g=ENSMUSG00000027368","ENSMUSG00000027368")</f>
        <v>ENSMUSG00000027368</v>
      </c>
      <c r="I1605" s="6" t="str">
        <f>HYPERLINK("http://www.informatics.jax.org/marker/MGI:101911","MGI:101911")</f>
        <v>MGI:101911</v>
      </c>
      <c r="J1605" s="7" t="s">
        <v>12</v>
      </c>
    </row>
    <row r="1606" spans="1:10" x14ac:dyDescent="0.2">
      <c r="A1606" s="3">
        <v>1251.2288072700501</v>
      </c>
      <c r="B1606" s="1">
        <v>0.14160561376340999</v>
      </c>
      <c r="C1606" s="1">
        <v>4.8159739669960096E-3</v>
      </c>
      <c r="D1606" s="7">
        <v>4.43615199781267E-2</v>
      </c>
      <c r="E1606" s="1" t="s">
        <v>2278</v>
      </c>
      <c r="F1606" s="1" t="s">
        <v>2279</v>
      </c>
      <c r="G1606" s="1">
        <v>101612</v>
      </c>
      <c r="H1606" s="6" t="str">
        <f>HYPERLINK("http://www.ensembl.org/Mus_musculus/Gene/Summary?db=core;g=ENSMUSG00000053801","ENSMUSG00000053801")</f>
        <v>ENSMUSG00000053801</v>
      </c>
      <c r="I1606" s="6" t="str">
        <f>HYPERLINK("http://www.informatics.jax.org/marker/MGI:2141989","MGI:2141989")</f>
        <v>MGI:2141989</v>
      </c>
      <c r="J1606" s="7" t="s">
        <v>12</v>
      </c>
    </row>
    <row r="1607" spans="1:10" x14ac:dyDescent="0.2">
      <c r="A1607" s="3">
        <v>102.861581935004</v>
      </c>
      <c r="B1607" s="1">
        <v>0.33334177006976101</v>
      </c>
      <c r="C1607" s="1">
        <v>4.8166688358443699E-3</v>
      </c>
      <c r="D1607" s="7">
        <v>4.43615199781267E-2</v>
      </c>
      <c r="E1607" s="1" t="s">
        <v>3060</v>
      </c>
      <c r="F1607" s="1" t="s">
        <v>3061</v>
      </c>
      <c r="G1607" s="1">
        <v>270152</v>
      </c>
      <c r="H1607" s="6" t="str">
        <f>HYPERLINK("http://www.ensembl.org/Mus_musculus/Gene/Summary?db=core;g=ENSMUSG00000048534","ENSMUSG00000048534")</f>
        <v>ENSMUSG00000048534</v>
      </c>
      <c r="I1607" s="6" t="str">
        <f>HYPERLINK("http://www.informatics.jax.org/marker/MGI:2685484","MGI:2685484")</f>
        <v>MGI:2685484</v>
      </c>
      <c r="J1607" s="7" t="s">
        <v>12</v>
      </c>
    </row>
    <row r="1608" spans="1:10" x14ac:dyDescent="0.2">
      <c r="A1608" s="3">
        <v>242.13325310615599</v>
      </c>
      <c r="B1608" s="1">
        <v>-0.20008033703297101</v>
      </c>
      <c r="C1608" s="1">
        <v>4.8417552916154502E-3</v>
      </c>
      <c r="D1608" s="7">
        <v>4.4536895116882198E-2</v>
      </c>
      <c r="E1608" s="1" t="s">
        <v>1908</v>
      </c>
      <c r="F1608" s="1" t="s">
        <v>1909</v>
      </c>
      <c r="G1608" s="1">
        <v>11992</v>
      </c>
      <c r="H1608" s="6" t="str">
        <f>HYPERLINK("http://www.ensembl.org/Mus_musculus/Gene/Summary?db=core;g=ENSMUSG00000021460","ENSMUSG00000021460")</f>
        <v>ENSMUSG00000021460</v>
      </c>
      <c r="I1608" s="6" t="str">
        <f>HYPERLINK("http://www.informatics.jax.org/marker/MGI:1338011","MGI:1338011")</f>
        <v>MGI:1338011</v>
      </c>
      <c r="J1608" s="7" t="s">
        <v>12</v>
      </c>
    </row>
    <row r="1609" spans="1:10" x14ac:dyDescent="0.2">
      <c r="A1609" s="3">
        <v>321.13537693580099</v>
      </c>
      <c r="B1609" s="1">
        <v>0.234971690562955</v>
      </c>
      <c r="C1609" s="1">
        <v>4.8394924774943201E-3</v>
      </c>
      <c r="D1609" s="7">
        <v>4.4536895116882198E-2</v>
      </c>
      <c r="E1609" s="1" t="s">
        <v>2816</v>
      </c>
      <c r="F1609" s="1" t="s">
        <v>2817</v>
      </c>
      <c r="G1609" s="1">
        <v>72400</v>
      </c>
      <c r="H1609" s="6" t="str">
        <f>HYPERLINK("http://www.ensembl.org/Mus_musculus/Gene/Summary?db=core;g=ENSMUSG00000021958","ENSMUSG00000021958")</f>
        <v>ENSMUSG00000021958</v>
      </c>
      <c r="I1609" s="6" t="str">
        <f>HYPERLINK("http://www.informatics.jax.org/marker/MGI:1919650","MGI:1919650")</f>
        <v>MGI:1919650</v>
      </c>
      <c r="J1609" s="7" t="s">
        <v>12</v>
      </c>
    </row>
    <row r="1610" spans="1:10" x14ac:dyDescent="0.2">
      <c r="A1610" s="3">
        <v>241.92229266315701</v>
      </c>
      <c r="B1610" s="1">
        <v>-0.41911692306632498</v>
      </c>
      <c r="C1610" s="1">
        <v>4.8476883672084001E-3</v>
      </c>
      <c r="D1610" s="7">
        <v>4.4563653012590701E-2</v>
      </c>
      <c r="E1610" s="1" t="s">
        <v>1051</v>
      </c>
      <c r="F1610" s="1" t="s">
        <v>1052</v>
      </c>
      <c r="G1610" s="1">
        <v>14605</v>
      </c>
      <c r="H1610" s="6" t="str">
        <f>HYPERLINK("http://www.ensembl.org/Mus_musculus/Gene/Summary?db=core;g=ENSMUSG00000031431","ENSMUSG00000031431")</f>
        <v>ENSMUSG00000031431</v>
      </c>
      <c r="I1610" s="6" t="str">
        <f>HYPERLINK("http://www.informatics.jax.org/marker/MGI:1196284","MGI:1196284")</f>
        <v>MGI:1196284</v>
      </c>
      <c r="J1610" s="7" t="s">
        <v>12</v>
      </c>
    </row>
    <row r="1611" spans="1:10" x14ac:dyDescent="0.2">
      <c r="A1611" s="3">
        <v>921.52286998903003</v>
      </c>
      <c r="B1611" s="1">
        <v>-0.19722679570707799</v>
      </c>
      <c r="C1611" s="1">
        <v>4.8557760170054301E-3</v>
      </c>
      <c r="D1611" s="7">
        <v>4.4610171687401501E-2</v>
      </c>
      <c r="E1611" s="1" t="s">
        <v>1928</v>
      </c>
      <c r="F1611" s="1" t="s">
        <v>1929</v>
      </c>
      <c r="G1611" s="1">
        <v>229473</v>
      </c>
      <c r="H1611" s="6" t="str">
        <f>HYPERLINK("http://www.ensembl.org/Mus_musculus/Gene/Summary?db=core;g=ENSMUSG00000033767","ENSMUSG00000033767")</f>
        <v>ENSMUSG00000033767</v>
      </c>
      <c r="I1611" s="6" t="str">
        <f>HYPERLINK("http://www.informatics.jax.org/marker/MGI:2443399","MGI:2443399")</f>
        <v>MGI:2443399</v>
      </c>
      <c r="J1611" s="7" t="s">
        <v>12</v>
      </c>
    </row>
    <row r="1612" spans="1:10" x14ac:dyDescent="0.2">
      <c r="A1612" s="3">
        <v>101.870850977245</v>
      </c>
      <c r="B1612" s="1">
        <v>0.37660070419988001</v>
      </c>
      <c r="C1612" s="1">
        <v>4.8592375441986503E-3</v>
      </c>
      <c r="D1612" s="7">
        <v>4.4614158536642502E-2</v>
      </c>
      <c r="E1612" s="1" t="s">
        <v>3124</v>
      </c>
      <c r="F1612" s="1" t="s">
        <v>3125</v>
      </c>
      <c r="G1612" s="1">
        <v>15394</v>
      </c>
      <c r="H1612" s="6" t="str">
        <f>HYPERLINK("http://www.ensembl.org/Mus_musculus/Gene/Summary?db=core;g=ENSMUSG00000029844","ENSMUSG00000029844")</f>
        <v>ENSMUSG00000029844</v>
      </c>
      <c r="I1612" s="6" t="str">
        <f>HYPERLINK("http://www.informatics.jax.org/marker/MGI:96170","MGI:96170")</f>
        <v>MGI:96170</v>
      </c>
      <c r="J1612" s="7" t="s">
        <v>12</v>
      </c>
    </row>
    <row r="1613" spans="1:10" x14ac:dyDescent="0.2">
      <c r="A1613" s="3">
        <v>1166.81065178928</v>
      </c>
      <c r="B1613" s="1">
        <v>-0.13012650969057499</v>
      </c>
      <c r="C1613" s="1">
        <v>4.8634292429286302E-3</v>
      </c>
      <c r="D1613" s="7">
        <v>4.462484017671E-2</v>
      </c>
      <c r="E1613" s="1" t="s">
        <v>2150</v>
      </c>
      <c r="F1613" s="1" t="s">
        <v>2151</v>
      </c>
      <c r="G1613" s="1">
        <v>227800</v>
      </c>
      <c r="H1613" s="6" t="str">
        <f>HYPERLINK("http://www.ensembl.org/Mus_musculus/Gene/Summary?db=core;g=ENSMUSG00000035437","ENSMUSG00000035437")</f>
        <v>ENSMUSG00000035437</v>
      </c>
      <c r="I1613" s="6" t="str">
        <f>HYPERLINK("http://www.informatics.jax.org/marker/MGI:2385139","MGI:2385139")</f>
        <v>MGI:2385139</v>
      </c>
      <c r="J1613" s="7" t="s">
        <v>12</v>
      </c>
    </row>
    <row r="1614" spans="1:10" x14ac:dyDescent="0.2">
      <c r="A1614" s="3">
        <v>37.094819471677702</v>
      </c>
      <c r="B1614" s="1">
        <v>-0.94103291919242105</v>
      </c>
      <c r="C1614" s="1">
        <v>4.8710732514350196E-3</v>
      </c>
      <c r="D1614" s="7">
        <v>4.4639387707180601E-2</v>
      </c>
      <c r="E1614" s="1" t="s">
        <v>379</v>
      </c>
      <c r="F1614" s="1" t="s">
        <v>380</v>
      </c>
      <c r="G1614" s="1">
        <v>17387</v>
      </c>
      <c r="H1614" s="6" t="str">
        <f>HYPERLINK("http://www.ensembl.org/Mus_musculus/Gene/Summary?db=core;g=ENSMUSG00000000957","ENSMUSG00000000957")</f>
        <v>ENSMUSG00000000957</v>
      </c>
      <c r="I1614" s="6" t="str">
        <f>HYPERLINK("http://www.informatics.jax.org/marker/MGI:101900","MGI:101900")</f>
        <v>MGI:101900</v>
      </c>
      <c r="J1614" s="7" t="s">
        <v>12</v>
      </c>
    </row>
    <row r="1615" spans="1:10" x14ac:dyDescent="0.2">
      <c r="A1615" s="3">
        <v>4753.8819711527904</v>
      </c>
      <c r="B1615" s="1">
        <v>-0.125168793937599</v>
      </c>
      <c r="C1615" s="1">
        <v>4.87054967298871E-3</v>
      </c>
      <c r="D1615" s="7">
        <v>4.4639387707180601E-2</v>
      </c>
      <c r="E1615" s="1" t="s">
        <v>2158</v>
      </c>
      <c r="F1615" s="1" t="s">
        <v>2159</v>
      </c>
      <c r="G1615" s="1">
        <v>68066</v>
      </c>
      <c r="H1615" s="6" t="str">
        <f>HYPERLINK("http://www.ensembl.org/Mus_musculus/Gene/Summary?db=core;g=ENSMUSG00000018677","ENSMUSG00000018677")</f>
        <v>ENSMUSG00000018677</v>
      </c>
      <c r="I1615" s="6" t="str">
        <f>HYPERLINK("http://www.informatics.jax.org/marker/MGI:1196386","MGI:1196386")</f>
        <v>MGI:1196386</v>
      </c>
      <c r="J1615" s="7" t="s">
        <v>12</v>
      </c>
    </row>
    <row r="1616" spans="1:10" x14ac:dyDescent="0.2">
      <c r="A1616" s="3">
        <v>1451.20759120454</v>
      </c>
      <c r="B1616" s="1">
        <v>-0.26333973089851598</v>
      </c>
      <c r="C1616" s="1">
        <v>4.8974651561409996E-3</v>
      </c>
      <c r="D1616" s="7">
        <v>4.4825494745896699E-2</v>
      </c>
      <c r="E1616" s="1" t="s">
        <v>1608</v>
      </c>
      <c r="F1616" s="1" t="s">
        <v>1609</v>
      </c>
      <c r="G1616" s="1">
        <v>50918</v>
      </c>
      <c r="H1616" s="6" t="str">
        <f>HYPERLINK("http://www.ensembl.org/Mus_musculus/Gene/Summary?db=core;g=ENSMUSG00000068566","ENSMUSG00000068566")</f>
        <v>ENSMUSG00000068566</v>
      </c>
      <c r="I1616" s="6" t="str">
        <f>HYPERLINK("http://www.informatics.jax.org/marker/MGI:1355332","MGI:1355332")</f>
        <v>MGI:1355332</v>
      </c>
      <c r="J1616" s="7" t="s">
        <v>12</v>
      </c>
    </row>
    <row r="1617" spans="1:10" x14ac:dyDescent="0.2">
      <c r="A1617" s="3">
        <v>3590.2106259730299</v>
      </c>
      <c r="B1617" s="1">
        <v>0.109225987552513</v>
      </c>
      <c r="C1617" s="1">
        <v>4.8960992920424103E-3</v>
      </c>
      <c r="D1617" s="7">
        <v>4.4825494745896699E-2</v>
      </c>
      <c r="E1617" s="1" t="s">
        <v>2196</v>
      </c>
      <c r="F1617" s="1" t="s">
        <v>2197</v>
      </c>
      <c r="G1617" s="1">
        <v>17187</v>
      </c>
      <c r="H1617" s="6" t="str">
        <f>HYPERLINK("http://www.ensembl.org/Mus_musculus/Gene/Summary?db=core;g=ENSMUSG00000059436","ENSMUSG00000059436")</f>
        <v>ENSMUSG00000059436</v>
      </c>
      <c r="I1617" s="6" t="str">
        <f>HYPERLINK("http://www.informatics.jax.org/marker/MGI:96921","MGI:96921")</f>
        <v>MGI:96921</v>
      </c>
      <c r="J1617" s="7" t="s">
        <v>12</v>
      </c>
    </row>
    <row r="1618" spans="1:10" x14ac:dyDescent="0.2">
      <c r="A1618" s="3">
        <v>217.610352737814</v>
      </c>
      <c r="B1618" s="1">
        <v>-0.97324837176352097</v>
      </c>
      <c r="C1618" s="1">
        <v>4.9010502335701698E-3</v>
      </c>
      <c r="D1618" s="7">
        <v>4.4830463216567397E-2</v>
      </c>
      <c r="E1618" s="1" t="s">
        <v>355</v>
      </c>
      <c r="F1618" s="1" t="s">
        <v>356</v>
      </c>
      <c r="G1618" s="1">
        <v>232413</v>
      </c>
      <c r="H1618" s="6" t="str">
        <f>HYPERLINK("http://www.ensembl.org/Mus_musculus/Gene/Summary?db=core;g=ENSMUSG00000053063","ENSMUSG00000053063")</f>
        <v>ENSMUSG00000053063</v>
      </c>
      <c r="I1618" s="6" t="str">
        <f>HYPERLINK("http://www.informatics.jax.org/marker/MGI:3040968","MGI:3040968")</f>
        <v>MGI:3040968</v>
      </c>
      <c r="J1618" s="7" t="s">
        <v>12</v>
      </c>
    </row>
    <row r="1619" spans="1:10" x14ac:dyDescent="0.2">
      <c r="A1619" s="3">
        <v>149.44529971332099</v>
      </c>
      <c r="B1619" s="1">
        <v>-0.76328390135792301</v>
      </c>
      <c r="C1619" s="1">
        <v>4.9042462916488103E-3</v>
      </c>
      <c r="D1619" s="7">
        <v>4.4831869326139501E-2</v>
      </c>
      <c r="E1619" s="1" t="s">
        <v>512</v>
      </c>
      <c r="F1619" s="1" t="s">
        <v>513</v>
      </c>
      <c r="G1619" s="1">
        <v>16912</v>
      </c>
      <c r="H1619" s="6" t="str">
        <f>HYPERLINK("http://www.ensembl.org/Mus_musculus/Gene/Summary?db=core;g=ENSMUSG00000096727","ENSMUSG00000096727")</f>
        <v>ENSMUSG00000096727</v>
      </c>
      <c r="I1619" s="6" t="str">
        <f>HYPERLINK("http://www.informatics.jax.org/marker/MGI:1346526","MGI:1346526")</f>
        <v>MGI:1346526</v>
      </c>
      <c r="J1619" s="7" t="s">
        <v>12</v>
      </c>
    </row>
    <row r="1620" spans="1:10" x14ac:dyDescent="0.2">
      <c r="A1620" s="3">
        <v>5.2923877647430499</v>
      </c>
      <c r="B1620" s="1">
        <v>-1.0932783949438301</v>
      </c>
      <c r="C1620" s="1">
        <v>4.9111842328132998E-3</v>
      </c>
      <c r="D1620" s="7">
        <v>4.48509410175729E-2</v>
      </c>
      <c r="E1620" s="1" t="s">
        <v>269</v>
      </c>
      <c r="F1620" s="1" t="s">
        <v>270</v>
      </c>
      <c r="G1620" s="1">
        <v>268451</v>
      </c>
      <c r="H1620" s="6" t="str">
        <f>HYPERLINK("http://www.ensembl.org/Mus_musculus/Gene/Summary?db=core;g=ENSMUSG00000017639","ENSMUSG00000017639")</f>
        <v>ENSMUSG00000017639</v>
      </c>
      <c r="I1620" s="6" t="str">
        <f>HYPERLINK("http://www.informatics.jax.org/marker/MGI:2442920","MGI:2442920")</f>
        <v>MGI:2442920</v>
      </c>
      <c r="J1620" s="7" t="s">
        <v>12</v>
      </c>
    </row>
    <row r="1621" spans="1:10" x14ac:dyDescent="0.2">
      <c r="A1621" s="3">
        <v>7863.0138806476498</v>
      </c>
      <c r="B1621" s="1">
        <v>0.16583237510618101</v>
      </c>
      <c r="C1621" s="1">
        <v>4.9124198427227704E-3</v>
      </c>
      <c r="D1621" s="7">
        <v>4.48509410175729E-2</v>
      </c>
      <c r="E1621" s="1" t="s">
        <v>2406</v>
      </c>
      <c r="F1621" s="1" t="s">
        <v>2407</v>
      </c>
      <c r="G1621" s="1">
        <v>238799</v>
      </c>
      <c r="H1621" s="6" t="str">
        <f>HYPERLINK("http://www.ensembl.org/Mus_musculus/Gene/Summary?db=core;g=ENSMUSG00000009470","ENSMUSG00000009470")</f>
        <v>ENSMUSG00000009470</v>
      </c>
      <c r="I1621" s="6" t="str">
        <f>HYPERLINK("http://www.informatics.jax.org/marker/MGI:2681523","MGI:2681523")</f>
        <v>MGI:2681523</v>
      </c>
      <c r="J1621" s="7" t="s">
        <v>12</v>
      </c>
    </row>
    <row r="1622" spans="1:10" x14ac:dyDescent="0.2">
      <c r="A1622" s="3">
        <v>542.19029868231405</v>
      </c>
      <c r="B1622" s="1">
        <v>0.19930115473368201</v>
      </c>
      <c r="C1622" s="1">
        <v>4.9230621389385601E-3</v>
      </c>
      <c r="D1622" s="7">
        <v>4.4903690632082001E-2</v>
      </c>
      <c r="E1622" s="1" t="s">
        <v>2596</v>
      </c>
      <c r="F1622" s="1" t="s">
        <v>2597</v>
      </c>
      <c r="G1622" s="1">
        <v>22234</v>
      </c>
      <c r="H1622" s="6" t="str">
        <f>HYPERLINK("http://www.ensembl.org/Mus_musculus/Gene/Summary?db=core;g=ENSMUSG00000028381","ENSMUSG00000028381")</f>
        <v>ENSMUSG00000028381</v>
      </c>
      <c r="I1622" s="6" t="str">
        <f>HYPERLINK("http://www.informatics.jax.org/marker/MGI:1332243","MGI:1332243")</f>
        <v>MGI:1332243</v>
      </c>
      <c r="J1622" s="7" t="s">
        <v>12</v>
      </c>
    </row>
    <row r="1623" spans="1:10" x14ac:dyDescent="0.2">
      <c r="A1623" s="3">
        <v>325.22753581518498</v>
      </c>
      <c r="B1623" s="1">
        <v>0.22670029768094299</v>
      </c>
      <c r="C1623" s="1">
        <v>4.9242918065583903E-3</v>
      </c>
      <c r="D1623" s="7">
        <v>4.4903690632082001E-2</v>
      </c>
      <c r="E1623" s="1" t="s">
        <v>2770</v>
      </c>
      <c r="F1623" s="1" t="s">
        <v>2771</v>
      </c>
      <c r="G1623" s="1">
        <v>245622</v>
      </c>
      <c r="H1623" s="6" t="str">
        <f>HYPERLINK("http://www.ensembl.org/Mus_musculus/Gene/Summary?db=core;g=ENSMUSG00000042595","ENSMUSG00000042595")</f>
        <v>ENSMUSG00000042595</v>
      </c>
      <c r="I1623" s="6" t="str">
        <f>HYPERLINK("http://www.informatics.jax.org/marker/MGI:2384304","MGI:2384304")</f>
        <v>MGI:2384304</v>
      </c>
      <c r="J1623" s="7" t="s">
        <v>12</v>
      </c>
    </row>
    <row r="1624" spans="1:10" x14ac:dyDescent="0.2">
      <c r="A1624" s="3">
        <v>353.09259265365398</v>
      </c>
      <c r="B1624" s="1">
        <v>0.22057332882362801</v>
      </c>
      <c r="C1624" s="1">
        <v>4.9648513317747302E-3</v>
      </c>
      <c r="D1624" s="7">
        <v>4.5245546830570499E-2</v>
      </c>
      <c r="E1624" s="1" t="s">
        <v>2734</v>
      </c>
      <c r="F1624" s="1" t="s">
        <v>2735</v>
      </c>
      <c r="G1624" s="1">
        <v>66120</v>
      </c>
      <c r="H1624" s="6" t="str">
        <f>HYPERLINK("http://www.ensembl.org/Mus_musculus/Gene/Summary?db=core;g=ENSMUSG00000003355","ENSMUSG00000003355")</f>
        <v>ENSMUSG00000003355</v>
      </c>
      <c r="I1624" s="6" t="str">
        <f>HYPERLINK("http://www.informatics.jax.org/marker/MGI:1913370","MGI:1913370")</f>
        <v>MGI:1913370</v>
      </c>
      <c r="J1624" s="7" t="s">
        <v>12</v>
      </c>
    </row>
    <row r="1625" spans="1:10" x14ac:dyDescent="0.2">
      <c r="A1625" s="3">
        <v>700.58783281012495</v>
      </c>
      <c r="B1625" s="1">
        <v>-0.28864574792923903</v>
      </c>
      <c r="C1625" s="1">
        <v>4.99434247850366E-3</v>
      </c>
      <c r="D1625" s="7">
        <v>4.5486174760958002E-2</v>
      </c>
      <c r="E1625" s="1" t="s">
        <v>1512</v>
      </c>
      <c r="F1625" s="1" t="s">
        <v>1513</v>
      </c>
      <c r="G1625" s="1" t="s">
        <v>45</v>
      </c>
      <c r="H1625" s="6" t="str">
        <f>HYPERLINK("http://www.ensembl.org/Mus_musculus/Gene/Summary?db=core;g=ENSMUSG00000093701","ENSMUSG00000093701")</f>
        <v>ENSMUSG00000093701</v>
      </c>
      <c r="I1625" s="6" t="str">
        <f>HYPERLINK("http://www.informatics.jax.org/marker/MGI:5439439","MGI:5439439")</f>
        <v>MGI:5439439</v>
      </c>
      <c r="J1625" s="7" t="s">
        <v>12</v>
      </c>
    </row>
    <row r="1626" spans="1:10" x14ac:dyDescent="0.2">
      <c r="A1626" s="3">
        <v>979.18084269573603</v>
      </c>
      <c r="B1626" s="1">
        <v>-0.141434329023084</v>
      </c>
      <c r="C1626" s="1">
        <v>4.9977227690777698E-3</v>
      </c>
      <c r="D1626" s="7">
        <v>4.5488846649246399E-2</v>
      </c>
      <c r="E1626" s="1" t="s">
        <v>2138</v>
      </c>
      <c r="F1626" s="1" t="s">
        <v>2139</v>
      </c>
      <c r="G1626" s="1">
        <v>107975</v>
      </c>
      <c r="H1626" s="6" t="str">
        <f>HYPERLINK("http://www.ensembl.org/Mus_musculus/Gene/Summary?db=core;g=ENSMUSG00000024855","ENSMUSG00000024855")</f>
        <v>ENSMUSG00000024855</v>
      </c>
      <c r="I1626" s="6" t="str">
        <f>HYPERLINK("http://www.informatics.jax.org/marker/MGI:1277113","MGI:1277113")</f>
        <v>MGI:1277113</v>
      </c>
      <c r="J1626" s="7" t="s">
        <v>12</v>
      </c>
    </row>
    <row r="1627" spans="1:10" x14ac:dyDescent="0.2">
      <c r="A1627" s="3">
        <v>135.121494976478</v>
      </c>
      <c r="B1627" s="1">
        <v>-0.30955578346641999</v>
      </c>
      <c r="C1627" s="1">
        <v>5.0586980792050101E-3</v>
      </c>
      <c r="D1627" s="7">
        <v>4.5987029546678E-2</v>
      </c>
      <c r="E1627" s="1" t="s">
        <v>1402</v>
      </c>
      <c r="F1627" s="1" t="s">
        <v>1403</v>
      </c>
      <c r="G1627" s="1" t="s">
        <v>45</v>
      </c>
      <c r="H1627" s="6" t="str">
        <f>HYPERLINK("http://www.ensembl.org/Mus_musculus/Gene/Summary?db=core;g=ENSMUSG00000072847","ENSMUSG00000072847")</f>
        <v>ENSMUSG00000072847</v>
      </c>
      <c r="I1627" s="6" t="str">
        <f>HYPERLINK("http://www.informatics.jax.org/marker/MGI:2144320","MGI:2144320")</f>
        <v>MGI:2144320</v>
      </c>
      <c r="J1627" s="7" t="s">
        <v>95</v>
      </c>
    </row>
    <row r="1628" spans="1:10" x14ac:dyDescent="0.2">
      <c r="A1628" s="3">
        <v>272.56651607288001</v>
      </c>
      <c r="B1628" s="1">
        <v>-0.26875020126790999</v>
      </c>
      <c r="C1628" s="1">
        <v>5.0574857948707704E-3</v>
      </c>
      <c r="D1628" s="7">
        <v>4.5987029546678E-2</v>
      </c>
      <c r="E1628" s="1" t="s">
        <v>1580</v>
      </c>
      <c r="F1628" s="1" t="s">
        <v>1581</v>
      </c>
      <c r="G1628" s="1">
        <v>22346</v>
      </c>
      <c r="H1628" s="6" t="str">
        <f>HYPERLINK("http://www.ensembl.org/Mus_musculus/Gene/Summary?db=core;g=ENSMUSG00000033933","ENSMUSG00000033933")</f>
        <v>ENSMUSG00000033933</v>
      </c>
      <c r="I1628" s="6" t="str">
        <f>HYPERLINK("http://www.informatics.jax.org/marker/MGI:103223","MGI:103223")</f>
        <v>MGI:103223</v>
      </c>
      <c r="J1628" s="7" t="s">
        <v>12</v>
      </c>
    </row>
    <row r="1629" spans="1:10" x14ac:dyDescent="0.2">
      <c r="A1629" s="3">
        <v>1232.3513519968801</v>
      </c>
      <c r="B1629" s="1">
        <v>-0.18937728146413499</v>
      </c>
      <c r="C1629" s="1">
        <v>5.0619064841886802E-3</v>
      </c>
      <c r="D1629" s="7">
        <v>4.59878261103603E-2</v>
      </c>
      <c r="E1629" s="1" t="s">
        <v>1966</v>
      </c>
      <c r="F1629" s="1" t="s">
        <v>1967</v>
      </c>
      <c r="G1629" s="1">
        <v>102626</v>
      </c>
      <c r="H1629" s="6" t="str">
        <f>HYPERLINK("http://www.ensembl.org/Mus_musculus/Gene/Summary?db=core;g=ENSMUSG00000032577","ENSMUSG00000032577")</f>
        <v>ENSMUSG00000032577</v>
      </c>
      <c r="I1629" s="6" t="str">
        <f>HYPERLINK("http://www.informatics.jax.org/marker/MGI:2143163","MGI:2143163")</f>
        <v>MGI:2143163</v>
      </c>
      <c r="J1629" s="7" t="s">
        <v>12</v>
      </c>
    </row>
    <row r="1630" spans="1:10" x14ac:dyDescent="0.2">
      <c r="A1630" s="3">
        <v>8.7728523945469501</v>
      </c>
      <c r="B1630" s="1">
        <v>-0.93131166240602103</v>
      </c>
      <c r="C1630" s="1">
        <v>5.0763870784920799E-3</v>
      </c>
      <c r="D1630" s="7">
        <v>4.6086860481545998E-2</v>
      </c>
      <c r="E1630" s="1" t="s">
        <v>385</v>
      </c>
      <c r="F1630" s="1" t="s">
        <v>386</v>
      </c>
      <c r="G1630" s="1" t="s">
        <v>45</v>
      </c>
      <c r="H1630" s="6" t="str">
        <f>HYPERLINK("http://www.ensembl.org/Mus_musculus/Gene/Summary?db=core;g=ENSMUSG00000085611","ENSMUSG00000085611")</f>
        <v>ENSMUSG00000085611</v>
      </c>
      <c r="I1630" s="6" t="str">
        <f>HYPERLINK("http://www.informatics.jax.org/marker/MGI:1929216","MGI:1929216")</f>
        <v>MGI:1929216</v>
      </c>
      <c r="J1630" s="7" t="s">
        <v>330</v>
      </c>
    </row>
    <row r="1631" spans="1:10" x14ac:dyDescent="0.2">
      <c r="A1631" s="3">
        <v>1598.2724828560999</v>
      </c>
      <c r="B1631" s="1">
        <v>-0.18565906345274599</v>
      </c>
      <c r="C1631" s="1">
        <v>5.0821897585852501E-3</v>
      </c>
      <c r="D1631" s="7">
        <v>4.6086860481545998E-2</v>
      </c>
      <c r="E1631" s="1" t="s">
        <v>1982</v>
      </c>
      <c r="F1631" s="1" t="s">
        <v>1983</v>
      </c>
      <c r="G1631" s="1">
        <v>59043</v>
      </c>
      <c r="H1631" s="6" t="str">
        <f>HYPERLINK("http://www.ensembl.org/Mus_musculus/Gene/Summary?db=core;g=ENSMUSG00000029364","ENSMUSG00000029364")</f>
        <v>ENSMUSG00000029364</v>
      </c>
      <c r="I1631" s="6" t="str">
        <f>HYPERLINK("http://www.informatics.jax.org/marker/MGI:2144041","MGI:2144041")</f>
        <v>MGI:2144041</v>
      </c>
      <c r="J1631" s="7" t="s">
        <v>12</v>
      </c>
    </row>
    <row r="1632" spans="1:10" x14ac:dyDescent="0.2">
      <c r="A1632" s="3">
        <v>81.964689301182901</v>
      </c>
      <c r="B1632" s="1">
        <v>0.35081306124845402</v>
      </c>
      <c r="C1632" s="1">
        <v>5.0797579377550002E-3</v>
      </c>
      <c r="D1632" s="7">
        <v>4.6086860481545998E-2</v>
      </c>
      <c r="E1632" s="1" t="s">
        <v>3094</v>
      </c>
      <c r="F1632" s="1" t="s">
        <v>3095</v>
      </c>
      <c r="G1632" s="1">
        <v>29861</v>
      </c>
      <c r="H1632" s="6" t="str">
        <f>HYPERLINK("http://www.ensembl.org/Mus_musculus/Gene/Summary?db=core;g=ENSMUSG00000030584","ENSMUSG00000030584")</f>
        <v>ENSMUSG00000030584</v>
      </c>
      <c r="I1632" s="6" t="str">
        <f>HYPERLINK("http://www.informatics.jax.org/marker/MGI:1352748","MGI:1352748")</f>
        <v>MGI:1352748</v>
      </c>
      <c r="J1632" s="7" t="s">
        <v>12</v>
      </c>
    </row>
    <row r="1633" spans="1:10" x14ac:dyDescent="0.2">
      <c r="A1633" s="3">
        <v>550.94455816764298</v>
      </c>
      <c r="B1633" s="1">
        <v>0.17094887019420399</v>
      </c>
      <c r="C1633" s="1">
        <v>5.0968723388627197E-3</v>
      </c>
      <c r="D1633" s="7">
        <v>4.6191581048881401E-2</v>
      </c>
      <c r="E1633" s="1" t="s">
        <v>2432</v>
      </c>
      <c r="F1633" s="1" t="s">
        <v>2433</v>
      </c>
      <c r="G1633" s="1">
        <v>218214</v>
      </c>
      <c r="H1633" s="6" t="str">
        <f>HYPERLINK("http://www.ensembl.org/Mus_musculus/Gene/Summary?db=core;g=ENSMUSG00000038080","ENSMUSG00000038080")</f>
        <v>ENSMUSG00000038080</v>
      </c>
      <c r="I1633" s="6" t="str">
        <f>HYPERLINK("http://www.informatics.jax.org/marker/MGI:2145261","MGI:2145261")</f>
        <v>MGI:2145261</v>
      </c>
      <c r="J1633" s="7" t="s">
        <v>12</v>
      </c>
    </row>
    <row r="1634" spans="1:10" x14ac:dyDescent="0.2">
      <c r="A1634" s="3">
        <v>1051.15050629555</v>
      </c>
      <c r="B1634" s="1">
        <v>0.19459356476471601</v>
      </c>
      <c r="C1634" s="1">
        <v>5.1169025929433901E-3</v>
      </c>
      <c r="D1634" s="7">
        <v>4.6344607627297897E-2</v>
      </c>
      <c r="E1634" s="1" t="s">
        <v>2564</v>
      </c>
      <c r="F1634" s="1" t="s">
        <v>2565</v>
      </c>
      <c r="G1634" s="1">
        <v>218832</v>
      </c>
      <c r="H1634" s="6" t="str">
        <f>HYPERLINK("http://www.ensembl.org/Mus_musculus/Gene/Summary?db=core;g=ENSMUSG00000025280","ENSMUSG00000025280")</f>
        <v>ENSMUSG00000025280</v>
      </c>
      <c r="I1634" s="6" t="str">
        <f>HYPERLINK("http://www.informatics.jax.org/marker/MGI:2681836","MGI:2681836")</f>
        <v>MGI:2681836</v>
      </c>
      <c r="J1634" s="7" t="s">
        <v>12</v>
      </c>
    </row>
    <row r="1635" spans="1:10" x14ac:dyDescent="0.2">
      <c r="A1635" s="3">
        <v>824.154634035453</v>
      </c>
      <c r="B1635" s="1">
        <v>-0.30566970720814401</v>
      </c>
      <c r="C1635" s="1">
        <v>5.1225582035446804E-3</v>
      </c>
      <c r="D1635" s="7">
        <v>4.6346723700073401E-2</v>
      </c>
      <c r="E1635" s="1" t="s">
        <v>1430</v>
      </c>
      <c r="F1635" s="1" t="s">
        <v>1431</v>
      </c>
      <c r="G1635" s="1">
        <v>12177</v>
      </c>
      <c r="H1635" s="6" t="str">
        <f>HYPERLINK("http://www.ensembl.org/Mus_musculus/Gene/Summary?db=core;g=ENSMUSG00000022051","ENSMUSG00000022051")</f>
        <v>ENSMUSG00000022051</v>
      </c>
      <c r="I1635" s="6" t="str">
        <f>HYPERLINK("http://www.informatics.jax.org/marker/MGI:1332659","MGI:1332659")</f>
        <v>MGI:1332659</v>
      </c>
      <c r="J1635" s="7" t="s">
        <v>12</v>
      </c>
    </row>
    <row r="1636" spans="1:10" x14ac:dyDescent="0.2">
      <c r="A1636" s="3">
        <v>3120.4699770400698</v>
      </c>
      <c r="B1636" s="1">
        <v>-0.15895098162980401</v>
      </c>
      <c r="C1636" s="1">
        <v>5.1234265002320497E-3</v>
      </c>
      <c r="D1636" s="7">
        <v>4.6346723700073401E-2</v>
      </c>
      <c r="E1636" s="1" t="s">
        <v>2084</v>
      </c>
      <c r="F1636" s="1" t="s">
        <v>2085</v>
      </c>
      <c r="G1636" s="1">
        <v>14218</v>
      </c>
      <c r="H1636" s="6" t="str">
        <f>HYPERLINK("http://www.ensembl.org/Mus_musculus/Gene/Summary?db=core;g=ENSMUSG00000053617","ENSMUSG00000053617")</f>
        <v>ENSMUSG00000053617</v>
      </c>
      <c r="I1636" s="6" t="str">
        <f>HYPERLINK("http://www.informatics.jax.org/marker/MGI:1298393","MGI:1298393")</f>
        <v>MGI:1298393</v>
      </c>
      <c r="J1636" s="7" t="s">
        <v>12</v>
      </c>
    </row>
    <row r="1637" spans="1:10" x14ac:dyDescent="0.2">
      <c r="A1637" s="3">
        <v>32.7693068316864</v>
      </c>
      <c r="B1637" s="1">
        <v>-0.93649004925674695</v>
      </c>
      <c r="C1637" s="1">
        <v>5.1358918542156202E-3</v>
      </c>
      <c r="D1637" s="7">
        <v>4.6423652609469498E-2</v>
      </c>
      <c r="E1637" s="1" t="s">
        <v>381</v>
      </c>
      <c r="F1637" s="1" t="s">
        <v>382</v>
      </c>
      <c r="G1637" s="1">
        <v>64450</v>
      </c>
      <c r="H1637" s="6" t="str">
        <f>HYPERLINK("http://www.ensembl.org/Mus_musculus/Gene/Summary?db=core;g=ENSMUSG00000048216","ENSMUSG00000048216")</f>
        <v>ENSMUSG00000048216</v>
      </c>
      <c r="I1637" s="6" t="str">
        <f>HYPERLINK("http://www.informatics.jax.org/marker/MGI:1927851","MGI:1927851")</f>
        <v>MGI:1927851</v>
      </c>
      <c r="J1637" s="7" t="s">
        <v>12</v>
      </c>
    </row>
    <row r="1638" spans="1:10" x14ac:dyDescent="0.2">
      <c r="A1638" s="3">
        <v>986.75790035038403</v>
      </c>
      <c r="B1638" s="1">
        <v>-0.267880728572157</v>
      </c>
      <c r="C1638" s="1">
        <v>5.1382313657739398E-3</v>
      </c>
      <c r="D1638" s="7">
        <v>4.6423652609469498E-2</v>
      </c>
      <c r="E1638" s="1" t="s">
        <v>1590</v>
      </c>
      <c r="F1638" s="1" t="s">
        <v>1591</v>
      </c>
      <c r="G1638" s="1">
        <v>234967</v>
      </c>
      <c r="H1638" s="6" t="str">
        <f>HYPERLINK("http://www.ensembl.org/Mus_musculus/Gene/Summary?db=core;g=ENSMUSG00000043885","ENSMUSG00000043885")</f>
        <v>ENSMUSG00000043885</v>
      </c>
      <c r="I1638" s="6" t="str">
        <f>HYPERLINK("http://www.informatics.jax.org/marker/MGI:2442595","MGI:2442595")</f>
        <v>MGI:2442595</v>
      </c>
      <c r="J1638" s="7" t="s">
        <v>12</v>
      </c>
    </row>
    <row r="1639" spans="1:10" x14ac:dyDescent="0.2">
      <c r="A1639" s="3">
        <v>19.950782714769499</v>
      </c>
      <c r="B1639" s="1">
        <v>-0.79327320630160802</v>
      </c>
      <c r="C1639" s="1">
        <v>5.1435990985981804E-3</v>
      </c>
      <c r="D1639" s="7">
        <v>4.6443674213812999E-2</v>
      </c>
      <c r="E1639" s="1" t="s">
        <v>482</v>
      </c>
      <c r="F1639" s="1" t="s">
        <v>483</v>
      </c>
      <c r="G1639" s="1">
        <v>216864</v>
      </c>
      <c r="H1639" s="6" t="str">
        <f>HYPERLINK("http://www.ensembl.org/Mus_musculus/Gene/Summary?db=core;g=ENSMUSG00000040950","ENSMUSG00000040950")</f>
        <v>ENSMUSG00000040950</v>
      </c>
      <c r="I1639" s="6" t="str">
        <f>HYPERLINK("http://www.informatics.jax.org/marker/MGI:2385729","MGI:2385729")</f>
        <v>MGI:2385729</v>
      </c>
      <c r="J1639" s="7" t="s">
        <v>12</v>
      </c>
    </row>
    <row r="1640" spans="1:10" x14ac:dyDescent="0.2">
      <c r="A1640" s="3">
        <v>1026.9041707337501</v>
      </c>
      <c r="B1640" s="1">
        <v>0.16400381489940999</v>
      </c>
      <c r="C1640" s="1">
        <v>5.1590699342284304E-3</v>
      </c>
      <c r="D1640" s="7">
        <v>4.6554840508750903E-2</v>
      </c>
      <c r="E1640" s="1" t="s">
        <v>2394</v>
      </c>
      <c r="F1640" s="1" t="s">
        <v>2395</v>
      </c>
      <c r="G1640" s="1">
        <v>74467</v>
      </c>
      <c r="H1640" s="6" t="str">
        <f>HYPERLINK("http://www.ensembl.org/Mus_musculus/Gene/Summary?db=core;g=ENSMUSG00000020280","ENSMUSG00000020280")</f>
        <v>ENSMUSG00000020280</v>
      </c>
      <c r="I1640" s="6" t="str">
        <f>HYPERLINK("http://www.informatics.jax.org/marker/MGI:1921717","MGI:1921717")</f>
        <v>MGI:1921717</v>
      </c>
      <c r="J1640" s="7" t="s">
        <v>12</v>
      </c>
    </row>
    <row r="1641" spans="1:10" x14ac:dyDescent="0.2">
      <c r="A1641" s="3">
        <v>2956.2139728010502</v>
      </c>
      <c r="B1641" s="1">
        <v>-0.18724801713963601</v>
      </c>
      <c r="C1641" s="1">
        <v>5.1778916048601503E-3</v>
      </c>
      <c r="D1641" s="7">
        <v>4.6696089773084003E-2</v>
      </c>
      <c r="E1641" s="1" t="s">
        <v>1978</v>
      </c>
      <c r="F1641" s="1" t="s">
        <v>1979</v>
      </c>
      <c r="G1641" s="1">
        <v>53378</v>
      </c>
      <c r="H1641" s="6" t="str">
        <f>HYPERLINK("http://www.ensembl.org/Mus_musculus/Gene/Summary?db=core;g=ENSMUSG00000028249","ENSMUSG00000028249")</f>
        <v>ENSMUSG00000028249</v>
      </c>
      <c r="I1641" s="6" t="str">
        <f>HYPERLINK("http://www.informatics.jax.org/marker/MGI:1337026","MGI:1337026")</f>
        <v>MGI:1337026</v>
      </c>
      <c r="J1641" s="7" t="s">
        <v>12</v>
      </c>
    </row>
    <row r="1642" spans="1:10" x14ac:dyDescent="0.2">
      <c r="A1642" s="3">
        <v>1828.7539699787901</v>
      </c>
      <c r="B1642" s="1">
        <v>-0.15841714868199899</v>
      </c>
      <c r="C1642" s="1">
        <v>5.1856280417100402E-3</v>
      </c>
      <c r="D1642" s="7">
        <v>4.6737256772256298E-2</v>
      </c>
      <c r="E1642" s="1" t="s">
        <v>2092</v>
      </c>
      <c r="F1642" s="1" t="s">
        <v>2093</v>
      </c>
      <c r="G1642" s="1">
        <v>80898</v>
      </c>
      <c r="H1642" s="6" t="str">
        <f>HYPERLINK("http://www.ensembl.org/Mus_musculus/Gene/Summary?db=core;g=ENSMUSG00000021583","ENSMUSG00000021583")</f>
        <v>ENSMUSG00000021583</v>
      </c>
      <c r="I1642" s="6" t="str">
        <f>HYPERLINK("http://www.informatics.jax.org/marker/MGI:1933403","MGI:1933403")</f>
        <v>MGI:1933403</v>
      </c>
      <c r="J1642" s="7" t="s">
        <v>12</v>
      </c>
    </row>
    <row r="1643" spans="1:10" x14ac:dyDescent="0.2">
      <c r="A1643" s="3">
        <v>133.23311267679</v>
      </c>
      <c r="B1643" s="1">
        <v>-0.48764668351567803</v>
      </c>
      <c r="C1643" s="1">
        <v>5.2069490678375201E-3</v>
      </c>
      <c r="D1643" s="7">
        <v>4.6900734390986298E-2</v>
      </c>
      <c r="E1643" s="1" t="s">
        <v>867</v>
      </c>
      <c r="F1643" s="1" t="s">
        <v>868</v>
      </c>
      <c r="G1643" s="1">
        <v>230766</v>
      </c>
      <c r="H1643" s="6" t="str">
        <f>HYPERLINK("http://www.ensembl.org/Mus_musculus/Gene/Summary?db=core;g=ENSMUSG00000050493","ENSMUSG00000050493")</f>
        <v>ENSMUSG00000050493</v>
      </c>
      <c r="I1643" s="6" t="str">
        <f>HYPERLINK("http://www.informatics.jax.org/marker/MGI:2668032","MGI:2668032")</f>
        <v>MGI:2668032</v>
      </c>
      <c r="J1643" s="7" t="s">
        <v>12</v>
      </c>
    </row>
    <row r="1644" spans="1:10" x14ac:dyDescent="0.2">
      <c r="A1644" s="3">
        <v>277.77508960058901</v>
      </c>
      <c r="B1644" s="1">
        <v>-0.31673223589906102</v>
      </c>
      <c r="C1644" s="1">
        <v>5.2189522721838404E-3</v>
      </c>
      <c r="D1644" s="7">
        <v>4.6951453408364499E-2</v>
      </c>
      <c r="E1644" s="1" t="s">
        <v>1362</v>
      </c>
      <c r="F1644" s="1" t="s">
        <v>1363</v>
      </c>
      <c r="G1644" s="1">
        <v>192197</v>
      </c>
      <c r="H1644" s="6" t="str">
        <f>HYPERLINK("http://www.ensembl.org/Mus_musculus/Gene/Summary?db=core;g=ENSMUSG00000059439","ENSMUSG00000059439")</f>
        <v>ENSMUSG00000059439</v>
      </c>
      <c r="I1644" s="6" t="str">
        <f>HYPERLINK("http://www.informatics.jax.org/marker/MGI:2385848","MGI:2385848")</f>
        <v>MGI:2385848</v>
      </c>
      <c r="J1644" s="7" t="s">
        <v>12</v>
      </c>
    </row>
    <row r="1645" spans="1:10" x14ac:dyDescent="0.2">
      <c r="A1645" s="3">
        <v>1077.5488544484001</v>
      </c>
      <c r="B1645" s="1">
        <v>0.16197225299523299</v>
      </c>
      <c r="C1645" s="1">
        <v>5.2167532695739397E-3</v>
      </c>
      <c r="D1645" s="7">
        <v>4.6951453408364499E-2</v>
      </c>
      <c r="E1645" s="1" t="s">
        <v>2380</v>
      </c>
      <c r="F1645" s="1" t="s">
        <v>2381</v>
      </c>
      <c r="G1645" s="1">
        <v>270086</v>
      </c>
      <c r="H1645" s="6" t="str">
        <f>HYPERLINK("http://www.ensembl.org/Mus_musculus/Gene/Summary?db=core;g=ENSMUSG00000033009","ENSMUSG00000033009")</f>
        <v>ENSMUSG00000033009</v>
      </c>
      <c r="I1645" s="6" t="str">
        <f>HYPERLINK("http://www.informatics.jax.org/marker/MGI:2442978","MGI:2442978")</f>
        <v>MGI:2442978</v>
      </c>
      <c r="J1645" s="7" t="s">
        <v>12</v>
      </c>
    </row>
    <row r="1646" spans="1:10" x14ac:dyDescent="0.2">
      <c r="A1646" s="3">
        <v>1748.03684247007</v>
      </c>
      <c r="B1646" s="1">
        <v>-0.19517122256266101</v>
      </c>
      <c r="C1646" s="1">
        <v>5.2257586214878799E-3</v>
      </c>
      <c r="D1646" s="7">
        <v>4.6984001858600001E-2</v>
      </c>
      <c r="E1646" s="1" t="s">
        <v>1938</v>
      </c>
      <c r="F1646" s="1" t="s">
        <v>1939</v>
      </c>
      <c r="G1646" s="1">
        <v>230815</v>
      </c>
      <c r="H1646" s="6" t="str">
        <f>HYPERLINK("http://www.ensembl.org/Mus_musculus/Gene/Summary?db=core;g=ENSMUSG00000037306","ENSMUSG00000037306")</f>
        <v>ENSMUSG00000037306</v>
      </c>
      <c r="I1646" s="6" t="str">
        <f>HYPERLINK("http://www.informatics.jax.org/marker/MGI:2446214","MGI:2446214")</f>
        <v>MGI:2446214</v>
      </c>
      <c r="J1646" s="7" t="s">
        <v>12</v>
      </c>
    </row>
    <row r="1647" spans="1:10" x14ac:dyDescent="0.2">
      <c r="A1647" s="3">
        <v>357.48065539669699</v>
      </c>
      <c r="B1647" s="1">
        <v>0.17393155092843701</v>
      </c>
      <c r="C1647" s="1">
        <v>5.2482687502969404E-3</v>
      </c>
      <c r="D1647" s="7">
        <v>4.7157614819741303E-2</v>
      </c>
      <c r="E1647" s="1" t="s">
        <v>2452</v>
      </c>
      <c r="F1647" s="1" t="s">
        <v>2453</v>
      </c>
      <c r="G1647" s="1">
        <v>12333</v>
      </c>
      <c r="H1647" s="6" t="str">
        <f>HYPERLINK("http://www.ensembl.org/Mus_musculus/Gene/Summary?db=core;g=ENSMUSG00000024942","ENSMUSG00000024942")</f>
        <v>ENSMUSG00000024942</v>
      </c>
      <c r="I1647" s="6" t="str">
        <f>HYPERLINK("http://www.informatics.jax.org/marker/MGI:88263","MGI:88263")</f>
        <v>MGI:88263</v>
      </c>
      <c r="J1647" s="7" t="s">
        <v>12</v>
      </c>
    </row>
    <row r="1648" spans="1:10" x14ac:dyDescent="0.2">
      <c r="A1648" s="3">
        <v>14.2880292285128</v>
      </c>
      <c r="B1648" s="1">
        <v>0.71874136618596995</v>
      </c>
      <c r="C1648" s="1">
        <v>5.2550774594631302E-3</v>
      </c>
      <c r="D1648" s="7">
        <v>4.7190019160663399E-2</v>
      </c>
      <c r="E1648" s="1" t="s">
        <v>3268</v>
      </c>
      <c r="F1648" s="1" t="s">
        <v>3269</v>
      </c>
      <c r="G1648" s="1">
        <v>12398</v>
      </c>
      <c r="H1648" s="6" t="str">
        <f>HYPERLINK("http://www.ensembl.org/Mus_musculus/Gene/Summary?db=core;g=ENSMUSG00000006362","ENSMUSG00000006362")</f>
        <v>ENSMUSG00000006362</v>
      </c>
      <c r="I1648" s="6" t="str">
        <f>HYPERLINK("http://www.informatics.jax.org/marker/MGI:1338013","MGI:1338013")</f>
        <v>MGI:1338013</v>
      </c>
      <c r="J1648" s="7" t="s">
        <v>12</v>
      </c>
    </row>
    <row r="1649" spans="1:10" x14ac:dyDescent="0.2">
      <c r="A1649" s="3">
        <v>1490.11866374945</v>
      </c>
      <c r="B1649" s="1">
        <v>-0.12234441332061401</v>
      </c>
      <c r="C1649" s="1">
        <v>5.2746994600552204E-3</v>
      </c>
      <c r="D1649" s="7">
        <v>4.73373759094846E-2</v>
      </c>
      <c r="E1649" s="1" t="s">
        <v>2162</v>
      </c>
      <c r="F1649" s="1" t="s">
        <v>2163</v>
      </c>
      <c r="G1649" s="1">
        <v>320951</v>
      </c>
      <c r="H1649" s="6" t="str">
        <f>HYPERLINK("http://www.ensembl.org/Mus_musculus/Gene/Summary?db=core;g=ENSMUSG00000023452","ENSMUSG00000023452")</f>
        <v>ENSMUSG00000023452</v>
      </c>
      <c r="I1649" s="6" t="str">
        <f>HYPERLINK("http://www.informatics.jax.org/marker/MGI:2445114","MGI:2445114")</f>
        <v>MGI:2445114</v>
      </c>
      <c r="J1649" s="7" t="s">
        <v>12</v>
      </c>
    </row>
    <row r="1650" spans="1:10" x14ac:dyDescent="0.2">
      <c r="A1650" s="3">
        <v>583.25293152553297</v>
      </c>
      <c r="B1650" s="1">
        <v>0.245839841944028</v>
      </c>
      <c r="C1650" s="1">
        <v>5.2833664694130599E-3</v>
      </c>
      <c r="D1650" s="7">
        <v>4.7386298413433302E-2</v>
      </c>
      <c r="E1650" s="1" t="s">
        <v>2858</v>
      </c>
      <c r="F1650" s="1" t="s">
        <v>2859</v>
      </c>
      <c r="G1650" s="1">
        <v>219114</v>
      </c>
      <c r="H1650" s="6" t="str">
        <f>HYPERLINK("http://www.ensembl.org/Mus_musculus/Gene/Summary?db=core;g=ENSMUSG00000021965","ENSMUSG00000021965")</f>
        <v>ENSMUSG00000021965</v>
      </c>
      <c r="I1650" s="6" t="str">
        <f>HYPERLINK("http://www.informatics.jax.org/marker/MGI:3041235","MGI:3041235")</f>
        <v>MGI:3041235</v>
      </c>
      <c r="J1650" s="7" t="s">
        <v>12</v>
      </c>
    </row>
    <row r="1651" spans="1:10" x14ac:dyDescent="0.2">
      <c r="A1651" s="3">
        <v>115.68527364967601</v>
      </c>
      <c r="B1651" s="1">
        <v>0.32843939142940098</v>
      </c>
      <c r="C1651" s="1">
        <v>5.2915690732500296E-3</v>
      </c>
      <c r="D1651" s="7">
        <v>4.7430998700372498E-2</v>
      </c>
      <c r="E1651" s="1" t="s">
        <v>3048</v>
      </c>
      <c r="F1651" s="1" t="s">
        <v>3049</v>
      </c>
      <c r="G1651" s="1">
        <v>67157</v>
      </c>
      <c r="H1651" s="6" t="str">
        <f>HYPERLINK("http://www.ensembl.org/Mus_musculus/Gene/Summary?db=core;g=ENSMUSG00000059482","ENSMUSG00000059482")</f>
        <v>ENSMUSG00000059482</v>
      </c>
      <c r="I1651" s="6" t="str">
        <f>HYPERLINK("http://www.informatics.jax.org/marker/MGI:1914407","MGI:1914407")</f>
        <v>MGI:1914407</v>
      </c>
      <c r="J1651" s="7" t="s">
        <v>12</v>
      </c>
    </row>
    <row r="1652" spans="1:10" x14ac:dyDescent="0.2">
      <c r="A1652" s="3">
        <v>174.96481974049399</v>
      </c>
      <c r="B1652" s="1">
        <v>-0.33082446466835702</v>
      </c>
      <c r="C1652" s="1">
        <v>5.2985761293084703E-3</v>
      </c>
      <c r="D1652" s="7">
        <v>4.7464934858048403E-2</v>
      </c>
      <c r="E1652" s="1" t="s">
        <v>1300</v>
      </c>
      <c r="F1652" s="1" t="s">
        <v>1301</v>
      </c>
      <c r="G1652" s="1">
        <v>212974</v>
      </c>
      <c r="H1652" s="6" t="str">
        <f>HYPERLINK("http://www.ensembl.org/Mus_musculus/Gene/Summary?db=core;g=ENSMUSG00000062031","ENSMUSG00000062031")</f>
        <v>ENSMUSG00000062031</v>
      </c>
      <c r="I1652" s="6" t="str">
        <f>HYPERLINK("http://www.informatics.jax.org/marker/MGI:2444047","MGI:2444047")</f>
        <v>MGI:2444047</v>
      </c>
      <c r="J1652" s="7" t="s">
        <v>12</v>
      </c>
    </row>
    <row r="1653" spans="1:10" x14ac:dyDescent="0.2">
      <c r="A1653" s="3">
        <v>6421.8490654657799</v>
      </c>
      <c r="B1653" s="1">
        <v>0.10298320444194201</v>
      </c>
      <c r="C1653" s="1">
        <v>5.3296740894511899E-3</v>
      </c>
      <c r="D1653" s="7">
        <v>4.7714506307504699E-2</v>
      </c>
      <c r="E1653" s="1" t="s">
        <v>2192</v>
      </c>
      <c r="F1653" s="1" t="s">
        <v>2193</v>
      </c>
      <c r="G1653" s="1">
        <v>101943</v>
      </c>
      <c r="H1653" s="6" t="str">
        <f>HYPERLINK("http://www.ensembl.org/Mus_musculus/Gene/Summary?db=core;g=ENSMUSG00000033732","ENSMUSG00000033732")</f>
        <v>ENSMUSG00000033732</v>
      </c>
      <c r="I1653" s="6" t="str">
        <f>HYPERLINK("http://www.informatics.jax.org/marker/MGI:1289341","MGI:1289341")</f>
        <v>MGI:1289341</v>
      </c>
      <c r="J1653" s="7" t="s">
        <v>12</v>
      </c>
    </row>
    <row r="1654" spans="1:10" x14ac:dyDescent="0.2">
      <c r="A1654" s="3">
        <v>606.12147093516705</v>
      </c>
      <c r="B1654" s="1">
        <v>-0.25285083977482098</v>
      </c>
      <c r="C1654" s="1">
        <v>5.3435274776371996E-3</v>
      </c>
      <c r="D1654" s="7">
        <v>4.78094844629397E-2</v>
      </c>
      <c r="E1654" s="1" t="s">
        <v>1648</v>
      </c>
      <c r="F1654" s="1" t="s">
        <v>1649</v>
      </c>
      <c r="G1654" s="1">
        <v>217826</v>
      </c>
      <c r="H1654" s="6" t="str">
        <f>HYPERLINK("http://www.ensembl.org/Mus_musculus/Gene/Summary?db=core;g=ENSMUSG00000045404","ENSMUSG00000045404")</f>
        <v>ENSMUSG00000045404</v>
      </c>
      <c r="I1654" s="6" t="str">
        <f>HYPERLINK("http://www.informatics.jax.org/marker/MGI:2384976","MGI:2384976")</f>
        <v>MGI:2384976</v>
      </c>
      <c r="J1654" s="7" t="s">
        <v>12</v>
      </c>
    </row>
    <row r="1655" spans="1:10" x14ac:dyDescent="0.2">
      <c r="A1655" s="3">
        <v>4179.4283321979801</v>
      </c>
      <c r="B1655" s="1">
        <v>-0.36902828331644699</v>
      </c>
      <c r="C1655" s="1">
        <v>5.3553731357887501E-3</v>
      </c>
      <c r="D1655" s="7">
        <v>4.7886394738460597E-2</v>
      </c>
      <c r="E1655" s="1" t="s">
        <v>1176</v>
      </c>
      <c r="F1655" s="1" t="s">
        <v>1177</v>
      </c>
      <c r="G1655" s="1">
        <v>22177</v>
      </c>
      <c r="H1655" s="6" t="str">
        <f>HYPERLINK("http://www.ensembl.org/Mus_musculus/Gene/Summary?db=core;g=ENSMUSG00000030579","ENSMUSG00000030579")</f>
        <v>ENSMUSG00000030579</v>
      </c>
      <c r="I1655" s="6" t="str">
        <f>HYPERLINK("http://www.informatics.jax.org/marker/MGI:1277211","MGI:1277211")</f>
        <v>MGI:1277211</v>
      </c>
      <c r="J1655" s="7" t="s">
        <v>12</v>
      </c>
    </row>
    <row r="1656" spans="1:10" x14ac:dyDescent="0.2">
      <c r="A1656" s="3">
        <v>20.347234046074501</v>
      </c>
      <c r="B1656" s="1">
        <v>-1.1330107146766</v>
      </c>
      <c r="C1656" s="1">
        <v>5.3669292731447398E-3</v>
      </c>
      <c r="D1656" s="7">
        <v>4.7960624480934397E-2</v>
      </c>
      <c r="E1656" s="1" t="s">
        <v>243</v>
      </c>
      <c r="F1656" s="1" t="s">
        <v>244</v>
      </c>
      <c r="G1656" s="1">
        <v>16169</v>
      </c>
      <c r="H1656" s="6" t="str">
        <f>HYPERLINK("http://www.ensembl.org/Mus_musculus/Gene/Summary?db=core;g=ENSMUSG00000023206","ENSMUSG00000023206")</f>
        <v>ENSMUSG00000023206</v>
      </c>
      <c r="I1656" s="6" t="str">
        <f>HYPERLINK("http://www.informatics.jax.org/marker/MGI:104644","MGI:104644")</f>
        <v>MGI:104644</v>
      </c>
      <c r="J1656" s="7" t="s">
        <v>12</v>
      </c>
    </row>
    <row r="1657" spans="1:10" x14ac:dyDescent="0.2">
      <c r="A1657" s="3">
        <v>3181.6868104146301</v>
      </c>
      <c r="B1657" s="1">
        <v>-0.17529120559848099</v>
      </c>
      <c r="C1657" s="1">
        <v>5.3792517799241798E-3</v>
      </c>
      <c r="D1657" s="7">
        <v>4.8041608623613702E-2</v>
      </c>
      <c r="E1657" s="1" t="s">
        <v>2030</v>
      </c>
      <c r="F1657" s="1" t="s">
        <v>2031</v>
      </c>
      <c r="G1657" s="1">
        <v>56700</v>
      </c>
      <c r="H1657" s="6" t="str">
        <f>HYPERLINK("http://www.ensembl.org/Mus_musculus/Gene/Summary?db=core;g=ENSMUSG00000001418","ENSMUSG00000001418")</f>
        <v>ENSMUSG00000001418</v>
      </c>
      <c r="I1657" s="6" t="str">
        <f>HYPERLINK("http://www.informatics.jax.org/marker/MGI:1913318","MGI:1913318")</f>
        <v>MGI:1913318</v>
      </c>
      <c r="J1657" s="7" t="s">
        <v>12</v>
      </c>
    </row>
    <row r="1658" spans="1:10" x14ac:dyDescent="0.2">
      <c r="A1658" s="3">
        <v>49.669617273625398</v>
      </c>
      <c r="B1658" s="1">
        <v>0.484378616354043</v>
      </c>
      <c r="C1658" s="1">
        <v>5.3898346484038901E-3</v>
      </c>
      <c r="D1658" s="7">
        <v>4.8106967522034902E-2</v>
      </c>
      <c r="E1658" s="1" t="s">
        <v>3190</v>
      </c>
      <c r="F1658" s="1" t="s">
        <v>3191</v>
      </c>
      <c r="G1658" s="1">
        <v>214305</v>
      </c>
      <c r="H1658" s="6" t="str">
        <f>HYPERLINK("http://www.ensembl.org/Mus_musculus/Gene/Summary?db=core;g=ENSMUSG00000021260","ENSMUSG00000021260")</f>
        <v>ENSMUSG00000021260</v>
      </c>
      <c r="I1658" s="6" t="str">
        <f>HYPERLINK("http://www.informatics.jax.org/marker/MGI:1919265","MGI:1919265")</f>
        <v>MGI:1919265</v>
      </c>
      <c r="J1658" s="7" t="s">
        <v>12</v>
      </c>
    </row>
    <row r="1659" spans="1:10" x14ac:dyDescent="0.2">
      <c r="A1659" s="3">
        <v>1266.7317989866201</v>
      </c>
      <c r="B1659" s="1">
        <v>-0.193131821926668</v>
      </c>
      <c r="C1659" s="1">
        <v>5.4130685096512397E-3</v>
      </c>
      <c r="D1659" s="7">
        <v>4.8255884790212103E-2</v>
      </c>
      <c r="E1659" s="1" t="s">
        <v>1946</v>
      </c>
      <c r="F1659" s="1" t="s">
        <v>1947</v>
      </c>
      <c r="G1659" s="1">
        <v>217344</v>
      </c>
      <c r="H1659" s="6" t="str">
        <f>HYPERLINK("http://www.ensembl.org/Mus_musculus/Gene/Summary?db=core;g=ENSMUSG00000020806","ENSMUSG00000020806")</f>
        <v>ENSMUSG00000020806</v>
      </c>
      <c r="I1659" s="6" t="str">
        <f>HYPERLINK("http://www.informatics.jax.org/marker/MGI:2442473","MGI:2442473")</f>
        <v>MGI:2442473</v>
      </c>
      <c r="J1659" s="7" t="s">
        <v>12</v>
      </c>
    </row>
    <row r="1660" spans="1:10" x14ac:dyDescent="0.2">
      <c r="A1660" s="3">
        <v>367.56368680449901</v>
      </c>
      <c r="B1660" s="1">
        <v>-0.185580549013247</v>
      </c>
      <c r="C1660" s="1">
        <v>5.4117684127398102E-3</v>
      </c>
      <c r="D1660" s="7">
        <v>4.8255884790212103E-2</v>
      </c>
      <c r="E1660" s="1" t="s">
        <v>1984</v>
      </c>
      <c r="F1660" s="1" t="s">
        <v>1985</v>
      </c>
      <c r="G1660" s="1">
        <v>76857</v>
      </c>
      <c r="H1660" s="6" t="str">
        <f>HYPERLINK("http://www.ensembl.org/Mus_musculus/Gene/Summary?db=core;g=ENSMUSG00000026771","ENSMUSG00000026771")</f>
        <v>ENSMUSG00000026771</v>
      </c>
      <c r="I1660" s="6" t="str">
        <f>HYPERLINK("http://www.informatics.jax.org/marker/MGI:1924107","MGI:1924107")</f>
        <v>MGI:1924107</v>
      </c>
      <c r="J1660" s="7" t="s">
        <v>12</v>
      </c>
    </row>
    <row r="1661" spans="1:10" x14ac:dyDescent="0.2">
      <c r="A1661" s="3">
        <v>1185.1434906511099</v>
      </c>
      <c r="B1661" s="1">
        <v>0.14811988950457</v>
      </c>
      <c r="C1661" s="1">
        <v>5.41802792276057E-3</v>
      </c>
      <c r="D1661" s="7">
        <v>4.8270894479927301E-2</v>
      </c>
      <c r="E1661" s="1" t="s">
        <v>2312</v>
      </c>
      <c r="F1661" s="1" t="s">
        <v>2313</v>
      </c>
      <c r="G1661" s="1">
        <v>11431</v>
      </c>
      <c r="H1661" s="6" t="str">
        <f>HYPERLINK("http://www.ensembl.org/Mus_musculus/Gene/Summary?db=core;g=ENSMUSG00000044573","ENSMUSG00000044573")</f>
        <v>ENSMUSG00000044573</v>
      </c>
      <c r="I1661" s="6" t="str">
        <f>HYPERLINK("http://www.informatics.jax.org/marker/MGI:87881","MGI:87881")</f>
        <v>MGI:87881</v>
      </c>
      <c r="J1661" s="7" t="s">
        <v>12</v>
      </c>
    </row>
    <row r="1662" spans="1:10" x14ac:dyDescent="0.2">
      <c r="A1662" s="3">
        <v>422.09167286565099</v>
      </c>
      <c r="B1662" s="1">
        <v>-0.20959750377112499</v>
      </c>
      <c r="C1662" s="1">
        <v>5.4216956166976103E-3</v>
      </c>
      <c r="D1662" s="7">
        <v>4.82743846571939E-2</v>
      </c>
      <c r="E1662" s="1" t="s">
        <v>1866</v>
      </c>
      <c r="F1662" s="1" t="s">
        <v>1867</v>
      </c>
      <c r="G1662" s="1">
        <v>66990</v>
      </c>
      <c r="H1662" s="6" t="str">
        <f>HYPERLINK("http://www.ensembl.org/Mus_musculus/Gene/Summary?db=core;g=ENSMUSG00000024845","ENSMUSG00000024845")</f>
        <v>ENSMUSG00000024845</v>
      </c>
      <c r="I1662" s="6" t="str">
        <f>HYPERLINK("http://www.informatics.jax.org/marker/MGI:1914240","MGI:1914240")</f>
        <v>MGI:1914240</v>
      </c>
      <c r="J1662" s="7" t="s">
        <v>12</v>
      </c>
    </row>
    <row r="1663" spans="1:10" x14ac:dyDescent="0.2">
      <c r="A1663" s="3">
        <v>12.611763362653599</v>
      </c>
      <c r="B1663" s="1">
        <v>0.84294047517329795</v>
      </c>
      <c r="C1663" s="1">
        <v>5.4366843376211097E-3</v>
      </c>
      <c r="D1663" s="7">
        <v>4.8378611352164598E-2</v>
      </c>
      <c r="E1663" s="1" t="s">
        <v>3296</v>
      </c>
      <c r="F1663" s="1" t="s">
        <v>3297</v>
      </c>
      <c r="G1663" s="1" t="s">
        <v>45</v>
      </c>
      <c r="H1663" s="6" t="str">
        <f>HYPERLINK("http://www.ensembl.org/Mus_musculus/Gene/Summary?db=core;g=ENSMUSG00000085327","ENSMUSG00000085327")</f>
        <v>ENSMUSG00000085327</v>
      </c>
      <c r="I1663" s="6" t="str">
        <f>HYPERLINK("http://www.informatics.jax.org/marker/MGI:3801749","MGI:3801749")</f>
        <v>MGI:3801749</v>
      </c>
      <c r="J1663" s="7" t="s">
        <v>46</v>
      </c>
    </row>
    <row r="1664" spans="1:10" x14ac:dyDescent="0.2">
      <c r="A1664" s="3">
        <v>191.896418075524</v>
      </c>
      <c r="B1664" s="1">
        <v>-0.25879856202616802</v>
      </c>
      <c r="C1664" s="1">
        <v>5.4408891205297901E-3</v>
      </c>
      <c r="D1664" s="7">
        <v>4.8386808738761E-2</v>
      </c>
      <c r="E1664" s="1" t="s">
        <v>1618</v>
      </c>
      <c r="F1664" s="1" t="s">
        <v>1619</v>
      </c>
      <c r="G1664" s="1">
        <v>97761</v>
      </c>
      <c r="H1664" s="6" t="str">
        <f>HYPERLINK("http://www.ensembl.org/Mus_musculus/Gene/Summary?db=core;g=ENSMUSG00000038351","ENSMUSG00000038351")</f>
        <v>ENSMUSG00000038351</v>
      </c>
      <c r="I1664" s="6" t="str">
        <f>HYPERLINK("http://www.informatics.jax.org/marker/MGI:2144695","MGI:2144695")</f>
        <v>MGI:2144695</v>
      </c>
      <c r="J1664" s="7" t="s">
        <v>12</v>
      </c>
    </row>
    <row r="1665" spans="1:10" x14ac:dyDescent="0.2">
      <c r="A1665" s="3">
        <v>368.19466007533202</v>
      </c>
      <c r="B1665" s="1">
        <v>0.21562997733019401</v>
      </c>
      <c r="C1665" s="1">
        <v>5.4486902857791703E-3</v>
      </c>
      <c r="D1665" s="7">
        <v>4.84269602239095E-2</v>
      </c>
      <c r="E1665" s="1" t="s">
        <v>2708</v>
      </c>
      <c r="F1665" s="1" t="s">
        <v>2709</v>
      </c>
      <c r="G1665" s="1">
        <v>194952</v>
      </c>
      <c r="H1665" s="6" t="str">
        <f>HYPERLINK("http://www.ensembl.org/Mus_musculus/Gene/Summary?db=core;g=ENSMUSG00000036819","ENSMUSG00000036819")</f>
        <v>ENSMUSG00000036819</v>
      </c>
      <c r="I1665" s="6" t="str">
        <f>HYPERLINK("http://www.informatics.jax.org/marker/MGI:2144404","MGI:2144404")</f>
        <v>MGI:2144404</v>
      </c>
      <c r="J1665" s="7" t="s">
        <v>12</v>
      </c>
    </row>
    <row r="1666" spans="1:10" x14ac:dyDescent="0.2">
      <c r="A1666" s="3">
        <v>849.408038100157</v>
      </c>
      <c r="B1666" s="1">
        <v>0.204732059341658</v>
      </c>
      <c r="C1666" s="1">
        <v>5.4539136023611899E-3</v>
      </c>
      <c r="D1666" s="7">
        <v>4.8444165668712798E-2</v>
      </c>
      <c r="E1666" s="1" t="s">
        <v>2632</v>
      </c>
      <c r="F1666" s="1" t="s">
        <v>2633</v>
      </c>
      <c r="G1666" s="1">
        <v>208440</v>
      </c>
      <c r="H1666" s="6" t="str">
        <f>HYPERLINK("http://www.ensembl.org/Mus_musculus/Gene/Summary?db=core;g=ENSMUSG00000048264","ENSMUSG00000048264")</f>
        <v>ENSMUSG00000048264</v>
      </c>
      <c r="I1666" s="6" t="str">
        <f>HYPERLINK("http://www.informatics.jax.org/marker/MGI:1920179","MGI:1920179")</f>
        <v>MGI:1920179</v>
      </c>
      <c r="J1666" s="7" t="s">
        <v>12</v>
      </c>
    </row>
    <row r="1667" spans="1:10" x14ac:dyDescent="0.2">
      <c r="A1667" s="3">
        <v>3788.8545436678301</v>
      </c>
      <c r="B1667" s="1">
        <v>0.128308913378336</v>
      </c>
      <c r="C1667" s="1">
        <v>5.4603888664973201E-3</v>
      </c>
      <c r="D1667" s="7">
        <v>4.8472464058255699E-2</v>
      </c>
      <c r="E1667" s="1" t="s">
        <v>2232</v>
      </c>
      <c r="F1667" s="1" t="s">
        <v>2233</v>
      </c>
      <c r="G1667" s="1">
        <v>110109</v>
      </c>
      <c r="H1667" s="6" t="str">
        <f>HYPERLINK("http://www.ensembl.org/Mus_musculus/Gene/Summary?db=core;g=ENSMUSG00000038279","ENSMUSG00000038279")</f>
        <v>ENSMUSG00000038279</v>
      </c>
      <c r="I1667" s="6" t="str">
        <f>HYPERLINK("http://www.informatics.jax.org/marker/MGI:107891","MGI:107891")</f>
        <v>MGI:107891</v>
      </c>
      <c r="J1667" s="7" t="s">
        <v>12</v>
      </c>
    </row>
    <row r="1668" spans="1:10" x14ac:dyDescent="0.2">
      <c r="A1668" s="3">
        <v>23.040669007166901</v>
      </c>
      <c r="B1668" s="1">
        <v>-0.82970388346852597</v>
      </c>
      <c r="C1668" s="1">
        <v>5.4709633635522401E-3</v>
      </c>
      <c r="D1668" s="7">
        <v>4.8531325994866897E-2</v>
      </c>
      <c r="E1668" s="1" t="s">
        <v>460</v>
      </c>
      <c r="F1668" s="1" t="s">
        <v>461</v>
      </c>
      <c r="G1668" s="1">
        <v>27404</v>
      </c>
      <c r="H1668" s="6" t="str">
        <f>HYPERLINK("http://www.ensembl.org/Mus_musculus/Gene/Summary?db=core;g=ENSMUSG00000020620","ENSMUSG00000020620")</f>
        <v>ENSMUSG00000020620</v>
      </c>
      <c r="I1668" s="6" t="str">
        <f>HYPERLINK("http://www.informatics.jax.org/marker/MGI:1351668","MGI:1351668")</f>
        <v>MGI:1351668</v>
      </c>
      <c r="J1668" s="7" t="s">
        <v>12</v>
      </c>
    </row>
    <row r="1669" spans="1:10" x14ac:dyDescent="0.2">
      <c r="A1669" s="3">
        <v>228.34780213621499</v>
      </c>
      <c r="B1669" s="1">
        <v>0.27498560421038398</v>
      </c>
      <c r="C1669" s="1">
        <v>5.4736063927435397E-3</v>
      </c>
      <c r="D1669" s="7">
        <v>4.8531325994866897E-2</v>
      </c>
      <c r="E1669" s="1" t="s">
        <v>2950</v>
      </c>
      <c r="F1669" s="1" t="s">
        <v>2951</v>
      </c>
      <c r="G1669" s="1">
        <v>13559</v>
      </c>
      <c r="H1669" s="6" t="str">
        <f>HYPERLINK("http://www.ensembl.org/Mus_musculus/Gene/Summary?db=core;g=ENSMUSG00000027552","ENSMUSG00000027552")</f>
        <v>ENSMUSG00000027552</v>
      </c>
      <c r="I1669" s="6" t="str">
        <f>HYPERLINK("http://www.informatics.jax.org/marker/MGI:105091","MGI:105091")</f>
        <v>MGI:105091</v>
      </c>
      <c r="J1669" s="7" t="s">
        <v>12</v>
      </c>
    </row>
    <row r="1670" spans="1:10" x14ac:dyDescent="0.2">
      <c r="A1670" s="3">
        <v>275.27838142354801</v>
      </c>
      <c r="B1670" s="1">
        <v>-0.60022960084971899</v>
      </c>
      <c r="C1670" s="1">
        <v>5.4801867670794596E-3</v>
      </c>
      <c r="D1670" s="7">
        <v>4.8560452314902601E-2</v>
      </c>
      <c r="E1670" s="1" t="s">
        <v>675</v>
      </c>
      <c r="F1670" s="1" t="s">
        <v>676</v>
      </c>
      <c r="G1670" s="1">
        <v>67138</v>
      </c>
      <c r="H1670" s="6" t="str">
        <f>HYPERLINK("http://www.ensembl.org/Mus_musculus/Gene/Summary?db=core;g=ENSMUSG00000029798","ENSMUSG00000029798")</f>
        <v>ENSMUSG00000029798</v>
      </c>
      <c r="I1670" s="6" t="str">
        <f>HYPERLINK("http://www.informatics.jax.org/marker/MGI:1914388","MGI:1914388")</f>
        <v>MGI:1914388</v>
      </c>
      <c r="J1670" s="7" t="s">
        <v>12</v>
      </c>
    </row>
    <row r="1671" spans="1:10" x14ac:dyDescent="0.2">
      <c r="A1671" s="3">
        <v>20.228442366581302</v>
      </c>
      <c r="B1671" s="1">
        <v>-0.81221136003217098</v>
      </c>
      <c r="C1671" s="1">
        <v>5.4946638964611799E-3</v>
      </c>
      <c r="D1671" s="7">
        <v>4.8659475467699498E-2</v>
      </c>
      <c r="E1671" s="1" t="s">
        <v>472</v>
      </c>
      <c r="F1671" s="1" t="s">
        <v>473</v>
      </c>
      <c r="G1671" s="1">
        <v>14275</v>
      </c>
      <c r="H1671" s="6" t="str">
        <f>HYPERLINK("http://www.ensembl.org/Mus_musculus/Gene/Summary?db=core;g=ENSMUSG00000001827","ENSMUSG00000001827")</f>
        <v>ENSMUSG00000001827</v>
      </c>
      <c r="I1671" s="6" t="str">
        <f>HYPERLINK("http://www.informatics.jax.org/marker/MGI:95568","MGI:95568")</f>
        <v>MGI:95568</v>
      </c>
      <c r="J1671" s="7" t="s">
        <v>12</v>
      </c>
    </row>
    <row r="1672" spans="1:10" x14ac:dyDescent="0.2">
      <c r="A1672" s="3">
        <v>488.91022394464602</v>
      </c>
      <c r="B1672" s="1">
        <v>0.207664275241569</v>
      </c>
      <c r="C1672" s="1">
        <v>5.5025939962660498E-3</v>
      </c>
      <c r="D1672" s="7">
        <v>4.87004355128988E-2</v>
      </c>
      <c r="E1672" s="1" t="s">
        <v>2644</v>
      </c>
      <c r="F1672" s="1" t="s">
        <v>2645</v>
      </c>
      <c r="G1672" s="1">
        <v>109075</v>
      </c>
      <c r="H1672" s="6" t="str">
        <f>HYPERLINK("http://www.ensembl.org/Mus_musculus/Gene/Summary?db=core;g=ENSMUSG00000034259","ENSMUSG00000034259")</f>
        <v>ENSMUSG00000034259</v>
      </c>
      <c r="I1672" s="6" t="str">
        <f>HYPERLINK("http://www.informatics.jax.org/marker/MGI:1923576","MGI:1923576")</f>
        <v>MGI:1923576</v>
      </c>
      <c r="J1672" s="7" t="s">
        <v>12</v>
      </c>
    </row>
    <row r="1673" spans="1:10" x14ac:dyDescent="0.2">
      <c r="A1673" s="3">
        <v>467.028642293296</v>
      </c>
      <c r="B1673" s="1">
        <v>-0.26355977810711301</v>
      </c>
      <c r="C1673" s="1">
        <v>5.5114227855916397E-3</v>
      </c>
      <c r="D1673" s="7">
        <v>4.8720051690748903E-2</v>
      </c>
      <c r="E1673" s="1" t="s">
        <v>1606</v>
      </c>
      <c r="F1673" s="1" t="s">
        <v>1607</v>
      </c>
      <c r="G1673" s="1">
        <v>30928</v>
      </c>
      <c r="H1673" s="6" t="str">
        <f>HYPERLINK("http://www.ensembl.org/Mus_musculus/Gene/Summary?db=core;g=ENSMUSG00000063659","ENSMUSG00000063659")</f>
        <v>ENSMUSG00000063659</v>
      </c>
      <c r="I1673" s="6" t="str">
        <f>HYPERLINK("http://www.informatics.jax.org/marker/MGI:1353609","MGI:1353609")</f>
        <v>MGI:1353609</v>
      </c>
      <c r="J1673" s="7" t="s">
        <v>12</v>
      </c>
    </row>
    <row r="1674" spans="1:10" x14ac:dyDescent="0.2">
      <c r="A1674" s="3">
        <v>1902.04409635913</v>
      </c>
      <c r="B1674" s="1">
        <v>0.124096169239356</v>
      </c>
      <c r="C1674" s="1">
        <v>5.50848099288911E-3</v>
      </c>
      <c r="D1674" s="7">
        <v>4.8720051690748903E-2</v>
      </c>
      <c r="E1674" s="1" t="s">
        <v>2226</v>
      </c>
      <c r="F1674" s="1" t="s">
        <v>2227</v>
      </c>
      <c r="G1674" s="1">
        <v>320267</v>
      </c>
      <c r="H1674" s="6" t="str">
        <f>HYPERLINK("http://www.ensembl.org/Mus_musculus/Gene/Summary?db=core;g=ENSMUSG00000026843","ENSMUSG00000026843")</f>
        <v>ENSMUSG00000026843</v>
      </c>
      <c r="I1674" s="6" t="str">
        <f>HYPERLINK("http://www.informatics.jax.org/marker/MGI:2443699","MGI:2443699")</f>
        <v>MGI:2443699</v>
      </c>
      <c r="J1674" s="7" t="s">
        <v>12</v>
      </c>
    </row>
    <row r="1675" spans="1:10" x14ac:dyDescent="0.2">
      <c r="A1675" s="3">
        <v>20.7790524211015</v>
      </c>
      <c r="B1675" s="1">
        <v>-0.60594747319918296</v>
      </c>
      <c r="C1675" s="1">
        <v>5.5300409194677397E-3</v>
      </c>
      <c r="D1675" s="7">
        <v>4.8855325533139503E-2</v>
      </c>
      <c r="E1675" s="1" t="s">
        <v>670</v>
      </c>
      <c r="F1675" s="1" t="s">
        <v>671</v>
      </c>
      <c r="G1675" s="1">
        <v>240816</v>
      </c>
      <c r="H1675" s="6" t="str">
        <f>HYPERLINK("http://www.ensembl.org/Mus_musculus/Gene/Summary?db=core;g=ENSMUSG00000042641","ENSMUSG00000042641")</f>
        <v>ENSMUSG00000042641</v>
      </c>
      <c r="I1675" s="6" t="str">
        <f>HYPERLINK("http://www.informatics.jax.org/marker/MGI:2685048","MGI:2685048")</f>
        <v>MGI:2685048</v>
      </c>
      <c r="J1675" s="7" t="s">
        <v>12</v>
      </c>
    </row>
    <row r="1676" spans="1:10" x14ac:dyDescent="0.2">
      <c r="A1676" s="3">
        <v>108.33614259502799</v>
      </c>
      <c r="B1676" s="1">
        <v>-0.29583362727337698</v>
      </c>
      <c r="C1676" s="1">
        <v>5.5559230277194404E-3</v>
      </c>
      <c r="D1676" s="7">
        <v>4.90545726401879E-2</v>
      </c>
      <c r="E1676" s="1" t="s">
        <v>1468</v>
      </c>
      <c r="F1676" s="1" t="s">
        <v>1469</v>
      </c>
      <c r="G1676" s="1">
        <v>80283</v>
      </c>
      <c r="H1676" s="6" t="str">
        <f>HYPERLINK("http://www.ensembl.org/Mus_musculus/Gene/Summary?db=core;g=ENSMUSG00000030083","ENSMUSG00000030083")</f>
        <v>ENSMUSG00000030083</v>
      </c>
      <c r="I1676" s="6" t="str">
        <f>HYPERLINK("http://www.informatics.jax.org/marker/MGI:1933148","MGI:1933148")</f>
        <v>MGI:1933148</v>
      </c>
      <c r="J1676" s="7" t="s">
        <v>12</v>
      </c>
    </row>
    <row r="1677" spans="1:10" x14ac:dyDescent="0.2">
      <c r="A1677" s="3">
        <v>915.64930125495596</v>
      </c>
      <c r="B1677" s="1">
        <v>-0.20384631105210699</v>
      </c>
      <c r="C1677" s="1">
        <v>5.57907447315648E-3</v>
      </c>
      <c r="D1677" s="7">
        <v>4.92294858900802E-2</v>
      </c>
      <c r="E1677" s="1" t="s">
        <v>1888</v>
      </c>
      <c r="F1677" s="1" t="s">
        <v>1889</v>
      </c>
      <c r="G1677" s="1">
        <v>53331</v>
      </c>
      <c r="H1677" s="6" t="str">
        <f>HYPERLINK("http://www.ensembl.org/Mus_musculus/Gene/Summary?db=core;g=ENSMUSG00000019998","ENSMUSG00000019998")</f>
        <v>ENSMUSG00000019998</v>
      </c>
      <c r="I1677" s="6" t="str">
        <f>HYPERLINK("http://www.informatics.jax.org/marker/MGI:1858210","MGI:1858210")</f>
        <v>MGI:1858210</v>
      </c>
      <c r="J1677" s="7" t="s">
        <v>12</v>
      </c>
    </row>
    <row r="1678" spans="1:10" x14ac:dyDescent="0.2">
      <c r="A1678" s="3">
        <v>1760.3859109411301</v>
      </c>
      <c r="B1678" s="1">
        <v>0.14831133173618999</v>
      </c>
      <c r="C1678" s="1">
        <v>5.5896963826271998E-3</v>
      </c>
      <c r="D1678" s="7">
        <v>4.9293695927225802E-2</v>
      </c>
      <c r="E1678" s="1" t="s">
        <v>2316</v>
      </c>
      <c r="F1678" s="1" t="s">
        <v>2317</v>
      </c>
      <c r="G1678" s="1">
        <v>12122</v>
      </c>
      <c r="H1678" s="6" t="str">
        <f>HYPERLINK("http://www.ensembl.org/Mus_musculus/Gene/Summary?db=core;g=ENSMUSG00000004446","ENSMUSG00000004446")</f>
        <v>ENSMUSG00000004446</v>
      </c>
      <c r="I1678" s="6" t="str">
        <f>HYPERLINK("http://www.informatics.jax.org/marker/MGI:108093","MGI:108093")</f>
        <v>MGI:108093</v>
      </c>
      <c r="J1678" s="7" t="s">
        <v>12</v>
      </c>
    </row>
    <row r="1679" spans="1:10" x14ac:dyDescent="0.2">
      <c r="A1679" s="3">
        <v>693.664954022355</v>
      </c>
      <c r="B1679" s="1">
        <v>-1.04175802811286</v>
      </c>
      <c r="C1679" s="1">
        <v>5.6053478743901203E-3</v>
      </c>
      <c r="D1679" s="7">
        <v>4.9390450678657598E-2</v>
      </c>
      <c r="E1679" s="1" t="s">
        <v>311</v>
      </c>
      <c r="F1679" s="1" t="s">
        <v>312</v>
      </c>
      <c r="G1679" s="1">
        <v>24110</v>
      </c>
      <c r="H1679" s="6" t="str">
        <f>HYPERLINK("http://www.ensembl.org/Mus_musculus/Gene/Summary?db=core;g=ENSMUSG00000030107","ENSMUSG00000030107")</f>
        <v>ENSMUSG00000030107</v>
      </c>
      <c r="I1679" s="6" t="str">
        <f>HYPERLINK("http://www.informatics.jax.org/marker/MGI:1344364","MGI:1344364")</f>
        <v>MGI:1344364</v>
      </c>
      <c r="J1679" s="7" t="s">
        <v>12</v>
      </c>
    </row>
    <row r="1680" spans="1:10" x14ac:dyDescent="0.2">
      <c r="A1680" s="3">
        <v>37.575676859983297</v>
      </c>
      <c r="B1680" s="1">
        <v>-0.99700524289206205</v>
      </c>
      <c r="C1680" s="1">
        <v>5.6073713345137204E-3</v>
      </c>
      <c r="D1680" s="7">
        <v>4.9390450678657598E-2</v>
      </c>
      <c r="E1680" s="1" t="s">
        <v>343</v>
      </c>
      <c r="F1680" s="1" t="s">
        <v>344</v>
      </c>
      <c r="G1680" s="1">
        <v>93694</v>
      </c>
      <c r="H1680" s="6" t="str">
        <f>HYPERLINK("http://www.ensembl.org/Mus_musculus/Gene/Summary?db=core;g=ENSMUSG00000030157","ENSMUSG00000030157")</f>
        <v>ENSMUSG00000030157</v>
      </c>
      <c r="I1680" s="6" t="str">
        <f>HYPERLINK("http://www.informatics.jax.org/marker/MGI:2135589","MGI:2135589")</f>
        <v>MGI:2135589</v>
      </c>
      <c r="J1680" s="7" t="s">
        <v>12</v>
      </c>
    </row>
    <row r="1681" spans="1:10" x14ac:dyDescent="0.2">
      <c r="A1681" s="3">
        <v>167.374574553569</v>
      </c>
      <c r="B1681" s="1">
        <v>-0.45480508643642398</v>
      </c>
      <c r="C1681" s="1">
        <v>5.6120634073137197E-3</v>
      </c>
      <c r="D1681" s="7">
        <v>4.9402249922446198E-2</v>
      </c>
      <c r="E1681" s="1" t="s">
        <v>921</v>
      </c>
      <c r="F1681" s="1" t="s">
        <v>922</v>
      </c>
      <c r="G1681" s="1" t="s">
        <v>45</v>
      </c>
      <c r="H1681" s="6" t="str">
        <f>HYPERLINK("http://www.ensembl.org/Mus_musculus/Gene/Summary?db=core;g=ENSMUSG00000098050","ENSMUSG00000098050")</f>
        <v>ENSMUSG00000098050</v>
      </c>
      <c r="I1681" s="6" t="str">
        <f>HYPERLINK("http://www.informatics.jax.org/marker/MGI:3644320","MGI:3644320")</f>
        <v>MGI:3644320</v>
      </c>
      <c r="J1681" s="7" t="s">
        <v>330</v>
      </c>
    </row>
    <row r="1682" spans="1:10" x14ac:dyDescent="0.2">
      <c r="A1682" s="3">
        <v>9902.9070910850405</v>
      </c>
      <c r="B1682" s="1">
        <v>8.6824328307593096E-2</v>
      </c>
      <c r="C1682" s="1">
        <v>5.6209382373231098E-3</v>
      </c>
      <c r="D1682" s="7">
        <v>4.9450833352354201E-2</v>
      </c>
      <c r="E1682" s="1" t="s">
        <v>2178</v>
      </c>
      <c r="F1682" s="1" t="s">
        <v>2179</v>
      </c>
      <c r="G1682" s="1">
        <v>17448</v>
      </c>
      <c r="H1682" s="6" t="str">
        <f>HYPERLINK("http://www.ensembl.org/Mus_musculus/Gene/Summary?db=core;g=ENSMUSG00000019179","ENSMUSG00000019179")</f>
        <v>ENSMUSG00000019179</v>
      </c>
      <c r="I1682" s="6" t="str">
        <f>HYPERLINK("http://www.informatics.jax.org/marker/MGI:97050","MGI:97050")</f>
        <v>MGI:97050</v>
      </c>
      <c r="J1682" s="7" t="s">
        <v>12</v>
      </c>
    </row>
    <row r="1683" spans="1:10" x14ac:dyDescent="0.2">
      <c r="A1683" s="3">
        <v>1183.54011993125</v>
      </c>
      <c r="B1683" s="1">
        <v>-0.228328975911992</v>
      </c>
      <c r="C1683" s="1">
        <v>5.6315642069305304E-3</v>
      </c>
      <c r="D1683" s="7">
        <v>4.9514755461412999E-2</v>
      </c>
      <c r="E1683" s="1" t="s">
        <v>1780</v>
      </c>
      <c r="F1683" s="1" t="s">
        <v>1781</v>
      </c>
      <c r="G1683" s="1">
        <v>18438</v>
      </c>
      <c r="H1683" s="6" t="str">
        <f>HYPERLINK("http://www.ensembl.org/Mus_musculus/Gene/Summary?db=core;g=ENSMUSG00000029470","ENSMUSG00000029470")</f>
        <v>ENSMUSG00000029470</v>
      </c>
      <c r="I1683" s="6" t="str">
        <f>HYPERLINK("http://www.informatics.jax.org/marker/MGI:1338859","MGI:1338859")</f>
        <v>MGI:1338859</v>
      </c>
      <c r="J1683" s="7" t="s">
        <v>12</v>
      </c>
    </row>
    <row r="1684" spans="1:10" x14ac:dyDescent="0.2">
      <c r="A1684" s="3">
        <v>140.02871943948</v>
      </c>
      <c r="B1684" s="1">
        <v>-0.60936578115370699</v>
      </c>
      <c r="C1684" s="1">
        <v>5.6468660304209101E-3</v>
      </c>
      <c r="D1684" s="7">
        <v>4.9619688625093902E-2</v>
      </c>
      <c r="E1684" s="1" t="s">
        <v>666</v>
      </c>
      <c r="F1684" s="1" t="s">
        <v>667</v>
      </c>
      <c r="G1684" s="1">
        <v>14281</v>
      </c>
      <c r="H1684" s="6" t="str">
        <f>HYPERLINK("http://www.ensembl.org/Mus_musculus/Gene/Summary?db=core;g=ENSMUSG00000021250","ENSMUSG00000021250")</f>
        <v>ENSMUSG00000021250</v>
      </c>
      <c r="I1684" s="6" t="str">
        <f>HYPERLINK("http://www.informatics.jax.org/marker/MGI:95574","MGI:95574")</f>
        <v>MGI:95574</v>
      </c>
      <c r="J1684" s="7" t="s">
        <v>12</v>
      </c>
    </row>
    <row r="1685" spans="1:10" x14ac:dyDescent="0.2">
      <c r="A1685" s="3">
        <v>1538.2790432089801</v>
      </c>
      <c r="B1685" s="1">
        <v>-0.15353905168790999</v>
      </c>
      <c r="C1685" s="1">
        <v>5.6511591113113302E-3</v>
      </c>
      <c r="D1685" s="7">
        <v>4.9627819227821099E-2</v>
      </c>
      <c r="E1685" s="1" t="s">
        <v>2118</v>
      </c>
      <c r="F1685" s="1" t="s">
        <v>2119</v>
      </c>
      <c r="G1685" s="1">
        <v>223989</v>
      </c>
      <c r="H1685" s="6" t="str">
        <f>HYPERLINK("http://www.ensembl.org/Mus_musculus/Gene/Summary?db=core;g=ENSMUSG00000060657","ENSMUSG00000060657")</f>
        <v>ENSMUSG00000060657</v>
      </c>
      <c r="I1685" s="6" t="str">
        <f>HYPERLINK("http://www.informatics.jax.org/marker/MGI:2444505","MGI:2444505")</f>
        <v>MGI:2444505</v>
      </c>
      <c r="J1685" s="7" t="s">
        <v>12</v>
      </c>
    </row>
    <row r="1686" spans="1:10" x14ac:dyDescent="0.2">
      <c r="A1686" s="3">
        <v>163.23175755921</v>
      </c>
      <c r="B1686" s="1">
        <v>-0.492726690676697</v>
      </c>
      <c r="C1686" s="1">
        <v>5.6738968277190204E-3</v>
      </c>
      <c r="D1686" s="7">
        <v>4.9768180745992603E-2</v>
      </c>
      <c r="E1686" s="1" t="s">
        <v>851</v>
      </c>
      <c r="F1686" s="1" t="s">
        <v>852</v>
      </c>
      <c r="G1686" s="1">
        <v>20821</v>
      </c>
      <c r="H1686" s="6" t="str">
        <f>HYPERLINK("http://www.ensembl.org/Mus_musculus/Gene/Summary?db=core;g=ENSMUSG00000030966","ENSMUSG00000030966")</f>
        <v>ENSMUSG00000030966</v>
      </c>
      <c r="I1686" s="6" t="str">
        <f>HYPERLINK("http://www.informatics.jax.org/marker/MGI:106657","MGI:106657")</f>
        <v>MGI:106657</v>
      </c>
      <c r="J1686" s="7" t="s">
        <v>12</v>
      </c>
    </row>
    <row r="1687" spans="1:10" x14ac:dyDescent="0.2">
      <c r="A1687" s="3">
        <v>517.85767111852795</v>
      </c>
      <c r="B1687" s="1">
        <v>0.40046936470896399</v>
      </c>
      <c r="C1687" s="1">
        <v>5.6729673711546904E-3</v>
      </c>
      <c r="D1687" s="7">
        <v>4.9768180745992603E-2</v>
      </c>
      <c r="E1687" s="1" t="s">
        <v>3144</v>
      </c>
      <c r="F1687" s="1" t="s">
        <v>3145</v>
      </c>
      <c r="G1687" s="1">
        <v>72080</v>
      </c>
      <c r="H1687" s="6" t="str">
        <f>HYPERLINK("http://www.ensembl.org/Mus_musculus/Gene/Summary?db=core;g=ENSMUSG00000026955","ENSMUSG00000026955")</f>
        <v>ENSMUSG00000026955</v>
      </c>
      <c r="I1687" s="6" t="str">
        <f>HYPERLINK("http://www.informatics.jax.org/marker/MGI:1919330","MGI:1919330")</f>
        <v>MGI:1919330</v>
      </c>
      <c r="J1687" s="7" t="s">
        <v>12</v>
      </c>
    </row>
    <row r="1688" spans="1:10" x14ac:dyDescent="0.2">
      <c r="A1688" s="3">
        <v>2012.0260876714999</v>
      </c>
      <c r="B1688" s="1">
        <v>0.107181123831508</v>
      </c>
      <c r="C1688" s="1">
        <v>5.6934501831140899E-3</v>
      </c>
      <c r="D1688" s="7">
        <v>4.9909983282789498E-2</v>
      </c>
      <c r="E1688" s="1" t="s">
        <v>2194</v>
      </c>
      <c r="F1688" s="1" t="s">
        <v>2195</v>
      </c>
      <c r="G1688" s="1">
        <v>19060</v>
      </c>
      <c r="H1688" s="6" t="str">
        <f>HYPERLINK("http://www.ensembl.org/Mus_musculus/Gene/Summary?db=core;g=ENSMUSG00000003099","ENSMUSG00000003099")</f>
        <v>ENSMUSG00000003099</v>
      </c>
      <c r="I1688" s="6" t="str">
        <f>HYPERLINK("http://www.informatics.jax.org/marker/MGI:102666","MGI:102666")</f>
        <v>MGI:102666</v>
      </c>
      <c r="J1688" s="7" t="s">
        <v>12</v>
      </c>
    </row>
    <row r="1689" spans="1:10" x14ac:dyDescent="0.2">
      <c r="H1689" s="6"/>
      <c r="I1689" s="6"/>
    </row>
    <row r="1690" spans="1:10" x14ac:dyDescent="0.2">
      <c r="H1690" s="6"/>
      <c r="I1690" s="6"/>
    </row>
    <row r="1691" spans="1:10" x14ac:dyDescent="0.2">
      <c r="H1691" s="6"/>
      <c r="I1691" s="6"/>
    </row>
    <row r="1692" spans="1:10" x14ac:dyDescent="0.2">
      <c r="H1692" s="6"/>
      <c r="I1692" s="6"/>
    </row>
    <row r="1693" spans="1:10" x14ac:dyDescent="0.2">
      <c r="H1693" s="6"/>
      <c r="I1693" s="6"/>
    </row>
    <row r="1694" spans="1:10" x14ac:dyDescent="0.2">
      <c r="H1694" s="6"/>
      <c r="I1694" s="6"/>
    </row>
    <row r="1695" spans="1:10" x14ac:dyDescent="0.2">
      <c r="H1695" s="6"/>
      <c r="I1695" s="6"/>
    </row>
    <row r="1696" spans="1:10" x14ac:dyDescent="0.2">
      <c r="H1696" s="6"/>
      <c r="I1696" s="6"/>
    </row>
    <row r="1697" spans="8:9" x14ac:dyDescent="0.2">
      <c r="H1697" s="6"/>
      <c r="I1697" s="6"/>
    </row>
    <row r="1698" spans="8:9" x14ac:dyDescent="0.2">
      <c r="H1698" s="6"/>
      <c r="I1698" s="6"/>
    </row>
    <row r="1699" spans="8:9" x14ac:dyDescent="0.2">
      <c r="H1699" s="6"/>
      <c r="I1699" s="6"/>
    </row>
    <row r="1700" spans="8:9" x14ac:dyDescent="0.2">
      <c r="H1700" s="6"/>
      <c r="I1700" s="6"/>
    </row>
    <row r="1701" spans="8:9" x14ac:dyDescent="0.2">
      <c r="H1701" s="6"/>
      <c r="I1701" s="6"/>
    </row>
    <row r="1702" spans="8:9" x14ac:dyDescent="0.2">
      <c r="H1702" s="6"/>
      <c r="I1702" s="6"/>
    </row>
    <row r="1703" spans="8:9" x14ac:dyDescent="0.2">
      <c r="H1703" s="6"/>
      <c r="I1703" s="6"/>
    </row>
    <row r="1704" spans="8:9" x14ac:dyDescent="0.2">
      <c r="H1704" s="6"/>
      <c r="I1704" s="6"/>
    </row>
    <row r="1705" spans="8:9" x14ac:dyDescent="0.2">
      <c r="H1705" s="6"/>
      <c r="I1705" s="6"/>
    </row>
    <row r="1706" spans="8:9" x14ac:dyDescent="0.2">
      <c r="H1706" s="6"/>
      <c r="I1706" s="6"/>
    </row>
    <row r="1707" spans="8:9" x14ac:dyDescent="0.2">
      <c r="H1707" s="6"/>
      <c r="I1707" s="6"/>
    </row>
    <row r="1708" spans="8:9" x14ac:dyDescent="0.2">
      <c r="H1708" s="6"/>
      <c r="I1708" s="6"/>
    </row>
    <row r="1709" spans="8:9" x14ac:dyDescent="0.2">
      <c r="H1709" s="6"/>
      <c r="I1709" s="6"/>
    </row>
    <row r="1710" spans="8:9" x14ac:dyDescent="0.2">
      <c r="H1710" s="6"/>
      <c r="I1710" s="6"/>
    </row>
    <row r="1711" spans="8:9" x14ac:dyDescent="0.2">
      <c r="H1711" s="6"/>
      <c r="I1711" s="6"/>
    </row>
    <row r="1712" spans="8:9" x14ac:dyDescent="0.2">
      <c r="H1712" s="6"/>
      <c r="I1712" s="6"/>
    </row>
    <row r="1713" spans="8:9" x14ac:dyDescent="0.2">
      <c r="H1713" s="6"/>
      <c r="I1713" s="6"/>
    </row>
    <row r="1714" spans="8:9" x14ac:dyDescent="0.2">
      <c r="H1714" s="6"/>
      <c r="I1714" s="6"/>
    </row>
    <row r="1715" spans="8:9" x14ac:dyDescent="0.2">
      <c r="H1715" s="6"/>
      <c r="I1715" s="6"/>
    </row>
    <row r="1716" spans="8:9" x14ac:dyDescent="0.2">
      <c r="H1716" s="6"/>
      <c r="I1716" s="6"/>
    </row>
    <row r="1717" spans="8:9" x14ac:dyDescent="0.2">
      <c r="H1717" s="6"/>
      <c r="I1717" s="6"/>
    </row>
    <row r="1718" spans="8:9" x14ac:dyDescent="0.2">
      <c r="H1718" s="6"/>
      <c r="I1718" s="6"/>
    </row>
    <row r="1719" spans="8:9" x14ac:dyDescent="0.2">
      <c r="H1719" s="6"/>
      <c r="I1719" s="6"/>
    </row>
    <row r="1720" spans="8:9" x14ac:dyDescent="0.2">
      <c r="H1720" s="6"/>
      <c r="I1720" s="6"/>
    </row>
    <row r="1721" spans="8:9" x14ac:dyDescent="0.2">
      <c r="H1721" s="6"/>
      <c r="I1721" s="6"/>
    </row>
    <row r="1722" spans="8:9" x14ac:dyDescent="0.2">
      <c r="H1722" s="6"/>
      <c r="I1722" s="6"/>
    </row>
    <row r="1723" spans="8:9" x14ac:dyDescent="0.2">
      <c r="H1723" s="6"/>
      <c r="I1723" s="6"/>
    </row>
    <row r="1724" spans="8:9" x14ac:dyDescent="0.2">
      <c r="H1724" s="6"/>
      <c r="I1724" s="6"/>
    </row>
    <row r="1725" spans="8:9" x14ac:dyDescent="0.2">
      <c r="H1725" s="6"/>
      <c r="I1725" s="6"/>
    </row>
    <row r="1726" spans="8:9" x14ac:dyDescent="0.2">
      <c r="H1726" s="6"/>
      <c r="I1726" s="6"/>
    </row>
    <row r="1727" spans="8:9" x14ac:dyDescent="0.2">
      <c r="H1727" s="6"/>
      <c r="I1727" s="6"/>
    </row>
    <row r="1728" spans="8:9" x14ac:dyDescent="0.2">
      <c r="H1728" s="6"/>
      <c r="I1728" s="6"/>
    </row>
    <row r="1729" spans="8:9" x14ac:dyDescent="0.2">
      <c r="H1729" s="6"/>
      <c r="I1729" s="6"/>
    </row>
    <row r="1730" spans="8:9" x14ac:dyDescent="0.2">
      <c r="H1730" s="6"/>
      <c r="I1730" s="6"/>
    </row>
    <row r="1731" spans="8:9" x14ac:dyDescent="0.2">
      <c r="H1731" s="6"/>
      <c r="I1731" s="6"/>
    </row>
    <row r="1732" spans="8:9" x14ac:dyDescent="0.2">
      <c r="H1732" s="6"/>
      <c r="I1732" s="6"/>
    </row>
    <row r="1733" spans="8:9" x14ac:dyDescent="0.2">
      <c r="H1733" s="6"/>
      <c r="I1733" s="6"/>
    </row>
    <row r="1734" spans="8:9" x14ac:dyDescent="0.2">
      <c r="H1734" s="6"/>
      <c r="I1734" s="6"/>
    </row>
    <row r="1735" spans="8:9" x14ac:dyDescent="0.2">
      <c r="H1735" s="6"/>
      <c r="I1735" s="6"/>
    </row>
    <row r="1736" spans="8:9" x14ac:dyDescent="0.2">
      <c r="H1736" s="6"/>
      <c r="I1736" s="6"/>
    </row>
    <row r="1737" spans="8:9" x14ac:dyDescent="0.2">
      <c r="H1737" s="6"/>
      <c r="I1737" s="6"/>
    </row>
    <row r="1738" spans="8:9" x14ac:dyDescent="0.2">
      <c r="H1738" s="6"/>
      <c r="I1738" s="6"/>
    </row>
    <row r="1739" spans="8:9" x14ac:dyDescent="0.2">
      <c r="H1739" s="6"/>
      <c r="I1739" s="6"/>
    </row>
    <row r="1740" spans="8:9" x14ac:dyDescent="0.2">
      <c r="H1740" s="6"/>
      <c r="I1740" s="6"/>
    </row>
    <row r="1741" spans="8:9" x14ac:dyDescent="0.2">
      <c r="H1741" s="6"/>
      <c r="I1741" s="6"/>
    </row>
    <row r="1742" spans="8:9" x14ac:dyDescent="0.2">
      <c r="H1742" s="6"/>
      <c r="I1742" s="6"/>
    </row>
    <row r="1743" spans="8:9" x14ac:dyDescent="0.2">
      <c r="H1743" s="6"/>
      <c r="I1743" s="6"/>
    </row>
    <row r="1744" spans="8:9" x14ac:dyDescent="0.2">
      <c r="H1744" s="6"/>
      <c r="I1744" s="6"/>
    </row>
    <row r="1745" spans="8:9" x14ac:dyDescent="0.2">
      <c r="H1745" s="6"/>
      <c r="I1745" s="6"/>
    </row>
    <row r="1746" spans="8:9" x14ac:dyDescent="0.2">
      <c r="H1746" s="6"/>
      <c r="I1746" s="6"/>
    </row>
    <row r="1747" spans="8:9" x14ac:dyDescent="0.2">
      <c r="H1747" s="6"/>
      <c r="I1747" s="6"/>
    </row>
    <row r="1748" spans="8:9" x14ac:dyDescent="0.2">
      <c r="H1748" s="6"/>
      <c r="I1748" s="6"/>
    </row>
    <row r="1749" spans="8:9" x14ac:dyDescent="0.2">
      <c r="H1749" s="6"/>
      <c r="I1749" s="6"/>
    </row>
    <row r="1750" spans="8:9" x14ac:dyDescent="0.2">
      <c r="H1750" s="6"/>
      <c r="I1750" s="6"/>
    </row>
    <row r="1751" spans="8:9" x14ac:dyDescent="0.2">
      <c r="H1751" s="6"/>
      <c r="I1751" s="6"/>
    </row>
    <row r="1752" spans="8:9" x14ac:dyDescent="0.2">
      <c r="H1752" s="6"/>
      <c r="I1752" s="6"/>
    </row>
    <row r="1753" spans="8:9" x14ac:dyDescent="0.2">
      <c r="H1753" s="6"/>
      <c r="I1753" s="6"/>
    </row>
    <row r="1754" spans="8:9" x14ac:dyDescent="0.2">
      <c r="H1754" s="6"/>
      <c r="I1754" s="6"/>
    </row>
    <row r="1755" spans="8:9" x14ac:dyDescent="0.2">
      <c r="H1755" s="6"/>
      <c r="I1755" s="6"/>
    </row>
    <row r="1756" spans="8:9" x14ac:dyDescent="0.2">
      <c r="H1756" s="6"/>
      <c r="I1756" s="6"/>
    </row>
    <row r="1757" spans="8:9" x14ac:dyDescent="0.2">
      <c r="H1757" s="6"/>
      <c r="I1757" s="6"/>
    </row>
    <row r="1758" spans="8:9" x14ac:dyDescent="0.2">
      <c r="H1758" s="6"/>
      <c r="I1758" s="6"/>
    </row>
    <row r="1759" spans="8:9" x14ac:dyDescent="0.2">
      <c r="H1759" s="6"/>
      <c r="I1759" s="6"/>
    </row>
    <row r="1760" spans="8:9" x14ac:dyDescent="0.2">
      <c r="H1760" s="6"/>
      <c r="I1760" s="6"/>
    </row>
    <row r="1761" spans="8:9" x14ac:dyDescent="0.2">
      <c r="H1761" s="6"/>
      <c r="I1761" s="6"/>
    </row>
    <row r="1762" spans="8:9" x14ac:dyDescent="0.2">
      <c r="H1762" s="6"/>
      <c r="I1762" s="6"/>
    </row>
    <row r="1763" spans="8:9" x14ac:dyDescent="0.2">
      <c r="H1763" s="6"/>
      <c r="I1763" s="6"/>
    </row>
    <row r="1764" spans="8:9" x14ac:dyDescent="0.2">
      <c r="H1764" s="6"/>
      <c r="I1764" s="6"/>
    </row>
    <row r="1765" spans="8:9" x14ac:dyDescent="0.2">
      <c r="H1765" s="6"/>
      <c r="I1765" s="6"/>
    </row>
    <row r="1766" spans="8:9" x14ac:dyDescent="0.2">
      <c r="H1766" s="6"/>
      <c r="I1766" s="6"/>
    </row>
    <row r="1767" spans="8:9" x14ac:dyDescent="0.2">
      <c r="H1767" s="6"/>
      <c r="I1767" s="6"/>
    </row>
    <row r="1768" spans="8:9" x14ac:dyDescent="0.2">
      <c r="H1768" s="6"/>
      <c r="I1768" s="6"/>
    </row>
    <row r="1769" spans="8:9" x14ac:dyDescent="0.2">
      <c r="H1769" s="6"/>
      <c r="I1769" s="6"/>
    </row>
    <row r="1770" spans="8:9" x14ac:dyDescent="0.2">
      <c r="H1770" s="6"/>
      <c r="I1770" s="6"/>
    </row>
    <row r="1771" spans="8:9" x14ac:dyDescent="0.2">
      <c r="H1771" s="6"/>
      <c r="I1771" s="6"/>
    </row>
    <row r="1772" spans="8:9" x14ac:dyDescent="0.2">
      <c r="H1772" s="6"/>
      <c r="I1772" s="6"/>
    </row>
    <row r="1773" spans="8:9" x14ac:dyDescent="0.2">
      <c r="H1773" s="6"/>
      <c r="I1773" s="6"/>
    </row>
    <row r="1774" spans="8:9" x14ac:dyDescent="0.2">
      <c r="H1774" s="6"/>
      <c r="I1774" s="6"/>
    </row>
    <row r="1775" spans="8:9" x14ac:dyDescent="0.2">
      <c r="H1775" s="6"/>
      <c r="I1775" s="6"/>
    </row>
    <row r="1776" spans="8:9" x14ac:dyDescent="0.2">
      <c r="H1776" s="6"/>
      <c r="I1776" s="6"/>
    </row>
    <row r="1777" spans="8:9" x14ac:dyDescent="0.2">
      <c r="H1777" s="6"/>
      <c r="I1777" s="6"/>
    </row>
    <row r="1778" spans="8:9" x14ac:dyDescent="0.2">
      <c r="H1778" s="6"/>
      <c r="I1778" s="6"/>
    </row>
    <row r="1779" spans="8:9" x14ac:dyDescent="0.2">
      <c r="H1779" s="6"/>
      <c r="I1779" s="6"/>
    </row>
    <row r="1780" spans="8:9" x14ac:dyDescent="0.2">
      <c r="H1780" s="6"/>
      <c r="I1780" s="6"/>
    </row>
    <row r="1781" spans="8:9" x14ac:dyDescent="0.2">
      <c r="H1781" s="6"/>
      <c r="I1781" s="6"/>
    </row>
    <row r="1782" spans="8:9" x14ac:dyDescent="0.2">
      <c r="H1782" s="6"/>
      <c r="I1782" s="6"/>
    </row>
    <row r="1783" spans="8:9" x14ac:dyDescent="0.2">
      <c r="H1783" s="6"/>
      <c r="I1783" s="6"/>
    </row>
    <row r="1784" spans="8:9" x14ac:dyDescent="0.2">
      <c r="H1784" s="6"/>
      <c r="I1784" s="6"/>
    </row>
    <row r="1785" spans="8:9" x14ac:dyDescent="0.2">
      <c r="H1785" s="6"/>
      <c r="I1785" s="6"/>
    </row>
    <row r="1786" spans="8:9" x14ac:dyDescent="0.2">
      <c r="H1786" s="6"/>
      <c r="I1786" s="6"/>
    </row>
    <row r="1787" spans="8:9" x14ac:dyDescent="0.2">
      <c r="H1787" s="6"/>
      <c r="I1787" s="6"/>
    </row>
    <row r="1788" spans="8:9" x14ac:dyDescent="0.2">
      <c r="H1788" s="6"/>
      <c r="I1788" s="6"/>
    </row>
    <row r="1789" spans="8:9" x14ac:dyDescent="0.2">
      <c r="H1789" s="6"/>
      <c r="I1789" s="6"/>
    </row>
    <row r="1790" spans="8:9" x14ac:dyDescent="0.2">
      <c r="H1790" s="6"/>
      <c r="I1790" s="6"/>
    </row>
    <row r="1791" spans="8:9" x14ac:dyDescent="0.2">
      <c r="H1791" s="6"/>
      <c r="I1791" s="6"/>
    </row>
    <row r="1792" spans="8:9" x14ac:dyDescent="0.2">
      <c r="H1792" s="6"/>
      <c r="I1792" s="6"/>
    </row>
    <row r="1793" spans="8:9" x14ac:dyDescent="0.2">
      <c r="H1793" s="6"/>
      <c r="I1793" s="6"/>
    </row>
    <row r="1794" spans="8:9" x14ac:dyDescent="0.2">
      <c r="H1794" s="6"/>
      <c r="I1794" s="6"/>
    </row>
    <row r="1795" spans="8:9" x14ac:dyDescent="0.2">
      <c r="H1795" s="6"/>
      <c r="I1795" s="6"/>
    </row>
    <row r="1796" spans="8:9" x14ac:dyDescent="0.2">
      <c r="H1796" s="6"/>
      <c r="I1796" s="6"/>
    </row>
    <row r="1797" spans="8:9" x14ac:dyDescent="0.2">
      <c r="H1797" s="6"/>
      <c r="I1797" s="6"/>
    </row>
    <row r="1798" spans="8:9" x14ac:dyDescent="0.2">
      <c r="H1798" s="6"/>
      <c r="I1798" s="6"/>
    </row>
    <row r="1799" spans="8:9" x14ac:dyDescent="0.2">
      <c r="H1799" s="6"/>
      <c r="I1799" s="6"/>
    </row>
    <row r="1800" spans="8:9" x14ac:dyDescent="0.2">
      <c r="H1800" s="6"/>
      <c r="I1800" s="6"/>
    </row>
    <row r="1801" spans="8:9" x14ac:dyDescent="0.2">
      <c r="H1801" s="6"/>
      <c r="I1801" s="6"/>
    </row>
    <row r="1802" spans="8:9" x14ac:dyDescent="0.2">
      <c r="H1802" s="6"/>
      <c r="I1802" s="6"/>
    </row>
    <row r="1803" spans="8:9" x14ac:dyDescent="0.2">
      <c r="H1803" s="6"/>
      <c r="I1803" s="6"/>
    </row>
    <row r="1804" spans="8:9" x14ac:dyDescent="0.2">
      <c r="H1804" s="6"/>
      <c r="I1804" s="6"/>
    </row>
    <row r="1805" spans="8:9" x14ac:dyDescent="0.2">
      <c r="H1805" s="6"/>
      <c r="I1805" s="6"/>
    </row>
    <row r="1806" spans="8:9" x14ac:dyDescent="0.2">
      <c r="H1806" s="6"/>
      <c r="I1806" s="6"/>
    </row>
    <row r="1807" spans="8:9" x14ac:dyDescent="0.2">
      <c r="H1807" s="6"/>
      <c r="I1807" s="6"/>
    </row>
    <row r="1808" spans="8:9" x14ac:dyDescent="0.2">
      <c r="H1808" s="6"/>
      <c r="I1808" s="6"/>
    </row>
    <row r="1809" spans="8:9" x14ac:dyDescent="0.2">
      <c r="H1809" s="6"/>
      <c r="I1809" s="6"/>
    </row>
    <row r="1810" spans="8:9" x14ac:dyDescent="0.2">
      <c r="H1810" s="6"/>
      <c r="I1810" s="6"/>
    </row>
    <row r="1811" spans="8:9" x14ac:dyDescent="0.2">
      <c r="H1811" s="6"/>
      <c r="I1811" s="6"/>
    </row>
    <row r="1812" spans="8:9" x14ac:dyDescent="0.2">
      <c r="H1812" s="6"/>
      <c r="I1812" s="6"/>
    </row>
    <row r="1813" spans="8:9" x14ac:dyDescent="0.2">
      <c r="H1813" s="6"/>
      <c r="I1813" s="6"/>
    </row>
    <row r="1814" spans="8:9" x14ac:dyDescent="0.2">
      <c r="H1814" s="6"/>
      <c r="I1814" s="6"/>
    </row>
    <row r="1815" spans="8:9" x14ac:dyDescent="0.2">
      <c r="H1815" s="6"/>
      <c r="I1815" s="6"/>
    </row>
    <row r="1816" spans="8:9" x14ac:dyDescent="0.2">
      <c r="H1816" s="6"/>
      <c r="I1816" s="6"/>
    </row>
    <row r="1817" spans="8:9" x14ac:dyDescent="0.2">
      <c r="H1817" s="6"/>
      <c r="I1817" s="6"/>
    </row>
    <row r="1818" spans="8:9" x14ac:dyDescent="0.2">
      <c r="H1818" s="6"/>
      <c r="I1818" s="6"/>
    </row>
    <row r="1819" spans="8:9" x14ac:dyDescent="0.2">
      <c r="H1819" s="6"/>
      <c r="I1819" s="6"/>
    </row>
    <row r="1820" spans="8:9" x14ac:dyDescent="0.2">
      <c r="H1820" s="6"/>
      <c r="I1820" s="6"/>
    </row>
    <row r="1821" spans="8:9" x14ac:dyDescent="0.2">
      <c r="H1821" s="6"/>
      <c r="I1821" s="6"/>
    </row>
    <row r="1822" spans="8:9" x14ac:dyDescent="0.2">
      <c r="H1822" s="6"/>
      <c r="I1822" s="6"/>
    </row>
    <row r="1823" spans="8:9" x14ac:dyDescent="0.2">
      <c r="H1823" s="6"/>
      <c r="I1823" s="6"/>
    </row>
    <row r="1824" spans="8:9" x14ac:dyDescent="0.2">
      <c r="H1824" s="6"/>
      <c r="I1824" s="6"/>
    </row>
    <row r="1825" spans="8:9" x14ac:dyDescent="0.2">
      <c r="H1825" s="6"/>
      <c r="I1825" s="6"/>
    </row>
    <row r="1826" spans="8:9" x14ac:dyDescent="0.2">
      <c r="H1826" s="6"/>
      <c r="I1826" s="6"/>
    </row>
    <row r="1827" spans="8:9" x14ac:dyDescent="0.2">
      <c r="H1827" s="6"/>
      <c r="I1827" s="6"/>
    </row>
    <row r="1828" spans="8:9" x14ac:dyDescent="0.2">
      <c r="H1828" s="6"/>
      <c r="I1828" s="6"/>
    </row>
    <row r="1829" spans="8:9" x14ac:dyDescent="0.2">
      <c r="H1829" s="6"/>
      <c r="I1829" s="6"/>
    </row>
    <row r="1830" spans="8:9" x14ac:dyDescent="0.2">
      <c r="H1830" s="6"/>
      <c r="I1830" s="6"/>
    </row>
    <row r="1831" spans="8:9" x14ac:dyDescent="0.2">
      <c r="H1831" s="6"/>
      <c r="I1831" s="6"/>
    </row>
    <row r="1832" spans="8:9" x14ac:dyDescent="0.2">
      <c r="H1832" s="6"/>
      <c r="I1832" s="6"/>
    </row>
    <row r="1833" spans="8:9" x14ac:dyDescent="0.2">
      <c r="H1833" s="6"/>
      <c r="I1833" s="6"/>
    </row>
    <row r="1834" spans="8:9" x14ac:dyDescent="0.2">
      <c r="H1834" s="6"/>
      <c r="I1834" s="6"/>
    </row>
    <row r="1835" spans="8:9" x14ac:dyDescent="0.2">
      <c r="H1835" s="6"/>
      <c r="I1835" s="6"/>
    </row>
    <row r="1836" spans="8:9" x14ac:dyDescent="0.2">
      <c r="H1836" s="6"/>
      <c r="I1836" s="6"/>
    </row>
    <row r="1837" spans="8:9" x14ac:dyDescent="0.2">
      <c r="H1837" s="6"/>
      <c r="I1837" s="6"/>
    </row>
    <row r="1838" spans="8:9" x14ac:dyDescent="0.2">
      <c r="H1838" s="6"/>
      <c r="I1838" s="6"/>
    </row>
    <row r="1839" spans="8:9" x14ac:dyDescent="0.2">
      <c r="H1839" s="6"/>
      <c r="I1839" s="6"/>
    </row>
    <row r="1840" spans="8:9" x14ac:dyDescent="0.2">
      <c r="H1840" s="6"/>
      <c r="I1840" s="6"/>
    </row>
    <row r="1841" spans="8:9" x14ac:dyDescent="0.2">
      <c r="H1841" s="6"/>
      <c r="I1841" s="6"/>
    </row>
    <row r="1842" spans="8:9" x14ac:dyDescent="0.2">
      <c r="H1842" s="6"/>
      <c r="I1842" s="6"/>
    </row>
    <row r="1843" spans="8:9" x14ac:dyDescent="0.2">
      <c r="H1843" s="6"/>
      <c r="I1843" s="6"/>
    </row>
    <row r="1844" spans="8:9" x14ac:dyDescent="0.2">
      <c r="H1844" s="6"/>
      <c r="I1844" s="6"/>
    </row>
    <row r="1845" spans="8:9" x14ac:dyDescent="0.2">
      <c r="H1845" s="6"/>
      <c r="I1845" s="6"/>
    </row>
    <row r="1846" spans="8:9" x14ac:dyDescent="0.2">
      <c r="H1846" s="6"/>
      <c r="I1846" s="6"/>
    </row>
    <row r="1847" spans="8:9" x14ac:dyDescent="0.2">
      <c r="H1847" s="6"/>
      <c r="I1847" s="6"/>
    </row>
    <row r="1848" spans="8:9" x14ac:dyDescent="0.2">
      <c r="H1848" s="6"/>
      <c r="I1848" s="6"/>
    </row>
    <row r="1849" spans="8:9" x14ac:dyDescent="0.2">
      <c r="H1849" s="6"/>
      <c r="I1849" s="6"/>
    </row>
    <row r="1850" spans="8:9" x14ac:dyDescent="0.2">
      <c r="H1850" s="6"/>
      <c r="I1850" s="6"/>
    </row>
    <row r="1851" spans="8:9" x14ac:dyDescent="0.2">
      <c r="H1851" s="6"/>
      <c r="I1851" s="6"/>
    </row>
    <row r="1852" spans="8:9" x14ac:dyDescent="0.2">
      <c r="H1852" s="6"/>
      <c r="I1852" s="6"/>
    </row>
    <row r="1853" spans="8:9" x14ac:dyDescent="0.2">
      <c r="H1853" s="6"/>
      <c r="I1853" s="6"/>
    </row>
    <row r="1854" spans="8:9" x14ac:dyDescent="0.2">
      <c r="H1854" s="6"/>
      <c r="I1854" s="6"/>
    </row>
    <row r="1855" spans="8:9" x14ac:dyDescent="0.2">
      <c r="H1855" s="6"/>
      <c r="I1855" s="6"/>
    </row>
    <row r="1856" spans="8:9" x14ac:dyDescent="0.2">
      <c r="H1856" s="6"/>
      <c r="I1856" s="6"/>
    </row>
    <row r="1857" spans="8:9" x14ac:dyDescent="0.2">
      <c r="H1857" s="6"/>
      <c r="I1857" s="6"/>
    </row>
    <row r="1858" spans="8:9" x14ac:dyDescent="0.2">
      <c r="H1858" s="6"/>
      <c r="I1858" s="6"/>
    </row>
    <row r="1859" spans="8:9" x14ac:dyDescent="0.2">
      <c r="H1859" s="6"/>
      <c r="I1859" s="6"/>
    </row>
    <row r="1860" spans="8:9" x14ac:dyDescent="0.2">
      <c r="H1860" s="6"/>
      <c r="I1860" s="6"/>
    </row>
    <row r="1861" spans="8:9" x14ac:dyDescent="0.2">
      <c r="H1861" s="6"/>
      <c r="I1861" s="6"/>
    </row>
    <row r="1862" spans="8:9" x14ac:dyDescent="0.2">
      <c r="H1862" s="6"/>
      <c r="I1862" s="6"/>
    </row>
    <row r="1863" spans="8:9" x14ac:dyDescent="0.2">
      <c r="H1863" s="6"/>
      <c r="I1863" s="6"/>
    </row>
    <row r="1864" spans="8:9" x14ac:dyDescent="0.2">
      <c r="H1864" s="6"/>
      <c r="I1864" s="6"/>
    </row>
    <row r="1865" spans="8:9" x14ac:dyDescent="0.2">
      <c r="H1865" s="6"/>
      <c r="I1865" s="6"/>
    </row>
    <row r="1866" spans="8:9" x14ac:dyDescent="0.2">
      <c r="H1866" s="6"/>
      <c r="I1866" s="6"/>
    </row>
    <row r="1867" spans="8:9" x14ac:dyDescent="0.2">
      <c r="H1867" s="6"/>
      <c r="I1867" s="6"/>
    </row>
    <row r="1868" spans="8:9" x14ac:dyDescent="0.2">
      <c r="H1868" s="6"/>
      <c r="I1868" s="6"/>
    </row>
    <row r="1869" spans="8:9" x14ac:dyDescent="0.2">
      <c r="H1869" s="6"/>
      <c r="I1869" s="6"/>
    </row>
    <row r="1870" spans="8:9" x14ac:dyDescent="0.2">
      <c r="H1870" s="6"/>
      <c r="I1870" s="6"/>
    </row>
    <row r="1871" spans="8:9" x14ac:dyDescent="0.2">
      <c r="H1871" s="6"/>
      <c r="I1871" s="6"/>
    </row>
    <row r="1872" spans="8:9" x14ac:dyDescent="0.2">
      <c r="H1872" s="6"/>
      <c r="I1872" s="6"/>
    </row>
    <row r="1873" spans="8:9" x14ac:dyDescent="0.2">
      <c r="H1873" s="6"/>
      <c r="I1873" s="6"/>
    </row>
    <row r="1874" spans="8:9" x14ac:dyDescent="0.2">
      <c r="H1874" s="6"/>
      <c r="I1874" s="6"/>
    </row>
    <row r="1875" spans="8:9" x14ac:dyDescent="0.2">
      <c r="H1875" s="6"/>
      <c r="I1875" s="6"/>
    </row>
    <row r="1876" spans="8:9" x14ac:dyDescent="0.2">
      <c r="H1876" s="6"/>
      <c r="I1876" s="6"/>
    </row>
    <row r="1877" spans="8:9" x14ac:dyDescent="0.2">
      <c r="H1877" s="6"/>
      <c r="I1877" s="6"/>
    </row>
    <row r="1878" spans="8:9" x14ac:dyDescent="0.2">
      <c r="H1878" s="6"/>
      <c r="I1878" s="6"/>
    </row>
    <row r="1879" spans="8:9" x14ac:dyDescent="0.2">
      <c r="H1879" s="6"/>
      <c r="I1879" s="6"/>
    </row>
    <row r="1880" spans="8:9" x14ac:dyDescent="0.2">
      <c r="H1880" s="6"/>
      <c r="I1880" s="6"/>
    </row>
    <row r="1881" spans="8:9" x14ac:dyDescent="0.2">
      <c r="H1881" s="6"/>
      <c r="I1881" s="6"/>
    </row>
    <row r="1882" spans="8:9" x14ac:dyDescent="0.2">
      <c r="H1882" s="6"/>
      <c r="I1882" s="6"/>
    </row>
    <row r="1883" spans="8:9" x14ac:dyDescent="0.2">
      <c r="H1883" s="6"/>
      <c r="I1883" s="6"/>
    </row>
    <row r="1884" spans="8:9" x14ac:dyDescent="0.2">
      <c r="H1884" s="6"/>
      <c r="I1884" s="6"/>
    </row>
    <row r="1885" spans="8:9" x14ac:dyDescent="0.2">
      <c r="H1885" s="6"/>
      <c r="I1885" s="6"/>
    </row>
    <row r="1886" spans="8:9" x14ac:dyDescent="0.2">
      <c r="H1886" s="6"/>
      <c r="I1886" s="6"/>
    </row>
    <row r="1887" spans="8:9" x14ac:dyDescent="0.2">
      <c r="H1887" s="6"/>
      <c r="I1887" s="6"/>
    </row>
    <row r="1888" spans="8:9" x14ac:dyDescent="0.2">
      <c r="H1888" s="6"/>
      <c r="I1888" s="6"/>
    </row>
    <row r="1889" spans="8:9" x14ac:dyDescent="0.2">
      <c r="H1889" s="6"/>
      <c r="I1889" s="6"/>
    </row>
    <row r="1890" spans="8:9" x14ac:dyDescent="0.2">
      <c r="H1890" s="6"/>
      <c r="I1890" s="6"/>
    </row>
    <row r="1891" spans="8:9" x14ac:dyDescent="0.2">
      <c r="H1891" s="6"/>
      <c r="I1891" s="6"/>
    </row>
    <row r="1892" spans="8:9" x14ac:dyDescent="0.2">
      <c r="H1892" s="6"/>
      <c r="I1892" s="6"/>
    </row>
    <row r="1893" spans="8:9" x14ac:dyDescent="0.2">
      <c r="H1893" s="6"/>
      <c r="I1893" s="6"/>
    </row>
    <row r="1894" spans="8:9" x14ac:dyDescent="0.2">
      <c r="H1894" s="6"/>
      <c r="I1894" s="6"/>
    </row>
    <row r="1895" spans="8:9" x14ac:dyDescent="0.2">
      <c r="H1895" s="6"/>
      <c r="I1895" s="6"/>
    </row>
    <row r="1896" spans="8:9" x14ac:dyDescent="0.2">
      <c r="H1896" s="6"/>
      <c r="I1896" s="6"/>
    </row>
    <row r="1897" spans="8:9" x14ac:dyDescent="0.2">
      <c r="H1897" s="6"/>
      <c r="I1897" s="6"/>
    </row>
    <row r="1898" spans="8:9" x14ac:dyDescent="0.2">
      <c r="H1898" s="6"/>
      <c r="I1898" s="6"/>
    </row>
    <row r="1899" spans="8:9" x14ac:dyDescent="0.2">
      <c r="H1899" s="6"/>
      <c r="I1899" s="6"/>
    </row>
    <row r="1900" spans="8:9" x14ac:dyDescent="0.2">
      <c r="H1900" s="6"/>
      <c r="I1900" s="6"/>
    </row>
    <row r="1901" spans="8:9" x14ac:dyDescent="0.2">
      <c r="H1901" s="6"/>
      <c r="I1901" s="6"/>
    </row>
    <row r="1902" spans="8:9" x14ac:dyDescent="0.2">
      <c r="H1902" s="6"/>
      <c r="I1902" s="6"/>
    </row>
    <row r="1903" spans="8:9" x14ac:dyDescent="0.2">
      <c r="H1903" s="6"/>
      <c r="I1903" s="6"/>
    </row>
    <row r="1904" spans="8:9" x14ac:dyDescent="0.2">
      <c r="H1904" s="6"/>
      <c r="I1904" s="6"/>
    </row>
    <row r="1905" spans="8:9" x14ac:dyDescent="0.2">
      <c r="H1905" s="6"/>
      <c r="I1905" s="6"/>
    </row>
    <row r="1906" spans="8:9" x14ac:dyDescent="0.2">
      <c r="H1906" s="6"/>
      <c r="I1906" s="6"/>
    </row>
    <row r="1907" spans="8:9" x14ac:dyDescent="0.2">
      <c r="H1907" s="6"/>
      <c r="I1907" s="6"/>
    </row>
    <row r="1908" spans="8:9" x14ac:dyDescent="0.2">
      <c r="H1908" s="6"/>
      <c r="I1908" s="6"/>
    </row>
    <row r="1909" spans="8:9" x14ac:dyDescent="0.2">
      <c r="H1909" s="6"/>
      <c r="I1909" s="6"/>
    </row>
    <row r="1910" spans="8:9" x14ac:dyDescent="0.2">
      <c r="H1910" s="6"/>
      <c r="I1910" s="6"/>
    </row>
    <row r="1911" spans="8:9" x14ac:dyDescent="0.2">
      <c r="H1911" s="6"/>
      <c r="I1911" s="6"/>
    </row>
    <row r="1912" spans="8:9" x14ac:dyDescent="0.2">
      <c r="H1912" s="6"/>
      <c r="I1912" s="6"/>
    </row>
    <row r="1913" spans="8:9" x14ac:dyDescent="0.2">
      <c r="H1913" s="6"/>
      <c r="I1913" s="6"/>
    </row>
    <row r="1914" spans="8:9" x14ac:dyDescent="0.2">
      <c r="H1914" s="6"/>
      <c r="I1914" s="6"/>
    </row>
    <row r="1915" spans="8:9" x14ac:dyDescent="0.2">
      <c r="H1915" s="6"/>
      <c r="I1915" s="6"/>
    </row>
    <row r="1916" spans="8:9" x14ac:dyDescent="0.2">
      <c r="H1916" s="6"/>
      <c r="I1916" s="6"/>
    </row>
    <row r="1917" spans="8:9" x14ac:dyDescent="0.2">
      <c r="H1917" s="6"/>
      <c r="I1917" s="6"/>
    </row>
    <row r="1918" spans="8:9" x14ac:dyDescent="0.2">
      <c r="H1918" s="6"/>
      <c r="I1918" s="6"/>
    </row>
    <row r="1919" spans="8:9" x14ac:dyDescent="0.2">
      <c r="H1919" s="6"/>
      <c r="I1919" s="6"/>
    </row>
    <row r="1920" spans="8:9" x14ac:dyDescent="0.2">
      <c r="H1920" s="6"/>
      <c r="I1920" s="6"/>
    </row>
    <row r="1921" spans="8:9" x14ac:dyDescent="0.2">
      <c r="H1921" s="6"/>
      <c r="I1921" s="6"/>
    </row>
    <row r="1922" spans="8:9" x14ac:dyDescent="0.2">
      <c r="H1922" s="6"/>
      <c r="I1922" s="6"/>
    </row>
    <row r="1923" spans="8:9" x14ac:dyDescent="0.2">
      <c r="H1923" s="6"/>
      <c r="I1923" s="6"/>
    </row>
    <row r="1924" spans="8:9" x14ac:dyDescent="0.2">
      <c r="H1924" s="6"/>
      <c r="I1924" s="6"/>
    </row>
    <row r="1925" spans="8:9" x14ac:dyDescent="0.2">
      <c r="H1925" s="6"/>
      <c r="I1925" s="6"/>
    </row>
    <row r="1926" spans="8:9" x14ac:dyDescent="0.2">
      <c r="H1926" s="6"/>
      <c r="I1926" s="6"/>
    </row>
    <row r="1927" spans="8:9" x14ac:dyDescent="0.2">
      <c r="H1927" s="6"/>
      <c r="I1927" s="6"/>
    </row>
    <row r="1928" spans="8:9" x14ac:dyDescent="0.2">
      <c r="H1928" s="6"/>
      <c r="I1928" s="6"/>
    </row>
    <row r="1929" spans="8:9" x14ac:dyDescent="0.2">
      <c r="H1929" s="6"/>
      <c r="I1929" s="6"/>
    </row>
    <row r="1930" spans="8:9" x14ac:dyDescent="0.2">
      <c r="H1930" s="6"/>
      <c r="I1930" s="6"/>
    </row>
    <row r="1931" spans="8:9" x14ac:dyDescent="0.2">
      <c r="H1931" s="6"/>
      <c r="I1931" s="6"/>
    </row>
    <row r="1932" spans="8:9" x14ac:dyDescent="0.2">
      <c r="H1932" s="6"/>
      <c r="I1932" s="6"/>
    </row>
    <row r="1933" spans="8:9" x14ac:dyDescent="0.2">
      <c r="H1933" s="6"/>
      <c r="I1933" s="6"/>
    </row>
    <row r="1934" spans="8:9" x14ac:dyDescent="0.2">
      <c r="H1934" s="6"/>
      <c r="I1934" s="6"/>
    </row>
    <row r="1935" spans="8:9" x14ac:dyDescent="0.2">
      <c r="H1935" s="6"/>
      <c r="I1935" s="6"/>
    </row>
    <row r="1936" spans="8:9" x14ac:dyDescent="0.2">
      <c r="H1936" s="6"/>
      <c r="I1936" s="6"/>
    </row>
    <row r="1937" spans="8:9" x14ac:dyDescent="0.2">
      <c r="H1937" s="6"/>
      <c r="I1937" s="6"/>
    </row>
    <row r="1938" spans="8:9" x14ac:dyDescent="0.2">
      <c r="H1938" s="6"/>
      <c r="I1938" s="6"/>
    </row>
    <row r="1939" spans="8:9" x14ac:dyDescent="0.2">
      <c r="H1939" s="6"/>
      <c r="I1939" s="6"/>
    </row>
    <row r="1940" spans="8:9" x14ac:dyDescent="0.2">
      <c r="H1940" s="6"/>
      <c r="I1940" s="6"/>
    </row>
    <row r="1941" spans="8:9" x14ac:dyDescent="0.2">
      <c r="H1941" s="6"/>
      <c r="I1941" s="6"/>
    </row>
    <row r="1942" spans="8:9" x14ac:dyDescent="0.2">
      <c r="H1942" s="6"/>
      <c r="I1942" s="6"/>
    </row>
    <row r="1943" spans="8:9" x14ac:dyDescent="0.2">
      <c r="H1943" s="6"/>
      <c r="I1943" s="6"/>
    </row>
    <row r="1944" spans="8:9" x14ac:dyDescent="0.2">
      <c r="H1944" s="6"/>
      <c r="I1944" s="6"/>
    </row>
    <row r="1945" spans="8:9" x14ac:dyDescent="0.2">
      <c r="H1945" s="6"/>
      <c r="I1945" s="6"/>
    </row>
    <row r="1946" spans="8:9" x14ac:dyDescent="0.2">
      <c r="H1946" s="6"/>
      <c r="I1946" s="6"/>
    </row>
    <row r="1947" spans="8:9" x14ac:dyDescent="0.2">
      <c r="H1947" s="6"/>
      <c r="I1947" s="6"/>
    </row>
    <row r="1948" spans="8:9" x14ac:dyDescent="0.2">
      <c r="H1948" s="6"/>
      <c r="I1948" s="6"/>
    </row>
    <row r="1949" spans="8:9" x14ac:dyDescent="0.2">
      <c r="H1949" s="6"/>
      <c r="I1949" s="6"/>
    </row>
    <row r="1950" spans="8:9" x14ac:dyDescent="0.2">
      <c r="H1950" s="6"/>
      <c r="I1950" s="6"/>
    </row>
    <row r="1951" spans="8:9" x14ac:dyDescent="0.2">
      <c r="H1951" s="6"/>
      <c r="I1951" s="6"/>
    </row>
    <row r="1952" spans="8:9" x14ac:dyDescent="0.2">
      <c r="H1952" s="6"/>
      <c r="I1952" s="6"/>
    </row>
    <row r="1953" spans="8:9" x14ac:dyDescent="0.2">
      <c r="H1953" s="6"/>
      <c r="I1953" s="6"/>
    </row>
    <row r="1954" spans="8:9" x14ac:dyDescent="0.2">
      <c r="H1954" s="6"/>
      <c r="I1954" s="6"/>
    </row>
    <row r="1955" spans="8:9" x14ac:dyDescent="0.2">
      <c r="H1955" s="6"/>
      <c r="I1955" s="6"/>
    </row>
    <row r="1956" spans="8:9" x14ac:dyDescent="0.2">
      <c r="H1956" s="6"/>
      <c r="I1956" s="6"/>
    </row>
    <row r="1957" spans="8:9" x14ac:dyDescent="0.2">
      <c r="H1957" s="6"/>
      <c r="I1957" s="6"/>
    </row>
    <row r="1958" spans="8:9" x14ac:dyDescent="0.2">
      <c r="H1958" s="6"/>
      <c r="I1958" s="6"/>
    </row>
    <row r="1959" spans="8:9" x14ac:dyDescent="0.2">
      <c r="H1959" s="6"/>
      <c r="I1959" s="6"/>
    </row>
    <row r="1960" spans="8:9" x14ac:dyDescent="0.2">
      <c r="H1960" s="6"/>
      <c r="I1960" s="6"/>
    </row>
    <row r="1961" spans="8:9" x14ac:dyDescent="0.2">
      <c r="H1961" s="6"/>
      <c r="I1961" s="6"/>
    </row>
    <row r="1962" spans="8:9" x14ac:dyDescent="0.2">
      <c r="H1962" s="6"/>
      <c r="I1962" s="6"/>
    </row>
    <row r="1963" spans="8:9" x14ac:dyDescent="0.2">
      <c r="H1963" s="6"/>
      <c r="I1963" s="6"/>
    </row>
    <row r="1964" spans="8:9" x14ac:dyDescent="0.2">
      <c r="H1964" s="6"/>
      <c r="I1964" s="6"/>
    </row>
    <row r="1965" spans="8:9" x14ac:dyDescent="0.2">
      <c r="H1965" s="6"/>
      <c r="I1965" s="6"/>
    </row>
    <row r="1966" spans="8:9" x14ac:dyDescent="0.2">
      <c r="H1966" s="6"/>
      <c r="I1966" s="6"/>
    </row>
    <row r="1967" spans="8:9" x14ac:dyDescent="0.2">
      <c r="H1967" s="6"/>
      <c r="I1967" s="6"/>
    </row>
    <row r="1968" spans="8:9" x14ac:dyDescent="0.2">
      <c r="H1968" s="6"/>
      <c r="I1968" s="6"/>
    </row>
    <row r="1969" spans="8:9" x14ac:dyDescent="0.2">
      <c r="H1969" s="6"/>
      <c r="I1969" s="6"/>
    </row>
    <row r="1970" spans="8:9" x14ac:dyDescent="0.2">
      <c r="H1970" s="6"/>
      <c r="I1970" s="6"/>
    </row>
    <row r="1971" spans="8:9" x14ac:dyDescent="0.2">
      <c r="H1971" s="6"/>
      <c r="I1971" s="6"/>
    </row>
    <row r="1972" spans="8:9" x14ac:dyDescent="0.2">
      <c r="H1972" s="6"/>
      <c r="I1972" s="6"/>
    </row>
    <row r="1973" spans="8:9" x14ac:dyDescent="0.2">
      <c r="H1973" s="6"/>
      <c r="I1973" s="6"/>
    </row>
    <row r="1974" spans="8:9" x14ac:dyDescent="0.2">
      <c r="H1974" s="6"/>
      <c r="I1974" s="6"/>
    </row>
    <row r="1975" spans="8:9" x14ac:dyDescent="0.2">
      <c r="H1975" s="6"/>
      <c r="I1975" s="6"/>
    </row>
    <row r="1976" spans="8:9" x14ac:dyDescent="0.2">
      <c r="H1976" s="6"/>
      <c r="I1976" s="6"/>
    </row>
    <row r="1977" spans="8:9" x14ac:dyDescent="0.2">
      <c r="H1977" s="6"/>
      <c r="I1977" s="6"/>
    </row>
    <row r="1978" spans="8:9" x14ac:dyDescent="0.2">
      <c r="H1978" s="6"/>
      <c r="I1978" s="6"/>
    </row>
    <row r="1979" spans="8:9" x14ac:dyDescent="0.2">
      <c r="H1979" s="6"/>
      <c r="I1979" s="6"/>
    </row>
    <row r="1980" spans="8:9" x14ac:dyDescent="0.2">
      <c r="H1980" s="6"/>
      <c r="I1980" s="6"/>
    </row>
    <row r="1981" spans="8:9" x14ac:dyDescent="0.2">
      <c r="H1981" s="6"/>
      <c r="I1981" s="6"/>
    </row>
    <row r="1982" spans="8:9" x14ac:dyDescent="0.2">
      <c r="H1982" s="6"/>
      <c r="I1982" s="6"/>
    </row>
    <row r="1983" spans="8:9" x14ac:dyDescent="0.2">
      <c r="H1983" s="6"/>
      <c r="I1983" s="6"/>
    </row>
    <row r="1984" spans="8:9" x14ac:dyDescent="0.2">
      <c r="H1984" s="6"/>
      <c r="I1984" s="6"/>
    </row>
    <row r="1985" spans="8:9" x14ac:dyDescent="0.2">
      <c r="H1985" s="6"/>
      <c r="I1985" s="6"/>
    </row>
    <row r="1986" spans="8:9" x14ac:dyDescent="0.2">
      <c r="H1986" s="6"/>
      <c r="I1986" s="6"/>
    </row>
    <row r="1987" spans="8:9" x14ac:dyDescent="0.2">
      <c r="H1987" s="6"/>
      <c r="I1987" s="6"/>
    </row>
    <row r="1988" spans="8:9" x14ac:dyDescent="0.2">
      <c r="H1988" s="6"/>
      <c r="I1988" s="6"/>
    </row>
    <row r="1989" spans="8:9" x14ac:dyDescent="0.2">
      <c r="H1989" s="6"/>
      <c r="I1989" s="6"/>
    </row>
    <row r="1990" spans="8:9" x14ac:dyDescent="0.2">
      <c r="H1990" s="6"/>
      <c r="I1990" s="6"/>
    </row>
    <row r="1991" spans="8:9" x14ac:dyDescent="0.2">
      <c r="H1991" s="6"/>
      <c r="I1991" s="6"/>
    </row>
    <row r="1992" spans="8:9" x14ac:dyDescent="0.2">
      <c r="H1992" s="6"/>
      <c r="I1992" s="6"/>
    </row>
    <row r="1993" spans="8:9" x14ac:dyDescent="0.2">
      <c r="H1993" s="6"/>
      <c r="I1993" s="6"/>
    </row>
    <row r="1994" spans="8:9" x14ac:dyDescent="0.2">
      <c r="H1994" s="6"/>
      <c r="I1994" s="6"/>
    </row>
    <row r="1995" spans="8:9" x14ac:dyDescent="0.2">
      <c r="H1995" s="6"/>
      <c r="I1995" s="6"/>
    </row>
    <row r="1996" spans="8:9" x14ac:dyDescent="0.2">
      <c r="H1996" s="6"/>
      <c r="I1996" s="6"/>
    </row>
    <row r="1997" spans="8:9" x14ac:dyDescent="0.2">
      <c r="H1997" s="6"/>
      <c r="I1997" s="6"/>
    </row>
    <row r="1998" spans="8:9" x14ac:dyDescent="0.2">
      <c r="H1998" s="6"/>
      <c r="I1998" s="6"/>
    </row>
    <row r="1999" spans="8:9" x14ac:dyDescent="0.2">
      <c r="H1999" s="6"/>
      <c r="I1999" s="6"/>
    </row>
    <row r="2000" spans="8:9" x14ac:dyDescent="0.2">
      <c r="H2000" s="6"/>
      <c r="I2000" s="6"/>
    </row>
    <row r="2001" spans="8:9" x14ac:dyDescent="0.2">
      <c r="H2001" s="6"/>
      <c r="I2001" s="6"/>
    </row>
    <row r="2002" spans="8:9" x14ac:dyDescent="0.2">
      <c r="H2002" s="6"/>
      <c r="I2002" s="6"/>
    </row>
    <row r="2003" spans="8:9" x14ac:dyDescent="0.2">
      <c r="H2003" s="6"/>
      <c r="I2003" s="6"/>
    </row>
    <row r="2004" spans="8:9" x14ac:dyDescent="0.2">
      <c r="H2004" s="6"/>
      <c r="I2004" s="6"/>
    </row>
    <row r="2005" spans="8:9" x14ac:dyDescent="0.2">
      <c r="H2005" s="6"/>
      <c r="I2005" s="6"/>
    </row>
    <row r="2006" spans="8:9" x14ac:dyDescent="0.2">
      <c r="H2006" s="6"/>
      <c r="I2006" s="6"/>
    </row>
    <row r="2007" spans="8:9" x14ac:dyDescent="0.2">
      <c r="H2007" s="6"/>
      <c r="I2007" s="6"/>
    </row>
    <row r="2008" spans="8:9" x14ac:dyDescent="0.2">
      <c r="H2008" s="6"/>
      <c r="I2008" s="6"/>
    </row>
    <row r="2009" spans="8:9" x14ac:dyDescent="0.2">
      <c r="H2009" s="6"/>
      <c r="I2009" s="6"/>
    </row>
    <row r="2010" spans="8:9" x14ac:dyDescent="0.2">
      <c r="H2010" s="6"/>
      <c r="I2010" s="6"/>
    </row>
    <row r="2011" spans="8:9" x14ac:dyDescent="0.2">
      <c r="H2011" s="6"/>
      <c r="I2011" s="6"/>
    </row>
    <row r="2012" spans="8:9" x14ac:dyDescent="0.2">
      <c r="H2012" s="6"/>
      <c r="I2012" s="6"/>
    </row>
    <row r="2013" spans="8:9" x14ac:dyDescent="0.2">
      <c r="H2013" s="6"/>
      <c r="I2013" s="6"/>
    </row>
    <row r="2014" spans="8:9" x14ac:dyDescent="0.2">
      <c r="H2014" s="6"/>
      <c r="I2014" s="6"/>
    </row>
    <row r="2015" spans="8:9" x14ac:dyDescent="0.2">
      <c r="H2015" s="6"/>
      <c r="I2015" s="6"/>
    </row>
    <row r="2016" spans="8:9" x14ac:dyDescent="0.2">
      <c r="H2016" s="6"/>
      <c r="I2016" s="6"/>
    </row>
    <row r="2017" spans="8:9" x14ac:dyDescent="0.2">
      <c r="H2017" s="6"/>
      <c r="I2017" s="6"/>
    </row>
    <row r="2018" spans="8:9" x14ac:dyDescent="0.2">
      <c r="H2018" s="6"/>
      <c r="I2018" s="6"/>
    </row>
    <row r="2019" spans="8:9" x14ac:dyDescent="0.2">
      <c r="H2019" s="6"/>
      <c r="I2019" s="6"/>
    </row>
    <row r="2020" spans="8:9" x14ac:dyDescent="0.2">
      <c r="H2020" s="6"/>
      <c r="I2020" s="6"/>
    </row>
    <row r="2021" spans="8:9" x14ac:dyDescent="0.2">
      <c r="H2021" s="6"/>
      <c r="I2021" s="6"/>
    </row>
    <row r="2022" spans="8:9" x14ac:dyDescent="0.2">
      <c r="H2022" s="6"/>
      <c r="I2022" s="6"/>
    </row>
    <row r="2023" spans="8:9" x14ac:dyDescent="0.2">
      <c r="H2023" s="6"/>
      <c r="I2023" s="6"/>
    </row>
    <row r="2024" spans="8:9" x14ac:dyDescent="0.2">
      <c r="H2024" s="6"/>
      <c r="I2024" s="6"/>
    </row>
    <row r="2025" spans="8:9" x14ac:dyDescent="0.2">
      <c r="H2025" s="6"/>
      <c r="I2025" s="6"/>
    </row>
    <row r="2026" spans="8:9" x14ac:dyDescent="0.2">
      <c r="H2026" s="6"/>
      <c r="I2026" s="6"/>
    </row>
    <row r="2027" spans="8:9" x14ac:dyDescent="0.2">
      <c r="H2027" s="6"/>
      <c r="I2027" s="6"/>
    </row>
    <row r="2028" spans="8:9" x14ac:dyDescent="0.2">
      <c r="H2028" s="6"/>
      <c r="I2028" s="6"/>
    </row>
    <row r="2029" spans="8:9" x14ac:dyDescent="0.2">
      <c r="H2029" s="6"/>
      <c r="I2029" s="6"/>
    </row>
    <row r="2030" spans="8:9" x14ac:dyDescent="0.2">
      <c r="H2030" s="6"/>
      <c r="I2030" s="6"/>
    </row>
    <row r="2031" spans="8:9" x14ac:dyDescent="0.2">
      <c r="H2031" s="6"/>
      <c r="I2031" s="6"/>
    </row>
    <row r="2032" spans="8:9" x14ac:dyDescent="0.2">
      <c r="H2032" s="6"/>
      <c r="I2032" s="6"/>
    </row>
    <row r="2033" spans="8:9" x14ac:dyDescent="0.2">
      <c r="H2033" s="6"/>
      <c r="I2033" s="6"/>
    </row>
    <row r="2034" spans="8:9" x14ac:dyDescent="0.2">
      <c r="H2034" s="6"/>
      <c r="I2034" s="6"/>
    </row>
    <row r="2035" spans="8:9" x14ac:dyDescent="0.2">
      <c r="H2035" s="6"/>
      <c r="I2035" s="6"/>
    </row>
    <row r="2036" spans="8:9" x14ac:dyDescent="0.2">
      <c r="H2036" s="6"/>
      <c r="I2036" s="6"/>
    </row>
    <row r="2037" spans="8:9" x14ac:dyDescent="0.2">
      <c r="H2037" s="6"/>
      <c r="I2037" s="6"/>
    </row>
    <row r="2038" spans="8:9" x14ac:dyDescent="0.2">
      <c r="H2038" s="6"/>
      <c r="I2038" s="6"/>
    </row>
    <row r="2039" spans="8:9" x14ac:dyDescent="0.2">
      <c r="H2039" s="6"/>
      <c r="I2039" s="6"/>
    </row>
    <row r="2040" spans="8:9" x14ac:dyDescent="0.2">
      <c r="H2040" s="6"/>
      <c r="I2040" s="6"/>
    </row>
    <row r="2041" spans="8:9" x14ac:dyDescent="0.2">
      <c r="H2041" s="6"/>
      <c r="I2041" s="6"/>
    </row>
    <row r="2042" spans="8:9" x14ac:dyDescent="0.2">
      <c r="H2042" s="6"/>
      <c r="I2042" s="6"/>
    </row>
    <row r="2043" spans="8:9" x14ac:dyDescent="0.2">
      <c r="H2043" s="6"/>
      <c r="I2043" s="6"/>
    </row>
    <row r="2044" spans="8:9" x14ac:dyDescent="0.2">
      <c r="H2044" s="6"/>
      <c r="I2044" s="6"/>
    </row>
    <row r="2045" spans="8:9" x14ac:dyDescent="0.2">
      <c r="H2045" s="6"/>
      <c r="I2045" s="6"/>
    </row>
    <row r="2046" spans="8:9" x14ac:dyDescent="0.2">
      <c r="H2046" s="6"/>
      <c r="I2046" s="6"/>
    </row>
    <row r="2047" spans="8:9" x14ac:dyDescent="0.2">
      <c r="H2047" s="6"/>
      <c r="I2047" s="6"/>
    </row>
    <row r="2048" spans="8:9" x14ac:dyDescent="0.2">
      <c r="H2048" s="6"/>
      <c r="I2048" s="6"/>
    </row>
    <row r="2049" spans="8:9" x14ac:dyDescent="0.2">
      <c r="H2049" s="6"/>
      <c r="I2049" s="6"/>
    </row>
    <row r="2050" spans="8:9" x14ac:dyDescent="0.2">
      <c r="H2050" s="6"/>
      <c r="I2050" s="6"/>
    </row>
    <row r="2051" spans="8:9" x14ac:dyDescent="0.2">
      <c r="H2051" s="6"/>
      <c r="I2051" s="6"/>
    </row>
    <row r="2052" spans="8:9" x14ac:dyDescent="0.2">
      <c r="H2052" s="6"/>
      <c r="I2052" s="6"/>
    </row>
    <row r="2053" spans="8:9" x14ac:dyDescent="0.2">
      <c r="H2053" s="6"/>
      <c r="I2053" s="6"/>
    </row>
    <row r="2054" spans="8:9" x14ac:dyDescent="0.2">
      <c r="H2054" s="6"/>
      <c r="I2054" s="6"/>
    </row>
    <row r="2055" spans="8:9" x14ac:dyDescent="0.2">
      <c r="H2055" s="6"/>
      <c r="I2055" s="6"/>
    </row>
    <row r="2056" spans="8:9" x14ac:dyDescent="0.2">
      <c r="H2056" s="6"/>
      <c r="I2056" s="6"/>
    </row>
    <row r="2057" spans="8:9" x14ac:dyDescent="0.2">
      <c r="H2057" s="6"/>
      <c r="I2057" s="6"/>
    </row>
    <row r="2058" spans="8:9" x14ac:dyDescent="0.2">
      <c r="H2058" s="6"/>
      <c r="I2058" s="6"/>
    </row>
    <row r="2059" spans="8:9" x14ac:dyDescent="0.2">
      <c r="H2059" s="6"/>
      <c r="I2059" s="6"/>
    </row>
    <row r="2060" spans="8:9" x14ac:dyDescent="0.2">
      <c r="H2060" s="6"/>
      <c r="I2060" s="6"/>
    </row>
    <row r="2061" spans="8:9" x14ac:dyDescent="0.2">
      <c r="H2061" s="6"/>
      <c r="I2061" s="6"/>
    </row>
    <row r="2062" spans="8:9" x14ac:dyDescent="0.2">
      <c r="H2062" s="6"/>
      <c r="I2062" s="6"/>
    </row>
    <row r="2063" spans="8:9" x14ac:dyDescent="0.2">
      <c r="H2063" s="6"/>
      <c r="I2063" s="6"/>
    </row>
    <row r="2064" spans="8:9" x14ac:dyDescent="0.2">
      <c r="H2064" s="6"/>
      <c r="I2064" s="6"/>
    </row>
    <row r="2065" spans="8:9" x14ac:dyDescent="0.2">
      <c r="H2065" s="6"/>
      <c r="I2065" s="6"/>
    </row>
    <row r="2066" spans="8:9" x14ac:dyDescent="0.2">
      <c r="H2066" s="6"/>
      <c r="I2066" s="6"/>
    </row>
    <row r="2067" spans="8:9" x14ac:dyDescent="0.2">
      <c r="H2067" s="6"/>
      <c r="I2067" s="6"/>
    </row>
    <row r="2068" spans="8:9" x14ac:dyDescent="0.2">
      <c r="H2068" s="6"/>
      <c r="I2068" s="6"/>
    </row>
    <row r="2069" spans="8:9" x14ac:dyDescent="0.2">
      <c r="H2069" s="6"/>
      <c r="I2069" s="6"/>
    </row>
    <row r="2070" spans="8:9" x14ac:dyDescent="0.2">
      <c r="H2070" s="6"/>
      <c r="I2070" s="6"/>
    </row>
    <row r="2071" spans="8:9" x14ac:dyDescent="0.2">
      <c r="H2071" s="6"/>
      <c r="I2071" s="6"/>
    </row>
    <row r="2072" spans="8:9" x14ac:dyDescent="0.2">
      <c r="H2072" s="6"/>
      <c r="I2072" s="6"/>
    </row>
    <row r="2073" spans="8:9" x14ac:dyDescent="0.2">
      <c r="H2073" s="6"/>
      <c r="I2073" s="6"/>
    </row>
    <row r="2074" spans="8:9" x14ac:dyDescent="0.2">
      <c r="H2074" s="6"/>
      <c r="I2074" s="6"/>
    </row>
    <row r="2075" spans="8:9" x14ac:dyDescent="0.2">
      <c r="H2075" s="6"/>
      <c r="I2075" s="6"/>
    </row>
    <row r="2076" spans="8:9" x14ac:dyDescent="0.2">
      <c r="H2076" s="6"/>
      <c r="I2076" s="6"/>
    </row>
    <row r="2077" spans="8:9" x14ac:dyDescent="0.2">
      <c r="H2077" s="6"/>
      <c r="I2077" s="6"/>
    </row>
    <row r="2078" spans="8:9" x14ac:dyDescent="0.2">
      <c r="H2078" s="6"/>
      <c r="I2078" s="6"/>
    </row>
    <row r="2079" spans="8:9" x14ac:dyDescent="0.2">
      <c r="H2079" s="6"/>
      <c r="I2079" s="6"/>
    </row>
    <row r="2080" spans="8:9" x14ac:dyDescent="0.2">
      <c r="H2080" s="6"/>
      <c r="I2080" s="6"/>
    </row>
    <row r="2081" spans="8:9" x14ac:dyDescent="0.2">
      <c r="H2081" s="6"/>
      <c r="I2081" s="6"/>
    </row>
    <row r="2082" spans="8:9" x14ac:dyDescent="0.2">
      <c r="H2082" s="6"/>
      <c r="I2082" s="6"/>
    </row>
    <row r="2083" spans="8:9" x14ac:dyDescent="0.2">
      <c r="H2083" s="6"/>
      <c r="I2083" s="6"/>
    </row>
    <row r="2084" spans="8:9" x14ac:dyDescent="0.2">
      <c r="H2084" s="6"/>
      <c r="I2084" s="6"/>
    </row>
    <row r="2085" spans="8:9" x14ac:dyDescent="0.2">
      <c r="H2085" s="6"/>
      <c r="I2085" s="6"/>
    </row>
    <row r="2086" spans="8:9" x14ac:dyDescent="0.2">
      <c r="H2086" s="6"/>
      <c r="I2086" s="6"/>
    </row>
    <row r="2087" spans="8:9" x14ac:dyDescent="0.2">
      <c r="H2087" s="6"/>
      <c r="I2087" s="6"/>
    </row>
    <row r="2088" spans="8:9" x14ac:dyDescent="0.2">
      <c r="H2088" s="6"/>
      <c r="I2088" s="6"/>
    </row>
    <row r="2089" spans="8:9" x14ac:dyDescent="0.2">
      <c r="H2089" s="6"/>
      <c r="I2089" s="6"/>
    </row>
    <row r="2090" spans="8:9" x14ac:dyDescent="0.2">
      <c r="H2090" s="6"/>
      <c r="I2090" s="6"/>
    </row>
    <row r="2091" spans="8:9" x14ac:dyDescent="0.2">
      <c r="H2091" s="6"/>
      <c r="I2091" s="6"/>
    </row>
    <row r="2092" spans="8:9" x14ac:dyDescent="0.2">
      <c r="H2092" s="6"/>
      <c r="I2092" s="6"/>
    </row>
    <row r="2093" spans="8:9" x14ac:dyDescent="0.2">
      <c r="H2093" s="6"/>
      <c r="I2093" s="6"/>
    </row>
    <row r="2094" spans="8:9" x14ac:dyDescent="0.2">
      <c r="H2094" s="6"/>
      <c r="I2094" s="6"/>
    </row>
    <row r="2095" spans="8:9" x14ac:dyDescent="0.2">
      <c r="H2095" s="6"/>
      <c r="I2095" s="6"/>
    </row>
    <row r="2096" spans="8:9" x14ac:dyDescent="0.2">
      <c r="H2096" s="6"/>
      <c r="I2096" s="6"/>
    </row>
    <row r="2097" spans="8:9" x14ac:dyDescent="0.2">
      <c r="H2097" s="6"/>
      <c r="I2097" s="6"/>
    </row>
    <row r="2098" spans="8:9" x14ac:dyDescent="0.2">
      <c r="H2098" s="6"/>
      <c r="I2098" s="6"/>
    </row>
    <row r="2099" spans="8:9" x14ac:dyDescent="0.2">
      <c r="H2099" s="6"/>
      <c r="I2099" s="6"/>
    </row>
    <row r="2100" spans="8:9" x14ac:dyDescent="0.2">
      <c r="H2100" s="6"/>
      <c r="I2100" s="6"/>
    </row>
    <row r="2101" spans="8:9" x14ac:dyDescent="0.2">
      <c r="H2101" s="6"/>
      <c r="I2101" s="6"/>
    </row>
    <row r="2102" spans="8:9" x14ac:dyDescent="0.2">
      <c r="H2102" s="6"/>
      <c r="I2102" s="6"/>
    </row>
    <row r="2103" spans="8:9" x14ac:dyDescent="0.2">
      <c r="H2103" s="6"/>
      <c r="I2103" s="6"/>
    </row>
    <row r="2104" spans="8:9" x14ac:dyDescent="0.2">
      <c r="H2104" s="6"/>
      <c r="I2104" s="6"/>
    </row>
    <row r="2105" spans="8:9" x14ac:dyDescent="0.2">
      <c r="H2105" s="6"/>
      <c r="I2105" s="6"/>
    </row>
    <row r="2106" spans="8:9" x14ac:dyDescent="0.2">
      <c r="H2106" s="6"/>
      <c r="I2106" s="6"/>
    </row>
    <row r="2107" spans="8:9" x14ac:dyDescent="0.2">
      <c r="H2107" s="6"/>
      <c r="I2107" s="6"/>
    </row>
    <row r="2108" spans="8:9" x14ac:dyDescent="0.2">
      <c r="H2108" s="6"/>
      <c r="I2108" s="6"/>
    </row>
    <row r="2109" spans="8:9" x14ac:dyDescent="0.2">
      <c r="H2109" s="6"/>
      <c r="I2109" s="6"/>
    </row>
    <row r="2110" spans="8:9" x14ac:dyDescent="0.2">
      <c r="H2110" s="6"/>
      <c r="I2110" s="6"/>
    </row>
    <row r="2111" spans="8:9" x14ac:dyDescent="0.2">
      <c r="H2111" s="6"/>
      <c r="I2111" s="6"/>
    </row>
    <row r="2112" spans="8:9" x14ac:dyDescent="0.2">
      <c r="H2112" s="6"/>
      <c r="I2112" s="6"/>
    </row>
    <row r="2113" spans="8:9" x14ac:dyDescent="0.2">
      <c r="H2113" s="6"/>
      <c r="I2113" s="6"/>
    </row>
    <row r="2114" spans="8:9" x14ac:dyDescent="0.2">
      <c r="H2114" s="6"/>
      <c r="I2114" s="6"/>
    </row>
    <row r="2115" spans="8:9" x14ac:dyDescent="0.2">
      <c r="H2115" s="6"/>
      <c r="I2115" s="6"/>
    </row>
    <row r="2116" spans="8:9" x14ac:dyDescent="0.2">
      <c r="H2116" s="6"/>
      <c r="I2116" s="6"/>
    </row>
    <row r="2117" spans="8:9" x14ac:dyDescent="0.2">
      <c r="H2117" s="6"/>
      <c r="I2117" s="6"/>
    </row>
    <row r="2118" spans="8:9" x14ac:dyDescent="0.2">
      <c r="H2118" s="6"/>
      <c r="I2118" s="6"/>
    </row>
    <row r="2119" spans="8:9" x14ac:dyDescent="0.2">
      <c r="H2119" s="6"/>
      <c r="I2119" s="6"/>
    </row>
    <row r="2120" spans="8:9" x14ac:dyDescent="0.2">
      <c r="H2120" s="6"/>
      <c r="I2120" s="6"/>
    </row>
    <row r="2121" spans="8:9" x14ac:dyDescent="0.2">
      <c r="H2121" s="6"/>
      <c r="I2121" s="6"/>
    </row>
    <row r="2122" spans="8:9" x14ac:dyDescent="0.2">
      <c r="H2122" s="6"/>
      <c r="I2122" s="6"/>
    </row>
    <row r="2123" spans="8:9" x14ac:dyDescent="0.2">
      <c r="H2123" s="6"/>
      <c r="I2123" s="6"/>
    </row>
    <row r="2124" spans="8:9" x14ac:dyDescent="0.2">
      <c r="H2124" s="6"/>
      <c r="I2124" s="6"/>
    </row>
    <row r="2125" spans="8:9" x14ac:dyDescent="0.2">
      <c r="H2125" s="6"/>
      <c r="I2125" s="6"/>
    </row>
    <row r="2126" spans="8:9" x14ac:dyDescent="0.2">
      <c r="H2126" s="6"/>
      <c r="I2126" s="6"/>
    </row>
    <row r="2127" spans="8:9" x14ac:dyDescent="0.2">
      <c r="H2127" s="6"/>
      <c r="I2127" s="6"/>
    </row>
    <row r="2128" spans="8:9" x14ac:dyDescent="0.2">
      <c r="H2128" s="6"/>
      <c r="I2128" s="6"/>
    </row>
    <row r="2129" spans="8:9" x14ac:dyDescent="0.2">
      <c r="H2129" s="6"/>
      <c r="I2129" s="6"/>
    </row>
    <row r="2130" spans="8:9" x14ac:dyDescent="0.2">
      <c r="H2130" s="6"/>
      <c r="I2130" s="6"/>
    </row>
    <row r="2131" spans="8:9" x14ac:dyDescent="0.2">
      <c r="H2131" s="6"/>
      <c r="I2131" s="6"/>
    </row>
    <row r="2132" spans="8:9" x14ac:dyDescent="0.2">
      <c r="H2132" s="6"/>
      <c r="I2132" s="6"/>
    </row>
    <row r="2133" spans="8:9" x14ac:dyDescent="0.2">
      <c r="H2133" s="6"/>
      <c r="I2133" s="6"/>
    </row>
    <row r="2134" spans="8:9" x14ac:dyDescent="0.2">
      <c r="H2134" s="6"/>
      <c r="I2134" s="6"/>
    </row>
    <row r="2135" spans="8:9" x14ac:dyDescent="0.2">
      <c r="H2135" s="6"/>
      <c r="I2135" s="6"/>
    </row>
    <row r="2136" spans="8:9" x14ac:dyDescent="0.2">
      <c r="H2136" s="6"/>
      <c r="I2136" s="6"/>
    </row>
    <row r="2137" spans="8:9" x14ac:dyDescent="0.2">
      <c r="H2137" s="6"/>
      <c r="I2137" s="6"/>
    </row>
    <row r="2138" spans="8:9" x14ac:dyDescent="0.2">
      <c r="H2138" s="6"/>
      <c r="I2138" s="6"/>
    </row>
    <row r="2139" spans="8:9" x14ac:dyDescent="0.2">
      <c r="H2139" s="6"/>
      <c r="I2139" s="6"/>
    </row>
    <row r="2140" spans="8:9" x14ac:dyDescent="0.2">
      <c r="H2140" s="6"/>
      <c r="I2140" s="6"/>
    </row>
    <row r="2141" spans="8:9" x14ac:dyDescent="0.2">
      <c r="H2141" s="6"/>
      <c r="I2141" s="6"/>
    </row>
    <row r="2142" spans="8:9" x14ac:dyDescent="0.2">
      <c r="H2142" s="6"/>
      <c r="I2142" s="6"/>
    </row>
    <row r="2143" spans="8:9" x14ac:dyDescent="0.2">
      <c r="H2143" s="6"/>
      <c r="I2143" s="6"/>
    </row>
    <row r="2144" spans="8:9" x14ac:dyDescent="0.2">
      <c r="H2144" s="6"/>
      <c r="I2144" s="6"/>
    </row>
    <row r="2145" spans="8:9" x14ac:dyDescent="0.2">
      <c r="H2145" s="6"/>
      <c r="I2145" s="6"/>
    </row>
    <row r="2146" spans="8:9" x14ac:dyDescent="0.2">
      <c r="H2146" s="6"/>
      <c r="I2146" s="6"/>
    </row>
    <row r="2147" spans="8:9" x14ac:dyDescent="0.2">
      <c r="H2147" s="6"/>
      <c r="I2147" s="6"/>
    </row>
    <row r="2148" spans="8:9" x14ac:dyDescent="0.2">
      <c r="H2148" s="6"/>
      <c r="I2148" s="6"/>
    </row>
    <row r="2149" spans="8:9" x14ac:dyDescent="0.2">
      <c r="H2149" s="6"/>
      <c r="I2149" s="6"/>
    </row>
    <row r="2150" spans="8:9" x14ac:dyDescent="0.2">
      <c r="H2150" s="6"/>
      <c r="I2150" s="6"/>
    </row>
    <row r="2151" spans="8:9" x14ac:dyDescent="0.2">
      <c r="H2151" s="6"/>
      <c r="I2151" s="6"/>
    </row>
    <row r="2152" spans="8:9" x14ac:dyDescent="0.2">
      <c r="H2152" s="6"/>
      <c r="I2152" s="6"/>
    </row>
    <row r="2153" spans="8:9" x14ac:dyDescent="0.2">
      <c r="H2153" s="6"/>
      <c r="I2153" s="6"/>
    </row>
    <row r="2154" spans="8:9" x14ac:dyDescent="0.2">
      <c r="H2154" s="6"/>
      <c r="I2154" s="6"/>
    </row>
    <row r="2155" spans="8:9" x14ac:dyDescent="0.2">
      <c r="H2155" s="6"/>
      <c r="I2155" s="6"/>
    </row>
    <row r="2156" spans="8:9" x14ac:dyDescent="0.2">
      <c r="H2156" s="6"/>
      <c r="I2156" s="6"/>
    </row>
    <row r="2157" spans="8:9" x14ac:dyDescent="0.2">
      <c r="H2157" s="6"/>
      <c r="I2157" s="6"/>
    </row>
    <row r="2158" spans="8:9" x14ac:dyDescent="0.2">
      <c r="H2158" s="6"/>
      <c r="I2158" s="6"/>
    </row>
    <row r="2159" spans="8:9" x14ac:dyDescent="0.2">
      <c r="H2159" s="6"/>
      <c r="I2159" s="6"/>
    </row>
    <row r="2160" spans="8:9" x14ac:dyDescent="0.2">
      <c r="H2160" s="6"/>
      <c r="I2160" s="6"/>
    </row>
    <row r="2161" spans="8:9" x14ac:dyDescent="0.2">
      <c r="H2161" s="6"/>
      <c r="I2161" s="6"/>
    </row>
    <row r="2162" spans="8:9" x14ac:dyDescent="0.2">
      <c r="H2162" s="6"/>
      <c r="I2162" s="6"/>
    </row>
    <row r="2163" spans="8:9" x14ac:dyDescent="0.2">
      <c r="H2163" s="6"/>
      <c r="I2163" s="6"/>
    </row>
    <row r="2164" spans="8:9" x14ac:dyDescent="0.2">
      <c r="H2164" s="6"/>
      <c r="I2164" s="6"/>
    </row>
    <row r="2165" spans="8:9" x14ac:dyDescent="0.2">
      <c r="H2165" s="6"/>
      <c r="I2165" s="6"/>
    </row>
    <row r="2166" spans="8:9" x14ac:dyDescent="0.2">
      <c r="H2166" s="6"/>
      <c r="I2166" s="6"/>
    </row>
    <row r="2167" spans="8:9" x14ac:dyDescent="0.2">
      <c r="H2167" s="6"/>
      <c r="I2167" s="6"/>
    </row>
    <row r="2168" spans="8:9" x14ac:dyDescent="0.2">
      <c r="H2168" s="6"/>
      <c r="I2168" s="6"/>
    </row>
    <row r="2169" spans="8:9" x14ac:dyDescent="0.2">
      <c r="H2169" s="6"/>
      <c r="I2169" s="6"/>
    </row>
    <row r="2170" spans="8:9" x14ac:dyDescent="0.2">
      <c r="H2170" s="6"/>
      <c r="I2170" s="6"/>
    </row>
    <row r="2171" spans="8:9" x14ac:dyDescent="0.2">
      <c r="H2171" s="6"/>
      <c r="I2171" s="6"/>
    </row>
    <row r="2172" spans="8:9" x14ac:dyDescent="0.2">
      <c r="H2172" s="6"/>
      <c r="I2172" s="6"/>
    </row>
    <row r="2173" spans="8:9" x14ac:dyDescent="0.2">
      <c r="H2173" s="6"/>
      <c r="I2173" s="6"/>
    </row>
    <row r="2174" spans="8:9" x14ac:dyDescent="0.2">
      <c r="H2174" s="6"/>
      <c r="I2174" s="6"/>
    </row>
    <row r="2175" spans="8:9" x14ac:dyDescent="0.2">
      <c r="H2175" s="6"/>
      <c r="I2175" s="6"/>
    </row>
    <row r="2176" spans="8:9" x14ac:dyDescent="0.2">
      <c r="H2176" s="6"/>
      <c r="I2176" s="6"/>
    </row>
    <row r="2177" spans="8:9" x14ac:dyDescent="0.2">
      <c r="H2177" s="6"/>
      <c r="I2177" s="6"/>
    </row>
    <row r="2178" spans="8:9" x14ac:dyDescent="0.2">
      <c r="H2178" s="6"/>
      <c r="I2178" s="6"/>
    </row>
    <row r="2179" spans="8:9" x14ac:dyDescent="0.2">
      <c r="H2179" s="6"/>
      <c r="I2179" s="6"/>
    </row>
    <row r="2180" spans="8:9" x14ac:dyDescent="0.2">
      <c r="H2180" s="6"/>
      <c r="I2180" s="6"/>
    </row>
    <row r="2181" spans="8:9" x14ac:dyDescent="0.2">
      <c r="H2181" s="6"/>
      <c r="I2181" s="6"/>
    </row>
    <row r="2182" spans="8:9" x14ac:dyDescent="0.2">
      <c r="H2182" s="6"/>
      <c r="I2182" s="6"/>
    </row>
    <row r="2183" spans="8:9" x14ac:dyDescent="0.2">
      <c r="H2183" s="6"/>
      <c r="I2183" s="6"/>
    </row>
    <row r="2184" spans="8:9" x14ac:dyDescent="0.2">
      <c r="H2184" s="6"/>
      <c r="I2184" s="6"/>
    </row>
    <row r="2185" spans="8:9" x14ac:dyDescent="0.2">
      <c r="H2185" s="6"/>
      <c r="I2185" s="6"/>
    </row>
    <row r="2186" spans="8:9" x14ac:dyDescent="0.2">
      <c r="H2186" s="6"/>
      <c r="I2186" s="6"/>
    </row>
    <row r="2187" spans="8:9" x14ac:dyDescent="0.2">
      <c r="H2187" s="6"/>
      <c r="I2187" s="6"/>
    </row>
    <row r="2188" spans="8:9" x14ac:dyDescent="0.2">
      <c r="H2188" s="6"/>
      <c r="I2188" s="6"/>
    </row>
    <row r="2189" spans="8:9" x14ac:dyDescent="0.2">
      <c r="H2189" s="6"/>
      <c r="I2189" s="6"/>
    </row>
    <row r="2190" spans="8:9" x14ac:dyDescent="0.2">
      <c r="H2190" s="6"/>
      <c r="I2190" s="6"/>
    </row>
    <row r="2191" spans="8:9" x14ac:dyDescent="0.2">
      <c r="H2191" s="6"/>
      <c r="I2191" s="6"/>
    </row>
    <row r="2192" spans="8:9" x14ac:dyDescent="0.2">
      <c r="H2192" s="6"/>
      <c r="I2192" s="6"/>
    </row>
    <row r="2193" spans="8:9" x14ac:dyDescent="0.2">
      <c r="H2193" s="6"/>
      <c r="I2193" s="6"/>
    </row>
    <row r="2194" spans="8:9" x14ac:dyDescent="0.2">
      <c r="H2194" s="6"/>
      <c r="I2194" s="6"/>
    </row>
    <row r="2195" spans="8:9" x14ac:dyDescent="0.2">
      <c r="H2195" s="6"/>
      <c r="I2195" s="6"/>
    </row>
    <row r="2196" spans="8:9" x14ac:dyDescent="0.2">
      <c r="H2196" s="6"/>
      <c r="I2196" s="6"/>
    </row>
    <row r="2197" spans="8:9" x14ac:dyDescent="0.2">
      <c r="H2197" s="6"/>
      <c r="I2197" s="6"/>
    </row>
    <row r="2198" spans="8:9" x14ac:dyDescent="0.2">
      <c r="H2198" s="6"/>
      <c r="I2198" s="6"/>
    </row>
    <row r="2199" spans="8:9" x14ac:dyDescent="0.2">
      <c r="H2199" s="6"/>
      <c r="I2199" s="6"/>
    </row>
    <row r="2200" spans="8:9" x14ac:dyDescent="0.2">
      <c r="H2200" s="6"/>
      <c r="I2200" s="6"/>
    </row>
    <row r="2201" spans="8:9" x14ac:dyDescent="0.2">
      <c r="H2201" s="6"/>
      <c r="I2201" s="6"/>
    </row>
    <row r="2202" spans="8:9" x14ac:dyDescent="0.2">
      <c r="H2202" s="6"/>
      <c r="I2202" s="6"/>
    </row>
    <row r="2203" spans="8:9" x14ac:dyDescent="0.2">
      <c r="H2203" s="6"/>
      <c r="I2203" s="6"/>
    </row>
    <row r="2204" spans="8:9" x14ac:dyDescent="0.2">
      <c r="H2204" s="6"/>
      <c r="I2204" s="6"/>
    </row>
    <row r="2205" spans="8:9" x14ac:dyDescent="0.2">
      <c r="H2205" s="6"/>
      <c r="I2205" s="6"/>
    </row>
    <row r="2206" spans="8:9" x14ac:dyDescent="0.2">
      <c r="H2206" s="6"/>
      <c r="I2206" s="6"/>
    </row>
    <row r="2207" spans="8:9" x14ac:dyDescent="0.2">
      <c r="H2207" s="6"/>
      <c r="I2207" s="6"/>
    </row>
    <row r="2208" spans="8:9" x14ac:dyDescent="0.2">
      <c r="H2208" s="6"/>
      <c r="I2208" s="6"/>
    </row>
    <row r="2209" spans="8:9" x14ac:dyDescent="0.2">
      <c r="H2209" s="6"/>
      <c r="I2209" s="6"/>
    </row>
    <row r="2210" spans="8:9" x14ac:dyDescent="0.2">
      <c r="H2210" s="6"/>
      <c r="I2210" s="6"/>
    </row>
    <row r="2211" spans="8:9" x14ac:dyDescent="0.2">
      <c r="H2211" s="6"/>
      <c r="I2211" s="6"/>
    </row>
    <row r="2212" spans="8:9" x14ac:dyDescent="0.2">
      <c r="H2212" s="6"/>
      <c r="I2212" s="6"/>
    </row>
    <row r="2213" spans="8:9" x14ac:dyDescent="0.2">
      <c r="H2213" s="6"/>
      <c r="I2213" s="6"/>
    </row>
    <row r="2214" spans="8:9" x14ac:dyDescent="0.2">
      <c r="H2214" s="6"/>
      <c r="I2214" s="6"/>
    </row>
    <row r="2215" spans="8:9" x14ac:dyDescent="0.2">
      <c r="H2215" s="6"/>
      <c r="I2215" s="6"/>
    </row>
    <row r="2216" spans="8:9" x14ac:dyDescent="0.2">
      <c r="H2216" s="6"/>
      <c r="I2216" s="6"/>
    </row>
    <row r="2217" spans="8:9" x14ac:dyDescent="0.2">
      <c r="H2217" s="6"/>
      <c r="I2217" s="6"/>
    </row>
    <row r="2218" spans="8:9" x14ac:dyDescent="0.2">
      <c r="H2218" s="6"/>
      <c r="I2218" s="6"/>
    </row>
    <row r="2219" spans="8:9" x14ac:dyDescent="0.2">
      <c r="H2219" s="6"/>
      <c r="I2219" s="6"/>
    </row>
    <row r="2220" spans="8:9" x14ac:dyDescent="0.2">
      <c r="H2220" s="6"/>
      <c r="I2220" s="6"/>
    </row>
    <row r="2221" spans="8:9" x14ac:dyDescent="0.2">
      <c r="H2221" s="6"/>
      <c r="I2221" s="6"/>
    </row>
    <row r="2222" spans="8:9" x14ac:dyDescent="0.2">
      <c r="H2222" s="6"/>
      <c r="I2222" s="6"/>
    </row>
    <row r="2223" spans="8:9" x14ac:dyDescent="0.2">
      <c r="H2223" s="6"/>
      <c r="I2223" s="6"/>
    </row>
    <row r="2224" spans="8:9" x14ac:dyDescent="0.2">
      <c r="H2224" s="6"/>
      <c r="I2224" s="6"/>
    </row>
    <row r="2225" spans="8:9" x14ac:dyDescent="0.2">
      <c r="H2225" s="6"/>
      <c r="I2225" s="6"/>
    </row>
    <row r="2226" spans="8:9" x14ac:dyDescent="0.2">
      <c r="H2226" s="6"/>
      <c r="I2226" s="6"/>
    </row>
    <row r="2227" spans="8:9" x14ac:dyDescent="0.2">
      <c r="H2227" s="6"/>
      <c r="I2227" s="6"/>
    </row>
    <row r="2228" spans="8:9" x14ac:dyDescent="0.2">
      <c r="H2228" s="6"/>
      <c r="I2228" s="6"/>
    </row>
    <row r="2229" spans="8:9" x14ac:dyDescent="0.2">
      <c r="H2229" s="6"/>
      <c r="I2229" s="6"/>
    </row>
    <row r="2230" spans="8:9" x14ac:dyDescent="0.2">
      <c r="H2230" s="6"/>
      <c r="I2230" s="6"/>
    </row>
    <row r="2231" spans="8:9" x14ac:dyDescent="0.2">
      <c r="H2231" s="6"/>
      <c r="I2231" s="6"/>
    </row>
    <row r="2232" spans="8:9" x14ac:dyDescent="0.2">
      <c r="H2232" s="6"/>
      <c r="I2232" s="6"/>
    </row>
    <row r="2233" spans="8:9" x14ac:dyDescent="0.2">
      <c r="H2233" s="6"/>
      <c r="I2233" s="6"/>
    </row>
    <row r="2234" spans="8:9" x14ac:dyDescent="0.2">
      <c r="H2234" s="6"/>
      <c r="I2234" s="6"/>
    </row>
    <row r="2235" spans="8:9" x14ac:dyDescent="0.2">
      <c r="H2235" s="6"/>
      <c r="I2235" s="6"/>
    </row>
    <row r="2236" spans="8:9" x14ac:dyDescent="0.2">
      <c r="H2236" s="6"/>
      <c r="I2236" s="6"/>
    </row>
    <row r="2237" spans="8:9" x14ac:dyDescent="0.2">
      <c r="H2237" s="6"/>
      <c r="I2237" s="6"/>
    </row>
    <row r="2238" spans="8:9" x14ac:dyDescent="0.2">
      <c r="H2238" s="6"/>
      <c r="I2238" s="6"/>
    </row>
    <row r="2239" spans="8:9" x14ac:dyDescent="0.2">
      <c r="H2239" s="6"/>
      <c r="I2239" s="6"/>
    </row>
    <row r="2240" spans="8:9" x14ac:dyDescent="0.2">
      <c r="H2240" s="6"/>
      <c r="I2240" s="6"/>
    </row>
    <row r="2241" spans="8:9" x14ac:dyDescent="0.2">
      <c r="H2241" s="6"/>
      <c r="I2241" s="6"/>
    </row>
    <row r="2242" spans="8:9" x14ac:dyDescent="0.2">
      <c r="H2242" s="6"/>
      <c r="I2242" s="6"/>
    </row>
    <row r="2243" spans="8:9" x14ac:dyDescent="0.2">
      <c r="H2243" s="6"/>
      <c r="I2243" s="6"/>
    </row>
    <row r="2244" spans="8:9" x14ac:dyDescent="0.2">
      <c r="H2244" s="6"/>
      <c r="I2244" s="6"/>
    </row>
    <row r="2245" spans="8:9" x14ac:dyDescent="0.2">
      <c r="H2245" s="6"/>
      <c r="I2245" s="6"/>
    </row>
    <row r="2246" spans="8:9" x14ac:dyDescent="0.2">
      <c r="H2246" s="6"/>
      <c r="I2246" s="6"/>
    </row>
    <row r="2247" spans="8:9" x14ac:dyDescent="0.2">
      <c r="H2247" s="6"/>
      <c r="I2247" s="6"/>
    </row>
    <row r="2248" spans="8:9" x14ac:dyDescent="0.2">
      <c r="H2248" s="6"/>
      <c r="I2248" s="6"/>
    </row>
    <row r="2249" spans="8:9" x14ac:dyDescent="0.2">
      <c r="H2249" s="6"/>
      <c r="I2249" s="6"/>
    </row>
    <row r="2250" spans="8:9" x14ac:dyDescent="0.2">
      <c r="H2250" s="6"/>
      <c r="I2250" s="6"/>
    </row>
    <row r="2251" spans="8:9" x14ac:dyDescent="0.2">
      <c r="H2251" s="6"/>
      <c r="I2251" s="6"/>
    </row>
    <row r="2252" spans="8:9" x14ac:dyDescent="0.2">
      <c r="H2252" s="6"/>
      <c r="I2252" s="6"/>
    </row>
    <row r="2253" spans="8:9" x14ac:dyDescent="0.2">
      <c r="H2253" s="6"/>
      <c r="I2253" s="6"/>
    </row>
    <row r="2254" spans="8:9" x14ac:dyDescent="0.2">
      <c r="H2254" s="6"/>
      <c r="I2254" s="6"/>
    </row>
    <row r="2255" spans="8:9" x14ac:dyDescent="0.2">
      <c r="H2255" s="6"/>
      <c r="I2255" s="6"/>
    </row>
    <row r="2256" spans="8:9" x14ac:dyDescent="0.2">
      <c r="H2256" s="6"/>
      <c r="I2256" s="6"/>
    </row>
    <row r="2257" spans="8:9" x14ac:dyDescent="0.2">
      <c r="H2257" s="6"/>
      <c r="I2257" s="6"/>
    </row>
    <row r="2258" spans="8:9" x14ac:dyDescent="0.2">
      <c r="H2258" s="6"/>
      <c r="I2258" s="6"/>
    </row>
    <row r="2259" spans="8:9" x14ac:dyDescent="0.2">
      <c r="H2259" s="6"/>
      <c r="I2259" s="6"/>
    </row>
    <row r="2260" spans="8:9" x14ac:dyDescent="0.2">
      <c r="H2260" s="6"/>
      <c r="I2260" s="6"/>
    </row>
    <row r="2261" spans="8:9" x14ac:dyDescent="0.2">
      <c r="H2261" s="6"/>
      <c r="I2261" s="6"/>
    </row>
    <row r="2262" spans="8:9" x14ac:dyDescent="0.2">
      <c r="H2262" s="6"/>
      <c r="I2262" s="6"/>
    </row>
    <row r="2263" spans="8:9" x14ac:dyDescent="0.2">
      <c r="H2263" s="6"/>
      <c r="I2263" s="6"/>
    </row>
    <row r="2264" spans="8:9" x14ac:dyDescent="0.2">
      <c r="H2264" s="6"/>
      <c r="I2264" s="6"/>
    </row>
    <row r="2265" spans="8:9" x14ac:dyDescent="0.2">
      <c r="H2265" s="6"/>
      <c r="I2265" s="6"/>
    </row>
    <row r="2266" spans="8:9" x14ac:dyDescent="0.2">
      <c r="H2266" s="6"/>
      <c r="I2266" s="6"/>
    </row>
    <row r="2267" spans="8:9" x14ac:dyDescent="0.2">
      <c r="H2267" s="6"/>
      <c r="I2267" s="6"/>
    </row>
    <row r="2268" spans="8:9" x14ac:dyDescent="0.2">
      <c r="H2268" s="6"/>
      <c r="I2268" s="6"/>
    </row>
    <row r="2269" spans="8:9" x14ac:dyDescent="0.2">
      <c r="H2269" s="6"/>
      <c r="I2269" s="6"/>
    </row>
    <row r="2270" spans="8:9" x14ac:dyDescent="0.2">
      <c r="H2270" s="6"/>
      <c r="I2270" s="6"/>
    </row>
    <row r="2271" spans="8:9" x14ac:dyDescent="0.2">
      <c r="H2271" s="6"/>
      <c r="I2271" s="6"/>
    </row>
    <row r="2272" spans="8:9" x14ac:dyDescent="0.2">
      <c r="H2272" s="6"/>
      <c r="I2272" s="6"/>
    </row>
    <row r="2273" spans="8:9" x14ac:dyDescent="0.2">
      <c r="H2273" s="6"/>
      <c r="I2273" s="6"/>
    </row>
    <row r="2274" spans="8:9" x14ac:dyDescent="0.2">
      <c r="H2274" s="6"/>
      <c r="I2274" s="6"/>
    </row>
    <row r="2275" spans="8:9" x14ac:dyDescent="0.2">
      <c r="H2275" s="6"/>
      <c r="I2275" s="6"/>
    </row>
    <row r="2276" spans="8:9" x14ac:dyDescent="0.2">
      <c r="H2276" s="6"/>
      <c r="I2276" s="6"/>
    </row>
    <row r="2277" spans="8:9" x14ac:dyDescent="0.2">
      <c r="H2277" s="6"/>
      <c r="I2277" s="6"/>
    </row>
    <row r="2278" spans="8:9" x14ac:dyDescent="0.2">
      <c r="H2278" s="6"/>
      <c r="I2278" s="6"/>
    </row>
    <row r="2279" spans="8:9" x14ac:dyDescent="0.2">
      <c r="H2279" s="6"/>
      <c r="I2279" s="6"/>
    </row>
    <row r="2280" spans="8:9" x14ac:dyDescent="0.2">
      <c r="H2280" s="6"/>
      <c r="I2280" s="6"/>
    </row>
    <row r="2281" spans="8:9" x14ac:dyDescent="0.2">
      <c r="H2281" s="6"/>
      <c r="I2281" s="6"/>
    </row>
    <row r="2282" spans="8:9" x14ac:dyDescent="0.2">
      <c r="H2282" s="6"/>
      <c r="I2282" s="6"/>
    </row>
    <row r="2283" spans="8:9" x14ac:dyDescent="0.2">
      <c r="H2283" s="6"/>
      <c r="I2283" s="6"/>
    </row>
    <row r="2284" spans="8:9" x14ac:dyDescent="0.2">
      <c r="H2284" s="6"/>
      <c r="I2284" s="6"/>
    </row>
    <row r="2285" spans="8:9" x14ac:dyDescent="0.2">
      <c r="H2285" s="6"/>
      <c r="I2285" s="6"/>
    </row>
    <row r="2286" spans="8:9" x14ac:dyDescent="0.2">
      <c r="H2286" s="6"/>
      <c r="I2286" s="6"/>
    </row>
    <row r="2287" spans="8:9" x14ac:dyDescent="0.2">
      <c r="H2287" s="6"/>
      <c r="I2287" s="6"/>
    </row>
    <row r="2288" spans="8:9" x14ac:dyDescent="0.2">
      <c r="H2288" s="6"/>
      <c r="I2288" s="6"/>
    </row>
    <row r="2289" spans="8:9" x14ac:dyDescent="0.2">
      <c r="H2289" s="6"/>
    </row>
    <row r="2290" spans="8:9" x14ac:dyDescent="0.2">
      <c r="H2290" s="6"/>
      <c r="I2290" s="6"/>
    </row>
    <row r="2291" spans="8:9" x14ac:dyDescent="0.2">
      <c r="H2291" s="6"/>
      <c r="I2291" s="6"/>
    </row>
    <row r="2292" spans="8:9" x14ac:dyDescent="0.2">
      <c r="H2292" s="6"/>
      <c r="I2292" s="6"/>
    </row>
    <row r="2293" spans="8:9" x14ac:dyDescent="0.2">
      <c r="H2293" s="6"/>
      <c r="I2293" s="6"/>
    </row>
    <row r="2294" spans="8:9" x14ac:dyDescent="0.2">
      <c r="H2294" s="6"/>
      <c r="I2294" s="6"/>
    </row>
    <row r="2295" spans="8:9" x14ac:dyDescent="0.2">
      <c r="H2295" s="6"/>
      <c r="I2295" s="6"/>
    </row>
    <row r="2296" spans="8:9" x14ac:dyDescent="0.2">
      <c r="H2296" s="6"/>
      <c r="I2296" s="6"/>
    </row>
    <row r="2297" spans="8:9" x14ac:dyDescent="0.2">
      <c r="H2297" s="6"/>
      <c r="I2297" s="6"/>
    </row>
    <row r="2298" spans="8:9" x14ac:dyDescent="0.2">
      <c r="H2298" s="6"/>
      <c r="I2298" s="6"/>
    </row>
    <row r="2299" spans="8:9" x14ac:dyDescent="0.2">
      <c r="H2299" s="6"/>
      <c r="I2299" s="6"/>
    </row>
    <row r="2300" spans="8:9" x14ac:dyDescent="0.2">
      <c r="H2300" s="6"/>
      <c r="I2300" s="6"/>
    </row>
    <row r="2301" spans="8:9" x14ac:dyDescent="0.2">
      <c r="H2301" s="6"/>
      <c r="I2301" s="6"/>
    </row>
    <row r="2302" spans="8:9" x14ac:dyDescent="0.2">
      <c r="H2302" s="6"/>
      <c r="I2302" s="6"/>
    </row>
    <row r="2303" spans="8:9" x14ac:dyDescent="0.2">
      <c r="H2303" s="6"/>
      <c r="I2303" s="6"/>
    </row>
    <row r="2304" spans="8:9" x14ac:dyDescent="0.2">
      <c r="H2304" s="6"/>
      <c r="I2304" s="6"/>
    </row>
    <row r="2305" spans="8:9" x14ac:dyDescent="0.2">
      <c r="H2305" s="6"/>
      <c r="I2305" s="6"/>
    </row>
    <row r="2306" spans="8:9" x14ac:dyDescent="0.2">
      <c r="H2306" s="6"/>
      <c r="I2306" s="6"/>
    </row>
    <row r="2307" spans="8:9" x14ac:dyDescent="0.2">
      <c r="H2307" s="6"/>
      <c r="I2307" s="6"/>
    </row>
    <row r="2308" spans="8:9" x14ac:dyDescent="0.2">
      <c r="H2308" s="6"/>
      <c r="I2308" s="6"/>
    </row>
    <row r="2309" spans="8:9" x14ac:dyDescent="0.2">
      <c r="H2309" s="6"/>
      <c r="I2309" s="6"/>
    </row>
    <row r="2310" spans="8:9" x14ac:dyDescent="0.2">
      <c r="H2310" s="6"/>
      <c r="I2310" s="6"/>
    </row>
    <row r="2311" spans="8:9" x14ac:dyDescent="0.2">
      <c r="H2311" s="6"/>
      <c r="I2311" s="6"/>
    </row>
    <row r="2312" spans="8:9" x14ac:dyDescent="0.2">
      <c r="H2312" s="6"/>
      <c r="I2312" s="6"/>
    </row>
    <row r="2313" spans="8:9" x14ac:dyDescent="0.2">
      <c r="H2313" s="6"/>
      <c r="I2313" s="6"/>
    </row>
    <row r="2314" spans="8:9" x14ac:dyDescent="0.2">
      <c r="H2314" s="6"/>
      <c r="I2314" s="6"/>
    </row>
    <row r="2315" spans="8:9" x14ac:dyDescent="0.2">
      <c r="H2315" s="6"/>
      <c r="I2315" s="6"/>
    </row>
    <row r="2316" spans="8:9" x14ac:dyDescent="0.2">
      <c r="H2316" s="6"/>
      <c r="I2316" s="6"/>
    </row>
    <row r="2317" spans="8:9" x14ac:dyDescent="0.2">
      <c r="H2317" s="6"/>
      <c r="I2317" s="6"/>
    </row>
    <row r="2318" spans="8:9" x14ac:dyDescent="0.2">
      <c r="H2318" s="6"/>
      <c r="I2318" s="6"/>
    </row>
    <row r="2319" spans="8:9" x14ac:dyDescent="0.2">
      <c r="H2319" s="6"/>
      <c r="I2319" s="6"/>
    </row>
    <row r="2320" spans="8:9" x14ac:dyDescent="0.2">
      <c r="H2320" s="6"/>
      <c r="I2320" s="6"/>
    </row>
    <row r="2321" spans="8:9" x14ac:dyDescent="0.2">
      <c r="H2321" s="6"/>
      <c r="I2321" s="6"/>
    </row>
    <row r="2322" spans="8:9" x14ac:dyDescent="0.2">
      <c r="H2322" s="6"/>
      <c r="I2322" s="6"/>
    </row>
    <row r="2323" spans="8:9" x14ac:dyDescent="0.2">
      <c r="H2323" s="6"/>
      <c r="I2323" s="6"/>
    </row>
    <row r="2324" spans="8:9" x14ac:dyDescent="0.2">
      <c r="H2324" s="6"/>
      <c r="I2324" s="6"/>
    </row>
    <row r="2325" spans="8:9" x14ac:dyDescent="0.2">
      <c r="H2325" s="6"/>
      <c r="I2325" s="6"/>
    </row>
    <row r="2326" spans="8:9" x14ac:dyDescent="0.2">
      <c r="H2326" s="6"/>
      <c r="I2326" s="6"/>
    </row>
    <row r="2327" spans="8:9" x14ac:dyDescent="0.2">
      <c r="H2327" s="6"/>
      <c r="I2327" s="6"/>
    </row>
    <row r="2328" spans="8:9" x14ac:dyDescent="0.2">
      <c r="H2328" s="6"/>
      <c r="I2328" s="6"/>
    </row>
    <row r="2329" spans="8:9" x14ac:dyDescent="0.2">
      <c r="H2329" s="6"/>
      <c r="I2329" s="6"/>
    </row>
    <row r="2330" spans="8:9" x14ac:dyDescent="0.2">
      <c r="H2330" s="6"/>
      <c r="I2330" s="6"/>
    </row>
    <row r="2331" spans="8:9" x14ac:dyDescent="0.2">
      <c r="H2331" s="6"/>
      <c r="I2331" s="6"/>
    </row>
    <row r="2332" spans="8:9" x14ac:dyDescent="0.2">
      <c r="H2332" s="6"/>
      <c r="I2332" s="6"/>
    </row>
    <row r="2333" spans="8:9" x14ac:dyDescent="0.2">
      <c r="H2333" s="6"/>
      <c r="I2333" s="6"/>
    </row>
    <row r="2334" spans="8:9" x14ac:dyDescent="0.2">
      <c r="H2334" s="6"/>
      <c r="I2334" s="6"/>
    </row>
    <row r="2335" spans="8:9" x14ac:dyDescent="0.2">
      <c r="H2335" s="6"/>
      <c r="I2335" s="6"/>
    </row>
    <row r="2336" spans="8:9" x14ac:dyDescent="0.2">
      <c r="H2336" s="6"/>
      <c r="I2336" s="6"/>
    </row>
    <row r="2337" spans="8:9" x14ac:dyDescent="0.2">
      <c r="H2337" s="6"/>
      <c r="I2337" s="6"/>
    </row>
    <row r="2338" spans="8:9" x14ac:dyDescent="0.2">
      <c r="H2338" s="6"/>
      <c r="I2338" s="6"/>
    </row>
    <row r="2339" spans="8:9" x14ac:dyDescent="0.2">
      <c r="H2339" s="6"/>
      <c r="I2339" s="6"/>
    </row>
    <row r="2340" spans="8:9" x14ac:dyDescent="0.2">
      <c r="H2340" s="6"/>
      <c r="I2340" s="6"/>
    </row>
    <row r="2341" spans="8:9" x14ac:dyDescent="0.2">
      <c r="H2341" s="6"/>
      <c r="I2341" s="6"/>
    </row>
    <row r="2342" spans="8:9" x14ac:dyDescent="0.2">
      <c r="H2342" s="6"/>
      <c r="I2342" s="6"/>
    </row>
    <row r="2343" spans="8:9" x14ac:dyDescent="0.2">
      <c r="H2343" s="6"/>
      <c r="I2343" s="6"/>
    </row>
    <row r="2344" spans="8:9" x14ac:dyDescent="0.2">
      <c r="H2344" s="6"/>
      <c r="I2344" s="6"/>
    </row>
    <row r="2345" spans="8:9" x14ac:dyDescent="0.2">
      <c r="H2345" s="6"/>
      <c r="I2345" s="6"/>
    </row>
    <row r="2346" spans="8:9" x14ac:dyDescent="0.2">
      <c r="H2346" s="6"/>
      <c r="I2346" s="6"/>
    </row>
    <row r="2347" spans="8:9" x14ac:dyDescent="0.2">
      <c r="H2347" s="6"/>
      <c r="I2347" s="6"/>
    </row>
    <row r="2348" spans="8:9" x14ac:dyDescent="0.2">
      <c r="H2348" s="6"/>
      <c r="I2348" s="6"/>
    </row>
    <row r="2349" spans="8:9" x14ac:dyDescent="0.2">
      <c r="H2349" s="6"/>
      <c r="I2349" s="6"/>
    </row>
    <row r="2350" spans="8:9" x14ac:dyDescent="0.2">
      <c r="H2350" s="6"/>
      <c r="I2350" s="6"/>
    </row>
    <row r="2351" spans="8:9" x14ac:dyDescent="0.2">
      <c r="H2351" s="6"/>
      <c r="I2351" s="6"/>
    </row>
    <row r="2352" spans="8:9" x14ac:dyDescent="0.2">
      <c r="H2352" s="6"/>
      <c r="I2352" s="6"/>
    </row>
    <row r="2353" spans="8:9" x14ac:dyDescent="0.2">
      <c r="H2353" s="6"/>
      <c r="I2353" s="6"/>
    </row>
    <row r="2354" spans="8:9" x14ac:dyDescent="0.2">
      <c r="H2354" s="6"/>
      <c r="I2354" s="6"/>
    </row>
    <row r="2355" spans="8:9" x14ac:dyDescent="0.2">
      <c r="H2355" s="6"/>
      <c r="I2355" s="6"/>
    </row>
    <row r="2356" spans="8:9" x14ac:dyDescent="0.2">
      <c r="H2356" s="6"/>
      <c r="I2356" s="6"/>
    </row>
    <row r="2357" spans="8:9" x14ac:dyDescent="0.2">
      <c r="H2357" s="6"/>
      <c r="I2357" s="6"/>
    </row>
    <row r="2358" spans="8:9" x14ac:dyDescent="0.2">
      <c r="H2358" s="6"/>
      <c r="I2358" s="6"/>
    </row>
    <row r="2359" spans="8:9" x14ac:dyDescent="0.2">
      <c r="H2359" s="6"/>
      <c r="I2359" s="6"/>
    </row>
    <row r="2360" spans="8:9" x14ac:dyDescent="0.2">
      <c r="H2360" s="6"/>
      <c r="I2360" s="6"/>
    </row>
    <row r="2361" spans="8:9" x14ac:dyDescent="0.2">
      <c r="H2361" s="6"/>
      <c r="I2361" s="6"/>
    </row>
    <row r="2362" spans="8:9" x14ac:dyDescent="0.2">
      <c r="H2362" s="6"/>
      <c r="I2362" s="6"/>
    </row>
    <row r="2363" spans="8:9" x14ac:dyDescent="0.2">
      <c r="H2363" s="6"/>
      <c r="I2363" s="6"/>
    </row>
    <row r="2364" spans="8:9" x14ac:dyDescent="0.2">
      <c r="H2364" s="6"/>
      <c r="I2364" s="6"/>
    </row>
    <row r="2365" spans="8:9" x14ac:dyDescent="0.2">
      <c r="H2365" s="6"/>
      <c r="I2365" s="6"/>
    </row>
    <row r="2366" spans="8:9" x14ac:dyDescent="0.2">
      <c r="H2366" s="6"/>
      <c r="I2366" s="6"/>
    </row>
    <row r="2367" spans="8:9" x14ac:dyDescent="0.2">
      <c r="H2367" s="6"/>
      <c r="I2367" s="6"/>
    </row>
    <row r="2368" spans="8:9" x14ac:dyDescent="0.2">
      <c r="H2368" s="6"/>
      <c r="I2368" s="6"/>
    </row>
    <row r="2369" spans="8:9" x14ac:dyDescent="0.2">
      <c r="H2369" s="6"/>
      <c r="I2369" s="6"/>
    </row>
    <row r="2370" spans="8:9" x14ac:dyDescent="0.2">
      <c r="H2370" s="6"/>
      <c r="I2370" s="6"/>
    </row>
    <row r="2371" spans="8:9" x14ac:dyDescent="0.2">
      <c r="H2371" s="6"/>
      <c r="I2371" s="6"/>
    </row>
    <row r="2372" spans="8:9" x14ac:dyDescent="0.2">
      <c r="H2372" s="6"/>
      <c r="I2372" s="6"/>
    </row>
    <row r="2373" spans="8:9" x14ac:dyDescent="0.2">
      <c r="H2373" s="6"/>
      <c r="I2373" s="6"/>
    </row>
    <row r="2374" spans="8:9" x14ac:dyDescent="0.2">
      <c r="H2374" s="6"/>
      <c r="I2374" s="6"/>
    </row>
    <row r="2375" spans="8:9" x14ac:dyDescent="0.2">
      <c r="H2375" s="6"/>
      <c r="I2375" s="6"/>
    </row>
    <row r="2376" spans="8:9" x14ac:dyDescent="0.2">
      <c r="H2376" s="6"/>
      <c r="I2376" s="6"/>
    </row>
    <row r="2377" spans="8:9" x14ac:dyDescent="0.2">
      <c r="H2377" s="6"/>
      <c r="I2377" s="6"/>
    </row>
    <row r="2378" spans="8:9" x14ac:dyDescent="0.2">
      <c r="H2378" s="6"/>
      <c r="I2378" s="6"/>
    </row>
    <row r="2379" spans="8:9" x14ac:dyDescent="0.2">
      <c r="H2379" s="6"/>
      <c r="I2379" s="6"/>
    </row>
    <row r="2380" spans="8:9" x14ac:dyDescent="0.2">
      <c r="H2380" s="6"/>
      <c r="I2380" s="6"/>
    </row>
    <row r="2381" spans="8:9" x14ac:dyDescent="0.2">
      <c r="H2381" s="6"/>
      <c r="I2381" s="6"/>
    </row>
    <row r="2382" spans="8:9" x14ac:dyDescent="0.2">
      <c r="H2382" s="6"/>
      <c r="I2382" s="6"/>
    </row>
    <row r="2383" spans="8:9" x14ac:dyDescent="0.2">
      <c r="H2383" s="6"/>
      <c r="I2383" s="6"/>
    </row>
    <row r="2384" spans="8:9" x14ac:dyDescent="0.2">
      <c r="H2384" s="6"/>
      <c r="I2384" s="6"/>
    </row>
    <row r="2385" spans="8:9" x14ac:dyDescent="0.2">
      <c r="H2385" s="6"/>
      <c r="I2385" s="6"/>
    </row>
    <row r="2386" spans="8:9" x14ac:dyDescent="0.2">
      <c r="H2386" s="6"/>
      <c r="I2386" s="6"/>
    </row>
    <row r="2387" spans="8:9" x14ac:dyDescent="0.2">
      <c r="H2387" s="6"/>
      <c r="I2387" s="6"/>
    </row>
    <row r="2388" spans="8:9" x14ac:dyDescent="0.2">
      <c r="H2388" s="6"/>
      <c r="I2388" s="6"/>
    </row>
    <row r="2389" spans="8:9" x14ac:dyDescent="0.2">
      <c r="H2389" s="6"/>
      <c r="I2389" s="6"/>
    </row>
    <row r="2390" spans="8:9" x14ac:dyDescent="0.2">
      <c r="H2390" s="6"/>
      <c r="I2390" s="6"/>
    </row>
    <row r="2391" spans="8:9" x14ac:dyDescent="0.2">
      <c r="H2391" s="6"/>
      <c r="I2391" s="6"/>
    </row>
    <row r="2392" spans="8:9" x14ac:dyDescent="0.2">
      <c r="H2392" s="6"/>
      <c r="I2392" s="6"/>
    </row>
    <row r="2393" spans="8:9" x14ac:dyDescent="0.2">
      <c r="H2393" s="6"/>
      <c r="I2393" s="6"/>
    </row>
    <row r="2394" spans="8:9" x14ac:dyDescent="0.2">
      <c r="H2394" s="6"/>
      <c r="I2394" s="6"/>
    </row>
    <row r="2395" spans="8:9" x14ac:dyDescent="0.2">
      <c r="H2395" s="6"/>
      <c r="I2395" s="6"/>
    </row>
    <row r="2396" spans="8:9" x14ac:dyDescent="0.2">
      <c r="H2396" s="6"/>
      <c r="I2396" s="6"/>
    </row>
    <row r="2397" spans="8:9" x14ac:dyDescent="0.2">
      <c r="H2397" s="6"/>
      <c r="I2397" s="6"/>
    </row>
    <row r="2398" spans="8:9" x14ac:dyDescent="0.2">
      <c r="H2398" s="6"/>
      <c r="I2398" s="6"/>
    </row>
    <row r="2399" spans="8:9" x14ac:dyDescent="0.2">
      <c r="H2399" s="6"/>
      <c r="I2399" s="6"/>
    </row>
    <row r="2400" spans="8:9" x14ac:dyDescent="0.2">
      <c r="H2400" s="6"/>
      <c r="I2400" s="6"/>
    </row>
    <row r="2401" spans="8:9" x14ac:dyDescent="0.2">
      <c r="H2401" s="6"/>
      <c r="I2401" s="6"/>
    </row>
    <row r="2402" spans="8:9" x14ac:dyDescent="0.2">
      <c r="H2402" s="6"/>
      <c r="I2402" s="6"/>
    </row>
    <row r="2403" spans="8:9" x14ac:dyDescent="0.2">
      <c r="H2403" s="6"/>
      <c r="I2403" s="6"/>
    </row>
    <row r="2404" spans="8:9" x14ac:dyDescent="0.2">
      <c r="H2404" s="6"/>
      <c r="I2404" s="6"/>
    </row>
    <row r="2405" spans="8:9" x14ac:dyDescent="0.2">
      <c r="H2405" s="6"/>
      <c r="I2405" s="6"/>
    </row>
    <row r="2406" spans="8:9" x14ac:dyDescent="0.2">
      <c r="H2406" s="6"/>
      <c r="I2406" s="6"/>
    </row>
    <row r="2407" spans="8:9" x14ac:dyDescent="0.2">
      <c r="H2407" s="6"/>
      <c r="I2407" s="6"/>
    </row>
    <row r="2408" spans="8:9" x14ac:dyDescent="0.2">
      <c r="H2408" s="6"/>
      <c r="I2408" s="6"/>
    </row>
    <row r="2409" spans="8:9" x14ac:dyDescent="0.2">
      <c r="H2409" s="6"/>
      <c r="I2409" s="6"/>
    </row>
    <row r="2410" spans="8:9" x14ac:dyDescent="0.2">
      <c r="H2410" s="6"/>
      <c r="I2410" s="6"/>
    </row>
    <row r="2411" spans="8:9" x14ac:dyDescent="0.2">
      <c r="H2411" s="6"/>
      <c r="I2411" s="6"/>
    </row>
    <row r="2412" spans="8:9" x14ac:dyDescent="0.2">
      <c r="H2412" s="6"/>
      <c r="I2412" s="6"/>
    </row>
    <row r="2413" spans="8:9" x14ac:dyDescent="0.2">
      <c r="H2413" s="6"/>
      <c r="I2413" s="6"/>
    </row>
    <row r="2414" spans="8:9" x14ac:dyDescent="0.2">
      <c r="H2414" s="6"/>
      <c r="I2414" s="6"/>
    </row>
    <row r="2415" spans="8:9" x14ac:dyDescent="0.2">
      <c r="H2415" s="6"/>
      <c r="I2415" s="6"/>
    </row>
    <row r="2416" spans="8:9" x14ac:dyDescent="0.2">
      <c r="H2416" s="6"/>
      <c r="I2416" s="6"/>
    </row>
    <row r="2417" spans="8:9" x14ac:dyDescent="0.2">
      <c r="H2417" s="6"/>
      <c r="I2417" s="6"/>
    </row>
    <row r="2418" spans="8:9" x14ac:dyDescent="0.2">
      <c r="H2418" s="6"/>
      <c r="I2418" s="6"/>
    </row>
    <row r="2419" spans="8:9" x14ac:dyDescent="0.2">
      <c r="H2419" s="6"/>
      <c r="I2419" s="6"/>
    </row>
    <row r="2420" spans="8:9" x14ac:dyDescent="0.2">
      <c r="H2420" s="6"/>
      <c r="I2420" s="6"/>
    </row>
    <row r="2421" spans="8:9" x14ac:dyDescent="0.2">
      <c r="H2421" s="6"/>
      <c r="I2421" s="6"/>
    </row>
    <row r="2422" spans="8:9" x14ac:dyDescent="0.2">
      <c r="H2422" s="6"/>
      <c r="I2422" s="6"/>
    </row>
    <row r="2423" spans="8:9" x14ac:dyDescent="0.2">
      <c r="H2423" s="6"/>
      <c r="I2423" s="6"/>
    </row>
    <row r="2424" spans="8:9" x14ac:dyDescent="0.2">
      <c r="H2424" s="6"/>
      <c r="I2424" s="6"/>
    </row>
    <row r="2425" spans="8:9" x14ac:dyDescent="0.2">
      <c r="H2425" s="6"/>
      <c r="I2425" s="6"/>
    </row>
    <row r="2426" spans="8:9" x14ac:dyDescent="0.2">
      <c r="H2426" s="6"/>
      <c r="I2426" s="6"/>
    </row>
    <row r="2427" spans="8:9" x14ac:dyDescent="0.2">
      <c r="H2427" s="6"/>
      <c r="I2427" s="6"/>
    </row>
    <row r="2428" spans="8:9" x14ac:dyDescent="0.2">
      <c r="H2428" s="6"/>
      <c r="I2428" s="6"/>
    </row>
    <row r="2429" spans="8:9" x14ac:dyDescent="0.2">
      <c r="H2429" s="6"/>
      <c r="I2429" s="6"/>
    </row>
    <row r="2430" spans="8:9" x14ac:dyDescent="0.2">
      <c r="H2430" s="6"/>
      <c r="I2430" s="6"/>
    </row>
    <row r="2431" spans="8:9" x14ac:dyDescent="0.2">
      <c r="H2431" s="6"/>
      <c r="I2431" s="6"/>
    </row>
    <row r="2432" spans="8:9" x14ac:dyDescent="0.2">
      <c r="H2432" s="6"/>
      <c r="I2432" s="6"/>
    </row>
    <row r="2433" spans="8:9" x14ac:dyDescent="0.2">
      <c r="H2433" s="6"/>
      <c r="I2433" s="6"/>
    </row>
    <row r="2434" spans="8:9" x14ac:dyDescent="0.2">
      <c r="H2434" s="6"/>
      <c r="I2434" s="6"/>
    </row>
    <row r="2435" spans="8:9" x14ac:dyDescent="0.2">
      <c r="H2435" s="6"/>
      <c r="I2435" s="6"/>
    </row>
    <row r="2436" spans="8:9" x14ac:dyDescent="0.2">
      <c r="H2436" s="6"/>
      <c r="I2436" s="6"/>
    </row>
    <row r="2437" spans="8:9" x14ac:dyDescent="0.2">
      <c r="H2437" s="6"/>
      <c r="I2437" s="6"/>
    </row>
    <row r="2438" spans="8:9" x14ac:dyDescent="0.2">
      <c r="H2438" s="6"/>
      <c r="I2438" s="6"/>
    </row>
    <row r="2439" spans="8:9" x14ac:dyDescent="0.2">
      <c r="H2439" s="6"/>
      <c r="I2439" s="6"/>
    </row>
    <row r="2440" spans="8:9" x14ac:dyDescent="0.2">
      <c r="H2440" s="6"/>
      <c r="I2440" s="6"/>
    </row>
    <row r="2441" spans="8:9" x14ac:dyDescent="0.2">
      <c r="H2441" s="6"/>
      <c r="I2441" s="6"/>
    </row>
    <row r="2442" spans="8:9" x14ac:dyDescent="0.2">
      <c r="H2442" s="6"/>
      <c r="I2442" s="6"/>
    </row>
    <row r="2443" spans="8:9" x14ac:dyDescent="0.2">
      <c r="H2443" s="6"/>
      <c r="I2443" s="6"/>
    </row>
    <row r="2444" spans="8:9" x14ac:dyDescent="0.2">
      <c r="H2444" s="6"/>
      <c r="I2444" s="6"/>
    </row>
    <row r="2445" spans="8:9" x14ac:dyDescent="0.2">
      <c r="H2445" s="6"/>
      <c r="I2445" s="6"/>
    </row>
    <row r="2446" spans="8:9" x14ac:dyDescent="0.2">
      <c r="H2446" s="6"/>
      <c r="I2446" s="6"/>
    </row>
    <row r="2447" spans="8:9" x14ac:dyDescent="0.2">
      <c r="H2447" s="6"/>
      <c r="I2447" s="6"/>
    </row>
    <row r="2448" spans="8:9" x14ac:dyDescent="0.2">
      <c r="H2448" s="6"/>
      <c r="I2448" s="6"/>
    </row>
    <row r="2449" spans="8:9" x14ac:dyDescent="0.2">
      <c r="H2449" s="6"/>
      <c r="I2449" s="6"/>
    </row>
    <row r="2450" spans="8:9" x14ac:dyDescent="0.2">
      <c r="H2450" s="6"/>
      <c r="I2450" s="6"/>
    </row>
    <row r="2451" spans="8:9" x14ac:dyDescent="0.2">
      <c r="H2451" s="6"/>
      <c r="I2451" s="6"/>
    </row>
    <row r="2452" spans="8:9" x14ac:dyDescent="0.2">
      <c r="H2452" s="6"/>
      <c r="I2452" s="6"/>
    </row>
    <row r="2453" spans="8:9" x14ac:dyDescent="0.2">
      <c r="H2453" s="6"/>
      <c r="I2453" s="6"/>
    </row>
    <row r="2454" spans="8:9" x14ac:dyDescent="0.2">
      <c r="H2454" s="6"/>
      <c r="I2454" s="6"/>
    </row>
    <row r="2455" spans="8:9" x14ac:dyDescent="0.2">
      <c r="H2455" s="6"/>
      <c r="I2455" s="6"/>
    </row>
    <row r="2456" spans="8:9" x14ac:dyDescent="0.2">
      <c r="H2456" s="6"/>
      <c r="I2456" s="6"/>
    </row>
    <row r="2457" spans="8:9" x14ac:dyDescent="0.2">
      <c r="H2457" s="6"/>
      <c r="I2457" s="6"/>
    </row>
    <row r="2458" spans="8:9" x14ac:dyDescent="0.2">
      <c r="H2458" s="6"/>
      <c r="I2458" s="6"/>
    </row>
    <row r="2459" spans="8:9" x14ac:dyDescent="0.2">
      <c r="H2459" s="6"/>
      <c r="I2459" s="6"/>
    </row>
    <row r="2460" spans="8:9" x14ac:dyDescent="0.2">
      <c r="H2460" s="6"/>
      <c r="I2460" s="6"/>
    </row>
    <row r="2461" spans="8:9" x14ac:dyDescent="0.2">
      <c r="H2461" s="6"/>
      <c r="I2461" s="6"/>
    </row>
    <row r="2462" spans="8:9" x14ac:dyDescent="0.2">
      <c r="H2462" s="6"/>
      <c r="I2462" s="6"/>
    </row>
    <row r="2463" spans="8:9" x14ac:dyDescent="0.2">
      <c r="H2463" s="6"/>
      <c r="I2463" s="6"/>
    </row>
    <row r="2464" spans="8:9" x14ac:dyDescent="0.2">
      <c r="H2464" s="6"/>
      <c r="I2464" s="6"/>
    </row>
    <row r="2465" spans="8:9" x14ac:dyDescent="0.2">
      <c r="H2465" s="6"/>
      <c r="I2465" s="6"/>
    </row>
    <row r="2466" spans="8:9" x14ac:dyDescent="0.2">
      <c r="H2466" s="6"/>
      <c r="I2466" s="6"/>
    </row>
    <row r="2467" spans="8:9" x14ac:dyDescent="0.2">
      <c r="H2467" s="6"/>
      <c r="I2467" s="6"/>
    </row>
    <row r="2468" spans="8:9" x14ac:dyDescent="0.2">
      <c r="H2468" s="6"/>
      <c r="I2468" s="6"/>
    </row>
    <row r="2469" spans="8:9" x14ac:dyDescent="0.2">
      <c r="H2469" s="6"/>
      <c r="I2469" s="6"/>
    </row>
    <row r="2470" spans="8:9" x14ac:dyDescent="0.2">
      <c r="H2470" s="6"/>
      <c r="I2470" s="6"/>
    </row>
    <row r="2471" spans="8:9" x14ac:dyDescent="0.2">
      <c r="H2471" s="6"/>
      <c r="I2471" s="6"/>
    </row>
    <row r="2472" spans="8:9" x14ac:dyDescent="0.2">
      <c r="H2472" s="6"/>
      <c r="I2472" s="6"/>
    </row>
    <row r="2473" spans="8:9" x14ac:dyDescent="0.2">
      <c r="H2473" s="6"/>
      <c r="I2473" s="6"/>
    </row>
    <row r="2474" spans="8:9" x14ac:dyDescent="0.2">
      <c r="H2474" s="6"/>
      <c r="I2474" s="6"/>
    </row>
    <row r="2475" spans="8:9" x14ac:dyDescent="0.2">
      <c r="H2475" s="6"/>
      <c r="I2475" s="6"/>
    </row>
    <row r="2476" spans="8:9" x14ac:dyDescent="0.2">
      <c r="H2476" s="6"/>
      <c r="I2476" s="6"/>
    </row>
    <row r="2477" spans="8:9" x14ac:dyDescent="0.2">
      <c r="H2477" s="6"/>
      <c r="I2477" s="6"/>
    </row>
    <row r="2478" spans="8:9" x14ac:dyDescent="0.2">
      <c r="H2478" s="6"/>
      <c r="I2478" s="6"/>
    </row>
    <row r="2479" spans="8:9" x14ac:dyDescent="0.2">
      <c r="H2479" s="6"/>
      <c r="I2479" s="6"/>
    </row>
    <row r="2480" spans="8:9" x14ac:dyDescent="0.2">
      <c r="H2480" s="6"/>
      <c r="I2480" s="6"/>
    </row>
    <row r="2481" spans="8:9" x14ac:dyDescent="0.2">
      <c r="H2481" s="6"/>
      <c r="I2481" s="6"/>
    </row>
    <row r="2482" spans="8:9" x14ac:dyDescent="0.2">
      <c r="H2482" s="6"/>
      <c r="I2482" s="6"/>
    </row>
    <row r="2483" spans="8:9" x14ac:dyDescent="0.2">
      <c r="H2483" s="6"/>
      <c r="I2483" s="6"/>
    </row>
    <row r="2484" spans="8:9" x14ac:dyDescent="0.2">
      <c r="H2484" s="6"/>
      <c r="I2484" s="6"/>
    </row>
    <row r="2485" spans="8:9" x14ac:dyDescent="0.2">
      <c r="H2485" s="6"/>
      <c r="I2485" s="6"/>
    </row>
    <row r="2486" spans="8:9" x14ac:dyDescent="0.2">
      <c r="H2486" s="6"/>
      <c r="I2486" s="6"/>
    </row>
    <row r="2487" spans="8:9" x14ac:dyDescent="0.2">
      <c r="H2487" s="6"/>
      <c r="I2487" s="6"/>
    </row>
    <row r="2488" spans="8:9" x14ac:dyDescent="0.2">
      <c r="H2488" s="6"/>
      <c r="I2488" s="6"/>
    </row>
    <row r="2489" spans="8:9" x14ac:dyDescent="0.2">
      <c r="H2489" s="6"/>
      <c r="I2489" s="6"/>
    </row>
    <row r="2490" spans="8:9" x14ac:dyDescent="0.2">
      <c r="H2490" s="6"/>
      <c r="I2490" s="6"/>
    </row>
    <row r="2491" spans="8:9" x14ac:dyDescent="0.2">
      <c r="H2491" s="6"/>
      <c r="I2491" s="6"/>
    </row>
    <row r="2492" spans="8:9" x14ac:dyDescent="0.2">
      <c r="H2492" s="6"/>
      <c r="I2492" s="6"/>
    </row>
    <row r="2493" spans="8:9" x14ac:dyDescent="0.2">
      <c r="H2493" s="6"/>
      <c r="I2493" s="6"/>
    </row>
    <row r="2494" spans="8:9" x14ac:dyDescent="0.2">
      <c r="H2494" s="6"/>
      <c r="I2494" s="6"/>
    </row>
    <row r="2495" spans="8:9" x14ac:dyDescent="0.2">
      <c r="H2495" s="6"/>
      <c r="I2495" s="6"/>
    </row>
    <row r="2496" spans="8:9" x14ac:dyDescent="0.2">
      <c r="H2496" s="6"/>
      <c r="I2496" s="6"/>
    </row>
    <row r="2497" spans="8:9" x14ac:dyDescent="0.2">
      <c r="H2497" s="6"/>
      <c r="I2497" s="6"/>
    </row>
    <row r="2498" spans="8:9" x14ac:dyDescent="0.2">
      <c r="H2498" s="6"/>
      <c r="I2498" s="6"/>
    </row>
    <row r="2499" spans="8:9" x14ac:dyDescent="0.2">
      <c r="H2499" s="6"/>
      <c r="I2499" s="6"/>
    </row>
    <row r="2500" spans="8:9" x14ac:dyDescent="0.2">
      <c r="H2500" s="6"/>
      <c r="I2500" s="6"/>
    </row>
    <row r="2501" spans="8:9" x14ac:dyDescent="0.2">
      <c r="H2501" s="6"/>
      <c r="I2501" s="6"/>
    </row>
    <row r="2502" spans="8:9" x14ac:dyDescent="0.2">
      <c r="H2502" s="6"/>
      <c r="I2502" s="6"/>
    </row>
    <row r="2503" spans="8:9" x14ac:dyDescent="0.2">
      <c r="H2503" s="6"/>
      <c r="I2503" s="6"/>
    </row>
    <row r="2504" spans="8:9" x14ac:dyDescent="0.2">
      <c r="H2504" s="6"/>
      <c r="I2504" s="6"/>
    </row>
    <row r="2505" spans="8:9" x14ac:dyDescent="0.2">
      <c r="H2505" s="6"/>
      <c r="I2505" s="6"/>
    </row>
    <row r="2506" spans="8:9" x14ac:dyDescent="0.2">
      <c r="H2506" s="6"/>
      <c r="I2506" s="6"/>
    </row>
    <row r="2507" spans="8:9" x14ac:dyDescent="0.2">
      <c r="H2507" s="6"/>
      <c r="I2507" s="6"/>
    </row>
    <row r="2508" spans="8:9" x14ac:dyDescent="0.2">
      <c r="H2508" s="6"/>
      <c r="I2508" s="6"/>
    </row>
    <row r="2509" spans="8:9" x14ac:dyDescent="0.2">
      <c r="H2509" s="6"/>
      <c r="I2509" s="6"/>
    </row>
    <row r="2510" spans="8:9" x14ac:dyDescent="0.2">
      <c r="H2510" s="6"/>
      <c r="I2510" s="6"/>
    </row>
    <row r="2511" spans="8:9" x14ac:dyDescent="0.2">
      <c r="H2511" s="6"/>
      <c r="I2511" s="6"/>
    </row>
    <row r="2512" spans="8:9" x14ac:dyDescent="0.2">
      <c r="H2512" s="6"/>
      <c r="I2512" s="6"/>
    </row>
    <row r="2513" spans="8:9" x14ac:dyDescent="0.2">
      <c r="H2513" s="6"/>
      <c r="I2513" s="6"/>
    </row>
    <row r="2514" spans="8:9" x14ac:dyDescent="0.2">
      <c r="H2514" s="6"/>
      <c r="I2514" s="6"/>
    </row>
    <row r="2515" spans="8:9" x14ac:dyDescent="0.2">
      <c r="H2515" s="6"/>
      <c r="I2515" s="6"/>
    </row>
    <row r="2516" spans="8:9" x14ac:dyDescent="0.2">
      <c r="H2516" s="6"/>
      <c r="I2516" s="6"/>
    </row>
    <row r="2517" spans="8:9" x14ac:dyDescent="0.2">
      <c r="H2517" s="6"/>
      <c r="I2517" s="6"/>
    </row>
    <row r="2518" spans="8:9" x14ac:dyDescent="0.2">
      <c r="H2518" s="6"/>
      <c r="I2518" s="6"/>
    </row>
    <row r="2519" spans="8:9" x14ac:dyDescent="0.2">
      <c r="H2519" s="6"/>
      <c r="I2519" s="6"/>
    </row>
    <row r="2520" spans="8:9" x14ac:dyDescent="0.2">
      <c r="H2520" s="6"/>
      <c r="I2520" s="6"/>
    </row>
    <row r="2521" spans="8:9" x14ac:dyDescent="0.2">
      <c r="H2521" s="6"/>
      <c r="I2521" s="6"/>
    </row>
    <row r="2522" spans="8:9" x14ac:dyDescent="0.2">
      <c r="H2522" s="6"/>
      <c r="I2522" s="6"/>
    </row>
    <row r="2523" spans="8:9" x14ac:dyDescent="0.2">
      <c r="H2523" s="6"/>
      <c r="I2523" s="6"/>
    </row>
    <row r="2524" spans="8:9" x14ac:dyDescent="0.2">
      <c r="H2524" s="6"/>
      <c r="I2524" s="6"/>
    </row>
    <row r="2525" spans="8:9" x14ac:dyDescent="0.2">
      <c r="H2525" s="6"/>
      <c r="I2525" s="6"/>
    </row>
    <row r="2526" spans="8:9" x14ac:dyDescent="0.2">
      <c r="H2526" s="6"/>
      <c r="I2526" s="6"/>
    </row>
    <row r="2527" spans="8:9" x14ac:dyDescent="0.2">
      <c r="H2527" s="6"/>
      <c r="I2527" s="6"/>
    </row>
    <row r="2528" spans="8:9" x14ac:dyDescent="0.2">
      <c r="H2528" s="6"/>
      <c r="I2528" s="6"/>
    </row>
    <row r="2529" spans="8:9" x14ac:dyDescent="0.2">
      <c r="H2529" s="6"/>
      <c r="I2529" s="6"/>
    </row>
    <row r="2530" spans="8:9" x14ac:dyDescent="0.2">
      <c r="H2530" s="6"/>
      <c r="I2530" s="6"/>
    </row>
    <row r="2531" spans="8:9" x14ac:dyDescent="0.2">
      <c r="H2531" s="6"/>
      <c r="I2531" s="6"/>
    </row>
    <row r="2532" spans="8:9" x14ac:dyDescent="0.2">
      <c r="H2532" s="6"/>
      <c r="I2532" s="6"/>
    </row>
    <row r="2533" spans="8:9" x14ac:dyDescent="0.2">
      <c r="H2533" s="6"/>
      <c r="I2533" s="6"/>
    </row>
    <row r="2534" spans="8:9" x14ac:dyDescent="0.2">
      <c r="H2534" s="6"/>
      <c r="I2534" s="6"/>
    </row>
    <row r="2535" spans="8:9" x14ac:dyDescent="0.2">
      <c r="H2535" s="6"/>
      <c r="I2535" s="6"/>
    </row>
    <row r="2536" spans="8:9" x14ac:dyDescent="0.2">
      <c r="H2536" s="6"/>
      <c r="I2536" s="6"/>
    </row>
    <row r="2537" spans="8:9" x14ac:dyDescent="0.2">
      <c r="H2537" s="6"/>
      <c r="I2537" s="6"/>
    </row>
    <row r="2538" spans="8:9" x14ac:dyDescent="0.2">
      <c r="H2538" s="6"/>
      <c r="I2538" s="6"/>
    </row>
    <row r="2539" spans="8:9" x14ac:dyDescent="0.2">
      <c r="H2539" s="6"/>
      <c r="I2539" s="6"/>
    </row>
    <row r="2540" spans="8:9" x14ac:dyDescent="0.2">
      <c r="H2540" s="6"/>
      <c r="I2540" s="6"/>
    </row>
    <row r="2541" spans="8:9" x14ac:dyDescent="0.2">
      <c r="H2541" s="6"/>
      <c r="I2541" s="6"/>
    </row>
    <row r="2542" spans="8:9" x14ac:dyDescent="0.2">
      <c r="H2542" s="6"/>
      <c r="I2542" s="6"/>
    </row>
    <row r="2543" spans="8:9" x14ac:dyDescent="0.2">
      <c r="H2543" s="6"/>
      <c r="I2543" s="6"/>
    </row>
    <row r="2544" spans="8:9" x14ac:dyDescent="0.2">
      <c r="H2544" s="6"/>
      <c r="I2544" s="6"/>
    </row>
    <row r="2545" spans="8:9" x14ac:dyDescent="0.2">
      <c r="H2545" s="6"/>
      <c r="I2545" s="6"/>
    </row>
    <row r="2546" spans="8:9" x14ac:dyDescent="0.2">
      <c r="H2546" s="6"/>
      <c r="I2546" s="6"/>
    </row>
    <row r="2547" spans="8:9" x14ac:dyDescent="0.2">
      <c r="H2547" s="6"/>
      <c r="I2547" s="6"/>
    </row>
    <row r="2548" spans="8:9" x14ac:dyDescent="0.2">
      <c r="H2548" s="6"/>
      <c r="I2548" s="6"/>
    </row>
    <row r="2549" spans="8:9" x14ac:dyDescent="0.2">
      <c r="H2549" s="6"/>
      <c r="I2549" s="6"/>
    </row>
    <row r="2550" spans="8:9" x14ac:dyDescent="0.2">
      <c r="H2550" s="6"/>
      <c r="I2550" s="6"/>
    </row>
    <row r="2551" spans="8:9" x14ac:dyDescent="0.2">
      <c r="H2551" s="6"/>
      <c r="I2551" s="6"/>
    </row>
    <row r="2552" spans="8:9" x14ac:dyDescent="0.2">
      <c r="H2552" s="6"/>
      <c r="I2552" s="6"/>
    </row>
    <row r="2553" spans="8:9" x14ac:dyDescent="0.2">
      <c r="H2553" s="6"/>
      <c r="I2553" s="6"/>
    </row>
    <row r="2554" spans="8:9" x14ac:dyDescent="0.2">
      <c r="H2554" s="6"/>
      <c r="I2554" s="6"/>
    </row>
    <row r="2555" spans="8:9" x14ac:dyDescent="0.2">
      <c r="H2555" s="6"/>
      <c r="I2555" s="6"/>
    </row>
    <row r="2556" spans="8:9" x14ac:dyDescent="0.2">
      <c r="H2556" s="6"/>
      <c r="I2556" s="6"/>
    </row>
    <row r="2557" spans="8:9" x14ac:dyDescent="0.2">
      <c r="H2557" s="6"/>
      <c r="I2557" s="6"/>
    </row>
    <row r="2558" spans="8:9" x14ac:dyDescent="0.2">
      <c r="H2558" s="6"/>
      <c r="I2558" s="6"/>
    </row>
    <row r="2559" spans="8:9" x14ac:dyDescent="0.2">
      <c r="H2559" s="6"/>
      <c r="I2559" s="6"/>
    </row>
    <row r="2560" spans="8:9" x14ac:dyDescent="0.2">
      <c r="H2560" s="6"/>
      <c r="I2560" s="6"/>
    </row>
    <row r="2561" spans="8:9" x14ac:dyDescent="0.2">
      <c r="H2561" s="6"/>
      <c r="I2561" s="6"/>
    </row>
    <row r="2562" spans="8:9" x14ac:dyDescent="0.2">
      <c r="H2562" s="6"/>
      <c r="I2562" s="6"/>
    </row>
    <row r="2563" spans="8:9" x14ac:dyDescent="0.2">
      <c r="H2563" s="6"/>
      <c r="I2563" s="6"/>
    </row>
    <row r="2564" spans="8:9" x14ac:dyDescent="0.2">
      <c r="H2564" s="6"/>
      <c r="I2564" s="6"/>
    </row>
    <row r="2565" spans="8:9" x14ac:dyDescent="0.2">
      <c r="H2565" s="6"/>
      <c r="I2565" s="6"/>
    </row>
    <row r="2566" spans="8:9" x14ac:dyDescent="0.2">
      <c r="H2566" s="6"/>
      <c r="I2566" s="6"/>
    </row>
    <row r="2567" spans="8:9" x14ac:dyDescent="0.2">
      <c r="H2567" s="6"/>
      <c r="I2567" s="6"/>
    </row>
    <row r="2568" spans="8:9" x14ac:dyDescent="0.2">
      <c r="H2568" s="6"/>
      <c r="I2568" s="6"/>
    </row>
    <row r="2569" spans="8:9" x14ac:dyDescent="0.2">
      <c r="H2569" s="6"/>
      <c r="I2569" s="6"/>
    </row>
    <row r="2570" spans="8:9" x14ac:dyDescent="0.2">
      <c r="H2570" s="6"/>
      <c r="I2570" s="6"/>
    </row>
    <row r="2571" spans="8:9" x14ac:dyDescent="0.2">
      <c r="H2571" s="6"/>
      <c r="I2571" s="6"/>
    </row>
    <row r="2572" spans="8:9" x14ac:dyDescent="0.2">
      <c r="H2572" s="6"/>
      <c r="I2572" s="6"/>
    </row>
    <row r="2573" spans="8:9" x14ac:dyDescent="0.2">
      <c r="H2573" s="6"/>
      <c r="I2573" s="6"/>
    </row>
    <row r="2574" spans="8:9" x14ac:dyDescent="0.2">
      <c r="H2574" s="6"/>
      <c r="I2574" s="6"/>
    </row>
    <row r="2575" spans="8:9" x14ac:dyDescent="0.2">
      <c r="H2575" s="6"/>
      <c r="I2575" s="6"/>
    </row>
    <row r="2576" spans="8:9" x14ac:dyDescent="0.2">
      <c r="H2576" s="6"/>
      <c r="I2576" s="6"/>
    </row>
    <row r="2577" spans="8:9" x14ac:dyDescent="0.2">
      <c r="H2577" s="6"/>
      <c r="I2577" s="6"/>
    </row>
    <row r="2578" spans="8:9" x14ac:dyDescent="0.2">
      <c r="H2578" s="6"/>
      <c r="I2578" s="6"/>
    </row>
    <row r="2579" spans="8:9" x14ac:dyDescent="0.2">
      <c r="H2579" s="6"/>
      <c r="I2579" s="6"/>
    </row>
    <row r="2580" spans="8:9" x14ac:dyDescent="0.2">
      <c r="H2580" s="6"/>
      <c r="I2580" s="6"/>
    </row>
    <row r="2581" spans="8:9" x14ac:dyDescent="0.2">
      <c r="H2581" s="6"/>
      <c r="I2581" s="6"/>
    </row>
    <row r="2582" spans="8:9" x14ac:dyDescent="0.2">
      <c r="H2582" s="6"/>
      <c r="I2582" s="6"/>
    </row>
    <row r="2583" spans="8:9" x14ac:dyDescent="0.2">
      <c r="H2583" s="6"/>
      <c r="I2583" s="6"/>
    </row>
    <row r="2584" spans="8:9" x14ac:dyDescent="0.2">
      <c r="H2584" s="6"/>
      <c r="I2584" s="6"/>
    </row>
    <row r="2585" spans="8:9" x14ac:dyDescent="0.2">
      <c r="H2585" s="6"/>
      <c r="I2585" s="6"/>
    </row>
    <row r="2586" spans="8:9" x14ac:dyDescent="0.2">
      <c r="H2586" s="6"/>
      <c r="I2586" s="6"/>
    </row>
    <row r="2587" spans="8:9" x14ac:dyDescent="0.2">
      <c r="H2587" s="6"/>
      <c r="I2587" s="6"/>
    </row>
    <row r="2588" spans="8:9" x14ac:dyDescent="0.2">
      <c r="H2588" s="6"/>
      <c r="I2588" s="6"/>
    </row>
    <row r="2589" spans="8:9" x14ac:dyDescent="0.2">
      <c r="H2589" s="6"/>
      <c r="I2589" s="6"/>
    </row>
    <row r="2590" spans="8:9" x14ac:dyDescent="0.2">
      <c r="H2590" s="6"/>
      <c r="I2590" s="6"/>
    </row>
    <row r="2591" spans="8:9" x14ac:dyDescent="0.2">
      <c r="H2591" s="6"/>
      <c r="I2591" s="6"/>
    </row>
    <row r="2592" spans="8:9" x14ac:dyDescent="0.2">
      <c r="H2592" s="6"/>
      <c r="I2592" s="6"/>
    </row>
    <row r="2593" spans="8:9" x14ac:dyDescent="0.2">
      <c r="H2593" s="6"/>
      <c r="I2593" s="6"/>
    </row>
    <row r="2594" spans="8:9" x14ac:dyDescent="0.2">
      <c r="H2594" s="6"/>
      <c r="I2594" s="6"/>
    </row>
    <row r="2595" spans="8:9" x14ac:dyDescent="0.2">
      <c r="H2595" s="6"/>
      <c r="I2595" s="6"/>
    </row>
    <row r="2596" spans="8:9" x14ac:dyDescent="0.2">
      <c r="H2596" s="6"/>
      <c r="I2596" s="6"/>
    </row>
    <row r="2597" spans="8:9" x14ac:dyDescent="0.2">
      <c r="H2597" s="6"/>
      <c r="I2597" s="6"/>
    </row>
    <row r="2598" spans="8:9" x14ac:dyDescent="0.2">
      <c r="H2598" s="6"/>
      <c r="I2598" s="6"/>
    </row>
    <row r="2599" spans="8:9" x14ac:dyDescent="0.2">
      <c r="H2599" s="6"/>
      <c r="I2599" s="6"/>
    </row>
    <row r="2600" spans="8:9" x14ac:dyDescent="0.2">
      <c r="H2600" s="6"/>
      <c r="I2600" s="6"/>
    </row>
    <row r="2601" spans="8:9" x14ac:dyDescent="0.2">
      <c r="H2601" s="6"/>
      <c r="I2601" s="6"/>
    </row>
    <row r="2602" spans="8:9" x14ac:dyDescent="0.2">
      <c r="H2602" s="6"/>
      <c r="I2602" s="6"/>
    </row>
    <row r="2603" spans="8:9" x14ac:dyDescent="0.2">
      <c r="H2603" s="6"/>
      <c r="I2603" s="6"/>
    </row>
    <row r="2604" spans="8:9" x14ac:dyDescent="0.2">
      <c r="H2604" s="6"/>
      <c r="I2604" s="6"/>
    </row>
    <row r="2605" spans="8:9" x14ac:dyDescent="0.2">
      <c r="H2605" s="6"/>
      <c r="I2605" s="6"/>
    </row>
    <row r="2606" spans="8:9" x14ac:dyDescent="0.2">
      <c r="H2606" s="6"/>
      <c r="I2606" s="6"/>
    </row>
    <row r="2607" spans="8:9" x14ac:dyDescent="0.2">
      <c r="H2607" s="6"/>
      <c r="I2607" s="6"/>
    </row>
    <row r="2608" spans="8:9" x14ac:dyDescent="0.2">
      <c r="H2608" s="6"/>
      <c r="I2608" s="6"/>
    </row>
    <row r="2609" spans="8:9" x14ac:dyDescent="0.2">
      <c r="H2609" s="6"/>
      <c r="I2609" s="6"/>
    </row>
    <row r="2610" spans="8:9" x14ac:dyDescent="0.2">
      <c r="H2610" s="6"/>
      <c r="I2610" s="6"/>
    </row>
    <row r="2611" spans="8:9" x14ac:dyDescent="0.2">
      <c r="H2611" s="6"/>
      <c r="I2611" s="6"/>
    </row>
    <row r="2612" spans="8:9" x14ac:dyDescent="0.2">
      <c r="H2612" s="6"/>
      <c r="I2612" s="6"/>
    </row>
    <row r="2613" spans="8:9" x14ac:dyDescent="0.2">
      <c r="H2613" s="6"/>
      <c r="I2613" s="6"/>
    </row>
    <row r="2614" spans="8:9" x14ac:dyDescent="0.2">
      <c r="H2614" s="6"/>
      <c r="I2614" s="6"/>
    </row>
    <row r="2615" spans="8:9" x14ac:dyDescent="0.2">
      <c r="H2615" s="6"/>
      <c r="I2615" s="6"/>
    </row>
    <row r="2616" spans="8:9" x14ac:dyDescent="0.2">
      <c r="H2616" s="6"/>
      <c r="I2616" s="6"/>
    </row>
    <row r="2617" spans="8:9" x14ac:dyDescent="0.2">
      <c r="H2617" s="6"/>
      <c r="I2617" s="6"/>
    </row>
    <row r="2618" spans="8:9" x14ac:dyDescent="0.2">
      <c r="H2618" s="6"/>
      <c r="I2618" s="6"/>
    </row>
    <row r="2619" spans="8:9" x14ac:dyDescent="0.2">
      <c r="H2619" s="6"/>
      <c r="I2619" s="6"/>
    </row>
    <row r="2620" spans="8:9" x14ac:dyDescent="0.2">
      <c r="H2620" s="6"/>
      <c r="I2620" s="6"/>
    </row>
    <row r="2621" spans="8:9" x14ac:dyDescent="0.2">
      <c r="H2621" s="6"/>
      <c r="I2621" s="6"/>
    </row>
    <row r="2622" spans="8:9" x14ac:dyDescent="0.2">
      <c r="H2622" s="6"/>
      <c r="I2622" s="6"/>
    </row>
    <row r="2623" spans="8:9" x14ac:dyDescent="0.2">
      <c r="H2623" s="6"/>
      <c r="I2623" s="6"/>
    </row>
    <row r="2624" spans="8:9" x14ac:dyDescent="0.2">
      <c r="H2624" s="6"/>
      <c r="I2624" s="6"/>
    </row>
    <row r="2625" spans="8:9" x14ac:dyDescent="0.2">
      <c r="H2625" s="6"/>
      <c r="I2625" s="6"/>
    </row>
    <row r="2626" spans="8:9" x14ac:dyDescent="0.2">
      <c r="H2626" s="6"/>
      <c r="I2626" s="6"/>
    </row>
    <row r="2627" spans="8:9" x14ac:dyDescent="0.2">
      <c r="H2627" s="6"/>
      <c r="I2627" s="6"/>
    </row>
    <row r="2628" spans="8:9" x14ac:dyDescent="0.2">
      <c r="H2628" s="6"/>
      <c r="I2628" s="6"/>
    </row>
    <row r="2629" spans="8:9" x14ac:dyDescent="0.2">
      <c r="H2629" s="6"/>
      <c r="I2629" s="6"/>
    </row>
    <row r="2630" spans="8:9" x14ac:dyDescent="0.2">
      <c r="H2630" s="6"/>
      <c r="I2630" s="6"/>
    </row>
    <row r="2631" spans="8:9" x14ac:dyDescent="0.2">
      <c r="H2631" s="6"/>
      <c r="I2631" s="6"/>
    </row>
    <row r="2632" spans="8:9" x14ac:dyDescent="0.2">
      <c r="H2632" s="6"/>
      <c r="I2632" s="6"/>
    </row>
    <row r="2633" spans="8:9" x14ac:dyDescent="0.2">
      <c r="H2633" s="6"/>
      <c r="I2633" s="6"/>
    </row>
    <row r="2634" spans="8:9" x14ac:dyDescent="0.2">
      <c r="H2634" s="6"/>
      <c r="I2634" s="6"/>
    </row>
    <row r="2635" spans="8:9" x14ac:dyDescent="0.2">
      <c r="H2635" s="6"/>
      <c r="I2635" s="6"/>
    </row>
    <row r="2636" spans="8:9" x14ac:dyDescent="0.2">
      <c r="H2636" s="6"/>
      <c r="I2636" s="6"/>
    </row>
    <row r="2637" spans="8:9" x14ac:dyDescent="0.2">
      <c r="H2637" s="6"/>
      <c r="I2637" s="6"/>
    </row>
    <row r="2638" spans="8:9" x14ac:dyDescent="0.2">
      <c r="H2638" s="6"/>
      <c r="I2638" s="6"/>
    </row>
    <row r="2639" spans="8:9" x14ac:dyDescent="0.2">
      <c r="H2639" s="6"/>
      <c r="I2639" s="6"/>
    </row>
    <row r="2640" spans="8:9" x14ac:dyDescent="0.2">
      <c r="H2640" s="6"/>
      <c r="I2640" s="6"/>
    </row>
    <row r="2641" spans="8:9" x14ac:dyDescent="0.2">
      <c r="H2641" s="6"/>
      <c r="I2641" s="6"/>
    </row>
    <row r="2642" spans="8:9" x14ac:dyDescent="0.2">
      <c r="H2642" s="6"/>
      <c r="I2642" s="6"/>
    </row>
    <row r="2643" spans="8:9" x14ac:dyDescent="0.2">
      <c r="H2643" s="6"/>
      <c r="I2643" s="6"/>
    </row>
    <row r="2644" spans="8:9" x14ac:dyDescent="0.2">
      <c r="H2644" s="6"/>
      <c r="I2644" s="6"/>
    </row>
    <row r="2645" spans="8:9" x14ac:dyDescent="0.2">
      <c r="H2645" s="6"/>
      <c r="I2645" s="6"/>
    </row>
    <row r="2646" spans="8:9" x14ac:dyDescent="0.2">
      <c r="H2646" s="6"/>
      <c r="I2646" s="6"/>
    </row>
    <row r="2647" spans="8:9" x14ac:dyDescent="0.2">
      <c r="H2647" s="6"/>
      <c r="I2647" s="6"/>
    </row>
    <row r="2648" spans="8:9" x14ac:dyDescent="0.2">
      <c r="H2648" s="6"/>
      <c r="I2648" s="6"/>
    </row>
    <row r="2649" spans="8:9" x14ac:dyDescent="0.2">
      <c r="H2649" s="6"/>
      <c r="I2649" s="6"/>
    </row>
    <row r="2650" spans="8:9" x14ac:dyDescent="0.2">
      <c r="H2650" s="6"/>
      <c r="I2650" s="6"/>
    </row>
    <row r="2651" spans="8:9" x14ac:dyDescent="0.2">
      <c r="H2651" s="6"/>
      <c r="I2651" s="6"/>
    </row>
    <row r="2652" spans="8:9" x14ac:dyDescent="0.2">
      <c r="H2652" s="6"/>
      <c r="I2652" s="6"/>
    </row>
    <row r="2653" spans="8:9" x14ac:dyDescent="0.2">
      <c r="H2653" s="6"/>
      <c r="I2653" s="6"/>
    </row>
    <row r="2654" spans="8:9" x14ac:dyDescent="0.2">
      <c r="H2654" s="6"/>
      <c r="I2654" s="6"/>
    </row>
    <row r="2655" spans="8:9" x14ac:dyDescent="0.2">
      <c r="H2655" s="6"/>
      <c r="I2655" s="6"/>
    </row>
    <row r="2656" spans="8:9" x14ac:dyDescent="0.2">
      <c r="H2656" s="6"/>
      <c r="I2656" s="6"/>
    </row>
    <row r="2657" spans="8:9" x14ac:dyDescent="0.2">
      <c r="H2657" s="6"/>
      <c r="I2657" s="6"/>
    </row>
    <row r="2658" spans="8:9" x14ac:dyDescent="0.2">
      <c r="H2658" s="6"/>
      <c r="I2658" s="6"/>
    </row>
    <row r="2659" spans="8:9" x14ac:dyDescent="0.2">
      <c r="H2659" s="6"/>
      <c r="I2659" s="6"/>
    </row>
    <row r="2660" spans="8:9" x14ac:dyDescent="0.2">
      <c r="H2660" s="6"/>
      <c r="I2660" s="6"/>
    </row>
    <row r="2661" spans="8:9" x14ac:dyDescent="0.2">
      <c r="H2661" s="6"/>
      <c r="I2661" s="6"/>
    </row>
    <row r="2662" spans="8:9" x14ac:dyDescent="0.2">
      <c r="H2662" s="6"/>
      <c r="I2662" s="6"/>
    </row>
    <row r="2663" spans="8:9" x14ac:dyDescent="0.2">
      <c r="H2663" s="6"/>
      <c r="I2663" s="6"/>
    </row>
    <row r="2664" spans="8:9" x14ac:dyDescent="0.2">
      <c r="H2664" s="6"/>
      <c r="I2664" s="6"/>
    </row>
    <row r="2665" spans="8:9" x14ac:dyDescent="0.2">
      <c r="H2665" s="6"/>
      <c r="I2665" s="6"/>
    </row>
    <row r="2666" spans="8:9" x14ac:dyDescent="0.2">
      <c r="H2666" s="6"/>
      <c r="I2666" s="6"/>
    </row>
    <row r="2667" spans="8:9" x14ac:dyDescent="0.2">
      <c r="H2667" s="6"/>
      <c r="I2667" s="6"/>
    </row>
    <row r="2668" spans="8:9" x14ac:dyDescent="0.2">
      <c r="H2668" s="6"/>
      <c r="I2668" s="6"/>
    </row>
    <row r="2669" spans="8:9" x14ac:dyDescent="0.2">
      <c r="H2669" s="6"/>
      <c r="I2669" s="6"/>
    </row>
    <row r="2670" spans="8:9" x14ac:dyDescent="0.2">
      <c r="H2670" s="6"/>
      <c r="I2670" s="6"/>
    </row>
    <row r="2671" spans="8:9" x14ac:dyDescent="0.2">
      <c r="H2671" s="6"/>
      <c r="I2671" s="6"/>
    </row>
    <row r="2672" spans="8:9" x14ac:dyDescent="0.2">
      <c r="H2672" s="6"/>
      <c r="I2672" s="6"/>
    </row>
    <row r="2673" spans="8:9" x14ac:dyDescent="0.2">
      <c r="H2673" s="6"/>
      <c r="I2673" s="6"/>
    </row>
    <row r="2674" spans="8:9" x14ac:dyDescent="0.2">
      <c r="H2674" s="6"/>
      <c r="I2674" s="6"/>
    </row>
    <row r="2675" spans="8:9" x14ac:dyDescent="0.2">
      <c r="H2675" s="6"/>
      <c r="I2675" s="6"/>
    </row>
    <row r="2676" spans="8:9" x14ac:dyDescent="0.2">
      <c r="H2676" s="6"/>
      <c r="I2676" s="6"/>
    </row>
    <row r="2677" spans="8:9" x14ac:dyDescent="0.2">
      <c r="H2677" s="6"/>
      <c r="I2677" s="6"/>
    </row>
    <row r="2678" spans="8:9" x14ac:dyDescent="0.2">
      <c r="H2678" s="6"/>
      <c r="I2678" s="6"/>
    </row>
    <row r="2679" spans="8:9" x14ac:dyDescent="0.2">
      <c r="H2679" s="6"/>
      <c r="I2679" s="6"/>
    </row>
    <row r="2680" spans="8:9" x14ac:dyDescent="0.2">
      <c r="H2680" s="6"/>
      <c r="I2680" s="6"/>
    </row>
    <row r="2681" spans="8:9" x14ac:dyDescent="0.2">
      <c r="H2681" s="6"/>
      <c r="I2681" s="6"/>
    </row>
    <row r="2682" spans="8:9" x14ac:dyDescent="0.2">
      <c r="H2682" s="6"/>
      <c r="I2682" s="6"/>
    </row>
    <row r="2683" spans="8:9" x14ac:dyDescent="0.2">
      <c r="H2683" s="6"/>
      <c r="I2683" s="6"/>
    </row>
    <row r="2684" spans="8:9" x14ac:dyDescent="0.2">
      <c r="H2684" s="6"/>
      <c r="I2684" s="6"/>
    </row>
    <row r="2685" spans="8:9" x14ac:dyDescent="0.2">
      <c r="H2685" s="6"/>
      <c r="I2685" s="6"/>
    </row>
    <row r="2686" spans="8:9" x14ac:dyDescent="0.2">
      <c r="H2686" s="6"/>
      <c r="I2686" s="6"/>
    </row>
    <row r="2687" spans="8:9" x14ac:dyDescent="0.2">
      <c r="H2687" s="6"/>
      <c r="I2687" s="6"/>
    </row>
    <row r="2688" spans="8:9" x14ac:dyDescent="0.2">
      <c r="H2688" s="6"/>
      <c r="I2688" s="6"/>
    </row>
    <row r="2689" spans="8:9" x14ac:dyDescent="0.2">
      <c r="H2689" s="6"/>
      <c r="I2689" s="6"/>
    </row>
    <row r="2690" spans="8:9" x14ac:dyDescent="0.2">
      <c r="H2690" s="6"/>
      <c r="I2690" s="6"/>
    </row>
    <row r="2691" spans="8:9" x14ac:dyDescent="0.2">
      <c r="H2691" s="6"/>
      <c r="I2691" s="6"/>
    </row>
    <row r="2692" spans="8:9" x14ac:dyDescent="0.2">
      <c r="H2692" s="6"/>
      <c r="I2692" s="6"/>
    </row>
    <row r="2693" spans="8:9" x14ac:dyDescent="0.2">
      <c r="H2693" s="6"/>
      <c r="I2693" s="6"/>
    </row>
    <row r="2694" spans="8:9" x14ac:dyDescent="0.2">
      <c r="H2694" s="6"/>
      <c r="I2694" s="6"/>
    </row>
    <row r="2695" spans="8:9" x14ac:dyDescent="0.2">
      <c r="H2695" s="6"/>
      <c r="I2695" s="6"/>
    </row>
    <row r="2696" spans="8:9" x14ac:dyDescent="0.2">
      <c r="H2696" s="6"/>
      <c r="I2696" s="6"/>
    </row>
    <row r="2697" spans="8:9" x14ac:dyDescent="0.2">
      <c r="H2697" s="6"/>
      <c r="I2697" s="6"/>
    </row>
    <row r="2698" spans="8:9" x14ac:dyDescent="0.2">
      <c r="H2698" s="6"/>
      <c r="I2698" s="6"/>
    </row>
    <row r="2699" spans="8:9" x14ac:dyDescent="0.2">
      <c r="H2699" s="6"/>
      <c r="I2699" s="6"/>
    </row>
    <row r="2700" spans="8:9" x14ac:dyDescent="0.2">
      <c r="H2700" s="6"/>
      <c r="I2700" s="6"/>
    </row>
    <row r="2701" spans="8:9" x14ac:dyDescent="0.2">
      <c r="H2701" s="6"/>
      <c r="I2701" s="6"/>
    </row>
    <row r="2702" spans="8:9" x14ac:dyDescent="0.2">
      <c r="H2702" s="6"/>
      <c r="I2702" s="6"/>
    </row>
    <row r="2703" spans="8:9" x14ac:dyDescent="0.2">
      <c r="H2703" s="6"/>
      <c r="I2703" s="6"/>
    </row>
    <row r="2704" spans="8:9" x14ac:dyDescent="0.2">
      <c r="H2704" s="6"/>
      <c r="I2704" s="6"/>
    </row>
    <row r="2705" spans="8:9" x14ac:dyDescent="0.2">
      <c r="H2705" s="6"/>
      <c r="I2705" s="6"/>
    </row>
    <row r="2706" spans="8:9" x14ac:dyDescent="0.2">
      <c r="H2706" s="6"/>
      <c r="I2706" s="6"/>
    </row>
    <row r="2707" spans="8:9" x14ac:dyDescent="0.2">
      <c r="H2707" s="6"/>
      <c r="I2707" s="6"/>
    </row>
    <row r="2708" spans="8:9" x14ac:dyDescent="0.2">
      <c r="H2708" s="6"/>
      <c r="I2708" s="6"/>
    </row>
    <row r="2709" spans="8:9" x14ac:dyDescent="0.2">
      <c r="H2709" s="6"/>
      <c r="I2709" s="6"/>
    </row>
    <row r="2710" spans="8:9" x14ac:dyDescent="0.2">
      <c r="H2710" s="6"/>
      <c r="I2710" s="6"/>
    </row>
    <row r="2711" spans="8:9" x14ac:dyDescent="0.2">
      <c r="H2711" s="6"/>
      <c r="I2711" s="6"/>
    </row>
    <row r="2712" spans="8:9" x14ac:dyDescent="0.2">
      <c r="H2712" s="6"/>
      <c r="I2712" s="6"/>
    </row>
    <row r="2713" spans="8:9" x14ac:dyDescent="0.2">
      <c r="H2713" s="6"/>
    </row>
    <row r="2714" spans="8:9" x14ac:dyDescent="0.2">
      <c r="H2714" s="6"/>
      <c r="I2714" s="6"/>
    </row>
    <row r="2715" spans="8:9" x14ac:dyDescent="0.2">
      <c r="H2715" s="6"/>
      <c r="I2715" s="6"/>
    </row>
    <row r="2716" spans="8:9" x14ac:dyDescent="0.2">
      <c r="H2716" s="6"/>
      <c r="I2716" s="6"/>
    </row>
    <row r="2717" spans="8:9" x14ac:dyDescent="0.2">
      <c r="H2717" s="6"/>
      <c r="I2717" s="6"/>
    </row>
    <row r="2718" spans="8:9" x14ac:dyDescent="0.2">
      <c r="H2718" s="6"/>
      <c r="I2718" s="6"/>
    </row>
    <row r="2719" spans="8:9" x14ac:dyDescent="0.2">
      <c r="H2719" s="6"/>
      <c r="I2719" s="6"/>
    </row>
    <row r="2720" spans="8:9" x14ac:dyDescent="0.2">
      <c r="H2720" s="6"/>
      <c r="I2720" s="6"/>
    </row>
    <row r="2721" spans="8:9" x14ac:dyDescent="0.2">
      <c r="H2721" s="6"/>
      <c r="I2721" s="6"/>
    </row>
    <row r="2722" spans="8:9" x14ac:dyDescent="0.2">
      <c r="H2722" s="6"/>
      <c r="I2722" s="6"/>
    </row>
    <row r="2723" spans="8:9" x14ac:dyDescent="0.2">
      <c r="H2723" s="6"/>
      <c r="I2723" s="6"/>
    </row>
    <row r="2724" spans="8:9" x14ac:dyDescent="0.2">
      <c r="H2724" s="6"/>
      <c r="I2724" s="6"/>
    </row>
    <row r="2725" spans="8:9" x14ac:dyDescent="0.2">
      <c r="H2725" s="6"/>
      <c r="I2725" s="6"/>
    </row>
    <row r="2726" spans="8:9" x14ac:dyDescent="0.2">
      <c r="H2726" s="6"/>
      <c r="I2726" s="6"/>
    </row>
    <row r="2727" spans="8:9" x14ac:dyDescent="0.2">
      <c r="H2727" s="6"/>
      <c r="I2727" s="6"/>
    </row>
    <row r="2728" spans="8:9" x14ac:dyDescent="0.2">
      <c r="H2728" s="6"/>
      <c r="I2728" s="6"/>
    </row>
    <row r="2729" spans="8:9" x14ac:dyDescent="0.2">
      <c r="H2729" s="6"/>
      <c r="I2729" s="6"/>
    </row>
    <row r="2730" spans="8:9" x14ac:dyDescent="0.2">
      <c r="H2730" s="6"/>
      <c r="I2730" s="6"/>
    </row>
    <row r="2731" spans="8:9" x14ac:dyDescent="0.2">
      <c r="H2731" s="6"/>
      <c r="I2731" s="6"/>
    </row>
    <row r="2732" spans="8:9" x14ac:dyDescent="0.2">
      <c r="H2732" s="6"/>
      <c r="I2732" s="6"/>
    </row>
    <row r="2733" spans="8:9" x14ac:dyDescent="0.2">
      <c r="H2733" s="6"/>
      <c r="I2733" s="6"/>
    </row>
    <row r="2734" spans="8:9" x14ac:dyDescent="0.2">
      <c r="H2734" s="6"/>
      <c r="I2734" s="6"/>
    </row>
    <row r="2735" spans="8:9" x14ac:dyDescent="0.2">
      <c r="H2735" s="6"/>
      <c r="I2735" s="6"/>
    </row>
    <row r="2736" spans="8:9" x14ac:dyDescent="0.2">
      <c r="H2736" s="6"/>
      <c r="I2736" s="6"/>
    </row>
    <row r="2737" spans="8:9" x14ac:dyDescent="0.2">
      <c r="H2737" s="6"/>
      <c r="I2737" s="6"/>
    </row>
    <row r="2738" spans="8:9" x14ac:dyDescent="0.2">
      <c r="H2738" s="6"/>
      <c r="I2738" s="6"/>
    </row>
    <row r="2739" spans="8:9" x14ac:dyDescent="0.2">
      <c r="H2739" s="6"/>
      <c r="I2739" s="6"/>
    </row>
    <row r="2740" spans="8:9" x14ac:dyDescent="0.2">
      <c r="H2740" s="6"/>
      <c r="I2740" s="6"/>
    </row>
    <row r="2741" spans="8:9" x14ac:dyDescent="0.2">
      <c r="H2741" s="6"/>
      <c r="I2741" s="6"/>
    </row>
    <row r="2742" spans="8:9" x14ac:dyDescent="0.2">
      <c r="H2742" s="6"/>
      <c r="I2742" s="6"/>
    </row>
    <row r="2743" spans="8:9" x14ac:dyDescent="0.2">
      <c r="H2743" s="6"/>
      <c r="I2743" s="6"/>
    </row>
    <row r="2744" spans="8:9" x14ac:dyDescent="0.2">
      <c r="H2744" s="6"/>
      <c r="I2744" s="6"/>
    </row>
    <row r="2745" spans="8:9" x14ac:dyDescent="0.2">
      <c r="H2745" s="6"/>
      <c r="I2745" s="6"/>
    </row>
    <row r="2746" spans="8:9" x14ac:dyDescent="0.2">
      <c r="H2746" s="6"/>
      <c r="I2746" s="6"/>
    </row>
    <row r="2747" spans="8:9" x14ac:dyDescent="0.2">
      <c r="H2747" s="6"/>
      <c r="I2747" s="6"/>
    </row>
    <row r="2748" spans="8:9" x14ac:dyDescent="0.2">
      <c r="H2748" s="6"/>
      <c r="I2748" s="6"/>
    </row>
    <row r="2749" spans="8:9" x14ac:dyDescent="0.2">
      <c r="H2749" s="6"/>
      <c r="I2749" s="6"/>
    </row>
    <row r="2750" spans="8:9" x14ac:dyDescent="0.2">
      <c r="H2750" s="6"/>
      <c r="I2750" s="6"/>
    </row>
    <row r="2751" spans="8:9" x14ac:dyDescent="0.2">
      <c r="H2751" s="6"/>
      <c r="I2751" s="6"/>
    </row>
    <row r="2752" spans="8:9" x14ac:dyDescent="0.2">
      <c r="H2752" s="6"/>
      <c r="I2752" s="6"/>
    </row>
    <row r="2753" spans="8:9" x14ac:dyDescent="0.2">
      <c r="H2753" s="6"/>
      <c r="I2753" s="6"/>
    </row>
    <row r="2754" spans="8:9" x14ac:dyDescent="0.2">
      <c r="H2754" s="6"/>
      <c r="I2754" s="6"/>
    </row>
    <row r="2755" spans="8:9" x14ac:dyDescent="0.2">
      <c r="H2755" s="6"/>
      <c r="I2755" s="6"/>
    </row>
    <row r="2756" spans="8:9" x14ac:dyDescent="0.2">
      <c r="H2756" s="6"/>
      <c r="I2756" s="6"/>
    </row>
    <row r="2757" spans="8:9" x14ac:dyDescent="0.2">
      <c r="H2757" s="6"/>
      <c r="I2757" s="6"/>
    </row>
    <row r="2758" spans="8:9" x14ac:dyDescent="0.2">
      <c r="H2758" s="6"/>
      <c r="I2758" s="6"/>
    </row>
    <row r="2759" spans="8:9" x14ac:dyDescent="0.2">
      <c r="H2759" s="6"/>
      <c r="I2759" s="6"/>
    </row>
    <row r="2760" spans="8:9" x14ac:dyDescent="0.2">
      <c r="H2760" s="6"/>
      <c r="I2760" s="6"/>
    </row>
    <row r="2761" spans="8:9" x14ac:dyDescent="0.2">
      <c r="H2761" s="6"/>
      <c r="I2761" s="6"/>
    </row>
    <row r="2762" spans="8:9" x14ac:dyDescent="0.2">
      <c r="H2762" s="6"/>
      <c r="I2762" s="6"/>
    </row>
    <row r="2763" spans="8:9" x14ac:dyDescent="0.2">
      <c r="H2763" s="6"/>
      <c r="I2763" s="6"/>
    </row>
    <row r="2764" spans="8:9" x14ac:dyDescent="0.2">
      <c r="H2764" s="6"/>
      <c r="I2764" s="6"/>
    </row>
    <row r="2765" spans="8:9" x14ac:dyDescent="0.2">
      <c r="H2765" s="6"/>
      <c r="I2765" s="6"/>
    </row>
    <row r="2766" spans="8:9" x14ac:dyDescent="0.2">
      <c r="H2766" s="6"/>
      <c r="I2766" s="6"/>
    </row>
    <row r="2767" spans="8:9" x14ac:dyDescent="0.2">
      <c r="H2767" s="6"/>
      <c r="I2767" s="6"/>
    </row>
    <row r="2768" spans="8:9" x14ac:dyDescent="0.2">
      <c r="H2768" s="6"/>
      <c r="I2768" s="6"/>
    </row>
    <row r="2769" spans="8:9" x14ac:dyDescent="0.2">
      <c r="H2769" s="6"/>
      <c r="I2769" s="6"/>
    </row>
    <row r="2770" spans="8:9" x14ac:dyDescent="0.2">
      <c r="H2770" s="6"/>
      <c r="I2770" s="6"/>
    </row>
    <row r="2771" spans="8:9" x14ac:dyDescent="0.2">
      <c r="H2771" s="6"/>
      <c r="I2771" s="6"/>
    </row>
    <row r="2772" spans="8:9" x14ac:dyDescent="0.2">
      <c r="H2772" s="6"/>
      <c r="I2772" s="6"/>
    </row>
    <row r="2773" spans="8:9" x14ac:dyDescent="0.2">
      <c r="H2773" s="6"/>
      <c r="I2773" s="6"/>
    </row>
    <row r="2774" spans="8:9" x14ac:dyDescent="0.2">
      <c r="H2774" s="6"/>
      <c r="I2774" s="6"/>
    </row>
    <row r="2775" spans="8:9" x14ac:dyDescent="0.2">
      <c r="H2775" s="6"/>
      <c r="I2775" s="6"/>
    </row>
    <row r="2776" spans="8:9" x14ac:dyDescent="0.2">
      <c r="H2776" s="6"/>
      <c r="I2776" s="6"/>
    </row>
    <row r="2777" spans="8:9" x14ac:dyDescent="0.2">
      <c r="H2777" s="6"/>
      <c r="I2777" s="6"/>
    </row>
    <row r="2778" spans="8:9" x14ac:dyDescent="0.2">
      <c r="H2778" s="6"/>
      <c r="I2778" s="6"/>
    </row>
    <row r="2779" spans="8:9" x14ac:dyDescent="0.2">
      <c r="H2779" s="6"/>
      <c r="I2779" s="6"/>
    </row>
    <row r="2780" spans="8:9" x14ac:dyDescent="0.2">
      <c r="H2780" s="6"/>
      <c r="I2780" s="6"/>
    </row>
    <row r="2781" spans="8:9" x14ac:dyDescent="0.2">
      <c r="H2781" s="6"/>
      <c r="I2781" s="6"/>
    </row>
    <row r="2782" spans="8:9" x14ac:dyDescent="0.2">
      <c r="H2782" s="6"/>
      <c r="I2782" s="6"/>
    </row>
    <row r="2783" spans="8:9" x14ac:dyDescent="0.2">
      <c r="H2783" s="6"/>
      <c r="I2783" s="6"/>
    </row>
    <row r="2784" spans="8:9" x14ac:dyDescent="0.2">
      <c r="H2784" s="6"/>
      <c r="I2784" s="6"/>
    </row>
    <row r="2785" spans="8:9" x14ac:dyDescent="0.2">
      <c r="H2785" s="6"/>
      <c r="I2785" s="6"/>
    </row>
    <row r="2786" spans="8:9" x14ac:dyDescent="0.2">
      <c r="H2786" s="6"/>
      <c r="I2786" s="6"/>
    </row>
    <row r="2787" spans="8:9" x14ac:dyDescent="0.2">
      <c r="H2787" s="6"/>
      <c r="I2787" s="6"/>
    </row>
    <row r="2788" spans="8:9" x14ac:dyDescent="0.2">
      <c r="H2788" s="6"/>
      <c r="I2788" s="6"/>
    </row>
    <row r="2789" spans="8:9" x14ac:dyDescent="0.2">
      <c r="H2789" s="6"/>
      <c r="I2789" s="6"/>
    </row>
    <row r="2790" spans="8:9" x14ac:dyDescent="0.2">
      <c r="H2790" s="6"/>
      <c r="I2790" s="6"/>
    </row>
    <row r="2791" spans="8:9" x14ac:dyDescent="0.2">
      <c r="H2791" s="6"/>
      <c r="I2791" s="6"/>
    </row>
    <row r="2792" spans="8:9" x14ac:dyDescent="0.2">
      <c r="H2792" s="6"/>
      <c r="I2792" s="6"/>
    </row>
    <row r="2793" spans="8:9" x14ac:dyDescent="0.2">
      <c r="H2793" s="6"/>
      <c r="I2793" s="6"/>
    </row>
    <row r="2794" spans="8:9" x14ac:dyDescent="0.2">
      <c r="H2794" s="6"/>
      <c r="I2794" s="6"/>
    </row>
    <row r="2795" spans="8:9" x14ac:dyDescent="0.2">
      <c r="H2795" s="6"/>
      <c r="I2795" s="6"/>
    </row>
    <row r="2796" spans="8:9" x14ac:dyDescent="0.2">
      <c r="H2796" s="6"/>
      <c r="I2796" s="6"/>
    </row>
    <row r="2797" spans="8:9" x14ac:dyDescent="0.2">
      <c r="H2797" s="6"/>
      <c r="I2797" s="6"/>
    </row>
    <row r="2798" spans="8:9" x14ac:dyDescent="0.2">
      <c r="H2798" s="6"/>
      <c r="I2798" s="6"/>
    </row>
    <row r="2799" spans="8:9" x14ac:dyDescent="0.2">
      <c r="H2799" s="6"/>
      <c r="I2799" s="6"/>
    </row>
    <row r="2800" spans="8:9" x14ac:dyDescent="0.2">
      <c r="H2800" s="6"/>
      <c r="I2800" s="6"/>
    </row>
    <row r="2801" spans="8:9" x14ac:dyDescent="0.2">
      <c r="H2801" s="6"/>
      <c r="I2801" s="6"/>
    </row>
    <row r="2802" spans="8:9" x14ac:dyDescent="0.2">
      <c r="H2802" s="6"/>
      <c r="I2802" s="6"/>
    </row>
    <row r="2803" spans="8:9" x14ac:dyDescent="0.2">
      <c r="H2803" s="6"/>
      <c r="I2803" s="6"/>
    </row>
    <row r="2804" spans="8:9" x14ac:dyDescent="0.2">
      <c r="H2804" s="6"/>
      <c r="I2804" s="6"/>
    </row>
    <row r="2805" spans="8:9" x14ac:dyDescent="0.2">
      <c r="H2805" s="6"/>
      <c r="I2805" s="6"/>
    </row>
    <row r="2806" spans="8:9" x14ac:dyDescent="0.2">
      <c r="H2806" s="6"/>
      <c r="I2806" s="6"/>
    </row>
    <row r="2807" spans="8:9" x14ac:dyDescent="0.2">
      <c r="H2807" s="6"/>
      <c r="I2807" s="6"/>
    </row>
    <row r="2808" spans="8:9" x14ac:dyDescent="0.2">
      <c r="H2808" s="6"/>
      <c r="I2808" s="6"/>
    </row>
    <row r="2809" spans="8:9" x14ac:dyDescent="0.2">
      <c r="H2809" s="6"/>
      <c r="I2809" s="6"/>
    </row>
    <row r="2810" spans="8:9" x14ac:dyDescent="0.2">
      <c r="H2810" s="6"/>
      <c r="I2810" s="6"/>
    </row>
    <row r="2811" spans="8:9" x14ac:dyDescent="0.2">
      <c r="H2811" s="6"/>
      <c r="I2811" s="6"/>
    </row>
    <row r="2812" spans="8:9" x14ac:dyDescent="0.2">
      <c r="H2812" s="6"/>
      <c r="I2812" s="6"/>
    </row>
    <row r="2813" spans="8:9" x14ac:dyDescent="0.2">
      <c r="H2813" s="6"/>
      <c r="I2813" s="6"/>
    </row>
    <row r="2814" spans="8:9" x14ac:dyDescent="0.2">
      <c r="H2814" s="6"/>
      <c r="I2814" s="6"/>
    </row>
    <row r="2815" spans="8:9" x14ac:dyDescent="0.2">
      <c r="H2815" s="6"/>
      <c r="I2815" s="6"/>
    </row>
    <row r="2816" spans="8:9" x14ac:dyDescent="0.2">
      <c r="H2816" s="6"/>
      <c r="I2816" s="6"/>
    </row>
    <row r="2817" spans="8:9" x14ac:dyDescent="0.2">
      <c r="H2817" s="6"/>
      <c r="I2817" s="6"/>
    </row>
    <row r="2818" spans="8:9" x14ac:dyDescent="0.2">
      <c r="H2818" s="6"/>
      <c r="I2818" s="6"/>
    </row>
    <row r="2819" spans="8:9" x14ac:dyDescent="0.2">
      <c r="H2819" s="6"/>
      <c r="I2819" s="6"/>
    </row>
    <row r="2820" spans="8:9" x14ac:dyDescent="0.2">
      <c r="H2820" s="6"/>
      <c r="I2820" s="6"/>
    </row>
    <row r="2821" spans="8:9" x14ac:dyDescent="0.2">
      <c r="H2821" s="6"/>
      <c r="I2821" s="6"/>
    </row>
    <row r="2822" spans="8:9" x14ac:dyDescent="0.2">
      <c r="H2822" s="6"/>
      <c r="I2822" s="6"/>
    </row>
    <row r="2823" spans="8:9" x14ac:dyDescent="0.2">
      <c r="H2823" s="6"/>
      <c r="I2823" s="6"/>
    </row>
    <row r="2824" spans="8:9" x14ac:dyDescent="0.2">
      <c r="H2824" s="6"/>
      <c r="I2824" s="6"/>
    </row>
    <row r="2825" spans="8:9" x14ac:dyDescent="0.2">
      <c r="H2825" s="6"/>
      <c r="I2825" s="6"/>
    </row>
    <row r="2826" spans="8:9" x14ac:dyDescent="0.2">
      <c r="H2826" s="6"/>
      <c r="I2826" s="6"/>
    </row>
    <row r="2827" spans="8:9" x14ac:dyDescent="0.2">
      <c r="H2827" s="6"/>
      <c r="I2827" s="6"/>
    </row>
    <row r="2828" spans="8:9" x14ac:dyDescent="0.2">
      <c r="H2828" s="6"/>
      <c r="I2828" s="6"/>
    </row>
    <row r="2829" spans="8:9" x14ac:dyDescent="0.2">
      <c r="H2829" s="6"/>
      <c r="I2829" s="6"/>
    </row>
    <row r="2830" spans="8:9" x14ac:dyDescent="0.2">
      <c r="H2830" s="6"/>
      <c r="I2830" s="6"/>
    </row>
    <row r="2831" spans="8:9" x14ac:dyDescent="0.2">
      <c r="H2831" s="6"/>
      <c r="I2831" s="6"/>
    </row>
    <row r="2832" spans="8:9" x14ac:dyDescent="0.2">
      <c r="H2832" s="6"/>
      <c r="I2832" s="6"/>
    </row>
    <row r="2833" spans="8:9" x14ac:dyDescent="0.2">
      <c r="H2833" s="6"/>
      <c r="I2833" s="6"/>
    </row>
    <row r="2834" spans="8:9" x14ac:dyDescent="0.2">
      <c r="H2834" s="6"/>
      <c r="I2834" s="6"/>
    </row>
    <row r="2835" spans="8:9" x14ac:dyDescent="0.2">
      <c r="H2835" s="6"/>
      <c r="I2835" s="6"/>
    </row>
    <row r="2836" spans="8:9" x14ac:dyDescent="0.2">
      <c r="H2836" s="6"/>
      <c r="I2836" s="6"/>
    </row>
    <row r="2837" spans="8:9" x14ac:dyDescent="0.2">
      <c r="H2837" s="6"/>
      <c r="I2837" s="6"/>
    </row>
    <row r="2838" spans="8:9" x14ac:dyDescent="0.2">
      <c r="H2838" s="6"/>
      <c r="I2838" s="6"/>
    </row>
    <row r="2839" spans="8:9" x14ac:dyDescent="0.2">
      <c r="H2839" s="6"/>
      <c r="I2839" s="6"/>
    </row>
    <row r="2840" spans="8:9" x14ac:dyDescent="0.2">
      <c r="H2840" s="6"/>
      <c r="I2840" s="6"/>
    </row>
    <row r="2841" spans="8:9" x14ac:dyDescent="0.2">
      <c r="H2841" s="6"/>
      <c r="I2841" s="6"/>
    </row>
    <row r="2842" spans="8:9" x14ac:dyDescent="0.2">
      <c r="H2842" s="6"/>
      <c r="I2842" s="6"/>
    </row>
    <row r="2843" spans="8:9" x14ac:dyDescent="0.2">
      <c r="H2843" s="6"/>
      <c r="I2843" s="6"/>
    </row>
    <row r="2844" spans="8:9" x14ac:dyDescent="0.2">
      <c r="H2844" s="6"/>
      <c r="I2844" s="6"/>
    </row>
    <row r="2845" spans="8:9" x14ac:dyDescent="0.2">
      <c r="H2845" s="6"/>
      <c r="I2845" s="6"/>
    </row>
    <row r="2846" spans="8:9" x14ac:dyDescent="0.2">
      <c r="H2846" s="6"/>
      <c r="I2846" s="6"/>
    </row>
    <row r="2847" spans="8:9" x14ac:dyDescent="0.2">
      <c r="H2847" s="6"/>
      <c r="I2847" s="6"/>
    </row>
    <row r="2848" spans="8:9" x14ac:dyDescent="0.2">
      <c r="H2848" s="6"/>
      <c r="I2848" s="6"/>
    </row>
    <row r="2849" spans="8:9" x14ac:dyDescent="0.2">
      <c r="H2849" s="6"/>
      <c r="I2849" s="6"/>
    </row>
    <row r="2850" spans="8:9" x14ac:dyDescent="0.2">
      <c r="H2850" s="6"/>
      <c r="I2850" s="6"/>
    </row>
    <row r="2851" spans="8:9" x14ac:dyDescent="0.2">
      <c r="H2851" s="6"/>
      <c r="I2851" s="6"/>
    </row>
    <row r="2852" spans="8:9" x14ac:dyDescent="0.2">
      <c r="H2852" s="6"/>
      <c r="I2852" s="6"/>
    </row>
    <row r="2853" spans="8:9" x14ac:dyDescent="0.2">
      <c r="H2853" s="6"/>
      <c r="I2853" s="6"/>
    </row>
    <row r="2854" spans="8:9" x14ac:dyDescent="0.2">
      <c r="H2854" s="6"/>
      <c r="I2854" s="6"/>
    </row>
    <row r="2855" spans="8:9" x14ac:dyDescent="0.2">
      <c r="H2855" s="6"/>
      <c r="I2855" s="6"/>
    </row>
    <row r="2856" spans="8:9" x14ac:dyDescent="0.2">
      <c r="H2856" s="6"/>
      <c r="I2856" s="6"/>
    </row>
    <row r="2857" spans="8:9" x14ac:dyDescent="0.2">
      <c r="H2857" s="6"/>
      <c r="I2857" s="6"/>
    </row>
    <row r="2858" spans="8:9" x14ac:dyDescent="0.2">
      <c r="H2858" s="6"/>
      <c r="I2858" s="6"/>
    </row>
    <row r="2859" spans="8:9" x14ac:dyDescent="0.2">
      <c r="H2859" s="6"/>
      <c r="I2859" s="6"/>
    </row>
    <row r="2860" spans="8:9" x14ac:dyDescent="0.2">
      <c r="H2860" s="6"/>
      <c r="I2860" s="6"/>
    </row>
    <row r="2861" spans="8:9" x14ac:dyDescent="0.2">
      <c r="H2861" s="6"/>
      <c r="I2861" s="6"/>
    </row>
    <row r="2862" spans="8:9" x14ac:dyDescent="0.2">
      <c r="H2862" s="6"/>
      <c r="I2862" s="6"/>
    </row>
    <row r="2863" spans="8:9" x14ac:dyDescent="0.2">
      <c r="H2863" s="6"/>
      <c r="I2863" s="6"/>
    </row>
    <row r="2864" spans="8:9" x14ac:dyDescent="0.2">
      <c r="H2864" s="6"/>
      <c r="I2864" s="6"/>
    </row>
    <row r="2865" spans="8:9" x14ac:dyDescent="0.2">
      <c r="H2865" s="6"/>
      <c r="I2865" s="6"/>
    </row>
    <row r="2866" spans="8:9" x14ac:dyDescent="0.2">
      <c r="H2866" s="6"/>
      <c r="I2866" s="6"/>
    </row>
    <row r="2867" spans="8:9" x14ac:dyDescent="0.2">
      <c r="H2867" s="6"/>
      <c r="I2867" s="6"/>
    </row>
    <row r="2868" spans="8:9" x14ac:dyDescent="0.2">
      <c r="H2868" s="6"/>
      <c r="I2868" s="6"/>
    </row>
    <row r="2869" spans="8:9" x14ac:dyDescent="0.2">
      <c r="H2869" s="6"/>
      <c r="I2869" s="6"/>
    </row>
    <row r="2870" spans="8:9" x14ac:dyDescent="0.2">
      <c r="H2870" s="6"/>
      <c r="I2870" s="6"/>
    </row>
    <row r="2871" spans="8:9" x14ac:dyDescent="0.2">
      <c r="H2871" s="6"/>
      <c r="I2871" s="6"/>
    </row>
    <row r="2872" spans="8:9" x14ac:dyDescent="0.2">
      <c r="H2872" s="6"/>
      <c r="I2872" s="6"/>
    </row>
    <row r="2873" spans="8:9" x14ac:dyDescent="0.2">
      <c r="H2873" s="6"/>
      <c r="I2873" s="6"/>
    </row>
    <row r="2874" spans="8:9" x14ac:dyDescent="0.2">
      <c r="H2874" s="6"/>
      <c r="I2874" s="6"/>
    </row>
    <row r="2875" spans="8:9" x14ac:dyDescent="0.2">
      <c r="H2875" s="6"/>
      <c r="I2875" s="6"/>
    </row>
    <row r="2876" spans="8:9" x14ac:dyDescent="0.2">
      <c r="H2876" s="6"/>
      <c r="I2876" s="6"/>
    </row>
    <row r="2877" spans="8:9" x14ac:dyDescent="0.2">
      <c r="H2877" s="6"/>
      <c r="I2877" s="6"/>
    </row>
    <row r="2878" spans="8:9" x14ac:dyDescent="0.2">
      <c r="H2878" s="6"/>
      <c r="I2878" s="6"/>
    </row>
    <row r="2879" spans="8:9" x14ac:dyDescent="0.2">
      <c r="H2879" s="6"/>
      <c r="I2879" s="6"/>
    </row>
    <row r="2880" spans="8:9" x14ac:dyDescent="0.2">
      <c r="H2880" s="6"/>
      <c r="I2880" s="6"/>
    </row>
    <row r="2881" spans="8:9" x14ac:dyDescent="0.2">
      <c r="H2881" s="6"/>
      <c r="I2881" s="6"/>
    </row>
    <row r="2882" spans="8:9" x14ac:dyDescent="0.2">
      <c r="H2882" s="6"/>
      <c r="I2882" s="6"/>
    </row>
    <row r="2883" spans="8:9" x14ac:dyDescent="0.2">
      <c r="H2883" s="6"/>
      <c r="I2883" s="6"/>
    </row>
    <row r="2884" spans="8:9" x14ac:dyDescent="0.2">
      <c r="H2884" s="6"/>
      <c r="I2884" s="6"/>
    </row>
    <row r="2885" spans="8:9" x14ac:dyDescent="0.2">
      <c r="H2885" s="6"/>
      <c r="I2885" s="6"/>
    </row>
    <row r="2886" spans="8:9" x14ac:dyDescent="0.2">
      <c r="H2886" s="6"/>
      <c r="I2886" s="6"/>
    </row>
    <row r="2887" spans="8:9" x14ac:dyDescent="0.2">
      <c r="H2887" s="6"/>
      <c r="I2887" s="6"/>
    </row>
    <row r="2888" spans="8:9" x14ac:dyDescent="0.2">
      <c r="H2888" s="6"/>
      <c r="I2888" s="6"/>
    </row>
    <row r="2889" spans="8:9" x14ac:dyDescent="0.2">
      <c r="H2889" s="6"/>
      <c r="I2889" s="6"/>
    </row>
    <row r="2890" spans="8:9" x14ac:dyDescent="0.2">
      <c r="H2890" s="6"/>
      <c r="I2890" s="6"/>
    </row>
    <row r="2891" spans="8:9" x14ac:dyDescent="0.2">
      <c r="H2891" s="6"/>
      <c r="I2891" s="6"/>
    </row>
    <row r="2892" spans="8:9" x14ac:dyDescent="0.2">
      <c r="H2892" s="6"/>
      <c r="I2892" s="6"/>
    </row>
    <row r="2893" spans="8:9" x14ac:dyDescent="0.2">
      <c r="H2893" s="6"/>
      <c r="I2893" s="6"/>
    </row>
    <row r="2894" spans="8:9" x14ac:dyDescent="0.2">
      <c r="H2894" s="6"/>
      <c r="I2894" s="6"/>
    </row>
    <row r="2895" spans="8:9" x14ac:dyDescent="0.2">
      <c r="H2895" s="6"/>
      <c r="I2895" s="6"/>
    </row>
    <row r="2896" spans="8:9" x14ac:dyDescent="0.2">
      <c r="H2896" s="6"/>
      <c r="I2896" s="6"/>
    </row>
    <row r="2897" spans="8:9" x14ac:dyDescent="0.2">
      <c r="H2897" s="6"/>
      <c r="I2897" s="6"/>
    </row>
    <row r="2898" spans="8:9" x14ac:dyDescent="0.2">
      <c r="H2898" s="6"/>
      <c r="I2898" s="6"/>
    </row>
    <row r="2899" spans="8:9" x14ac:dyDescent="0.2">
      <c r="H2899" s="6"/>
      <c r="I2899" s="6"/>
    </row>
    <row r="2900" spans="8:9" x14ac:dyDescent="0.2">
      <c r="H2900" s="6"/>
      <c r="I2900" s="6"/>
    </row>
    <row r="2901" spans="8:9" x14ac:dyDescent="0.2">
      <c r="H2901" s="6"/>
      <c r="I2901" s="6"/>
    </row>
    <row r="2902" spans="8:9" x14ac:dyDescent="0.2">
      <c r="H2902" s="6"/>
      <c r="I2902" s="6"/>
    </row>
    <row r="2903" spans="8:9" x14ac:dyDescent="0.2">
      <c r="H2903" s="6"/>
      <c r="I2903" s="6"/>
    </row>
    <row r="2904" spans="8:9" x14ac:dyDescent="0.2">
      <c r="H2904" s="6"/>
      <c r="I2904" s="6"/>
    </row>
    <row r="2905" spans="8:9" x14ac:dyDescent="0.2">
      <c r="H2905" s="6"/>
      <c r="I2905" s="6"/>
    </row>
    <row r="2906" spans="8:9" x14ac:dyDescent="0.2">
      <c r="H2906" s="6"/>
      <c r="I2906" s="6"/>
    </row>
    <row r="2907" spans="8:9" x14ac:dyDescent="0.2">
      <c r="H2907" s="6"/>
      <c r="I2907" s="6"/>
    </row>
    <row r="2908" spans="8:9" x14ac:dyDescent="0.2">
      <c r="H2908" s="6"/>
      <c r="I2908" s="6"/>
    </row>
    <row r="2909" spans="8:9" x14ac:dyDescent="0.2">
      <c r="H2909" s="6"/>
      <c r="I2909" s="6"/>
    </row>
    <row r="2910" spans="8:9" x14ac:dyDescent="0.2">
      <c r="H2910" s="6"/>
      <c r="I2910" s="6"/>
    </row>
    <row r="2911" spans="8:9" x14ac:dyDescent="0.2">
      <c r="H2911" s="6"/>
      <c r="I2911" s="6"/>
    </row>
    <row r="2912" spans="8:9" x14ac:dyDescent="0.2">
      <c r="H2912" s="6"/>
      <c r="I2912" s="6"/>
    </row>
    <row r="2913" spans="8:9" x14ac:dyDescent="0.2">
      <c r="H2913" s="6"/>
      <c r="I2913" s="6"/>
    </row>
    <row r="2914" spans="8:9" x14ac:dyDescent="0.2">
      <c r="H2914" s="6"/>
      <c r="I2914" s="6"/>
    </row>
    <row r="2915" spans="8:9" x14ac:dyDescent="0.2">
      <c r="H2915" s="6"/>
      <c r="I2915" s="6"/>
    </row>
    <row r="2916" spans="8:9" x14ac:dyDescent="0.2">
      <c r="H2916" s="6"/>
      <c r="I2916" s="6"/>
    </row>
    <row r="2917" spans="8:9" x14ac:dyDescent="0.2">
      <c r="H2917" s="6"/>
      <c r="I2917" s="6"/>
    </row>
    <row r="2918" spans="8:9" x14ac:dyDescent="0.2">
      <c r="H2918" s="6"/>
      <c r="I2918" s="6"/>
    </row>
    <row r="2919" spans="8:9" x14ac:dyDescent="0.2">
      <c r="H2919" s="6"/>
      <c r="I2919" s="6"/>
    </row>
    <row r="2920" spans="8:9" x14ac:dyDescent="0.2">
      <c r="H2920" s="6"/>
      <c r="I2920" s="6"/>
    </row>
    <row r="2921" spans="8:9" x14ac:dyDescent="0.2">
      <c r="H2921" s="6"/>
      <c r="I2921" s="6"/>
    </row>
    <row r="2922" spans="8:9" x14ac:dyDescent="0.2">
      <c r="H2922" s="6"/>
      <c r="I2922" s="6"/>
    </row>
    <row r="2923" spans="8:9" x14ac:dyDescent="0.2">
      <c r="H2923" s="6"/>
      <c r="I2923" s="6"/>
    </row>
    <row r="2924" spans="8:9" x14ac:dyDescent="0.2">
      <c r="H2924" s="6"/>
      <c r="I2924" s="6"/>
    </row>
    <row r="2925" spans="8:9" x14ac:dyDescent="0.2">
      <c r="H2925" s="6"/>
      <c r="I2925" s="6"/>
    </row>
    <row r="2926" spans="8:9" x14ac:dyDescent="0.2">
      <c r="H2926" s="6"/>
      <c r="I2926" s="6"/>
    </row>
    <row r="2927" spans="8:9" x14ac:dyDescent="0.2">
      <c r="H2927" s="6"/>
      <c r="I2927" s="6"/>
    </row>
    <row r="2928" spans="8:9" x14ac:dyDescent="0.2">
      <c r="H2928" s="6"/>
      <c r="I2928" s="6"/>
    </row>
    <row r="2929" spans="8:9" x14ac:dyDescent="0.2">
      <c r="H2929" s="6"/>
      <c r="I2929" s="6"/>
    </row>
    <row r="2930" spans="8:9" x14ac:dyDescent="0.2">
      <c r="H2930" s="6"/>
      <c r="I2930" s="6"/>
    </row>
    <row r="2931" spans="8:9" x14ac:dyDescent="0.2">
      <c r="H2931" s="6"/>
      <c r="I2931" s="6"/>
    </row>
    <row r="2932" spans="8:9" x14ac:dyDescent="0.2">
      <c r="H2932" s="6"/>
      <c r="I2932" s="6"/>
    </row>
    <row r="2933" spans="8:9" x14ac:dyDescent="0.2">
      <c r="H2933" s="6"/>
      <c r="I2933" s="6"/>
    </row>
    <row r="2934" spans="8:9" x14ac:dyDescent="0.2">
      <c r="H2934" s="6"/>
      <c r="I2934" s="6"/>
    </row>
    <row r="2935" spans="8:9" x14ac:dyDescent="0.2">
      <c r="H2935" s="6"/>
      <c r="I2935" s="6"/>
    </row>
    <row r="2936" spans="8:9" x14ac:dyDescent="0.2">
      <c r="H2936" s="6"/>
      <c r="I2936" s="6"/>
    </row>
    <row r="2937" spans="8:9" x14ac:dyDescent="0.2">
      <c r="H2937" s="6"/>
      <c r="I2937" s="6"/>
    </row>
    <row r="2938" spans="8:9" x14ac:dyDescent="0.2">
      <c r="H2938" s="6"/>
      <c r="I2938" s="6"/>
    </row>
    <row r="2939" spans="8:9" x14ac:dyDescent="0.2">
      <c r="H2939" s="6"/>
      <c r="I2939" s="6"/>
    </row>
    <row r="2940" spans="8:9" x14ac:dyDescent="0.2">
      <c r="H2940" s="6"/>
      <c r="I2940" s="6"/>
    </row>
    <row r="2941" spans="8:9" x14ac:dyDescent="0.2">
      <c r="H2941" s="6"/>
      <c r="I2941" s="6"/>
    </row>
    <row r="2942" spans="8:9" x14ac:dyDescent="0.2">
      <c r="H2942" s="6"/>
      <c r="I2942" s="6"/>
    </row>
    <row r="2943" spans="8:9" x14ac:dyDescent="0.2">
      <c r="H2943" s="6"/>
      <c r="I2943" s="6"/>
    </row>
    <row r="2944" spans="8:9" x14ac:dyDescent="0.2">
      <c r="H2944" s="6"/>
      <c r="I2944" s="6"/>
    </row>
    <row r="2945" spans="8:9" x14ac:dyDescent="0.2">
      <c r="H2945" s="6"/>
      <c r="I2945" s="6"/>
    </row>
    <row r="2946" spans="8:9" x14ac:dyDescent="0.2">
      <c r="H2946" s="6"/>
      <c r="I2946" s="6"/>
    </row>
    <row r="2947" spans="8:9" x14ac:dyDescent="0.2">
      <c r="H2947" s="6"/>
      <c r="I2947" s="6"/>
    </row>
    <row r="2948" spans="8:9" x14ac:dyDescent="0.2">
      <c r="H2948" s="6"/>
      <c r="I2948" s="6"/>
    </row>
    <row r="2949" spans="8:9" x14ac:dyDescent="0.2">
      <c r="H2949" s="6"/>
      <c r="I2949" s="6"/>
    </row>
    <row r="2950" spans="8:9" x14ac:dyDescent="0.2">
      <c r="H2950" s="6"/>
      <c r="I2950" s="6"/>
    </row>
    <row r="2951" spans="8:9" x14ac:dyDescent="0.2">
      <c r="H2951" s="6"/>
      <c r="I2951" s="6"/>
    </row>
    <row r="2952" spans="8:9" x14ac:dyDescent="0.2">
      <c r="H2952" s="6"/>
      <c r="I2952" s="6"/>
    </row>
    <row r="2953" spans="8:9" x14ac:dyDescent="0.2">
      <c r="H2953" s="6"/>
      <c r="I2953" s="6"/>
    </row>
    <row r="2954" spans="8:9" x14ac:dyDescent="0.2">
      <c r="H2954" s="6"/>
      <c r="I2954" s="6"/>
    </row>
    <row r="2955" spans="8:9" x14ac:dyDescent="0.2">
      <c r="H2955" s="6"/>
      <c r="I2955" s="6"/>
    </row>
    <row r="2956" spans="8:9" x14ac:dyDescent="0.2">
      <c r="H2956" s="6"/>
      <c r="I2956" s="6"/>
    </row>
    <row r="2957" spans="8:9" x14ac:dyDescent="0.2">
      <c r="H2957" s="6"/>
      <c r="I2957" s="6"/>
    </row>
    <row r="2958" spans="8:9" x14ac:dyDescent="0.2">
      <c r="H2958" s="6"/>
      <c r="I2958" s="6"/>
    </row>
    <row r="2959" spans="8:9" x14ac:dyDescent="0.2">
      <c r="H2959" s="6"/>
      <c r="I2959" s="6"/>
    </row>
    <row r="2960" spans="8:9" x14ac:dyDescent="0.2">
      <c r="H2960" s="6"/>
      <c r="I2960" s="6"/>
    </row>
    <row r="2961" spans="8:9" x14ac:dyDescent="0.2">
      <c r="H2961" s="6"/>
      <c r="I2961" s="6"/>
    </row>
    <row r="2962" spans="8:9" x14ac:dyDescent="0.2">
      <c r="H2962" s="6"/>
      <c r="I2962" s="6"/>
    </row>
    <row r="2963" spans="8:9" x14ac:dyDescent="0.2">
      <c r="H2963" s="6"/>
      <c r="I2963" s="6"/>
    </row>
    <row r="2964" spans="8:9" x14ac:dyDescent="0.2">
      <c r="H2964" s="6"/>
      <c r="I2964" s="6"/>
    </row>
    <row r="2965" spans="8:9" x14ac:dyDescent="0.2">
      <c r="H2965" s="6"/>
      <c r="I2965" s="6"/>
    </row>
    <row r="2966" spans="8:9" x14ac:dyDescent="0.2">
      <c r="H2966" s="6"/>
      <c r="I2966" s="6"/>
    </row>
    <row r="2967" spans="8:9" x14ac:dyDescent="0.2">
      <c r="H2967" s="6"/>
      <c r="I2967" s="6"/>
    </row>
    <row r="2968" spans="8:9" x14ac:dyDescent="0.2">
      <c r="H2968" s="6"/>
      <c r="I2968" s="6"/>
    </row>
    <row r="2969" spans="8:9" x14ac:dyDescent="0.2">
      <c r="H2969" s="6"/>
      <c r="I2969" s="6"/>
    </row>
    <row r="2970" spans="8:9" x14ac:dyDescent="0.2">
      <c r="H2970" s="6"/>
      <c r="I2970" s="6"/>
    </row>
    <row r="2971" spans="8:9" x14ac:dyDescent="0.2">
      <c r="H2971" s="6"/>
      <c r="I2971" s="6"/>
    </row>
    <row r="2972" spans="8:9" x14ac:dyDescent="0.2">
      <c r="H2972" s="6"/>
      <c r="I2972" s="6"/>
    </row>
    <row r="2973" spans="8:9" x14ac:dyDescent="0.2">
      <c r="H2973" s="6"/>
      <c r="I2973" s="6"/>
    </row>
    <row r="2974" spans="8:9" x14ac:dyDescent="0.2">
      <c r="H2974" s="6"/>
      <c r="I2974" s="6"/>
    </row>
    <row r="2975" spans="8:9" x14ac:dyDescent="0.2">
      <c r="H2975" s="6"/>
      <c r="I2975" s="6"/>
    </row>
    <row r="2976" spans="8:9" x14ac:dyDescent="0.2">
      <c r="H2976" s="6"/>
      <c r="I2976" s="6"/>
    </row>
    <row r="2977" spans="8:9" x14ac:dyDescent="0.2">
      <c r="H2977" s="6"/>
      <c r="I2977" s="6"/>
    </row>
    <row r="2978" spans="8:9" x14ac:dyDescent="0.2">
      <c r="H2978" s="6"/>
      <c r="I2978" s="6"/>
    </row>
    <row r="2979" spans="8:9" x14ac:dyDescent="0.2">
      <c r="H2979" s="6"/>
      <c r="I2979" s="6"/>
    </row>
    <row r="2980" spans="8:9" x14ac:dyDescent="0.2">
      <c r="H2980" s="6"/>
      <c r="I2980" s="6"/>
    </row>
    <row r="2981" spans="8:9" x14ac:dyDescent="0.2">
      <c r="H2981" s="6"/>
      <c r="I2981" s="6"/>
    </row>
    <row r="2982" spans="8:9" x14ac:dyDescent="0.2">
      <c r="H2982" s="6"/>
      <c r="I2982" s="6"/>
    </row>
    <row r="2983" spans="8:9" x14ac:dyDescent="0.2">
      <c r="H2983" s="6"/>
      <c r="I2983" s="6"/>
    </row>
    <row r="2984" spans="8:9" x14ac:dyDescent="0.2">
      <c r="H2984" s="6"/>
      <c r="I2984" s="6"/>
    </row>
    <row r="2985" spans="8:9" x14ac:dyDescent="0.2">
      <c r="H2985" s="6"/>
      <c r="I2985" s="6"/>
    </row>
    <row r="2986" spans="8:9" x14ac:dyDescent="0.2">
      <c r="H2986" s="6"/>
      <c r="I2986" s="6"/>
    </row>
    <row r="2987" spans="8:9" x14ac:dyDescent="0.2">
      <c r="H2987" s="6"/>
      <c r="I2987" s="6"/>
    </row>
    <row r="2988" spans="8:9" x14ac:dyDescent="0.2">
      <c r="H2988" s="6"/>
      <c r="I2988" s="6"/>
    </row>
    <row r="2989" spans="8:9" x14ac:dyDescent="0.2">
      <c r="H2989" s="6"/>
      <c r="I2989" s="6"/>
    </row>
    <row r="2990" spans="8:9" x14ac:dyDescent="0.2">
      <c r="H2990" s="6"/>
      <c r="I2990" s="6"/>
    </row>
    <row r="2991" spans="8:9" x14ac:dyDescent="0.2">
      <c r="H2991" s="6"/>
      <c r="I2991" s="6"/>
    </row>
    <row r="2992" spans="8:9" x14ac:dyDescent="0.2">
      <c r="H2992" s="6"/>
      <c r="I2992" s="6"/>
    </row>
    <row r="2993" spans="8:9" x14ac:dyDescent="0.2">
      <c r="H2993" s="6"/>
      <c r="I2993" s="6"/>
    </row>
    <row r="2994" spans="8:9" x14ac:dyDescent="0.2">
      <c r="H2994" s="6"/>
      <c r="I2994" s="6"/>
    </row>
    <row r="2995" spans="8:9" x14ac:dyDescent="0.2">
      <c r="H2995" s="6"/>
      <c r="I2995" s="6"/>
    </row>
    <row r="2996" spans="8:9" x14ac:dyDescent="0.2">
      <c r="H2996" s="6"/>
      <c r="I2996" s="6"/>
    </row>
    <row r="2997" spans="8:9" x14ac:dyDescent="0.2">
      <c r="H2997" s="6"/>
      <c r="I2997" s="6"/>
    </row>
    <row r="2998" spans="8:9" x14ac:dyDescent="0.2">
      <c r="H2998" s="6"/>
      <c r="I2998" s="6"/>
    </row>
    <row r="2999" spans="8:9" x14ac:dyDescent="0.2">
      <c r="H2999" s="6"/>
      <c r="I2999" s="6"/>
    </row>
    <row r="3000" spans="8:9" x14ac:dyDescent="0.2">
      <c r="H3000" s="6"/>
      <c r="I3000" s="6"/>
    </row>
    <row r="3001" spans="8:9" x14ac:dyDescent="0.2">
      <c r="H3001" s="6"/>
      <c r="I3001" s="6"/>
    </row>
    <row r="3002" spans="8:9" x14ac:dyDescent="0.2">
      <c r="H3002" s="6"/>
      <c r="I3002" s="6"/>
    </row>
    <row r="3003" spans="8:9" x14ac:dyDescent="0.2">
      <c r="H3003" s="6"/>
      <c r="I3003" s="6"/>
    </row>
    <row r="3004" spans="8:9" x14ac:dyDescent="0.2">
      <c r="H3004" s="6"/>
      <c r="I3004" s="6"/>
    </row>
    <row r="3005" spans="8:9" x14ac:dyDescent="0.2">
      <c r="H3005" s="6"/>
      <c r="I3005" s="6"/>
    </row>
    <row r="3006" spans="8:9" x14ac:dyDescent="0.2">
      <c r="H3006" s="6"/>
      <c r="I3006" s="6"/>
    </row>
    <row r="3007" spans="8:9" x14ac:dyDescent="0.2">
      <c r="H3007" s="6"/>
      <c r="I3007" s="6"/>
    </row>
    <row r="3008" spans="8:9" x14ac:dyDescent="0.2">
      <c r="H3008" s="6"/>
      <c r="I3008" s="6"/>
    </row>
    <row r="3009" spans="8:9" x14ac:dyDescent="0.2">
      <c r="H3009" s="6"/>
      <c r="I3009" s="6"/>
    </row>
    <row r="3010" spans="8:9" x14ac:dyDescent="0.2">
      <c r="H3010" s="6"/>
      <c r="I3010" s="6"/>
    </row>
    <row r="3011" spans="8:9" x14ac:dyDescent="0.2">
      <c r="H3011" s="6"/>
      <c r="I3011" s="6"/>
    </row>
    <row r="3012" spans="8:9" x14ac:dyDescent="0.2">
      <c r="H3012" s="6"/>
      <c r="I3012" s="6"/>
    </row>
    <row r="3013" spans="8:9" x14ac:dyDescent="0.2">
      <c r="H3013" s="6"/>
      <c r="I3013" s="6"/>
    </row>
    <row r="3014" spans="8:9" x14ac:dyDescent="0.2">
      <c r="H3014" s="6"/>
      <c r="I3014" s="6"/>
    </row>
    <row r="3015" spans="8:9" x14ac:dyDescent="0.2">
      <c r="H3015" s="6"/>
      <c r="I3015" s="6"/>
    </row>
    <row r="3016" spans="8:9" x14ac:dyDescent="0.2">
      <c r="H3016" s="6"/>
      <c r="I3016" s="6"/>
    </row>
    <row r="3017" spans="8:9" x14ac:dyDescent="0.2">
      <c r="H3017" s="6"/>
      <c r="I3017" s="6"/>
    </row>
    <row r="3018" spans="8:9" x14ac:dyDescent="0.2">
      <c r="H3018" s="6"/>
      <c r="I3018" s="6"/>
    </row>
    <row r="3019" spans="8:9" x14ac:dyDescent="0.2">
      <c r="H3019" s="6"/>
      <c r="I3019" s="6"/>
    </row>
    <row r="3020" spans="8:9" x14ac:dyDescent="0.2">
      <c r="H3020" s="6"/>
      <c r="I3020" s="6"/>
    </row>
    <row r="3021" spans="8:9" x14ac:dyDescent="0.2">
      <c r="H3021" s="6"/>
      <c r="I3021" s="6"/>
    </row>
    <row r="3022" spans="8:9" x14ac:dyDescent="0.2">
      <c r="H3022" s="6"/>
      <c r="I3022" s="6"/>
    </row>
    <row r="3023" spans="8:9" x14ac:dyDescent="0.2">
      <c r="H3023" s="6"/>
      <c r="I3023" s="6"/>
    </row>
    <row r="3024" spans="8:9" x14ac:dyDescent="0.2">
      <c r="H3024" s="6"/>
      <c r="I3024" s="6"/>
    </row>
    <row r="3025" spans="8:9" x14ac:dyDescent="0.2">
      <c r="H3025" s="6"/>
      <c r="I3025" s="6"/>
    </row>
    <row r="3026" spans="8:9" x14ac:dyDescent="0.2">
      <c r="H3026" s="6"/>
      <c r="I3026" s="6"/>
    </row>
    <row r="3027" spans="8:9" x14ac:dyDescent="0.2">
      <c r="H3027" s="6"/>
      <c r="I3027" s="6"/>
    </row>
    <row r="3028" spans="8:9" x14ac:dyDescent="0.2">
      <c r="H3028" s="6"/>
      <c r="I3028" s="6"/>
    </row>
    <row r="3029" spans="8:9" x14ac:dyDescent="0.2">
      <c r="H3029" s="6"/>
      <c r="I3029" s="6"/>
    </row>
    <row r="3030" spans="8:9" x14ac:dyDescent="0.2">
      <c r="H3030" s="6"/>
      <c r="I3030" s="6"/>
    </row>
    <row r="3031" spans="8:9" x14ac:dyDescent="0.2">
      <c r="H3031" s="6"/>
      <c r="I3031" s="6"/>
    </row>
    <row r="3032" spans="8:9" x14ac:dyDescent="0.2">
      <c r="H3032" s="6"/>
      <c r="I3032" s="6"/>
    </row>
    <row r="3033" spans="8:9" x14ac:dyDescent="0.2">
      <c r="H3033" s="6"/>
      <c r="I3033" s="6"/>
    </row>
    <row r="3034" spans="8:9" x14ac:dyDescent="0.2">
      <c r="H3034" s="6"/>
      <c r="I3034" s="6"/>
    </row>
    <row r="3035" spans="8:9" x14ac:dyDescent="0.2">
      <c r="H3035" s="6"/>
      <c r="I3035" s="6"/>
    </row>
    <row r="3036" spans="8:9" x14ac:dyDescent="0.2">
      <c r="H3036" s="6"/>
      <c r="I3036" s="6"/>
    </row>
    <row r="3037" spans="8:9" x14ac:dyDescent="0.2">
      <c r="H3037" s="6"/>
      <c r="I3037" s="6"/>
    </row>
    <row r="3038" spans="8:9" x14ac:dyDescent="0.2">
      <c r="H3038" s="6"/>
      <c r="I3038" s="6"/>
    </row>
    <row r="3039" spans="8:9" x14ac:dyDescent="0.2">
      <c r="H3039" s="6"/>
      <c r="I3039" s="6"/>
    </row>
    <row r="3040" spans="8:9" x14ac:dyDescent="0.2">
      <c r="H3040" s="6"/>
      <c r="I3040" s="6"/>
    </row>
    <row r="3041" spans="8:9" x14ac:dyDescent="0.2">
      <c r="H3041" s="6"/>
      <c r="I3041" s="6"/>
    </row>
    <row r="3042" spans="8:9" x14ac:dyDescent="0.2">
      <c r="H3042" s="6"/>
      <c r="I3042" s="6"/>
    </row>
    <row r="3043" spans="8:9" x14ac:dyDescent="0.2">
      <c r="H3043" s="6"/>
      <c r="I3043" s="6"/>
    </row>
    <row r="3044" spans="8:9" x14ac:dyDescent="0.2">
      <c r="H3044" s="6"/>
      <c r="I3044" s="6"/>
    </row>
    <row r="3045" spans="8:9" x14ac:dyDescent="0.2">
      <c r="H3045" s="6"/>
      <c r="I3045" s="6"/>
    </row>
    <row r="3046" spans="8:9" x14ac:dyDescent="0.2">
      <c r="H3046" s="6"/>
      <c r="I3046" s="6"/>
    </row>
    <row r="3047" spans="8:9" x14ac:dyDescent="0.2">
      <c r="H3047" s="6"/>
      <c r="I3047" s="6"/>
    </row>
    <row r="3048" spans="8:9" x14ac:dyDescent="0.2">
      <c r="H3048" s="6"/>
      <c r="I3048" s="6"/>
    </row>
    <row r="3049" spans="8:9" x14ac:dyDescent="0.2">
      <c r="H3049" s="6"/>
      <c r="I3049" s="6"/>
    </row>
    <row r="3050" spans="8:9" x14ac:dyDescent="0.2">
      <c r="H3050" s="6"/>
      <c r="I3050" s="6"/>
    </row>
    <row r="3051" spans="8:9" x14ac:dyDescent="0.2">
      <c r="H3051" s="6"/>
      <c r="I3051" s="6"/>
    </row>
    <row r="3052" spans="8:9" x14ac:dyDescent="0.2">
      <c r="H3052" s="6"/>
      <c r="I3052" s="6"/>
    </row>
    <row r="3053" spans="8:9" x14ac:dyDescent="0.2">
      <c r="H3053" s="6"/>
      <c r="I3053" s="6"/>
    </row>
    <row r="3054" spans="8:9" x14ac:dyDescent="0.2">
      <c r="H3054" s="6"/>
      <c r="I3054" s="6"/>
    </row>
    <row r="3055" spans="8:9" x14ac:dyDescent="0.2">
      <c r="H3055" s="6"/>
      <c r="I3055" s="6"/>
    </row>
    <row r="3056" spans="8:9" x14ac:dyDescent="0.2">
      <c r="H3056" s="6"/>
      <c r="I3056" s="6"/>
    </row>
    <row r="3057" spans="8:9" x14ac:dyDescent="0.2">
      <c r="H3057" s="6"/>
      <c r="I3057" s="6"/>
    </row>
    <row r="3058" spans="8:9" x14ac:dyDescent="0.2">
      <c r="H3058" s="6"/>
      <c r="I3058" s="6"/>
    </row>
    <row r="3059" spans="8:9" x14ac:dyDescent="0.2">
      <c r="H3059" s="6"/>
      <c r="I3059" s="6"/>
    </row>
    <row r="3060" spans="8:9" x14ac:dyDescent="0.2">
      <c r="H3060" s="6"/>
      <c r="I3060" s="6"/>
    </row>
    <row r="3061" spans="8:9" x14ac:dyDescent="0.2">
      <c r="H3061" s="6"/>
      <c r="I3061" s="6"/>
    </row>
    <row r="3062" spans="8:9" x14ac:dyDescent="0.2">
      <c r="H3062" s="6"/>
      <c r="I3062" s="6"/>
    </row>
    <row r="3063" spans="8:9" x14ac:dyDescent="0.2">
      <c r="H3063" s="6"/>
      <c r="I3063" s="6"/>
    </row>
    <row r="3064" spans="8:9" x14ac:dyDescent="0.2">
      <c r="H3064" s="6"/>
      <c r="I3064" s="6"/>
    </row>
    <row r="3065" spans="8:9" x14ac:dyDescent="0.2">
      <c r="H3065" s="6"/>
      <c r="I3065" s="6"/>
    </row>
    <row r="3066" spans="8:9" x14ac:dyDescent="0.2">
      <c r="H3066" s="6"/>
      <c r="I3066" s="6"/>
    </row>
    <row r="3067" spans="8:9" x14ac:dyDescent="0.2">
      <c r="H3067" s="6"/>
      <c r="I3067" s="6"/>
    </row>
    <row r="3068" spans="8:9" x14ac:dyDescent="0.2">
      <c r="H3068" s="6"/>
      <c r="I3068" s="6"/>
    </row>
    <row r="3069" spans="8:9" x14ac:dyDescent="0.2">
      <c r="H3069" s="6"/>
      <c r="I3069" s="6"/>
    </row>
    <row r="3070" spans="8:9" x14ac:dyDescent="0.2">
      <c r="H3070" s="6"/>
      <c r="I3070" s="6"/>
    </row>
    <row r="3071" spans="8:9" x14ac:dyDescent="0.2">
      <c r="H3071" s="6"/>
      <c r="I3071" s="6"/>
    </row>
    <row r="3072" spans="8:9" x14ac:dyDescent="0.2">
      <c r="H3072" s="6"/>
      <c r="I3072" s="6"/>
    </row>
    <row r="3073" spans="8:9" x14ac:dyDescent="0.2">
      <c r="H3073" s="6"/>
      <c r="I3073" s="6"/>
    </row>
    <row r="3074" spans="8:9" x14ac:dyDescent="0.2">
      <c r="H3074" s="6"/>
      <c r="I3074" s="6"/>
    </row>
    <row r="3075" spans="8:9" x14ac:dyDescent="0.2">
      <c r="H3075" s="6"/>
      <c r="I3075" s="6"/>
    </row>
    <row r="3076" spans="8:9" x14ac:dyDescent="0.2">
      <c r="H3076" s="6"/>
      <c r="I3076" s="6"/>
    </row>
    <row r="3077" spans="8:9" x14ac:dyDescent="0.2">
      <c r="H3077" s="6"/>
      <c r="I3077" s="6"/>
    </row>
    <row r="3078" spans="8:9" x14ac:dyDescent="0.2">
      <c r="H3078" s="6"/>
      <c r="I3078" s="6"/>
    </row>
    <row r="3079" spans="8:9" x14ac:dyDescent="0.2">
      <c r="H3079" s="6"/>
      <c r="I3079" s="6"/>
    </row>
    <row r="3080" spans="8:9" x14ac:dyDescent="0.2">
      <c r="H3080" s="6"/>
      <c r="I3080" s="6"/>
    </row>
    <row r="3081" spans="8:9" x14ac:dyDescent="0.2">
      <c r="H3081" s="6"/>
      <c r="I3081" s="6"/>
    </row>
    <row r="3082" spans="8:9" x14ac:dyDescent="0.2">
      <c r="H3082" s="6"/>
      <c r="I3082" s="6"/>
    </row>
    <row r="3083" spans="8:9" x14ac:dyDescent="0.2">
      <c r="H3083" s="6"/>
      <c r="I3083" s="6"/>
    </row>
    <row r="3084" spans="8:9" x14ac:dyDescent="0.2">
      <c r="H3084" s="6"/>
      <c r="I3084" s="6"/>
    </row>
    <row r="3085" spans="8:9" x14ac:dyDescent="0.2">
      <c r="H3085" s="6"/>
      <c r="I3085" s="6"/>
    </row>
    <row r="3086" spans="8:9" x14ac:dyDescent="0.2">
      <c r="H3086" s="6"/>
      <c r="I3086" s="6"/>
    </row>
    <row r="3087" spans="8:9" x14ac:dyDescent="0.2">
      <c r="H3087" s="6"/>
      <c r="I3087" s="6"/>
    </row>
    <row r="3088" spans="8:9" x14ac:dyDescent="0.2">
      <c r="H3088" s="6"/>
      <c r="I3088" s="6"/>
    </row>
    <row r="3089" spans="8:9" x14ac:dyDescent="0.2">
      <c r="H3089" s="6"/>
      <c r="I3089" s="6"/>
    </row>
    <row r="3090" spans="8:9" x14ac:dyDescent="0.2">
      <c r="H3090" s="6"/>
      <c r="I3090" s="6"/>
    </row>
    <row r="3091" spans="8:9" x14ac:dyDescent="0.2">
      <c r="H3091" s="6"/>
      <c r="I3091" s="6"/>
    </row>
    <row r="3092" spans="8:9" x14ac:dyDescent="0.2">
      <c r="H3092" s="6"/>
      <c r="I3092" s="6"/>
    </row>
    <row r="3093" spans="8:9" x14ac:dyDescent="0.2">
      <c r="H3093" s="6"/>
      <c r="I3093" s="6"/>
    </row>
    <row r="3094" spans="8:9" x14ac:dyDescent="0.2">
      <c r="H3094" s="6"/>
      <c r="I3094" s="6"/>
    </row>
    <row r="3095" spans="8:9" x14ac:dyDescent="0.2">
      <c r="H3095" s="6"/>
      <c r="I3095" s="6"/>
    </row>
    <row r="3096" spans="8:9" x14ac:dyDescent="0.2">
      <c r="H3096" s="6"/>
      <c r="I3096" s="6"/>
    </row>
    <row r="3097" spans="8:9" x14ac:dyDescent="0.2">
      <c r="H3097" s="6"/>
      <c r="I3097" s="6"/>
    </row>
    <row r="3098" spans="8:9" x14ac:dyDescent="0.2">
      <c r="H3098" s="6"/>
      <c r="I3098" s="6"/>
    </row>
    <row r="3099" spans="8:9" x14ac:dyDescent="0.2">
      <c r="H3099" s="6"/>
      <c r="I3099" s="6"/>
    </row>
    <row r="3100" spans="8:9" x14ac:dyDescent="0.2">
      <c r="H3100" s="6"/>
      <c r="I3100" s="6"/>
    </row>
    <row r="3101" spans="8:9" x14ac:dyDescent="0.2">
      <c r="H3101" s="6"/>
      <c r="I3101" s="6"/>
    </row>
    <row r="3102" spans="8:9" x14ac:dyDescent="0.2">
      <c r="H3102" s="6"/>
      <c r="I3102" s="6"/>
    </row>
    <row r="3103" spans="8:9" x14ac:dyDescent="0.2">
      <c r="H3103" s="6"/>
      <c r="I3103" s="6"/>
    </row>
    <row r="3104" spans="8:9" x14ac:dyDescent="0.2">
      <c r="H3104" s="6"/>
      <c r="I3104" s="6"/>
    </row>
    <row r="3105" spans="8:9" x14ac:dyDescent="0.2">
      <c r="H3105" s="6"/>
      <c r="I3105" s="6"/>
    </row>
    <row r="3106" spans="8:9" x14ac:dyDescent="0.2">
      <c r="H3106" s="6"/>
      <c r="I3106" s="6"/>
    </row>
    <row r="3107" spans="8:9" x14ac:dyDescent="0.2">
      <c r="H3107" s="6"/>
      <c r="I3107" s="6"/>
    </row>
    <row r="3108" spans="8:9" x14ac:dyDescent="0.2">
      <c r="H3108" s="6"/>
      <c r="I3108" s="6"/>
    </row>
    <row r="3109" spans="8:9" x14ac:dyDescent="0.2">
      <c r="H3109" s="6"/>
      <c r="I3109" s="6"/>
    </row>
    <row r="3110" spans="8:9" x14ac:dyDescent="0.2">
      <c r="H3110" s="6"/>
      <c r="I3110" s="6"/>
    </row>
    <row r="3111" spans="8:9" x14ac:dyDescent="0.2">
      <c r="H3111" s="6"/>
      <c r="I3111" s="6"/>
    </row>
    <row r="3112" spans="8:9" x14ac:dyDescent="0.2">
      <c r="H3112" s="6"/>
      <c r="I3112" s="6"/>
    </row>
    <row r="3113" spans="8:9" x14ac:dyDescent="0.2">
      <c r="H3113" s="6"/>
      <c r="I3113" s="6"/>
    </row>
    <row r="3114" spans="8:9" x14ac:dyDescent="0.2">
      <c r="H3114" s="6"/>
      <c r="I3114" s="6"/>
    </row>
    <row r="3115" spans="8:9" x14ac:dyDescent="0.2">
      <c r="H3115" s="6"/>
      <c r="I3115" s="6"/>
    </row>
    <row r="3116" spans="8:9" x14ac:dyDescent="0.2">
      <c r="H3116" s="6"/>
      <c r="I3116" s="6"/>
    </row>
    <row r="3117" spans="8:9" x14ac:dyDescent="0.2">
      <c r="H3117" s="6"/>
      <c r="I3117" s="6"/>
    </row>
    <row r="3118" spans="8:9" x14ac:dyDescent="0.2">
      <c r="H3118" s="6"/>
      <c r="I3118" s="6"/>
    </row>
    <row r="3119" spans="8:9" x14ac:dyDescent="0.2">
      <c r="H3119" s="6"/>
      <c r="I3119" s="6"/>
    </row>
    <row r="3120" spans="8:9" x14ac:dyDescent="0.2">
      <c r="H3120" s="6"/>
      <c r="I3120" s="6"/>
    </row>
    <row r="3121" spans="8:9" x14ac:dyDescent="0.2">
      <c r="H3121" s="6"/>
      <c r="I3121" s="6"/>
    </row>
    <row r="3122" spans="8:9" x14ac:dyDescent="0.2">
      <c r="H3122" s="6"/>
      <c r="I3122" s="6"/>
    </row>
    <row r="3123" spans="8:9" x14ac:dyDescent="0.2">
      <c r="H3123" s="6"/>
      <c r="I3123" s="6"/>
    </row>
    <row r="3124" spans="8:9" x14ac:dyDescent="0.2">
      <c r="H3124" s="6"/>
      <c r="I3124" s="6"/>
    </row>
    <row r="3125" spans="8:9" x14ac:dyDescent="0.2">
      <c r="H3125" s="6"/>
      <c r="I3125" s="6"/>
    </row>
    <row r="3126" spans="8:9" x14ac:dyDescent="0.2">
      <c r="H3126" s="6"/>
      <c r="I3126" s="6"/>
    </row>
    <row r="3127" spans="8:9" x14ac:dyDescent="0.2">
      <c r="H3127" s="6"/>
      <c r="I3127" s="6"/>
    </row>
    <row r="3128" spans="8:9" x14ac:dyDescent="0.2">
      <c r="H3128" s="6"/>
      <c r="I3128" s="6"/>
    </row>
    <row r="3129" spans="8:9" x14ac:dyDescent="0.2">
      <c r="H3129" s="6"/>
      <c r="I3129" s="6"/>
    </row>
    <row r="3130" spans="8:9" x14ac:dyDescent="0.2">
      <c r="H3130" s="6"/>
      <c r="I3130" s="6"/>
    </row>
    <row r="3131" spans="8:9" x14ac:dyDescent="0.2">
      <c r="H3131" s="6"/>
      <c r="I3131" s="6"/>
    </row>
    <row r="3132" spans="8:9" x14ac:dyDescent="0.2">
      <c r="H3132" s="6"/>
      <c r="I3132" s="6"/>
    </row>
    <row r="3133" spans="8:9" x14ac:dyDescent="0.2">
      <c r="H3133" s="6"/>
      <c r="I3133" s="6"/>
    </row>
    <row r="3134" spans="8:9" x14ac:dyDescent="0.2">
      <c r="H3134" s="6"/>
      <c r="I3134" s="6"/>
    </row>
    <row r="3135" spans="8:9" x14ac:dyDescent="0.2">
      <c r="H3135" s="6"/>
      <c r="I3135" s="6"/>
    </row>
    <row r="3136" spans="8:9" x14ac:dyDescent="0.2">
      <c r="H3136" s="6"/>
      <c r="I3136" s="6"/>
    </row>
    <row r="3137" spans="8:9" x14ac:dyDescent="0.2">
      <c r="H3137" s="6"/>
      <c r="I3137" s="6"/>
    </row>
    <row r="3138" spans="8:9" x14ac:dyDescent="0.2">
      <c r="H3138" s="6"/>
      <c r="I3138" s="6"/>
    </row>
    <row r="3139" spans="8:9" x14ac:dyDescent="0.2">
      <c r="H3139" s="6"/>
      <c r="I3139" s="6"/>
    </row>
    <row r="3140" spans="8:9" x14ac:dyDescent="0.2">
      <c r="H3140" s="6"/>
      <c r="I3140" s="6"/>
    </row>
    <row r="3141" spans="8:9" x14ac:dyDescent="0.2">
      <c r="H3141" s="6"/>
      <c r="I3141" s="6"/>
    </row>
    <row r="3142" spans="8:9" x14ac:dyDescent="0.2">
      <c r="H3142" s="6"/>
      <c r="I3142" s="6"/>
    </row>
    <row r="3143" spans="8:9" x14ac:dyDescent="0.2">
      <c r="H3143" s="6"/>
      <c r="I3143" s="6"/>
    </row>
    <row r="3144" spans="8:9" x14ac:dyDescent="0.2">
      <c r="H3144" s="6"/>
      <c r="I3144" s="6"/>
    </row>
    <row r="3145" spans="8:9" x14ac:dyDescent="0.2">
      <c r="H3145" s="6"/>
      <c r="I3145" s="6"/>
    </row>
    <row r="3146" spans="8:9" x14ac:dyDescent="0.2">
      <c r="H3146" s="6"/>
      <c r="I3146" s="6"/>
    </row>
    <row r="3147" spans="8:9" x14ac:dyDescent="0.2">
      <c r="H3147" s="6"/>
      <c r="I3147" s="6"/>
    </row>
    <row r="3148" spans="8:9" x14ac:dyDescent="0.2">
      <c r="H3148" s="6"/>
      <c r="I3148" s="6"/>
    </row>
    <row r="3149" spans="8:9" x14ac:dyDescent="0.2">
      <c r="H3149" s="6"/>
      <c r="I3149" s="6"/>
    </row>
    <row r="3150" spans="8:9" x14ac:dyDescent="0.2">
      <c r="H3150" s="6"/>
      <c r="I3150" s="6"/>
    </row>
    <row r="3151" spans="8:9" x14ac:dyDescent="0.2">
      <c r="H3151" s="6"/>
      <c r="I3151" s="6"/>
    </row>
    <row r="3152" spans="8:9" x14ac:dyDescent="0.2">
      <c r="H3152" s="6"/>
      <c r="I3152" s="6"/>
    </row>
    <row r="3153" spans="8:9" x14ac:dyDescent="0.2">
      <c r="H3153" s="6"/>
      <c r="I3153" s="6"/>
    </row>
    <row r="3154" spans="8:9" x14ac:dyDescent="0.2">
      <c r="H3154" s="6"/>
      <c r="I3154" s="6"/>
    </row>
    <row r="3155" spans="8:9" x14ac:dyDescent="0.2">
      <c r="H3155" s="6"/>
      <c r="I3155" s="6"/>
    </row>
    <row r="3156" spans="8:9" x14ac:dyDescent="0.2">
      <c r="H3156" s="6"/>
      <c r="I3156" s="6"/>
    </row>
    <row r="3157" spans="8:9" x14ac:dyDescent="0.2">
      <c r="H3157" s="6"/>
      <c r="I3157" s="6"/>
    </row>
    <row r="3158" spans="8:9" x14ac:dyDescent="0.2">
      <c r="H3158" s="6"/>
      <c r="I3158" s="6"/>
    </row>
    <row r="3159" spans="8:9" x14ac:dyDescent="0.2">
      <c r="H3159" s="6"/>
      <c r="I3159" s="6"/>
    </row>
    <row r="3160" spans="8:9" x14ac:dyDescent="0.2">
      <c r="H3160" s="6"/>
      <c r="I3160" s="6"/>
    </row>
    <row r="3161" spans="8:9" x14ac:dyDescent="0.2">
      <c r="H3161" s="6"/>
      <c r="I3161" s="6"/>
    </row>
    <row r="3162" spans="8:9" x14ac:dyDescent="0.2">
      <c r="H3162" s="6"/>
      <c r="I3162" s="6"/>
    </row>
    <row r="3163" spans="8:9" x14ac:dyDescent="0.2">
      <c r="H3163" s="6"/>
      <c r="I3163" s="6"/>
    </row>
    <row r="3164" spans="8:9" x14ac:dyDescent="0.2">
      <c r="H3164" s="6"/>
      <c r="I3164" s="6"/>
    </row>
    <row r="3165" spans="8:9" x14ac:dyDescent="0.2">
      <c r="H3165" s="6"/>
      <c r="I3165" s="6"/>
    </row>
    <row r="3166" spans="8:9" x14ac:dyDescent="0.2">
      <c r="H3166" s="6"/>
      <c r="I3166" s="6"/>
    </row>
    <row r="3167" spans="8:9" x14ac:dyDescent="0.2">
      <c r="H3167" s="6"/>
      <c r="I3167" s="6"/>
    </row>
    <row r="3168" spans="8:9" x14ac:dyDescent="0.2">
      <c r="H3168" s="6"/>
      <c r="I3168" s="6"/>
    </row>
    <row r="3169" spans="8:9" x14ac:dyDescent="0.2">
      <c r="H3169" s="6"/>
      <c r="I3169" s="6"/>
    </row>
    <row r="3170" spans="8:9" x14ac:dyDescent="0.2">
      <c r="H3170" s="6"/>
      <c r="I3170" s="6"/>
    </row>
    <row r="3171" spans="8:9" x14ac:dyDescent="0.2">
      <c r="H3171" s="6"/>
      <c r="I3171" s="6"/>
    </row>
    <row r="3172" spans="8:9" x14ac:dyDescent="0.2">
      <c r="H3172" s="6"/>
      <c r="I3172" s="6"/>
    </row>
    <row r="3173" spans="8:9" x14ac:dyDescent="0.2">
      <c r="H3173" s="6"/>
      <c r="I3173" s="6"/>
    </row>
    <row r="3174" spans="8:9" x14ac:dyDescent="0.2">
      <c r="H3174" s="6"/>
      <c r="I3174" s="6"/>
    </row>
    <row r="3175" spans="8:9" x14ac:dyDescent="0.2">
      <c r="H3175" s="6"/>
      <c r="I3175" s="6"/>
    </row>
    <row r="3176" spans="8:9" x14ac:dyDescent="0.2">
      <c r="H3176" s="6"/>
      <c r="I3176" s="6"/>
    </row>
    <row r="3177" spans="8:9" x14ac:dyDescent="0.2">
      <c r="H3177" s="6"/>
      <c r="I3177" s="6"/>
    </row>
    <row r="3178" spans="8:9" x14ac:dyDescent="0.2">
      <c r="H3178" s="6"/>
      <c r="I3178" s="6"/>
    </row>
    <row r="3179" spans="8:9" x14ac:dyDescent="0.2">
      <c r="H3179" s="6"/>
      <c r="I3179" s="6"/>
    </row>
    <row r="3180" spans="8:9" x14ac:dyDescent="0.2">
      <c r="H3180" s="6"/>
      <c r="I3180" s="6"/>
    </row>
    <row r="3181" spans="8:9" x14ac:dyDescent="0.2">
      <c r="H3181" s="6"/>
      <c r="I3181" s="6"/>
    </row>
    <row r="3182" spans="8:9" x14ac:dyDescent="0.2">
      <c r="H3182" s="6"/>
      <c r="I3182" s="6"/>
    </row>
    <row r="3183" spans="8:9" x14ac:dyDescent="0.2">
      <c r="H3183" s="6"/>
      <c r="I3183" s="6"/>
    </row>
    <row r="3184" spans="8:9" x14ac:dyDescent="0.2">
      <c r="H3184" s="6"/>
      <c r="I3184" s="6"/>
    </row>
    <row r="3185" spans="8:9" x14ac:dyDescent="0.2">
      <c r="H3185" s="6"/>
      <c r="I3185" s="6"/>
    </row>
    <row r="3186" spans="8:9" x14ac:dyDescent="0.2">
      <c r="H3186" s="6"/>
      <c r="I3186" s="6"/>
    </row>
    <row r="3187" spans="8:9" x14ac:dyDescent="0.2">
      <c r="H3187" s="6"/>
      <c r="I3187" s="6"/>
    </row>
    <row r="3188" spans="8:9" x14ac:dyDescent="0.2">
      <c r="H3188" s="6"/>
      <c r="I3188" s="6"/>
    </row>
    <row r="3189" spans="8:9" x14ac:dyDescent="0.2">
      <c r="H3189" s="6"/>
      <c r="I3189" s="6"/>
    </row>
    <row r="3190" spans="8:9" x14ac:dyDescent="0.2">
      <c r="H3190" s="6"/>
      <c r="I3190" s="6"/>
    </row>
    <row r="3191" spans="8:9" x14ac:dyDescent="0.2">
      <c r="H3191" s="6"/>
      <c r="I3191" s="6"/>
    </row>
    <row r="3192" spans="8:9" x14ac:dyDescent="0.2">
      <c r="H3192" s="6"/>
      <c r="I3192" s="6"/>
    </row>
    <row r="3193" spans="8:9" x14ac:dyDescent="0.2">
      <c r="H3193" s="6"/>
      <c r="I3193" s="6"/>
    </row>
    <row r="3194" spans="8:9" x14ac:dyDescent="0.2">
      <c r="H3194" s="6"/>
      <c r="I3194" s="6"/>
    </row>
    <row r="3195" spans="8:9" x14ac:dyDescent="0.2">
      <c r="H3195" s="6"/>
      <c r="I3195" s="6"/>
    </row>
    <row r="3196" spans="8:9" x14ac:dyDescent="0.2">
      <c r="H3196" s="6"/>
      <c r="I3196" s="6"/>
    </row>
    <row r="3197" spans="8:9" x14ac:dyDescent="0.2">
      <c r="H3197" s="6"/>
      <c r="I3197" s="6"/>
    </row>
    <row r="3198" spans="8:9" x14ac:dyDescent="0.2">
      <c r="H3198" s="6"/>
      <c r="I3198" s="6"/>
    </row>
    <row r="3199" spans="8:9" x14ac:dyDescent="0.2">
      <c r="H3199" s="6"/>
      <c r="I3199" s="6"/>
    </row>
    <row r="3200" spans="8:9" x14ac:dyDescent="0.2">
      <c r="H3200" s="6"/>
      <c r="I3200" s="6"/>
    </row>
    <row r="3201" spans="8:9" x14ac:dyDescent="0.2">
      <c r="H3201" s="6"/>
      <c r="I3201" s="6"/>
    </row>
    <row r="3202" spans="8:9" x14ac:dyDescent="0.2">
      <c r="H3202" s="6"/>
      <c r="I3202" s="6"/>
    </row>
    <row r="3203" spans="8:9" x14ac:dyDescent="0.2">
      <c r="H3203" s="6"/>
      <c r="I3203" s="6"/>
    </row>
    <row r="3204" spans="8:9" x14ac:dyDescent="0.2">
      <c r="H3204" s="6"/>
      <c r="I3204" s="6"/>
    </row>
    <row r="3205" spans="8:9" x14ac:dyDescent="0.2">
      <c r="H3205" s="6"/>
      <c r="I3205" s="6"/>
    </row>
    <row r="3206" spans="8:9" x14ac:dyDescent="0.2">
      <c r="H3206" s="6"/>
      <c r="I3206" s="6"/>
    </row>
    <row r="3207" spans="8:9" x14ac:dyDescent="0.2">
      <c r="H3207" s="6"/>
      <c r="I3207" s="6"/>
    </row>
    <row r="3208" spans="8:9" x14ac:dyDescent="0.2">
      <c r="H3208" s="6"/>
      <c r="I3208" s="6"/>
    </row>
    <row r="3209" spans="8:9" x14ac:dyDescent="0.2">
      <c r="H3209" s="6"/>
      <c r="I3209" s="6"/>
    </row>
    <row r="3210" spans="8:9" x14ac:dyDescent="0.2">
      <c r="H3210" s="6"/>
      <c r="I3210" s="6"/>
    </row>
    <row r="3211" spans="8:9" x14ac:dyDescent="0.2">
      <c r="H3211" s="6"/>
      <c r="I3211" s="6"/>
    </row>
    <row r="3212" spans="8:9" x14ac:dyDescent="0.2">
      <c r="H3212" s="6"/>
      <c r="I3212" s="6"/>
    </row>
    <row r="3213" spans="8:9" x14ac:dyDescent="0.2">
      <c r="H3213" s="6"/>
      <c r="I3213" s="6"/>
    </row>
    <row r="3214" spans="8:9" x14ac:dyDescent="0.2">
      <c r="H3214" s="6"/>
      <c r="I3214" s="6"/>
    </row>
    <row r="3215" spans="8:9" x14ac:dyDescent="0.2">
      <c r="H3215" s="6"/>
      <c r="I3215" s="6"/>
    </row>
    <row r="3216" spans="8:9" x14ac:dyDescent="0.2">
      <c r="H3216" s="6"/>
      <c r="I3216" s="6"/>
    </row>
    <row r="3217" spans="8:9" x14ac:dyDescent="0.2">
      <c r="H3217" s="6"/>
      <c r="I3217" s="6"/>
    </row>
    <row r="3218" spans="8:9" x14ac:dyDescent="0.2">
      <c r="H3218" s="6"/>
      <c r="I3218" s="6"/>
    </row>
    <row r="3219" spans="8:9" x14ac:dyDescent="0.2">
      <c r="H3219" s="6"/>
      <c r="I3219" s="6"/>
    </row>
    <row r="3220" spans="8:9" x14ac:dyDescent="0.2">
      <c r="H3220" s="6"/>
      <c r="I3220" s="6"/>
    </row>
    <row r="3221" spans="8:9" x14ac:dyDescent="0.2">
      <c r="H3221" s="6"/>
      <c r="I3221" s="6"/>
    </row>
    <row r="3222" spans="8:9" x14ac:dyDescent="0.2">
      <c r="H3222" s="6"/>
      <c r="I3222" s="6"/>
    </row>
    <row r="3223" spans="8:9" x14ac:dyDescent="0.2">
      <c r="H3223" s="6"/>
      <c r="I3223" s="6"/>
    </row>
    <row r="3224" spans="8:9" x14ac:dyDescent="0.2">
      <c r="H3224" s="6"/>
      <c r="I3224" s="6"/>
    </row>
    <row r="3225" spans="8:9" x14ac:dyDescent="0.2">
      <c r="H3225" s="6"/>
      <c r="I3225" s="6"/>
    </row>
    <row r="3226" spans="8:9" x14ac:dyDescent="0.2">
      <c r="H3226" s="6"/>
      <c r="I3226" s="6"/>
    </row>
    <row r="3227" spans="8:9" x14ac:dyDescent="0.2">
      <c r="H3227" s="6"/>
      <c r="I3227" s="6"/>
    </row>
    <row r="3228" spans="8:9" x14ac:dyDescent="0.2">
      <c r="H3228" s="6"/>
      <c r="I3228" s="6"/>
    </row>
    <row r="3229" spans="8:9" x14ac:dyDescent="0.2">
      <c r="H3229" s="6"/>
      <c r="I3229" s="6"/>
    </row>
    <row r="3230" spans="8:9" x14ac:dyDescent="0.2">
      <c r="H3230" s="6"/>
      <c r="I3230" s="6"/>
    </row>
    <row r="3231" spans="8:9" x14ac:dyDescent="0.2">
      <c r="H3231" s="6"/>
      <c r="I3231" s="6"/>
    </row>
    <row r="3232" spans="8:9" x14ac:dyDescent="0.2">
      <c r="H3232" s="6"/>
      <c r="I3232" s="6"/>
    </row>
    <row r="3233" spans="8:9" x14ac:dyDescent="0.2">
      <c r="H3233" s="6"/>
      <c r="I3233" s="6"/>
    </row>
    <row r="3234" spans="8:9" x14ac:dyDescent="0.2">
      <c r="H3234" s="6"/>
      <c r="I3234" s="6"/>
    </row>
    <row r="3235" spans="8:9" x14ac:dyDescent="0.2">
      <c r="H3235" s="6"/>
      <c r="I3235" s="6"/>
    </row>
    <row r="3236" spans="8:9" x14ac:dyDescent="0.2">
      <c r="H3236" s="6"/>
      <c r="I3236" s="6"/>
    </row>
    <row r="3237" spans="8:9" x14ac:dyDescent="0.2">
      <c r="H3237" s="6"/>
      <c r="I3237" s="6"/>
    </row>
    <row r="3238" spans="8:9" x14ac:dyDescent="0.2">
      <c r="H3238" s="6"/>
      <c r="I3238" s="6"/>
    </row>
    <row r="3239" spans="8:9" x14ac:dyDescent="0.2">
      <c r="H3239" s="6"/>
      <c r="I3239" s="6"/>
    </row>
    <row r="3240" spans="8:9" x14ac:dyDescent="0.2">
      <c r="H3240" s="6"/>
      <c r="I3240" s="6"/>
    </row>
    <row r="3241" spans="8:9" x14ac:dyDescent="0.2">
      <c r="H3241" s="6"/>
      <c r="I3241" s="6"/>
    </row>
    <row r="3242" spans="8:9" x14ac:dyDescent="0.2">
      <c r="H3242" s="6"/>
      <c r="I3242" s="6"/>
    </row>
    <row r="3243" spans="8:9" x14ac:dyDescent="0.2">
      <c r="H3243" s="6"/>
      <c r="I3243" s="6"/>
    </row>
    <row r="3244" spans="8:9" x14ac:dyDescent="0.2">
      <c r="H3244" s="6"/>
      <c r="I3244" s="6"/>
    </row>
    <row r="3245" spans="8:9" x14ac:dyDescent="0.2">
      <c r="H3245" s="6"/>
      <c r="I3245" s="6"/>
    </row>
    <row r="3246" spans="8:9" x14ac:dyDescent="0.2">
      <c r="H3246" s="6"/>
      <c r="I3246" s="6"/>
    </row>
    <row r="3247" spans="8:9" x14ac:dyDescent="0.2">
      <c r="H3247" s="6"/>
      <c r="I3247" s="6"/>
    </row>
    <row r="3248" spans="8:9" x14ac:dyDescent="0.2">
      <c r="H3248" s="6"/>
      <c r="I3248" s="6"/>
    </row>
    <row r="3249" spans="8:9" x14ac:dyDescent="0.2">
      <c r="H3249" s="6"/>
      <c r="I3249" s="6"/>
    </row>
    <row r="3250" spans="8:9" x14ac:dyDescent="0.2">
      <c r="H3250" s="6"/>
      <c r="I3250" s="6"/>
    </row>
    <row r="3251" spans="8:9" x14ac:dyDescent="0.2">
      <c r="H3251" s="6"/>
      <c r="I3251" s="6"/>
    </row>
    <row r="3252" spans="8:9" x14ac:dyDescent="0.2">
      <c r="H3252" s="6"/>
      <c r="I3252" s="6"/>
    </row>
    <row r="3253" spans="8:9" x14ac:dyDescent="0.2">
      <c r="H3253" s="6"/>
      <c r="I3253" s="6"/>
    </row>
    <row r="3254" spans="8:9" x14ac:dyDescent="0.2">
      <c r="H3254" s="6"/>
      <c r="I3254" s="6"/>
    </row>
    <row r="3255" spans="8:9" x14ac:dyDescent="0.2">
      <c r="H3255" s="6"/>
      <c r="I3255" s="6"/>
    </row>
    <row r="3256" spans="8:9" x14ac:dyDescent="0.2">
      <c r="H3256" s="6"/>
      <c r="I3256" s="6"/>
    </row>
    <row r="3257" spans="8:9" x14ac:dyDescent="0.2">
      <c r="H3257" s="6"/>
      <c r="I3257" s="6"/>
    </row>
    <row r="3258" spans="8:9" x14ac:dyDescent="0.2">
      <c r="H3258" s="6"/>
      <c r="I3258" s="6"/>
    </row>
    <row r="3259" spans="8:9" x14ac:dyDescent="0.2">
      <c r="H3259" s="6"/>
      <c r="I3259" s="6"/>
    </row>
    <row r="3260" spans="8:9" x14ac:dyDescent="0.2">
      <c r="H3260" s="6"/>
      <c r="I3260" s="6"/>
    </row>
    <row r="3261" spans="8:9" x14ac:dyDescent="0.2">
      <c r="H3261" s="6"/>
      <c r="I3261" s="6"/>
    </row>
    <row r="3262" spans="8:9" x14ac:dyDescent="0.2">
      <c r="H3262" s="6"/>
      <c r="I3262" s="6"/>
    </row>
    <row r="3263" spans="8:9" x14ac:dyDescent="0.2">
      <c r="H3263" s="6"/>
      <c r="I3263" s="6"/>
    </row>
    <row r="3264" spans="8:9" x14ac:dyDescent="0.2">
      <c r="H3264" s="6"/>
      <c r="I3264" s="6"/>
    </row>
    <row r="3265" spans="8:9" x14ac:dyDescent="0.2">
      <c r="H3265" s="6"/>
      <c r="I3265" s="6"/>
    </row>
    <row r="3266" spans="8:9" x14ac:dyDescent="0.2">
      <c r="H3266" s="6"/>
      <c r="I3266" s="6"/>
    </row>
    <row r="3267" spans="8:9" x14ac:dyDescent="0.2">
      <c r="H3267" s="6"/>
      <c r="I3267" s="6"/>
    </row>
    <row r="3268" spans="8:9" x14ac:dyDescent="0.2">
      <c r="H3268" s="6"/>
      <c r="I3268" s="6"/>
    </row>
    <row r="3269" spans="8:9" x14ac:dyDescent="0.2">
      <c r="H3269" s="6"/>
      <c r="I3269" s="6"/>
    </row>
    <row r="3270" spans="8:9" x14ac:dyDescent="0.2">
      <c r="H3270" s="6"/>
      <c r="I3270" s="6"/>
    </row>
    <row r="3271" spans="8:9" x14ac:dyDescent="0.2">
      <c r="H3271" s="6"/>
      <c r="I3271" s="6"/>
    </row>
    <row r="3272" spans="8:9" x14ac:dyDescent="0.2">
      <c r="H3272" s="6"/>
      <c r="I3272" s="6"/>
    </row>
    <row r="3273" spans="8:9" x14ac:dyDescent="0.2">
      <c r="H3273" s="6"/>
      <c r="I3273" s="6"/>
    </row>
    <row r="3274" spans="8:9" x14ac:dyDescent="0.2">
      <c r="H3274" s="6"/>
      <c r="I3274" s="6"/>
    </row>
    <row r="3275" spans="8:9" x14ac:dyDescent="0.2">
      <c r="H3275" s="6"/>
      <c r="I3275" s="6"/>
    </row>
    <row r="3276" spans="8:9" x14ac:dyDescent="0.2">
      <c r="H3276" s="6"/>
      <c r="I3276" s="6"/>
    </row>
    <row r="3277" spans="8:9" x14ac:dyDescent="0.2">
      <c r="H3277" s="6"/>
      <c r="I3277" s="6"/>
    </row>
    <row r="3278" spans="8:9" x14ac:dyDescent="0.2">
      <c r="H3278" s="6"/>
      <c r="I3278" s="6"/>
    </row>
    <row r="3279" spans="8:9" x14ac:dyDescent="0.2">
      <c r="H3279" s="6"/>
      <c r="I3279" s="6"/>
    </row>
    <row r="3280" spans="8:9" x14ac:dyDescent="0.2">
      <c r="H3280" s="6"/>
      <c r="I3280" s="6"/>
    </row>
    <row r="3281" spans="8:9" x14ac:dyDescent="0.2">
      <c r="H3281" s="6"/>
      <c r="I3281" s="6"/>
    </row>
    <row r="3282" spans="8:9" x14ac:dyDescent="0.2">
      <c r="H3282" s="6"/>
      <c r="I3282" s="6"/>
    </row>
    <row r="3283" spans="8:9" x14ac:dyDescent="0.2">
      <c r="H3283" s="6"/>
      <c r="I3283" s="6"/>
    </row>
    <row r="3284" spans="8:9" x14ac:dyDescent="0.2">
      <c r="H3284" s="6"/>
      <c r="I3284" s="6"/>
    </row>
    <row r="3285" spans="8:9" x14ac:dyDescent="0.2">
      <c r="H3285" s="6"/>
      <c r="I3285" s="6"/>
    </row>
    <row r="3286" spans="8:9" x14ac:dyDescent="0.2">
      <c r="H3286" s="6"/>
      <c r="I3286" s="6"/>
    </row>
    <row r="3287" spans="8:9" x14ac:dyDescent="0.2">
      <c r="H3287" s="6"/>
      <c r="I3287" s="6"/>
    </row>
    <row r="3288" spans="8:9" x14ac:dyDescent="0.2">
      <c r="H3288" s="6"/>
      <c r="I3288" s="6"/>
    </row>
    <row r="3289" spans="8:9" x14ac:dyDescent="0.2">
      <c r="H3289" s="6"/>
      <c r="I3289" s="6"/>
    </row>
    <row r="3290" spans="8:9" x14ac:dyDescent="0.2">
      <c r="H3290" s="6"/>
      <c r="I3290" s="6"/>
    </row>
    <row r="3291" spans="8:9" x14ac:dyDescent="0.2">
      <c r="H3291" s="6"/>
      <c r="I3291" s="6"/>
    </row>
    <row r="3292" spans="8:9" x14ac:dyDescent="0.2">
      <c r="H3292" s="6"/>
      <c r="I3292" s="6"/>
    </row>
    <row r="3293" spans="8:9" x14ac:dyDescent="0.2">
      <c r="H3293" s="6"/>
      <c r="I3293" s="6"/>
    </row>
    <row r="3294" spans="8:9" x14ac:dyDescent="0.2">
      <c r="H3294" s="6"/>
      <c r="I3294" s="6"/>
    </row>
    <row r="3295" spans="8:9" x14ac:dyDescent="0.2">
      <c r="H3295" s="6"/>
      <c r="I3295" s="6"/>
    </row>
    <row r="3296" spans="8:9" x14ac:dyDescent="0.2">
      <c r="H3296" s="6"/>
      <c r="I3296" s="6"/>
    </row>
    <row r="3297" spans="8:9" x14ac:dyDescent="0.2">
      <c r="H3297" s="6"/>
      <c r="I3297" s="6"/>
    </row>
    <row r="3298" spans="8:9" x14ac:dyDescent="0.2">
      <c r="H3298" s="6"/>
      <c r="I3298" s="6"/>
    </row>
    <row r="3299" spans="8:9" x14ac:dyDescent="0.2">
      <c r="H3299" s="6"/>
      <c r="I3299" s="6"/>
    </row>
    <row r="3300" spans="8:9" x14ac:dyDescent="0.2">
      <c r="H3300" s="6"/>
      <c r="I3300" s="6"/>
    </row>
    <row r="3301" spans="8:9" x14ac:dyDescent="0.2">
      <c r="H3301" s="6"/>
      <c r="I3301" s="6"/>
    </row>
    <row r="3302" spans="8:9" x14ac:dyDescent="0.2">
      <c r="H3302" s="6"/>
      <c r="I3302" s="6"/>
    </row>
    <row r="3303" spans="8:9" x14ac:dyDescent="0.2">
      <c r="H3303" s="6"/>
      <c r="I3303" s="6"/>
    </row>
    <row r="3304" spans="8:9" x14ac:dyDescent="0.2">
      <c r="H3304" s="6"/>
      <c r="I3304" s="6"/>
    </row>
    <row r="3305" spans="8:9" x14ac:dyDescent="0.2">
      <c r="H3305" s="6"/>
      <c r="I3305" s="6"/>
    </row>
    <row r="3306" spans="8:9" x14ac:dyDescent="0.2">
      <c r="H3306" s="6"/>
      <c r="I3306" s="6"/>
    </row>
    <row r="3307" spans="8:9" x14ac:dyDescent="0.2">
      <c r="H3307" s="6"/>
      <c r="I3307" s="6"/>
    </row>
    <row r="3308" spans="8:9" x14ac:dyDescent="0.2">
      <c r="H3308" s="6"/>
      <c r="I3308" s="6"/>
    </row>
    <row r="3309" spans="8:9" x14ac:dyDescent="0.2">
      <c r="H3309" s="6"/>
      <c r="I3309" s="6"/>
    </row>
    <row r="3310" spans="8:9" x14ac:dyDescent="0.2">
      <c r="H3310" s="6"/>
      <c r="I3310" s="6"/>
    </row>
    <row r="3311" spans="8:9" x14ac:dyDescent="0.2">
      <c r="H3311" s="6"/>
      <c r="I3311" s="6"/>
    </row>
    <row r="3312" spans="8:9" x14ac:dyDescent="0.2">
      <c r="H3312" s="6"/>
      <c r="I3312" s="6"/>
    </row>
    <row r="3313" spans="8:9" x14ac:dyDescent="0.2">
      <c r="H3313" s="6"/>
      <c r="I3313" s="6"/>
    </row>
    <row r="3314" spans="8:9" x14ac:dyDescent="0.2">
      <c r="H3314" s="6"/>
      <c r="I3314" s="6"/>
    </row>
    <row r="3315" spans="8:9" x14ac:dyDescent="0.2">
      <c r="H3315" s="6"/>
      <c r="I3315" s="6"/>
    </row>
    <row r="3316" spans="8:9" x14ac:dyDescent="0.2">
      <c r="H3316" s="6"/>
      <c r="I3316" s="6"/>
    </row>
    <row r="3317" spans="8:9" x14ac:dyDescent="0.2">
      <c r="H3317" s="6"/>
      <c r="I3317" s="6"/>
    </row>
    <row r="3318" spans="8:9" x14ac:dyDescent="0.2">
      <c r="H3318" s="6"/>
      <c r="I3318" s="6"/>
    </row>
    <row r="3319" spans="8:9" x14ac:dyDescent="0.2">
      <c r="H3319" s="6"/>
      <c r="I3319" s="6"/>
    </row>
    <row r="3320" spans="8:9" x14ac:dyDescent="0.2">
      <c r="H3320" s="6"/>
      <c r="I3320" s="6"/>
    </row>
    <row r="3321" spans="8:9" x14ac:dyDescent="0.2">
      <c r="H3321" s="6"/>
      <c r="I3321" s="6"/>
    </row>
    <row r="3322" spans="8:9" x14ac:dyDescent="0.2">
      <c r="H3322" s="6"/>
      <c r="I3322" s="6"/>
    </row>
    <row r="3323" spans="8:9" x14ac:dyDescent="0.2">
      <c r="H3323" s="6"/>
      <c r="I3323" s="6"/>
    </row>
    <row r="3324" spans="8:9" x14ac:dyDescent="0.2">
      <c r="H3324" s="6"/>
      <c r="I3324" s="6"/>
    </row>
    <row r="3325" spans="8:9" x14ac:dyDescent="0.2">
      <c r="H3325" s="6"/>
      <c r="I3325" s="6"/>
    </row>
    <row r="3326" spans="8:9" x14ac:dyDescent="0.2">
      <c r="H3326" s="6"/>
      <c r="I3326" s="6"/>
    </row>
    <row r="3327" spans="8:9" x14ac:dyDescent="0.2">
      <c r="H3327" s="6"/>
      <c r="I3327" s="6"/>
    </row>
    <row r="3328" spans="8:9" x14ac:dyDescent="0.2">
      <c r="H3328" s="6"/>
      <c r="I3328" s="6"/>
    </row>
    <row r="3329" spans="8:9" x14ac:dyDescent="0.2">
      <c r="H3329" s="6"/>
      <c r="I3329" s="6"/>
    </row>
    <row r="3330" spans="8:9" x14ac:dyDescent="0.2">
      <c r="H3330" s="6"/>
      <c r="I3330" s="6"/>
    </row>
    <row r="3331" spans="8:9" x14ac:dyDescent="0.2">
      <c r="H3331" s="6"/>
      <c r="I3331" s="6"/>
    </row>
    <row r="3332" spans="8:9" x14ac:dyDescent="0.2">
      <c r="H3332" s="6"/>
      <c r="I3332" s="6"/>
    </row>
    <row r="3333" spans="8:9" x14ac:dyDescent="0.2">
      <c r="H3333" s="6"/>
      <c r="I3333" s="6"/>
    </row>
    <row r="3334" spans="8:9" x14ac:dyDescent="0.2">
      <c r="H3334" s="6"/>
      <c r="I3334" s="6"/>
    </row>
    <row r="3335" spans="8:9" x14ac:dyDescent="0.2">
      <c r="H3335" s="6"/>
      <c r="I3335" s="6"/>
    </row>
    <row r="3336" spans="8:9" x14ac:dyDescent="0.2">
      <c r="H3336" s="6"/>
      <c r="I3336" s="6"/>
    </row>
    <row r="3337" spans="8:9" x14ac:dyDescent="0.2">
      <c r="H3337" s="6"/>
      <c r="I3337" s="6"/>
    </row>
    <row r="3338" spans="8:9" x14ac:dyDescent="0.2">
      <c r="H3338" s="6"/>
      <c r="I3338" s="6"/>
    </row>
    <row r="3339" spans="8:9" x14ac:dyDescent="0.2">
      <c r="H3339" s="6"/>
      <c r="I3339" s="6"/>
    </row>
    <row r="3340" spans="8:9" x14ac:dyDescent="0.2">
      <c r="H3340" s="6"/>
      <c r="I3340" s="6"/>
    </row>
    <row r="3341" spans="8:9" x14ac:dyDescent="0.2">
      <c r="H3341" s="6"/>
      <c r="I3341" s="6"/>
    </row>
    <row r="3342" spans="8:9" x14ac:dyDescent="0.2">
      <c r="H3342" s="6"/>
      <c r="I3342" s="6"/>
    </row>
    <row r="3343" spans="8:9" x14ac:dyDescent="0.2">
      <c r="H3343" s="6"/>
      <c r="I3343" s="6"/>
    </row>
    <row r="3344" spans="8:9" x14ac:dyDescent="0.2">
      <c r="H3344" s="6"/>
      <c r="I3344" s="6"/>
    </row>
    <row r="3345" spans="8:9" x14ac:dyDescent="0.2">
      <c r="H3345" s="6"/>
      <c r="I3345" s="6"/>
    </row>
    <row r="3346" spans="8:9" x14ac:dyDescent="0.2">
      <c r="H3346" s="6"/>
      <c r="I3346" s="6"/>
    </row>
    <row r="3347" spans="8:9" x14ac:dyDescent="0.2">
      <c r="H3347" s="6"/>
      <c r="I3347" s="6"/>
    </row>
    <row r="3348" spans="8:9" x14ac:dyDescent="0.2">
      <c r="H3348" s="6"/>
      <c r="I3348" s="6"/>
    </row>
    <row r="3349" spans="8:9" x14ac:dyDescent="0.2">
      <c r="H3349" s="6"/>
      <c r="I3349" s="6"/>
    </row>
    <row r="3350" spans="8:9" x14ac:dyDescent="0.2">
      <c r="H3350" s="6"/>
      <c r="I3350" s="6"/>
    </row>
    <row r="3351" spans="8:9" x14ac:dyDescent="0.2">
      <c r="H3351" s="6"/>
      <c r="I3351" s="6"/>
    </row>
    <row r="3352" spans="8:9" x14ac:dyDescent="0.2">
      <c r="H3352" s="6"/>
      <c r="I3352" s="6"/>
    </row>
    <row r="3353" spans="8:9" x14ac:dyDescent="0.2">
      <c r="H3353" s="6"/>
      <c r="I3353" s="6"/>
    </row>
    <row r="3354" spans="8:9" x14ac:dyDescent="0.2">
      <c r="H3354" s="6"/>
      <c r="I3354" s="6"/>
    </row>
    <row r="3355" spans="8:9" x14ac:dyDescent="0.2">
      <c r="H3355" s="6"/>
      <c r="I3355" s="6"/>
    </row>
    <row r="3356" spans="8:9" x14ac:dyDescent="0.2">
      <c r="H3356" s="6"/>
      <c r="I3356" s="6"/>
    </row>
    <row r="3357" spans="8:9" x14ac:dyDescent="0.2">
      <c r="H3357" s="6"/>
      <c r="I3357" s="6"/>
    </row>
    <row r="3358" spans="8:9" x14ac:dyDescent="0.2">
      <c r="H3358" s="6"/>
      <c r="I3358" s="6"/>
    </row>
    <row r="3359" spans="8:9" x14ac:dyDescent="0.2">
      <c r="H3359" s="6"/>
      <c r="I3359" s="6"/>
    </row>
    <row r="3360" spans="8:9" x14ac:dyDescent="0.2">
      <c r="H3360" s="6"/>
      <c r="I3360" s="6"/>
    </row>
    <row r="3361" spans="8:9" x14ac:dyDescent="0.2">
      <c r="H3361" s="6"/>
      <c r="I3361" s="6"/>
    </row>
    <row r="3362" spans="8:9" x14ac:dyDescent="0.2">
      <c r="H3362" s="6"/>
      <c r="I3362" s="6"/>
    </row>
    <row r="3363" spans="8:9" x14ac:dyDescent="0.2">
      <c r="H3363" s="6"/>
      <c r="I3363" s="6"/>
    </row>
    <row r="3364" spans="8:9" x14ac:dyDescent="0.2">
      <c r="H3364" s="6"/>
      <c r="I3364" s="6"/>
    </row>
    <row r="3365" spans="8:9" x14ac:dyDescent="0.2">
      <c r="H3365" s="6"/>
      <c r="I3365" s="6"/>
    </row>
    <row r="3366" spans="8:9" x14ac:dyDescent="0.2">
      <c r="H3366" s="6"/>
      <c r="I3366" s="6"/>
    </row>
    <row r="3367" spans="8:9" x14ac:dyDescent="0.2">
      <c r="H3367" s="6"/>
      <c r="I3367" s="6"/>
    </row>
    <row r="3368" spans="8:9" x14ac:dyDescent="0.2">
      <c r="H3368" s="6"/>
      <c r="I3368" s="6"/>
    </row>
    <row r="3369" spans="8:9" x14ac:dyDescent="0.2">
      <c r="H3369" s="6"/>
      <c r="I3369" s="6"/>
    </row>
    <row r="3370" spans="8:9" x14ac:dyDescent="0.2">
      <c r="H3370" s="6"/>
      <c r="I3370" s="6"/>
    </row>
    <row r="3371" spans="8:9" x14ac:dyDescent="0.2">
      <c r="H3371" s="6"/>
      <c r="I3371" s="6"/>
    </row>
    <row r="3372" spans="8:9" x14ac:dyDescent="0.2">
      <c r="H3372" s="6"/>
      <c r="I3372" s="6"/>
    </row>
    <row r="3373" spans="8:9" x14ac:dyDescent="0.2">
      <c r="H3373" s="6"/>
      <c r="I3373" s="6"/>
    </row>
    <row r="3374" spans="8:9" x14ac:dyDescent="0.2">
      <c r="H3374" s="6"/>
      <c r="I3374" s="6"/>
    </row>
    <row r="3375" spans="8:9" x14ac:dyDescent="0.2">
      <c r="H3375" s="6"/>
      <c r="I3375" s="6"/>
    </row>
    <row r="3376" spans="8:9" x14ac:dyDescent="0.2">
      <c r="H3376" s="6"/>
      <c r="I3376" s="6"/>
    </row>
    <row r="3377" spans="8:9" x14ac:dyDescent="0.2">
      <c r="H3377" s="6"/>
      <c r="I3377" s="6"/>
    </row>
    <row r="3378" spans="8:9" x14ac:dyDescent="0.2">
      <c r="H3378" s="6"/>
      <c r="I3378" s="6"/>
    </row>
    <row r="3379" spans="8:9" x14ac:dyDescent="0.2">
      <c r="H3379" s="6"/>
      <c r="I3379" s="6"/>
    </row>
    <row r="3380" spans="8:9" x14ac:dyDescent="0.2">
      <c r="H3380" s="6"/>
      <c r="I3380" s="6"/>
    </row>
    <row r="3381" spans="8:9" x14ac:dyDescent="0.2">
      <c r="H3381" s="6"/>
      <c r="I3381" s="6"/>
    </row>
    <row r="3382" spans="8:9" x14ac:dyDescent="0.2">
      <c r="H3382" s="6"/>
      <c r="I3382" s="6"/>
    </row>
    <row r="3383" spans="8:9" x14ac:dyDescent="0.2">
      <c r="H3383" s="6"/>
      <c r="I3383" s="6"/>
    </row>
    <row r="3384" spans="8:9" x14ac:dyDescent="0.2">
      <c r="H3384" s="6"/>
      <c r="I3384" s="6"/>
    </row>
    <row r="3385" spans="8:9" x14ac:dyDescent="0.2">
      <c r="H3385" s="6"/>
      <c r="I3385" s="6"/>
    </row>
    <row r="3386" spans="8:9" x14ac:dyDescent="0.2">
      <c r="H3386" s="6"/>
      <c r="I3386" s="6"/>
    </row>
    <row r="3387" spans="8:9" x14ac:dyDescent="0.2">
      <c r="H3387" s="6"/>
      <c r="I3387" s="6"/>
    </row>
    <row r="3388" spans="8:9" x14ac:dyDescent="0.2">
      <c r="H3388" s="6"/>
      <c r="I3388" s="6"/>
    </row>
    <row r="3389" spans="8:9" x14ac:dyDescent="0.2">
      <c r="H3389" s="6"/>
      <c r="I3389" s="6"/>
    </row>
    <row r="3390" spans="8:9" x14ac:dyDescent="0.2">
      <c r="H3390" s="6"/>
      <c r="I3390" s="6"/>
    </row>
    <row r="3391" spans="8:9" x14ac:dyDescent="0.2">
      <c r="H3391" s="6"/>
      <c r="I3391" s="6"/>
    </row>
    <row r="3392" spans="8:9" x14ac:dyDescent="0.2">
      <c r="H3392" s="6"/>
      <c r="I3392" s="6"/>
    </row>
    <row r="3393" spans="8:9" x14ac:dyDescent="0.2">
      <c r="H3393" s="6"/>
      <c r="I3393" s="6"/>
    </row>
    <row r="3394" spans="8:9" x14ac:dyDescent="0.2">
      <c r="H3394" s="6"/>
      <c r="I3394" s="6"/>
    </row>
    <row r="3395" spans="8:9" x14ac:dyDescent="0.2">
      <c r="H3395" s="6"/>
      <c r="I3395" s="6"/>
    </row>
    <row r="3396" spans="8:9" x14ac:dyDescent="0.2">
      <c r="H3396" s="6"/>
      <c r="I3396" s="6"/>
    </row>
    <row r="3397" spans="8:9" x14ac:dyDescent="0.2">
      <c r="H3397" s="6"/>
      <c r="I3397" s="6"/>
    </row>
    <row r="3398" spans="8:9" x14ac:dyDescent="0.2">
      <c r="H3398" s="6"/>
      <c r="I3398" s="6"/>
    </row>
    <row r="3399" spans="8:9" x14ac:dyDescent="0.2">
      <c r="H3399" s="6"/>
      <c r="I3399" s="6"/>
    </row>
    <row r="3400" spans="8:9" x14ac:dyDescent="0.2">
      <c r="H3400" s="6"/>
      <c r="I3400" s="6"/>
    </row>
    <row r="3401" spans="8:9" x14ac:dyDescent="0.2">
      <c r="H3401" s="6"/>
      <c r="I3401" s="6"/>
    </row>
    <row r="3402" spans="8:9" x14ac:dyDescent="0.2">
      <c r="H3402" s="6"/>
      <c r="I3402" s="6"/>
    </row>
    <row r="3403" spans="8:9" x14ac:dyDescent="0.2">
      <c r="H3403" s="6"/>
      <c r="I3403" s="6"/>
    </row>
    <row r="3404" spans="8:9" x14ac:dyDescent="0.2">
      <c r="H3404" s="6"/>
      <c r="I3404" s="6"/>
    </row>
    <row r="3405" spans="8:9" x14ac:dyDescent="0.2">
      <c r="H3405" s="6"/>
      <c r="I3405" s="6"/>
    </row>
    <row r="3406" spans="8:9" x14ac:dyDescent="0.2">
      <c r="H3406" s="6"/>
      <c r="I3406" s="6"/>
    </row>
    <row r="3407" spans="8:9" x14ac:dyDescent="0.2">
      <c r="H3407" s="6"/>
      <c r="I3407" s="6"/>
    </row>
    <row r="3408" spans="8:9" x14ac:dyDescent="0.2">
      <c r="H3408" s="6"/>
      <c r="I3408" s="6"/>
    </row>
    <row r="3409" spans="8:9" x14ac:dyDescent="0.2">
      <c r="H3409" s="6"/>
      <c r="I3409" s="6"/>
    </row>
    <row r="3410" spans="8:9" x14ac:dyDescent="0.2">
      <c r="H3410" s="6"/>
      <c r="I3410" s="6"/>
    </row>
    <row r="3411" spans="8:9" x14ac:dyDescent="0.2">
      <c r="H3411" s="6"/>
      <c r="I3411" s="6"/>
    </row>
    <row r="3412" spans="8:9" x14ac:dyDescent="0.2">
      <c r="H3412" s="6"/>
      <c r="I3412" s="6"/>
    </row>
    <row r="3413" spans="8:9" x14ac:dyDescent="0.2">
      <c r="H3413" s="6"/>
      <c r="I3413" s="6"/>
    </row>
    <row r="3414" spans="8:9" x14ac:dyDescent="0.2">
      <c r="H3414" s="6"/>
      <c r="I3414" s="6"/>
    </row>
    <row r="3415" spans="8:9" x14ac:dyDescent="0.2">
      <c r="H3415" s="6"/>
      <c r="I3415" s="6"/>
    </row>
    <row r="3416" spans="8:9" x14ac:dyDescent="0.2">
      <c r="H3416" s="6"/>
      <c r="I3416" s="6"/>
    </row>
    <row r="3417" spans="8:9" x14ac:dyDescent="0.2">
      <c r="H3417" s="6"/>
      <c r="I3417" s="6"/>
    </row>
    <row r="3418" spans="8:9" x14ac:dyDescent="0.2">
      <c r="H3418" s="6"/>
      <c r="I3418" s="6"/>
    </row>
    <row r="3419" spans="8:9" x14ac:dyDescent="0.2">
      <c r="H3419" s="6"/>
      <c r="I3419" s="6"/>
    </row>
    <row r="3420" spans="8:9" x14ac:dyDescent="0.2">
      <c r="H3420" s="6"/>
      <c r="I3420" s="6"/>
    </row>
    <row r="3421" spans="8:9" x14ac:dyDescent="0.2">
      <c r="H3421" s="6"/>
      <c r="I3421" s="6"/>
    </row>
    <row r="3422" spans="8:9" x14ac:dyDescent="0.2">
      <c r="H3422" s="6"/>
      <c r="I3422" s="6"/>
    </row>
    <row r="3423" spans="8:9" x14ac:dyDescent="0.2">
      <c r="H3423" s="6"/>
      <c r="I3423" s="6"/>
    </row>
    <row r="3424" spans="8:9" x14ac:dyDescent="0.2">
      <c r="H3424" s="6"/>
      <c r="I3424" s="6"/>
    </row>
    <row r="3425" spans="8:9" x14ac:dyDescent="0.2">
      <c r="H3425" s="6"/>
      <c r="I3425" s="6"/>
    </row>
    <row r="3426" spans="8:9" x14ac:dyDescent="0.2">
      <c r="H3426" s="6"/>
      <c r="I3426" s="6"/>
    </row>
    <row r="3427" spans="8:9" x14ac:dyDescent="0.2">
      <c r="H3427" s="6"/>
      <c r="I3427" s="6"/>
    </row>
    <row r="3428" spans="8:9" x14ac:dyDescent="0.2">
      <c r="H3428" s="6"/>
      <c r="I3428" s="6"/>
    </row>
    <row r="3429" spans="8:9" x14ac:dyDescent="0.2">
      <c r="H3429" s="6"/>
      <c r="I3429" s="6"/>
    </row>
    <row r="3430" spans="8:9" x14ac:dyDescent="0.2">
      <c r="H3430" s="6"/>
      <c r="I3430" s="6"/>
    </row>
    <row r="3431" spans="8:9" x14ac:dyDescent="0.2">
      <c r="H3431" s="6"/>
      <c r="I3431" s="6"/>
    </row>
    <row r="3432" spans="8:9" x14ac:dyDescent="0.2">
      <c r="H3432" s="6"/>
      <c r="I3432" s="6"/>
    </row>
    <row r="3433" spans="8:9" x14ac:dyDescent="0.2">
      <c r="H3433" s="6"/>
      <c r="I3433" s="6"/>
    </row>
    <row r="3434" spans="8:9" x14ac:dyDescent="0.2">
      <c r="H3434" s="6"/>
      <c r="I3434" s="6"/>
    </row>
    <row r="3435" spans="8:9" x14ac:dyDescent="0.2">
      <c r="H3435" s="6"/>
      <c r="I3435" s="6"/>
    </row>
    <row r="3436" spans="8:9" x14ac:dyDescent="0.2">
      <c r="H3436" s="6"/>
      <c r="I3436" s="6"/>
    </row>
    <row r="3437" spans="8:9" x14ac:dyDescent="0.2">
      <c r="H3437" s="6"/>
      <c r="I3437" s="6"/>
    </row>
    <row r="3438" spans="8:9" x14ac:dyDescent="0.2">
      <c r="H3438" s="6"/>
      <c r="I3438" s="6"/>
    </row>
    <row r="3439" spans="8:9" x14ac:dyDescent="0.2">
      <c r="H3439" s="6"/>
      <c r="I3439" s="6"/>
    </row>
    <row r="3440" spans="8:9" x14ac:dyDescent="0.2">
      <c r="H3440" s="6"/>
      <c r="I3440" s="6"/>
    </row>
    <row r="3441" spans="8:9" x14ac:dyDescent="0.2">
      <c r="H3441" s="6"/>
      <c r="I3441" s="6"/>
    </row>
    <row r="3442" spans="8:9" x14ac:dyDescent="0.2">
      <c r="H3442" s="6"/>
      <c r="I3442" s="6"/>
    </row>
    <row r="3443" spans="8:9" x14ac:dyDescent="0.2">
      <c r="H3443" s="6"/>
      <c r="I3443" s="6"/>
    </row>
    <row r="3444" spans="8:9" x14ac:dyDescent="0.2">
      <c r="H3444" s="6"/>
      <c r="I3444" s="6"/>
    </row>
    <row r="3445" spans="8:9" x14ac:dyDescent="0.2">
      <c r="H3445" s="6"/>
      <c r="I3445" s="6"/>
    </row>
    <row r="3446" spans="8:9" x14ac:dyDescent="0.2">
      <c r="H3446" s="6"/>
      <c r="I3446" s="6"/>
    </row>
    <row r="3447" spans="8:9" x14ac:dyDescent="0.2">
      <c r="H3447" s="6"/>
      <c r="I3447" s="6"/>
    </row>
    <row r="3448" spans="8:9" x14ac:dyDescent="0.2">
      <c r="H3448" s="6"/>
      <c r="I3448" s="6"/>
    </row>
    <row r="3449" spans="8:9" x14ac:dyDescent="0.2">
      <c r="H3449" s="6"/>
      <c r="I3449" s="6"/>
    </row>
    <row r="3450" spans="8:9" x14ac:dyDescent="0.2">
      <c r="H3450" s="6"/>
      <c r="I3450" s="6"/>
    </row>
    <row r="3451" spans="8:9" x14ac:dyDescent="0.2">
      <c r="H3451" s="6"/>
      <c r="I3451" s="6"/>
    </row>
    <row r="3452" spans="8:9" x14ac:dyDescent="0.2">
      <c r="H3452" s="6"/>
      <c r="I3452" s="6"/>
    </row>
    <row r="3453" spans="8:9" x14ac:dyDescent="0.2">
      <c r="H3453" s="6"/>
      <c r="I3453" s="6"/>
    </row>
    <row r="3454" spans="8:9" x14ac:dyDescent="0.2">
      <c r="H3454" s="6"/>
      <c r="I3454" s="6"/>
    </row>
    <row r="3455" spans="8:9" x14ac:dyDescent="0.2">
      <c r="H3455" s="6"/>
      <c r="I3455" s="6"/>
    </row>
    <row r="3456" spans="8:9" x14ac:dyDescent="0.2">
      <c r="H3456" s="6"/>
      <c r="I3456" s="6"/>
    </row>
    <row r="3457" spans="8:9" x14ac:dyDescent="0.2">
      <c r="H3457" s="6"/>
      <c r="I3457" s="6"/>
    </row>
    <row r="3458" spans="8:9" x14ac:dyDescent="0.2">
      <c r="H3458" s="6"/>
      <c r="I3458" s="6"/>
    </row>
    <row r="3459" spans="8:9" x14ac:dyDescent="0.2">
      <c r="H3459" s="6"/>
      <c r="I3459" s="6"/>
    </row>
    <row r="3460" spans="8:9" x14ac:dyDescent="0.2">
      <c r="H3460" s="6"/>
      <c r="I3460" s="6"/>
    </row>
    <row r="3461" spans="8:9" x14ac:dyDescent="0.2">
      <c r="H3461" s="6"/>
      <c r="I3461" s="6"/>
    </row>
    <row r="3462" spans="8:9" x14ac:dyDescent="0.2">
      <c r="H3462" s="6"/>
      <c r="I3462" s="6"/>
    </row>
    <row r="3463" spans="8:9" x14ac:dyDescent="0.2">
      <c r="H3463" s="6"/>
      <c r="I3463" s="6"/>
    </row>
    <row r="3464" spans="8:9" x14ac:dyDescent="0.2">
      <c r="H3464" s="6"/>
      <c r="I3464" s="6"/>
    </row>
    <row r="3465" spans="8:9" x14ac:dyDescent="0.2">
      <c r="H3465" s="6"/>
      <c r="I3465" s="6"/>
    </row>
    <row r="3466" spans="8:9" x14ac:dyDescent="0.2">
      <c r="H3466" s="6"/>
      <c r="I3466" s="6"/>
    </row>
    <row r="3467" spans="8:9" x14ac:dyDescent="0.2">
      <c r="H3467" s="6"/>
      <c r="I3467" s="6"/>
    </row>
    <row r="3468" spans="8:9" x14ac:dyDescent="0.2">
      <c r="H3468" s="6"/>
      <c r="I3468" s="6"/>
    </row>
    <row r="3469" spans="8:9" x14ac:dyDescent="0.2">
      <c r="H3469" s="6"/>
      <c r="I3469" s="6"/>
    </row>
    <row r="3470" spans="8:9" x14ac:dyDescent="0.2">
      <c r="H3470" s="6"/>
      <c r="I3470" s="6"/>
    </row>
    <row r="3471" spans="8:9" x14ac:dyDescent="0.2">
      <c r="H3471" s="6"/>
      <c r="I3471" s="6"/>
    </row>
    <row r="3472" spans="8:9" x14ac:dyDescent="0.2">
      <c r="H3472" s="6"/>
      <c r="I3472" s="6"/>
    </row>
    <row r="3473" spans="8:9" x14ac:dyDescent="0.2">
      <c r="H3473" s="6"/>
      <c r="I3473" s="6"/>
    </row>
    <row r="3474" spans="8:9" x14ac:dyDescent="0.2">
      <c r="H3474" s="6"/>
      <c r="I3474" s="6"/>
    </row>
    <row r="3475" spans="8:9" x14ac:dyDescent="0.2">
      <c r="H3475" s="6"/>
      <c r="I3475" s="6"/>
    </row>
    <row r="3476" spans="8:9" x14ac:dyDescent="0.2">
      <c r="H3476" s="6"/>
      <c r="I3476" s="6"/>
    </row>
    <row r="3477" spans="8:9" x14ac:dyDescent="0.2">
      <c r="H3477" s="6"/>
      <c r="I3477" s="6"/>
    </row>
    <row r="3478" spans="8:9" x14ac:dyDescent="0.2">
      <c r="H3478" s="6"/>
      <c r="I3478" s="6"/>
    </row>
    <row r="3479" spans="8:9" x14ac:dyDescent="0.2">
      <c r="H3479" s="6"/>
      <c r="I3479" s="6"/>
    </row>
    <row r="3480" spans="8:9" x14ac:dyDescent="0.2">
      <c r="H3480" s="6"/>
      <c r="I3480" s="6"/>
    </row>
    <row r="3481" spans="8:9" x14ac:dyDescent="0.2">
      <c r="H3481" s="6"/>
      <c r="I3481" s="6"/>
    </row>
    <row r="3482" spans="8:9" x14ac:dyDescent="0.2">
      <c r="H3482" s="6"/>
      <c r="I3482" s="6"/>
    </row>
    <row r="3483" spans="8:9" x14ac:dyDescent="0.2">
      <c r="H3483" s="6"/>
      <c r="I3483" s="6"/>
    </row>
    <row r="3484" spans="8:9" x14ac:dyDescent="0.2">
      <c r="H3484" s="6"/>
      <c r="I3484" s="6"/>
    </row>
    <row r="3485" spans="8:9" x14ac:dyDescent="0.2">
      <c r="H3485" s="6"/>
      <c r="I3485" s="6"/>
    </row>
    <row r="3486" spans="8:9" x14ac:dyDescent="0.2">
      <c r="H3486" s="6"/>
      <c r="I3486" s="6"/>
    </row>
    <row r="3487" spans="8:9" x14ac:dyDescent="0.2">
      <c r="H3487" s="6"/>
      <c r="I3487" s="6"/>
    </row>
    <row r="3488" spans="8:9" x14ac:dyDescent="0.2">
      <c r="H3488" s="6"/>
      <c r="I3488" s="6"/>
    </row>
    <row r="3489" spans="8:9" x14ac:dyDescent="0.2">
      <c r="H3489" s="6"/>
      <c r="I3489" s="6"/>
    </row>
    <row r="3490" spans="8:9" x14ac:dyDescent="0.2">
      <c r="H3490" s="6"/>
      <c r="I3490" s="6"/>
    </row>
    <row r="3491" spans="8:9" x14ac:dyDescent="0.2">
      <c r="H3491" s="6"/>
      <c r="I3491" s="6"/>
    </row>
    <row r="3492" spans="8:9" x14ac:dyDescent="0.2">
      <c r="H3492" s="6"/>
      <c r="I3492" s="6"/>
    </row>
    <row r="3493" spans="8:9" x14ac:dyDescent="0.2">
      <c r="H3493" s="6"/>
      <c r="I3493" s="6"/>
    </row>
    <row r="3494" spans="8:9" x14ac:dyDescent="0.2">
      <c r="H3494" s="6"/>
      <c r="I3494" s="6"/>
    </row>
    <row r="3495" spans="8:9" x14ac:dyDescent="0.2">
      <c r="H3495" s="6"/>
      <c r="I3495" s="6"/>
    </row>
    <row r="3496" spans="8:9" x14ac:dyDescent="0.2">
      <c r="H3496" s="6"/>
      <c r="I3496" s="6"/>
    </row>
    <row r="3497" spans="8:9" x14ac:dyDescent="0.2">
      <c r="H3497" s="6"/>
      <c r="I3497" s="6"/>
    </row>
    <row r="3498" spans="8:9" x14ac:dyDescent="0.2">
      <c r="H3498" s="6"/>
      <c r="I3498" s="6"/>
    </row>
    <row r="3499" spans="8:9" x14ac:dyDescent="0.2">
      <c r="H3499" s="6"/>
      <c r="I3499" s="6"/>
    </row>
    <row r="3500" spans="8:9" x14ac:dyDescent="0.2">
      <c r="H3500" s="6"/>
      <c r="I3500" s="6"/>
    </row>
    <row r="3501" spans="8:9" x14ac:dyDescent="0.2">
      <c r="H3501" s="6"/>
      <c r="I3501" s="6"/>
    </row>
    <row r="3502" spans="8:9" x14ac:dyDescent="0.2">
      <c r="H3502" s="6"/>
      <c r="I3502" s="6"/>
    </row>
    <row r="3503" spans="8:9" x14ac:dyDescent="0.2">
      <c r="H3503" s="6"/>
      <c r="I3503" s="6"/>
    </row>
    <row r="3504" spans="8:9" x14ac:dyDescent="0.2">
      <c r="H3504" s="6"/>
      <c r="I3504" s="6"/>
    </row>
    <row r="3505" spans="8:9" x14ac:dyDescent="0.2">
      <c r="H3505" s="6"/>
      <c r="I3505" s="6"/>
    </row>
    <row r="3506" spans="8:9" x14ac:dyDescent="0.2">
      <c r="H3506" s="6"/>
      <c r="I3506" s="6"/>
    </row>
    <row r="3507" spans="8:9" x14ac:dyDescent="0.2">
      <c r="H3507" s="6"/>
      <c r="I3507" s="6"/>
    </row>
    <row r="3508" spans="8:9" x14ac:dyDescent="0.2">
      <c r="H3508" s="6"/>
      <c r="I3508" s="6"/>
    </row>
    <row r="3509" spans="8:9" x14ac:dyDescent="0.2">
      <c r="H3509" s="6"/>
      <c r="I3509" s="6"/>
    </row>
    <row r="3510" spans="8:9" x14ac:dyDescent="0.2">
      <c r="H3510" s="6"/>
      <c r="I3510" s="6"/>
    </row>
    <row r="3511" spans="8:9" x14ac:dyDescent="0.2">
      <c r="H3511" s="6"/>
      <c r="I3511" s="6"/>
    </row>
    <row r="3512" spans="8:9" x14ac:dyDescent="0.2">
      <c r="H3512" s="6"/>
      <c r="I3512" s="6"/>
    </row>
    <row r="3513" spans="8:9" x14ac:dyDescent="0.2">
      <c r="H3513" s="6"/>
      <c r="I3513" s="6"/>
    </row>
    <row r="3514" spans="8:9" x14ac:dyDescent="0.2">
      <c r="H3514" s="6"/>
      <c r="I3514" s="6"/>
    </row>
    <row r="3515" spans="8:9" x14ac:dyDescent="0.2">
      <c r="H3515" s="6"/>
      <c r="I3515" s="6"/>
    </row>
    <row r="3516" spans="8:9" x14ac:dyDescent="0.2">
      <c r="H3516" s="6"/>
      <c r="I3516" s="6"/>
    </row>
    <row r="3517" spans="8:9" x14ac:dyDescent="0.2">
      <c r="H3517" s="6"/>
      <c r="I3517" s="6"/>
    </row>
    <row r="3518" spans="8:9" x14ac:dyDescent="0.2">
      <c r="H3518" s="6"/>
      <c r="I3518" s="6"/>
    </row>
    <row r="3519" spans="8:9" x14ac:dyDescent="0.2">
      <c r="H3519" s="6"/>
      <c r="I3519" s="6"/>
    </row>
    <row r="3520" spans="8:9" x14ac:dyDescent="0.2">
      <c r="H3520" s="6"/>
      <c r="I3520" s="6"/>
    </row>
    <row r="3521" spans="8:9" x14ac:dyDescent="0.2">
      <c r="H3521" s="6"/>
      <c r="I3521" s="6"/>
    </row>
    <row r="3522" spans="8:9" x14ac:dyDescent="0.2">
      <c r="H3522" s="6"/>
      <c r="I3522" s="6"/>
    </row>
    <row r="3523" spans="8:9" x14ac:dyDescent="0.2">
      <c r="H3523" s="6"/>
      <c r="I3523" s="6"/>
    </row>
    <row r="3524" spans="8:9" x14ac:dyDescent="0.2">
      <c r="H3524" s="6"/>
      <c r="I3524" s="6"/>
    </row>
    <row r="3525" spans="8:9" x14ac:dyDescent="0.2">
      <c r="H3525" s="6"/>
      <c r="I3525" s="6"/>
    </row>
    <row r="3526" spans="8:9" x14ac:dyDescent="0.2">
      <c r="H3526" s="6"/>
      <c r="I3526" s="6"/>
    </row>
    <row r="3527" spans="8:9" x14ac:dyDescent="0.2">
      <c r="H3527" s="6"/>
      <c r="I3527" s="6"/>
    </row>
    <row r="3528" spans="8:9" x14ac:dyDescent="0.2">
      <c r="H3528" s="6"/>
      <c r="I3528" s="6"/>
    </row>
    <row r="3529" spans="8:9" x14ac:dyDescent="0.2">
      <c r="H3529" s="6"/>
      <c r="I3529" s="6"/>
    </row>
    <row r="3530" spans="8:9" x14ac:dyDescent="0.2">
      <c r="H3530" s="6"/>
      <c r="I3530" s="6"/>
    </row>
    <row r="3531" spans="8:9" x14ac:dyDescent="0.2">
      <c r="H3531" s="6"/>
      <c r="I3531" s="6"/>
    </row>
    <row r="3532" spans="8:9" x14ac:dyDescent="0.2">
      <c r="H3532" s="6"/>
      <c r="I3532" s="6"/>
    </row>
    <row r="3533" spans="8:9" x14ac:dyDescent="0.2">
      <c r="H3533" s="6"/>
      <c r="I3533" s="6"/>
    </row>
    <row r="3534" spans="8:9" x14ac:dyDescent="0.2">
      <c r="H3534" s="6"/>
      <c r="I3534" s="6"/>
    </row>
    <row r="3535" spans="8:9" x14ac:dyDescent="0.2">
      <c r="H3535" s="6"/>
      <c r="I3535" s="6"/>
    </row>
    <row r="3536" spans="8:9" x14ac:dyDescent="0.2">
      <c r="H3536" s="6"/>
      <c r="I3536" s="6"/>
    </row>
    <row r="3537" spans="8:9" x14ac:dyDescent="0.2">
      <c r="H3537" s="6"/>
      <c r="I3537" s="6"/>
    </row>
    <row r="3538" spans="8:9" x14ac:dyDescent="0.2">
      <c r="H3538" s="6"/>
      <c r="I3538" s="6"/>
    </row>
    <row r="3539" spans="8:9" x14ac:dyDescent="0.2">
      <c r="H3539" s="6"/>
      <c r="I3539" s="6"/>
    </row>
    <row r="3540" spans="8:9" x14ac:dyDescent="0.2">
      <c r="H3540" s="6"/>
      <c r="I3540" s="6"/>
    </row>
    <row r="3541" spans="8:9" x14ac:dyDescent="0.2">
      <c r="H3541" s="6"/>
      <c r="I3541" s="6"/>
    </row>
    <row r="3542" spans="8:9" x14ac:dyDescent="0.2">
      <c r="H3542" s="6"/>
      <c r="I3542" s="6"/>
    </row>
    <row r="3543" spans="8:9" x14ac:dyDescent="0.2">
      <c r="H3543" s="6"/>
      <c r="I3543" s="6"/>
    </row>
    <row r="3544" spans="8:9" x14ac:dyDescent="0.2">
      <c r="H3544" s="6"/>
      <c r="I3544" s="6"/>
    </row>
    <row r="3545" spans="8:9" x14ac:dyDescent="0.2">
      <c r="H3545" s="6"/>
      <c r="I3545" s="6"/>
    </row>
    <row r="3546" spans="8:9" x14ac:dyDescent="0.2">
      <c r="H3546" s="6"/>
      <c r="I3546" s="6"/>
    </row>
    <row r="3547" spans="8:9" x14ac:dyDescent="0.2">
      <c r="H3547" s="6"/>
      <c r="I3547" s="6"/>
    </row>
    <row r="3548" spans="8:9" x14ac:dyDescent="0.2">
      <c r="H3548" s="6"/>
      <c r="I3548" s="6"/>
    </row>
    <row r="3549" spans="8:9" x14ac:dyDescent="0.2">
      <c r="H3549" s="6"/>
      <c r="I3549" s="6"/>
    </row>
    <row r="3550" spans="8:9" x14ac:dyDescent="0.2">
      <c r="H3550" s="6"/>
      <c r="I3550" s="6"/>
    </row>
    <row r="3551" spans="8:9" x14ac:dyDescent="0.2">
      <c r="H3551" s="6"/>
      <c r="I3551" s="6"/>
    </row>
    <row r="3552" spans="8:9" x14ac:dyDescent="0.2">
      <c r="H3552" s="6"/>
      <c r="I3552" s="6"/>
    </row>
    <row r="3553" spans="8:9" x14ac:dyDescent="0.2">
      <c r="H3553" s="6"/>
      <c r="I3553" s="6"/>
    </row>
    <row r="3554" spans="8:9" x14ac:dyDescent="0.2">
      <c r="H3554" s="6"/>
      <c r="I3554" s="6"/>
    </row>
    <row r="3555" spans="8:9" x14ac:dyDescent="0.2">
      <c r="H3555" s="6"/>
      <c r="I3555" s="6"/>
    </row>
    <row r="3556" spans="8:9" x14ac:dyDescent="0.2">
      <c r="H3556" s="6"/>
      <c r="I3556" s="6"/>
    </row>
    <row r="3557" spans="8:9" x14ac:dyDescent="0.2">
      <c r="H3557" s="6"/>
      <c r="I3557" s="6"/>
    </row>
    <row r="3558" spans="8:9" x14ac:dyDescent="0.2">
      <c r="H3558" s="6"/>
      <c r="I3558" s="6"/>
    </row>
    <row r="3559" spans="8:9" x14ac:dyDescent="0.2">
      <c r="H3559" s="6"/>
      <c r="I3559" s="6"/>
    </row>
    <row r="3560" spans="8:9" x14ac:dyDescent="0.2">
      <c r="H3560" s="6"/>
      <c r="I3560" s="6"/>
    </row>
    <row r="3561" spans="8:9" x14ac:dyDescent="0.2">
      <c r="H3561" s="6"/>
      <c r="I3561" s="6"/>
    </row>
    <row r="3562" spans="8:9" x14ac:dyDescent="0.2">
      <c r="H3562" s="6"/>
      <c r="I3562" s="6"/>
    </row>
    <row r="3563" spans="8:9" x14ac:dyDescent="0.2">
      <c r="H3563" s="6"/>
      <c r="I3563" s="6"/>
    </row>
    <row r="3564" spans="8:9" x14ac:dyDescent="0.2">
      <c r="H3564" s="6"/>
      <c r="I3564" s="6"/>
    </row>
    <row r="3565" spans="8:9" x14ac:dyDescent="0.2">
      <c r="H3565" s="6"/>
      <c r="I3565" s="6"/>
    </row>
    <row r="3566" spans="8:9" x14ac:dyDescent="0.2">
      <c r="H3566" s="6"/>
      <c r="I3566" s="6"/>
    </row>
    <row r="3567" spans="8:9" x14ac:dyDescent="0.2">
      <c r="H3567" s="6"/>
      <c r="I3567" s="6"/>
    </row>
    <row r="3568" spans="8:9" x14ac:dyDescent="0.2">
      <c r="H3568" s="6"/>
      <c r="I3568" s="6"/>
    </row>
    <row r="3569" spans="8:9" x14ac:dyDescent="0.2">
      <c r="H3569" s="6"/>
      <c r="I3569" s="6"/>
    </row>
    <row r="3570" spans="8:9" x14ac:dyDescent="0.2">
      <c r="H3570" s="6"/>
      <c r="I3570" s="6"/>
    </row>
    <row r="3571" spans="8:9" x14ac:dyDescent="0.2">
      <c r="H3571" s="6"/>
      <c r="I3571" s="6"/>
    </row>
    <row r="3572" spans="8:9" x14ac:dyDescent="0.2">
      <c r="H3572" s="6"/>
      <c r="I3572" s="6"/>
    </row>
    <row r="3573" spans="8:9" x14ac:dyDescent="0.2">
      <c r="H3573" s="6"/>
      <c r="I3573" s="6"/>
    </row>
    <row r="3574" spans="8:9" x14ac:dyDescent="0.2">
      <c r="H3574" s="6"/>
      <c r="I3574" s="6"/>
    </row>
    <row r="3575" spans="8:9" x14ac:dyDescent="0.2">
      <c r="H3575" s="6"/>
      <c r="I3575" s="6"/>
    </row>
    <row r="3576" spans="8:9" x14ac:dyDescent="0.2">
      <c r="H3576" s="6"/>
      <c r="I3576" s="6"/>
    </row>
    <row r="3577" spans="8:9" x14ac:dyDescent="0.2">
      <c r="H3577" s="6"/>
      <c r="I3577" s="6"/>
    </row>
    <row r="3578" spans="8:9" x14ac:dyDescent="0.2">
      <c r="H3578" s="6"/>
      <c r="I3578" s="6"/>
    </row>
    <row r="3579" spans="8:9" x14ac:dyDescent="0.2">
      <c r="H3579" s="6"/>
      <c r="I3579" s="6"/>
    </row>
    <row r="3580" spans="8:9" x14ac:dyDescent="0.2">
      <c r="H3580" s="6"/>
      <c r="I3580" s="6"/>
    </row>
    <row r="3581" spans="8:9" x14ac:dyDescent="0.2">
      <c r="H3581" s="6"/>
      <c r="I3581" s="6"/>
    </row>
    <row r="3582" spans="8:9" x14ac:dyDescent="0.2">
      <c r="H3582" s="6"/>
      <c r="I3582" s="6"/>
    </row>
    <row r="3583" spans="8:9" x14ac:dyDescent="0.2">
      <c r="H3583" s="6"/>
      <c r="I3583" s="6"/>
    </row>
    <row r="3584" spans="8:9" x14ac:dyDescent="0.2">
      <c r="H3584" s="6"/>
      <c r="I3584" s="6"/>
    </row>
    <row r="3585" spans="8:9" x14ac:dyDescent="0.2">
      <c r="H3585" s="6"/>
      <c r="I3585" s="6"/>
    </row>
    <row r="3586" spans="8:9" x14ac:dyDescent="0.2">
      <c r="H3586" s="6"/>
      <c r="I3586" s="6"/>
    </row>
    <row r="3587" spans="8:9" x14ac:dyDescent="0.2">
      <c r="H3587" s="6"/>
      <c r="I3587" s="6"/>
    </row>
    <row r="3588" spans="8:9" x14ac:dyDescent="0.2">
      <c r="H3588" s="6"/>
      <c r="I3588" s="6"/>
    </row>
    <row r="3589" spans="8:9" x14ac:dyDescent="0.2">
      <c r="H3589" s="6"/>
      <c r="I3589" s="6"/>
    </row>
    <row r="3590" spans="8:9" x14ac:dyDescent="0.2">
      <c r="H3590" s="6"/>
      <c r="I3590" s="6"/>
    </row>
    <row r="3591" spans="8:9" x14ac:dyDescent="0.2">
      <c r="H3591" s="6"/>
      <c r="I3591" s="6"/>
    </row>
    <row r="3592" spans="8:9" x14ac:dyDescent="0.2">
      <c r="H3592" s="6"/>
      <c r="I3592" s="6"/>
    </row>
    <row r="3593" spans="8:9" x14ac:dyDescent="0.2">
      <c r="H3593" s="6"/>
      <c r="I3593" s="6"/>
    </row>
    <row r="3594" spans="8:9" x14ac:dyDescent="0.2">
      <c r="H3594" s="6"/>
      <c r="I3594" s="6"/>
    </row>
    <row r="3595" spans="8:9" x14ac:dyDescent="0.2">
      <c r="H3595" s="6"/>
      <c r="I3595" s="6"/>
    </row>
    <row r="3596" spans="8:9" x14ac:dyDescent="0.2">
      <c r="H3596" s="6"/>
      <c r="I3596" s="6"/>
    </row>
    <row r="3597" spans="8:9" x14ac:dyDescent="0.2">
      <c r="H3597" s="6"/>
      <c r="I3597" s="6"/>
    </row>
    <row r="3598" spans="8:9" x14ac:dyDescent="0.2">
      <c r="H3598" s="6"/>
      <c r="I3598" s="6"/>
    </row>
    <row r="3599" spans="8:9" x14ac:dyDescent="0.2">
      <c r="H3599" s="6"/>
      <c r="I3599" s="6"/>
    </row>
    <row r="3600" spans="8:9" x14ac:dyDescent="0.2">
      <c r="H3600" s="6"/>
      <c r="I3600" s="6"/>
    </row>
    <row r="3601" spans="8:9" x14ac:dyDescent="0.2">
      <c r="H3601" s="6"/>
      <c r="I3601" s="6"/>
    </row>
    <row r="3602" spans="8:9" x14ac:dyDescent="0.2">
      <c r="H3602" s="6"/>
      <c r="I3602" s="6"/>
    </row>
    <row r="3603" spans="8:9" x14ac:dyDescent="0.2">
      <c r="H3603" s="6"/>
      <c r="I3603" s="6"/>
    </row>
    <row r="3604" spans="8:9" x14ac:dyDescent="0.2">
      <c r="H3604" s="6"/>
      <c r="I3604" s="6"/>
    </row>
    <row r="3605" spans="8:9" x14ac:dyDescent="0.2">
      <c r="H3605" s="6"/>
      <c r="I3605" s="6"/>
    </row>
    <row r="3606" spans="8:9" x14ac:dyDescent="0.2">
      <c r="H3606" s="6"/>
      <c r="I3606" s="6"/>
    </row>
    <row r="3607" spans="8:9" x14ac:dyDescent="0.2">
      <c r="H3607" s="6"/>
      <c r="I3607" s="6"/>
    </row>
    <row r="3608" spans="8:9" x14ac:dyDescent="0.2">
      <c r="H3608" s="6"/>
      <c r="I3608" s="6"/>
    </row>
    <row r="3609" spans="8:9" x14ac:dyDescent="0.2">
      <c r="H3609" s="6"/>
      <c r="I3609" s="6"/>
    </row>
    <row r="3610" spans="8:9" x14ac:dyDescent="0.2">
      <c r="H3610" s="6"/>
      <c r="I3610" s="6"/>
    </row>
    <row r="3611" spans="8:9" x14ac:dyDescent="0.2">
      <c r="H3611" s="6"/>
      <c r="I3611" s="6"/>
    </row>
    <row r="3612" spans="8:9" x14ac:dyDescent="0.2">
      <c r="H3612" s="6"/>
      <c r="I3612" s="6"/>
    </row>
    <row r="3613" spans="8:9" x14ac:dyDescent="0.2">
      <c r="H3613" s="6"/>
      <c r="I3613" s="6"/>
    </row>
    <row r="3614" spans="8:9" x14ac:dyDescent="0.2">
      <c r="H3614" s="6"/>
      <c r="I3614" s="6"/>
    </row>
    <row r="3615" spans="8:9" x14ac:dyDescent="0.2">
      <c r="H3615" s="6"/>
      <c r="I3615" s="6"/>
    </row>
    <row r="3616" spans="8:9" x14ac:dyDescent="0.2">
      <c r="H3616" s="6"/>
      <c r="I3616" s="6"/>
    </row>
    <row r="3617" spans="8:9" x14ac:dyDescent="0.2">
      <c r="H3617" s="6"/>
      <c r="I3617" s="6"/>
    </row>
    <row r="3618" spans="8:9" x14ac:dyDescent="0.2">
      <c r="H3618" s="6"/>
      <c r="I3618" s="6"/>
    </row>
    <row r="3619" spans="8:9" x14ac:dyDescent="0.2">
      <c r="H3619" s="6"/>
      <c r="I3619" s="6"/>
    </row>
    <row r="3620" spans="8:9" x14ac:dyDescent="0.2">
      <c r="H3620" s="6"/>
      <c r="I3620" s="6"/>
    </row>
    <row r="3621" spans="8:9" x14ac:dyDescent="0.2">
      <c r="H3621" s="6"/>
      <c r="I3621" s="6"/>
    </row>
    <row r="3622" spans="8:9" x14ac:dyDescent="0.2">
      <c r="H3622" s="6"/>
    </row>
    <row r="3623" spans="8:9" x14ac:dyDescent="0.2">
      <c r="H3623" s="6"/>
      <c r="I3623" s="6"/>
    </row>
    <row r="3624" spans="8:9" x14ac:dyDescent="0.2">
      <c r="H3624" s="6"/>
      <c r="I3624" s="6"/>
    </row>
    <row r="3625" spans="8:9" x14ac:dyDescent="0.2">
      <c r="H3625" s="6"/>
      <c r="I3625" s="6"/>
    </row>
    <row r="3626" spans="8:9" x14ac:dyDescent="0.2">
      <c r="H3626" s="6"/>
      <c r="I3626" s="6"/>
    </row>
    <row r="3627" spans="8:9" x14ac:dyDescent="0.2">
      <c r="H3627" s="6"/>
      <c r="I3627" s="6"/>
    </row>
    <row r="3628" spans="8:9" x14ac:dyDescent="0.2">
      <c r="H3628" s="6"/>
      <c r="I3628" s="6"/>
    </row>
    <row r="3629" spans="8:9" x14ac:dyDescent="0.2">
      <c r="H3629" s="6"/>
      <c r="I3629" s="6"/>
    </row>
    <row r="3630" spans="8:9" x14ac:dyDescent="0.2">
      <c r="H3630" s="6"/>
      <c r="I3630" s="6"/>
    </row>
    <row r="3631" spans="8:9" x14ac:dyDescent="0.2">
      <c r="H3631" s="6"/>
      <c r="I3631" s="6"/>
    </row>
    <row r="3632" spans="8:9" x14ac:dyDescent="0.2">
      <c r="H3632" s="6"/>
      <c r="I3632" s="6"/>
    </row>
    <row r="3633" spans="8:9" x14ac:dyDescent="0.2">
      <c r="H3633" s="6"/>
      <c r="I3633" s="6"/>
    </row>
    <row r="3634" spans="8:9" x14ac:dyDescent="0.2">
      <c r="H3634" s="6"/>
      <c r="I3634" s="6"/>
    </row>
    <row r="3635" spans="8:9" x14ac:dyDescent="0.2">
      <c r="H3635" s="6"/>
      <c r="I3635" s="6"/>
    </row>
    <row r="3636" spans="8:9" x14ac:dyDescent="0.2">
      <c r="H3636" s="6"/>
      <c r="I3636" s="6"/>
    </row>
    <row r="3637" spans="8:9" x14ac:dyDescent="0.2">
      <c r="H3637" s="6"/>
      <c r="I3637" s="6"/>
    </row>
    <row r="3638" spans="8:9" x14ac:dyDescent="0.2">
      <c r="H3638" s="6"/>
      <c r="I3638" s="6"/>
    </row>
    <row r="3639" spans="8:9" x14ac:dyDescent="0.2">
      <c r="H3639" s="6"/>
      <c r="I3639" s="6"/>
    </row>
    <row r="3640" spans="8:9" x14ac:dyDescent="0.2">
      <c r="H3640" s="6"/>
      <c r="I3640" s="6"/>
    </row>
    <row r="3641" spans="8:9" x14ac:dyDescent="0.2">
      <c r="H3641" s="6"/>
      <c r="I3641" s="6"/>
    </row>
    <row r="3642" spans="8:9" x14ac:dyDescent="0.2">
      <c r="H3642" s="6"/>
      <c r="I3642" s="6"/>
    </row>
    <row r="3643" spans="8:9" x14ac:dyDescent="0.2">
      <c r="H3643" s="6"/>
      <c r="I3643" s="6"/>
    </row>
    <row r="3644" spans="8:9" x14ac:dyDescent="0.2">
      <c r="H3644" s="6"/>
      <c r="I3644" s="6"/>
    </row>
    <row r="3645" spans="8:9" x14ac:dyDescent="0.2">
      <c r="H3645" s="6"/>
      <c r="I3645" s="6"/>
    </row>
    <row r="3646" spans="8:9" x14ac:dyDescent="0.2">
      <c r="H3646" s="6"/>
      <c r="I3646" s="6"/>
    </row>
    <row r="3647" spans="8:9" x14ac:dyDescent="0.2">
      <c r="H3647" s="6"/>
      <c r="I3647" s="6"/>
    </row>
    <row r="3648" spans="8:9" x14ac:dyDescent="0.2">
      <c r="H3648" s="6"/>
      <c r="I3648" s="6"/>
    </row>
    <row r="3649" spans="8:9" x14ac:dyDescent="0.2">
      <c r="H3649" s="6"/>
      <c r="I3649" s="6"/>
    </row>
    <row r="3650" spans="8:9" x14ac:dyDescent="0.2">
      <c r="H3650" s="6"/>
      <c r="I3650" s="6"/>
    </row>
    <row r="3651" spans="8:9" x14ac:dyDescent="0.2">
      <c r="H3651" s="6"/>
      <c r="I3651" s="6"/>
    </row>
    <row r="3652" spans="8:9" x14ac:dyDescent="0.2">
      <c r="H3652" s="6"/>
      <c r="I3652" s="6"/>
    </row>
    <row r="3653" spans="8:9" x14ac:dyDescent="0.2">
      <c r="H3653" s="6"/>
      <c r="I3653" s="6"/>
    </row>
    <row r="3654" spans="8:9" x14ac:dyDescent="0.2">
      <c r="H3654" s="6"/>
      <c r="I3654" s="6"/>
    </row>
    <row r="3655" spans="8:9" x14ac:dyDescent="0.2">
      <c r="H3655" s="6"/>
      <c r="I3655" s="6"/>
    </row>
    <row r="3656" spans="8:9" x14ac:dyDescent="0.2">
      <c r="H3656" s="6"/>
      <c r="I3656" s="6"/>
    </row>
    <row r="3657" spans="8:9" x14ac:dyDescent="0.2">
      <c r="H3657" s="6"/>
      <c r="I3657" s="6"/>
    </row>
    <row r="3658" spans="8:9" x14ac:dyDescent="0.2">
      <c r="H3658" s="6"/>
      <c r="I3658" s="6"/>
    </row>
    <row r="3659" spans="8:9" x14ac:dyDescent="0.2">
      <c r="H3659" s="6"/>
      <c r="I3659" s="6"/>
    </row>
    <row r="3660" spans="8:9" x14ac:dyDescent="0.2">
      <c r="H3660" s="6"/>
      <c r="I3660" s="6"/>
    </row>
    <row r="3661" spans="8:9" x14ac:dyDescent="0.2">
      <c r="H3661" s="6"/>
      <c r="I3661" s="6"/>
    </row>
    <row r="3662" spans="8:9" x14ac:dyDescent="0.2">
      <c r="H3662" s="6"/>
      <c r="I3662" s="6"/>
    </row>
    <row r="3663" spans="8:9" x14ac:dyDescent="0.2">
      <c r="H3663" s="6"/>
      <c r="I3663" s="6"/>
    </row>
    <row r="3664" spans="8:9" x14ac:dyDescent="0.2">
      <c r="H3664" s="6"/>
      <c r="I3664" s="6"/>
    </row>
    <row r="3665" spans="8:9" x14ac:dyDescent="0.2">
      <c r="H3665" s="6"/>
      <c r="I3665" s="6"/>
    </row>
    <row r="3666" spans="8:9" x14ac:dyDescent="0.2">
      <c r="H3666" s="6"/>
      <c r="I3666" s="6"/>
    </row>
    <row r="3667" spans="8:9" x14ac:dyDescent="0.2">
      <c r="H3667" s="6"/>
      <c r="I3667" s="6"/>
    </row>
    <row r="3668" spans="8:9" x14ac:dyDescent="0.2">
      <c r="H3668" s="6"/>
      <c r="I3668" s="6"/>
    </row>
    <row r="3669" spans="8:9" x14ac:dyDescent="0.2">
      <c r="H3669" s="6"/>
      <c r="I3669" s="6"/>
    </row>
    <row r="3670" spans="8:9" x14ac:dyDescent="0.2">
      <c r="H3670" s="6"/>
      <c r="I3670" s="6"/>
    </row>
    <row r="3671" spans="8:9" x14ac:dyDescent="0.2">
      <c r="H3671" s="6"/>
      <c r="I3671" s="6"/>
    </row>
    <row r="3672" spans="8:9" x14ac:dyDescent="0.2">
      <c r="H3672" s="6"/>
      <c r="I3672" s="6"/>
    </row>
    <row r="3673" spans="8:9" x14ac:dyDescent="0.2">
      <c r="H3673" s="6"/>
      <c r="I3673" s="6"/>
    </row>
    <row r="3674" spans="8:9" x14ac:dyDescent="0.2">
      <c r="H3674" s="6"/>
      <c r="I3674" s="6"/>
    </row>
    <row r="3675" spans="8:9" x14ac:dyDescent="0.2">
      <c r="H3675" s="6"/>
      <c r="I3675" s="6"/>
    </row>
    <row r="3676" spans="8:9" x14ac:dyDescent="0.2">
      <c r="H3676" s="6"/>
      <c r="I3676" s="6"/>
    </row>
    <row r="3677" spans="8:9" x14ac:dyDescent="0.2">
      <c r="H3677" s="6"/>
      <c r="I3677" s="6"/>
    </row>
    <row r="3678" spans="8:9" x14ac:dyDescent="0.2">
      <c r="H3678" s="6"/>
      <c r="I3678" s="6"/>
    </row>
    <row r="3679" spans="8:9" x14ac:dyDescent="0.2">
      <c r="H3679" s="6"/>
      <c r="I3679" s="6"/>
    </row>
    <row r="3680" spans="8:9" x14ac:dyDescent="0.2">
      <c r="H3680" s="6"/>
      <c r="I3680" s="6"/>
    </row>
    <row r="3681" spans="8:9" x14ac:dyDescent="0.2">
      <c r="H3681" s="6"/>
      <c r="I3681" s="6"/>
    </row>
    <row r="3682" spans="8:9" x14ac:dyDescent="0.2">
      <c r="H3682" s="6"/>
      <c r="I3682" s="6"/>
    </row>
    <row r="3683" spans="8:9" x14ac:dyDescent="0.2">
      <c r="H3683" s="6"/>
      <c r="I3683" s="6"/>
    </row>
    <row r="3684" spans="8:9" x14ac:dyDescent="0.2">
      <c r="H3684" s="6"/>
      <c r="I3684" s="6"/>
    </row>
    <row r="3685" spans="8:9" x14ac:dyDescent="0.2">
      <c r="H3685" s="6"/>
      <c r="I3685" s="6"/>
    </row>
    <row r="3686" spans="8:9" x14ac:dyDescent="0.2">
      <c r="H3686" s="6"/>
      <c r="I3686" s="6"/>
    </row>
    <row r="3687" spans="8:9" x14ac:dyDescent="0.2">
      <c r="H3687" s="6"/>
      <c r="I3687" s="6"/>
    </row>
    <row r="3688" spans="8:9" x14ac:dyDescent="0.2">
      <c r="H3688" s="6"/>
      <c r="I3688" s="6"/>
    </row>
    <row r="3689" spans="8:9" x14ac:dyDescent="0.2">
      <c r="H3689" s="6"/>
      <c r="I3689" s="6"/>
    </row>
    <row r="3690" spans="8:9" x14ac:dyDescent="0.2">
      <c r="H3690" s="6"/>
      <c r="I3690" s="6"/>
    </row>
    <row r="3691" spans="8:9" x14ac:dyDescent="0.2">
      <c r="H3691" s="6"/>
      <c r="I3691" s="6"/>
    </row>
    <row r="3692" spans="8:9" x14ac:dyDescent="0.2">
      <c r="H3692" s="6"/>
      <c r="I3692" s="6"/>
    </row>
    <row r="3693" spans="8:9" x14ac:dyDescent="0.2">
      <c r="H3693" s="6"/>
      <c r="I3693" s="6"/>
    </row>
    <row r="3694" spans="8:9" x14ac:dyDescent="0.2">
      <c r="H3694" s="6"/>
      <c r="I3694" s="6"/>
    </row>
    <row r="3695" spans="8:9" x14ac:dyDescent="0.2">
      <c r="H3695" s="6"/>
      <c r="I3695" s="6"/>
    </row>
    <row r="3696" spans="8:9" x14ac:dyDescent="0.2">
      <c r="H3696" s="6"/>
      <c r="I3696" s="6"/>
    </row>
    <row r="3697" spans="8:9" x14ac:dyDescent="0.2">
      <c r="H3697" s="6"/>
      <c r="I3697" s="6"/>
    </row>
    <row r="3698" spans="8:9" x14ac:dyDescent="0.2">
      <c r="H3698" s="6"/>
      <c r="I3698" s="6"/>
    </row>
    <row r="3699" spans="8:9" x14ac:dyDescent="0.2">
      <c r="H3699" s="6"/>
      <c r="I3699" s="6"/>
    </row>
    <row r="3700" spans="8:9" x14ac:dyDescent="0.2">
      <c r="H3700" s="6"/>
      <c r="I3700" s="6"/>
    </row>
    <row r="3701" spans="8:9" x14ac:dyDescent="0.2">
      <c r="H3701" s="6"/>
      <c r="I3701" s="6"/>
    </row>
    <row r="3702" spans="8:9" x14ac:dyDescent="0.2">
      <c r="H3702" s="6"/>
      <c r="I3702" s="6"/>
    </row>
    <row r="3703" spans="8:9" x14ac:dyDescent="0.2">
      <c r="H3703" s="6"/>
      <c r="I3703" s="6"/>
    </row>
    <row r="3704" spans="8:9" x14ac:dyDescent="0.2">
      <c r="H3704" s="6"/>
      <c r="I3704" s="6"/>
    </row>
    <row r="3705" spans="8:9" x14ac:dyDescent="0.2">
      <c r="H3705" s="6"/>
      <c r="I3705" s="6"/>
    </row>
    <row r="3706" spans="8:9" x14ac:dyDescent="0.2">
      <c r="H3706" s="6"/>
      <c r="I3706" s="6"/>
    </row>
    <row r="3707" spans="8:9" x14ac:dyDescent="0.2">
      <c r="H3707" s="6"/>
      <c r="I3707" s="6"/>
    </row>
    <row r="3708" spans="8:9" x14ac:dyDescent="0.2">
      <c r="H3708" s="6"/>
      <c r="I3708" s="6"/>
    </row>
    <row r="3709" spans="8:9" x14ac:dyDescent="0.2">
      <c r="H3709" s="6"/>
      <c r="I3709" s="6"/>
    </row>
    <row r="3710" spans="8:9" x14ac:dyDescent="0.2">
      <c r="H3710" s="6"/>
      <c r="I3710" s="6"/>
    </row>
    <row r="3711" spans="8:9" x14ac:dyDescent="0.2">
      <c r="H3711" s="6"/>
      <c r="I3711" s="6"/>
    </row>
    <row r="3712" spans="8:9" x14ac:dyDescent="0.2">
      <c r="H3712" s="6"/>
      <c r="I3712" s="6"/>
    </row>
    <row r="3713" spans="8:9" x14ac:dyDescent="0.2">
      <c r="H3713" s="6"/>
      <c r="I3713" s="6"/>
    </row>
    <row r="3714" spans="8:9" x14ac:dyDescent="0.2">
      <c r="H3714" s="6"/>
      <c r="I3714" s="6"/>
    </row>
    <row r="3715" spans="8:9" x14ac:dyDescent="0.2">
      <c r="H3715" s="6"/>
      <c r="I3715" s="6"/>
    </row>
    <row r="3716" spans="8:9" x14ac:dyDescent="0.2">
      <c r="H3716" s="6"/>
      <c r="I3716" s="6"/>
    </row>
    <row r="3717" spans="8:9" x14ac:dyDescent="0.2">
      <c r="H3717" s="6"/>
      <c r="I3717" s="6"/>
    </row>
    <row r="3718" spans="8:9" x14ac:dyDescent="0.2">
      <c r="H3718" s="6"/>
      <c r="I3718" s="6"/>
    </row>
    <row r="3719" spans="8:9" x14ac:dyDescent="0.2">
      <c r="H3719" s="6"/>
      <c r="I3719" s="6"/>
    </row>
    <row r="3720" spans="8:9" x14ac:dyDescent="0.2">
      <c r="H3720" s="6"/>
      <c r="I3720" s="6"/>
    </row>
    <row r="3721" spans="8:9" x14ac:dyDescent="0.2">
      <c r="H3721" s="6"/>
      <c r="I3721" s="6"/>
    </row>
    <row r="3722" spans="8:9" x14ac:dyDescent="0.2">
      <c r="H3722" s="6"/>
      <c r="I3722" s="6"/>
    </row>
    <row r="3723" spans="8:9" x14ac:dyDescent="0.2">
      <c r="H3723" s="6"/>
      <c r="I3723" s="6"/>
    </row>
    <row r="3724" spans="8:9" x14ac:dyDescent="0.2">
      <c r="H3724" s="6"/>
      <c r="I3724" s="6"/>
    </row>
    <row r="3725" spans="8:9" x14ac:dyDescent="0.2">
      <c r="H3725" s="6"/>
      <c r="I3725" s="6"/>
    </row>
    <row r="3726" spans="8:9" x14ac:dyDescent="0.2">
      <c r="H3726" s="6"/>
      <c r="I3726" s="6"/>
    </row>
    <row r="3727" spans="8:9" x14ac:dyDescent="0.2">
      <c r="H3727" s="6"/>
      <c r="I3727" s="6"/>
    </row>
    <row r="3728" spans="8:9" x14ac:dyDescent="0.2">
      <c r="H3728" s="6"/>
      <c r="I3728" s="6"/>
    </row>
    <row r="3729" spans="8:9" x14ac:dyDescent="0.2">
      <c r="H3729" s="6"/>
      <c r="I3729" s="6"/>
    </row>
    <row r="3730" spans="8:9" x14ac:dyDescent="0.2">
      <c r="H3730" s="6"/>
      <c r="I3730" s="6"/>
    </row>
    <row r="3731" spans="8:9" x14ac:dyDescent="0.2">
      <c r="H3731" s="6"/>
      <c r="I3731" s="6"/>
    </row>
    <row r="3732" spans="8:9" x14ac:dyDescent="0.2">
      <c r="H3732" s="6"/>
      <c r="I3732" s="6"/>
    </row>
    <row r="3733" spans="8:9" x14ac:dyDescent="0.2">
      <c r="H3733" s="6"/>
      <c r="I3733" s="6"/>
    </row>
    <row r="3734" spans="8:9" x14ac:dyDescent="0.2">
      <c r="H3734" s="6"/>
      <c r="I3734" s="6"/>
    </row>
    <row r="3735" spans="8:9" x14ac:dyDescent="0.2">
      <c r="H3735" s="6"/>
      <c r="I3735" s="6"/>
    </row>
    <row r="3736" spans="8:9" x14ac:dyDescent="0.2">
      <c r="H3736" s="6"/>
      <c r="I3736" s="6"/>
    </row>
    <row r="3737" spans="8:9" x14ac:dyDescent="0.2">
      <c r="H3737" s="6"/>
      <c r="I3737" s="6"/>
    </row>
    <row r="3738" spans="8:9" x14ac:dyDescent="0.2">
      <c r="H3738" s="6"/>
      <c r="I3738" s="6"/>
    </row>
    <row r="3739" spans="8:9" x14ac:dyDescent="0.2">
      <c r="H3739" s="6"/>
      <c r="I3739" s="6"/>
    </row>
    <row r="3740" spans="8:9" x14ac:dyDescent="0.2">
      <c r="H3740" s="6"/>
      <c r="I3740" s="6"/>
    </row>
    <row r="3741" spans="8:9" x14ac:dyDescent="0.2">
      <c r="H3741" s="6"/>
      <c r="I3741" s="6"/>
    </row>
    <row r="3742" spans="8:9" x14ac:dyDescent="0.2">
      <c r="H3742" s="6"/>
      <c r="I3742" s="6"/>
    </row>
    <row r="3743" spans="8:9" x14ac:dyDescent="0.2">
      <c r="H3743" s="6"/>
      <c r="I3743" s="6"/>
    </row>
    <row r="3744" spans="8:9" x14ac:dyDescent="0.2">
      <c r="H3744" s="6"/>
      <c r="I3744" s="6"/>
    </row>
    <row r="3745" spans="8:9" x14ac:dyDescent="0.2">
      <c r="H3745" s="6"/>
      <c r="I3745" s="6"/>
    </row>
    <row r="3746" spans="8:9" x14ac:dyDescent="0.2">
      <c r="H3746" s="6"/>
      <c r="I3746" s="6"/>
    </row>
    <row r="3747" spans="8:9" x14ac:dyDescent="0.2">
      <c r="H3747" s="6"/>
      <c r="I3747" s="6"/>
    </row>
    <row r="3748" spans="8:9" x14ac:dyDescent="0.2">
      <c r="H3748" s="6"/>
      <c r="I3748" s="6"/>
    </row>
    <row r="3749" spans="8:9" x14ac:dyDescent="0.2">
      <c r="H3749" s="6"/>
      <c r="I3749" s="6"/>
    </row>
    <row r="3750" spans="8:9" x14ac:dyDescent="0.2">
      <c r="H3750" s="6"/>
      <c r="I3750" s="6"/>
    </row>
    <row r="3751" spans="8:9" x14ac:dyDescent="0.2">
      <c r="H3751" s="6"/>
      <c r="I3751" s="6"/>
    </row>
    <row r="3752" spans="8:9" x14ac:dyDescent="0.2">
      <c r="H3752" s="6"/>
      <c r="I3752" s="6"/>
    </row>
    <row r="3753" spans="8:9" x14ac:dyDescent="0.2">
      <c r="H3753" s="6"/>
      <c r="I3753" s="6"/>
    </row>
    <row r="3754" spans="8:9" x14ac:dyDescent="0.2">
      <c r="H3754" s="6"/>
      <c r="I3754" s="6"/>
    </row>
    <row r="3755" spans="8:9" x14ac:dyDescent="0.2">
      <c r="H3755" s="6"/>
      <c r="I3755" s="6"/>
    </row>
    <row r="3756" spans="8:9" x14ac:dyDescent="0.2">
      <c r="H3756" s="6"/>
      <c r="I3756" s="6"/>
    </row>
    <row r="3757" spans="8:9" x14ac:dyDescent="0.2">
      <c r="H3757" s="6"/>
      <c r="I3757" s="6"/>
    </row>
    <row r="3758" spans="8:9" x14ac:dyDescent="0.2">
      <c r="H3758" s="6"/>
      <c r="I3758" s="6"/>
    </row>
    <row r="3759" spans="8:9" x14ac:dyDescent="0.2">
      <c r="H3759" s="6"/>
      <c r="I3759" s="6"/>
    </row>
    <row r="3760" spans="8:9" x14ac:dyDescent="0.2">
      <c r="H3760" s="6"/>
      <c r="I3760" s="6"/>
    </row>
    <row r="3761" spans="8:9" x14ac:dyDescent="0.2">
      <c r="H3761" s="6"/>
      <c r="I3761" s="6"/>
    </row>
    <row r="3762" spans="8:9" x14ac:dyDescent="0.2">
      <c r="H3762" s="6"/>
      <c r="I3762" s="6"/>
    </row>
    <row r="3763" spans="8:9" x14ac:dyDescent="0.2">
      <c r="H3763" s="6"/>
      <c r="I3763" s="6"/>
    </row>
    <row r="3764" spans="8:9" x14ac:dyDescent="0.2">
      <c r="H3764" s="6"/>
      <c r="I3764" s="6"/>
    </row>
    <row r="3765" spans="8:9" x14ac:dyDescent="0.2">
      <c r="H3765" s="6"/>
      <c r="I3765" s="6"/>
    </row>
    <row r="3766" spans="8:9" x14ac:dyDescent="0.2">
      <c r="H3766" s="6"/>
      <c r="I3766" s="6"/>
    </row>
    <row r="3767" spans="8:9" x14ac:dyDescent="0.2">
      <c r="H3767" s="6"/>
      <c r="I3767" s="6"/>
    </row>
    <row r="3768" spans="8:9" x14ac:dyDescent="0.2">
      <c r="H3768" s="6"/>
      <c r="I3768" s="6"/>
    </row>
    <row r="3769" spans="8:9" x14ac:dyDescent="0.2">
      <c r="H3769" s="6"/>
      <c r="I3769" s="6"/>
    </row>
    <row r="3770" spans="8:9" x14ac:dyDescent="0.2">
      <c r="H3770" s="6"/>
      <c r="I3770" s="6"/>
    </row>
    <row r="3771" spans="8:9" x14ac:dyDescent="0.2">
      <c r="H3771" s="6"/>
      <c r="I3771" s="6"/>
    </row>
    <row r="3772" spans="8:9" x14ac:dyDescent="0.2">
      <c r="H3772" s="6"/>
      <c r="I3772" s="6"/>
    </row>
    <row r="3773" spans="8:9" x14ac:dyDescent="0.2">
      <c r="H3773" s="6"/>
      <c r="I3773" s="6"/>
    </row>
    <row r="3774" spans="8:9" x14ac:dyDescent="0.2">
      <c r="H3774" s="6"/>
      <c r="I3774" s="6"/>
    </row>
    <row r="3775" spans="8:9" x14ac:dyDescent="0.2">
      <c r="H3775" s="6"/>
      <c r="I3775" s="6"/>
    </row>
    <row r="3776" spans="8:9" x14ac:dyDescent="0.2">
      <c r="H3776" s="6"/>
      <c r="I3776" s="6"/>
    </row>
    <row r="3777" spans="8:9" x14ac:dyDescent="0.2">
      <c r="H3777" s="6"/>
      <c r="I3777" s="6"/>
    </row>
    <row r="3778" spans="8:9" x14ac:dyDescent="0.2">
      <c r="H3778" s="6"/>
      <c r="I3778" s="6"/>
    </row>
    <row r="3779" spans="8:9" x14ac:dyDescent="0.2">
      <c r="H3779" s="6"/>
      <c r="I3779" s="6"/>
    </row>
    <row r="3780" spans="8:9" x14ac:dyDescent="0.2">
      <c r="H3780" s="6"/>
      <c r="I3780" s="6"/>
    </row>
    <row r="3781" spans="8:9" x14ac:dyDescent="0.2">
      <c r="H3781" s="6"/>
      <c r="I3781" s="6"/>
    </row>
    <row r="3782" spans="8:9" x14ac:dyDescent="0.2">
      <c r="H3782" s="6"/>
      <c r="I3782" s="6"/>
    </row>
    <row r="3783" spans="8:9" x14ac:dyDescent="0.2">
      <c r="H3783" s="6"/>
      <c r="I3783" s="6"/>
    </row>
    <row r="3784" spans="8:9" x14ac:dyDescent="0.2">
      <c r="H3784" s="6"/>
      <c r="I3784" s="6"/>
    </row>
    <row r="3785" spans="8:9" x14ac:dyDescent="0.2">
      <c r="H3785" s="6"/>
      <c r="I3785" s="6"/>
    </row>
    <row r="3786" spans="8:9" x14ac:dyDescent="0.2">
      <c r="H3786" s="6"/>
      <c r="I3786" s="6"/>
    </row>
    <row r="3787" spans="8:9" x14ac:dyDescent="0.2">
      <c r="H3787" s="6"/>
      <c r="I3787" s="6"/>
    </row>
    <row r="3788" spans="8:9" x14ac:dyDescent="0.2">
      <c r="H3788" s="6"/>
      <c r="I3788" s="6"/>
    </row>
    <row r="3789" spans="8:9" x14ac:dyDescent="0.2">
      <c r="H3789" s="6"/>
      <c r="I3789" s="6"/>
    </row>
    <row r="3790" spans="8:9" x14ac:dyDescent="0.2">
      <c r="H3790" s="6"/>
      <c r="I3790" s="6"/>
    </row>
    <row r="3791" spans="8:9" x14ac:dyDescent="0.2">
      <c r="H3791" s="6"/>
      <c r="I3791" s="6"/>
    </row>
    <row r="3792" spans="8:9" x14ac:dyDescent="0.2">
      <c r="H3792" s="6"/>
      <c r="I3792" s="6"/>
    </row>
    <row r="3793" spans="8:9" x14ac:dyDescent="0.2">
      <c r="H3793" s="6"/>
      <c r="I3793" s="6"/>
    </row>
    <row r="3794" spans="8:9" x14ac:dyDescent="0.2">
      <c r="H3794" s="6"/>
      <c r="I3794" s="6"/>
    </row>
    <row r="3795" spans="8:9" x14ac:dyDescent="0.2">
      <c r="H3795" s="6"/>
      <c r="I3795" s="6"/>
    </row>
    <row r="3796" spans="8:9" x14ac:dyDescent="0.2">
      <c r="H3796" s="6"/>
      <c r="I3796" s="6"/>
    </row>
    <row r="3797" spans="8:9" x14ac:dyDescent="0.2">
      <c r="H3797" s="6"/>
      <c r="I3797" s="6"/>
    </row>
    <row r="3798" spans="8:9" x14ac:dyDescent="0.2">
      <c r="H3798" s="6"/>
      <c r="I3798" s="6"/>
    </row>
    <row r="3799" spans="8:9" x14ac:dyDescent="0.2">
      <c r="H3799" s="6"/>
      <c r="I3799" s="6"/>
    </row>
    <row r="3800" spans="8:9" x14ac:dyDescent="0.2">
      <c r="H3800" s="6"/>
      <c r="I3800" s="6"/>
    </row>
    <row r="3801" spans="8:9" x14ac:dyDescent="0.2">
      <c r="H3801" s="6"/>
      <c r="I3801" s="6"/>
    </row>
    <row r="3802" spans="8:9" x14ac:dyDescent="0.2">
      <c r="H3802" s="6"/>
      <c r="I3802" s="6"/>
    </row>
    <row r="3803" spans="8:9" x14ac:dyDescent="0.2">
      <c r="H3803" s="6"/>
      <c r="I3803" s="6"/>
    </row>
    <row r="3804" spans="8:9" x14ac:dyDescent="0.2">
      <c r="H3804" s="6"/>
      <c r="I3804" s="6"/>
    </row>
    <row r="3805" spans="8:9" x14ac:dyDescent="0.2">
      <c r="H3805" s="6"/>
      <c r="I3805" s="6"/>
    </row>
    <row r="3806" spans="8:9" x14ac:dyDescent="0.2">
      <c r="H3806" s="6"/>
      <c r="I3806" s="6"/>
    </row>
    <row r="3807" spans="8:9" x14ac:dyDescent="0.2">
      <c r="H3807" s="6"/>
      <c r="I3807" s="6"/>
    </row>
    <row r="3808" spans="8:9" x14ac:dyDescent="0.2">
      <c r="H3808" s="6"/>
      <c r="I3808" s="6"/>
    </row>
    <row r="3809" spans="8:9" x14ac:dyDescent="0.2">
      <c r="H3809" s="6"/>
      <c r="I3809" s="6"/>
    </row>
    <row r="3810" spans="8:9" x14ac:dyDescent="0.2">
      <c r="H3810" s="6"/>
      <c r="I3810" s="6"/>
    </row>
    <row r="3811" spans="8:9" x14ac:dyDescent="0.2">
      <c r="H3811" s="6"/>
      <c r="I3811" s="6"/>
    </row>
    <row r="3812" spans="8:9" x14ac:dyDescent="0.2">
      <c r="H3812" s="6"/>
      <c r="I3812" s="6"/>
    </row>
    <row r="3813" spans="8:9" x14ac:dyDescent="0.2">
      <c r="H3813" s="6"/>
      <c r="I3813" s="6"/>
    </row>
    <row r="3814" spans="8:9" x14ac:dyDescent="0.2">
      <c r="H3814" s="6"/>
      <c r="I3814" s="6"/>
    </row>
    <row r="3815" spans="8:9" x14ac:dyDescent="0.2">
      <c r="H3815" s="6"/>
      <c r="I3815" s="6"/>
    </row>
    <row r="3816" spans="8:9" x14ac:dyDescent="0.2">
      <c r="H3816" s="6"/>
      <c r="I3816" s="6"/>
    </row>
    <row r="3817" spans="8:9" x14ac:dyDescent="0.2">
      <c r="H3817" s="6"/>
      <c r="I3817" s="6"/>
    </row>
    <row r="3818" spans="8:9" x14ac:dyDescent="0.2">
      <c r="H3818" s="6"/>
      <c r="I3818" s="6"/>
    </row>
    <row r="3819" spans="8:9" x14ac:dyDescent="0.2">
      <c r="H3819" s="6"/>
      <c r="I3819" s="6"/>
    </row>
    <row r="3820" spans="8:9" x14ac:dyDescent="0.2">
      <c r="H3820" s="6"/>
      <c r="I3820" s="6"/>
    </row>
    <row r="3821" spans="8:9" x14ac:dyDescent="0.2">
      <c r="H3821" s="6"/>
      <c r="I3821" s="6"/>
    </row>
    <row r="3822" spans="8:9" x14ac:dyDescent="0.2">
      <c r="H3822" s="6"/>
      <c r="I3822" s="6"/>
    </row>
    <row r="3823" spans="8:9" x14ac:dyDescent="0.2">
      <c r="H3823" s="6"/>
      <c r="I3823" s="6"/>
    </row>
    <row r="3824" spans="8:9" x14ac:dyDescent="0.2">
      <c r="H3824" s="6"/>
      <c r="I3824" s="6"/>
    </row>
    <row r="3825" spans="8:9" x14ac:dyDescent="0.2">
      <c r="H3825" s="6"/>
      <c r="I3825" s="6"/>
    </row>
    <row r="3826" spans="8:9" x14ac:dyDescent="0.2">
      <c r="H3826" s="6"/>
      <c r="I3826" s="6"/>
    </row>
    <row r="3827" spans="8:9" x14ac:dyDescent="0.2">
      <c r="H3827" s="6"/>
      <c r="I3827" s="6"/>
    </row>
    <row r="3828" spans="8:9" x14ac:dyDescent="0.2">
      <c r="H3828" s="6"/>
      <c r="I3828" s="6"/>
    </row>
    <row r="3829" spans="8:9" x14ac:dyDescent="0.2">
      <c r="H3829" s="6"/>
      <c r="I3829" s="6"/>
    </row>
    <row r="3830" spans="8:9" x14ac:dyDescent="0.2">
      <c r="H3830" s="6"/>
      <c r="I3830" s="6"/>
    </row>
    <row r="3831" spans="8:9" x14ac:dyDescent="0.2">
      <c r="H3831" s="6"/>
      <c r="I3831" s="6"/>
    </row>
    <row r="3832" spans="8:9" x14ac:dyDescent="0.2">
      <c r="H3832" s="6"/>
      <c r="I3832" s="6"/>
    </row>
    <row r="3833" spans="8:9" x14ac:dyDescent="0.2">
      <c r="H3833" s="6"/>
      <c r="I3833" s="6"/>
    </row>
    <row r="3834" spans="8:9" x14ac:dyDescent="0.2">
      <c r="H3834" s="6"/>
      <c r="I3834" s="6"/>
    </row>
    <row r="3835" spans="8:9" x14ac:dyDescent="0.2">
      <c r="H3835" s="6"/>
      <c r="I3835" s="6"/>
    </row>
    <row r="3836" spans="8:9" x14ac:dyDescent="0.2">
      <c r="H3836" s="6"/>
      <c r="I3836" s="6"/>
    </row>
    <row r="3837" spans="8:9" x14ac:dyDescent="0.2">
      <c r="H3837" s="6"/>
      <c r="I3837" s="6"/>
    </row>
    <row r="3838" spans="8:9" x14ac:dyDescent="0.2">
      <c r="H3838" s="6"/>
      <c r="I3838" s="6"/>
    </row>
    <row r="3839" spans="8:9" x14ac:dyDescent="0.2">
      <c r="H3839" s="6"/>
      <c r="I3839" s="6"/>
    </row>
    <row r="3840" spans="8:9" x14ac:dyDescent="0.2">
      <c r="H3840" s="6"/>
      <c r="I3840" s="6"/>
    </row>
    <row r="3841" spans="8:9" x14ac:dyDescent="0.2">
      <c r="H3841" s="6"/>
      <c r="I3841" s="6"/>
    </row>
    <row r="3842" spans="8:9" x14ac:dyDescent="0.2">
      <c r="H3842" s="6"/>
      <c r="I3842" s="6"/>
    </row>
    <row r="3843" spans="8:9" x14ac:dyDescent="0.2">
      <c r="H3843" s="6"/>
      <c r="I3843" s="6"/>
    </row>
    <row r="3844" spans="8:9" x14ac:dyDescent="0.2">
      <c r="H3844" s="6"/>
      <c r="I3844" s="6"/>
    </row>
    <row r="3845" spans="8:9" x14ac:dyDescent="0.2">
      <c r="H3845" s="6"/>
      <c r="I3845" s="6"/>
    </row>
    <row r="3846" spans="8:9" x14ac:dyDescent="0.2">
      <c r="H3846" s="6"/>
      <c r="I3846" s="6"/>
    </row>
    <row r="3847" spans="8:9" x14ac:dyDescent="0.2">
      <c r="H3847" s="6"/>
      <c r="I3847" s="6"/>
    </row>
    <row r="3848" spans="8:9" x14ac:dyDescent="0.2">
      <c r="H3848" s="6"/>
      <c r="I3848" s="6"/>
    </row>
    <row r="3849" spans="8:9" x14ac:dyDescent="0.2">
      <c r="H3849" s="6"/>
      <c r="I3849" s="6"/>
    </row>
    <row r="3850" spans="8:9" x14ac:dyDescent="0.2">
      <c r="H3850" s="6"/>
      <c r="I3850" s="6"/>
    </row>
    <row r="3851" spans="8:9" x14ac:dyDescent="0.2">
      <c r="H3851" s="6"/>
      <c r="I3851" s="6"/>
    </row>
    <row r="3852" spans="8:9" x14ac:dyDescent="0.2">
      <c r="H3852" s="6"/>
      <c r="I3852" s="6"/>
    </row>
    <row r="3853" spans="8:9" x14ac:dyDescent="0.2">
      <c r="H3853" s="6"/>
      <c r="I3853" s="6"/>
    </row>
    <row r="3854" spans="8:9" x14ac:dyDescent="0.2">
      <c r="H3854" s="6"/>
      <c r="I3854" s="6"/>
    </row>
    <row r="3855" spans="8:9" x14ac:dyDescent="0.2">
      <c r="H3855" s="6"/>
      <c r="I3855" s="6"/>
    </row>
    <row r="3856" spans="8:9" x14ac:dyDescent="0.2">
      <c r="H3856" s="6"/>
      <c r="I3856" s="6"/>
    </row>
    <row r="3857" spans="8:9" x14ac:dyDescent="0.2">
      <c r="H3857" s="6"/>
      <c r="I3857" s="6"/>
    </row>
    <row r="3858" spans="8:9" x14ac:dyDescent="0.2">
      <c r="H3858" s="6"/>
      <c r="I3858" s="6"/>
    </row>
    <row r="3859" spans="8:9" x14ac:dyDescent="0.2">
      <c r="H3859" s="6"/>
      <c r="I3859" s="6"/>
    </row>
    <row r="3860" spans="8:9" x14ac:dyDescent="0.2">
      <c r="H3860" s="6"/>
      <c r="I3860" s="6"/>
    </row>
    <row r="3861" spans="8:9" x14ac:dyDescent="0.2">
      <c r="H3861" s="6"/>
      <c r="I3861" s="6"/>
    </row>
    <row r="3862" spans="8:9" x14ac:dyDescent="0.2">
      <c r="H3862" s="6"/>
      <c r="I3862" s="6"/>
    </row>
    <row r="3863" spans="8:9" x14ac:dyDescent="0.2">
      <c r="H3863" s="6"/>
      <c r="I3863" s="6"/>
    </row>
    <row r="3864" spans="8:9" x14ac:dyDescent="0.2">
      <c r="H3864" s="6"/>
      <c r="I3864" s="6"/>
    </row>
    <row r="3865" spans="8:9" x14ac:dyDescent="0.2">
      <c r="H3865" s="6"/>
      <c r="I3865" s="6"/>
    </row>
    <row r="3866" spans="8:9" x14ac:dyDescent="0.2">
      <c r="H3866" s="6"/>
      <c r="I3866" s="6"/>
    </row>
    <row r="3867" spans="8:9" x14ac:dyDescent="0.2">
      <c r="H3867" s="6"/>
      <c r="I3867" s="6"/>
    </row>
    <row r="3868" spans="8:9" x14ac:dyDescent="0.2">
      <c r="H3868" s="6"/>
      <c r="I3868" s="6"/>
    </row>
    <row r="3869" spans="8:9" x14ac:dyDescent="0.2">
      <c r="H3869" s="6"/>
      <c r="I3869" s="6"/>
    </row>
    <row r="3870" spans="8:9" x14ac:dyDescent="0.2">
      <c r="H3870" s="6"/>
      <c r="I3870" s="6"/>
    </row>
    <row r="3871" spans="8:9" x14ac:dyDescent="0.2">
      <c r="H3871" s="6"/>
      <c r="I3871" s="6"/>
    </row>
    <row r="3872" spans="8:9" x14ac:dyDescent="0.2">
      <c r="H3872" s="6"/>
      <c r="I3872" s="6"/>
    </row>
    <row r="3873" spans="8:9" x14ac:dyDescent="0.2">
      <c r="H3873" s="6"/>
      <c r="I3873" s="6"/>
    </row>
    <row r="3874" spans="8:9" x14ac:dyDescent="0.2">
      <c r="H3874" s="6"/>
      <c r="I3874" s="6"/>
    </row>
    <row r="3875" spans="8:9" x14ac:dyDescent="0.2">
      <c r="H3875" s="6"/>
      <c r="I3875" s="6"/>
    </row>
    <row r="3876" spans="8:9" x14ac:dyDescent="0.2">
      <c r="H3876" s="6"/>
      <c r="I3876" s="6"/>
    </row>
    <row r="3877" spans="8:9" x14ac:dyDescent="0.2">
      <c r="H3877" s="6"/>
      <c r="I3877" s="6"/>
    </row>
    <row r="3878" spans="8:9" x14ac:dyDescent="0.2">
      <c r="H3878" s="6"/>
      <c r="I3878" s="6"/>
    </row>
    <row r="3879" spans="8:9" x14ac:dyDescent="0.2">
      <c r="H3879" s="6"/>
      <c r="I3879" s="6"/>
    </row>
    <row r="3880" spans="8:9" x14ac:dyDescent="0.2">
      <c r="H3880" s="6"/>
      <c r="I3880" s="6"/>
    </row>
    <row r="3881" spans="8:9" x14ac:dyDescent="0.2">
      <c r="H3881" s="6"/>
      <c r="I3881" s="6"/>
    </row>
    <row r="3882" spans="8:9" x14ac:dyDescent="0.2">
      <c r="H3882" s="6"/>
      <c r="I3882" s="6"/>
    </row>
    <row r="3883" spans="8:9" x14ac:dyDescent="0.2">
      <c r="H3883" s="6"/>
      <c r="I3883" s="6"/>
    </row>
    <row r="3884" spans="8:9" x14ac:dyDescent="0.2">
      <c r="H3884" s="6"/>
      <c r="I3884" s="6"/>
    </row>
    <row r="3885" spans="8:9" x14ac:dyDescent="0.2">
      <c r="H3885" s="6"/>
      <c r="I3885" s="6"/>
    </row>
    <row r="3886" spans="8:9" x14ac:dyDescent="0.2">
      <c r="H3886" s="6"/>
      <c r="I3886" s="6"/>
    </row>
    <row r="3887" spans="8:9" x14ac:dyDescent="0.2">
      <c r="H3887" s="6"/>
      <c r="I3887" s="6"/>
    </row>
    <row r="3888" spans="8:9" x14ac:dyDescent="0.2">
      <c r="H3888" s="6"/>
      <c r="I3888" s="6"/>
    </row>
    <row r="3889" spans="8:9" x14ac:dyDescent="0.2">
      <c r="H3889" s="6"/>
      <c r="I3889" s="6"/>
    </row>
    <row r="3890" spans="8:9" x14ac:dyDescent="0.2">
      <c r="H3890" s="6"/>
      <c r="I3890" s="6"/>
    </row>
    <row r="3891" spans="8:9" x14ac:dyDescent="0.2">
      <c r="H3891" s="6"/>
      <c r="I3891" s="6"/>
    </row>
    <row r="3892" spans="8:9" x14ac:dyDescent="0.2">
      <c r="H3892" s="6"/>
      <c r="I3892" s="6"/>
    </row>
    <row r="3893" spans="8:9" x14ac:dyDescent="0.2">
      <c r="H3893" s="6"/>
      <c r="I3893" s="6"/>
    </row>
    <row r="3894" spans="8:9" x14ac:dyDescent="0.2">
      <c r="H3894" s="6"/>
      <c r="I3894" s="6"/>
    </row>
    <row r="3895" spans="8:9" x14ac:dyDescent="0.2">
      <c r="H3895" s="6"/>
      <c r="I3895" s="6"/>
    </row>
    <row r="3896" spans="8:9" x14ac:dyDescent="0.2">
      <c r="H3896" s="6"/>
      <c r="I3896" s="6"/>
    </row>
    <row r="3897" spans="8:9" x14ac:dyDescent="0.2">
      <c r="H3897" s="6"/>
      <c r="I3897" s="6"/>
    </row>
    <row r="3898" spans="8:9" x14ac:dyDescent="0.2">
      <c r="H3898" s="6"/>
      <c r="I3898" s="6"/>
    </row>
    <row r="3899" spans="8:9" x14ac:dyDescent="0.2">
      <c r="H3899" s="6"/>
      <c r="I3899" s="6"/>
    </row>
    <row r="3900" spans="8:9" x14ac:dyDescent="0.2">
      <c r="H3900" s="6"/>
      <c r="I3900" s="6"/>
    </row>
    <row r="3901" spans="8:9" x14ac:dyDescent="0.2">
      <c r="H3901" s="6"/>
      <c r="I3901" s="6"/>
    </row>
    <row r="3902" spans="8:9" x14ac:dyDescent="0.2">
      <c r="H3902" s="6"/>
      <c r="I3902" s="6"/>
    </row>
    <row r="3903" spans="8:9" x14ac:dyDescent="0.2">
      <c r="H3903" s="6"/>
      <c r="I3903" s="6"/>
    </row>
    <row r="3904" spans="8:9" x14ac:dyDescent="0.2">
      <c r="H3904" s="6"/>
      <c r="I3904" s="6"/>
    </row>
    <row r="3905" spans="8:9" x14ac:dyDescent="0.2">
      <c r="H3905" s="6"/>
      <c r="I3905" s="6"/>
    </row>
    <row r="3906" spans="8:9" x14ac:dyDescent="0.2">
      <c r="H3906" s="6"/>
      <c r="I3906" s="6"/>
    </row>
    <row r="3907" spans="8:9" x14ac:dyDescent="0.2">
      <c r="H3907" s="6"/>
      <c r="I3907" s="6"/>
    </row>
    <row r="3908" spans="8:9" x14ac:dyDescent="0.2">
      <c r="H3908" s="6"/>
      <c r="I3908" s="6"/>
    </row>
    <row r="3909" spans="8:9" x14ac:dyDescent="0.2">
      <c r="H3909" s="6"/>
      <c r="I3909" s="6"/>
    </row>
    <row r="3910" spans="8:9" x14ac:dyDescent="0.2">
      <c r="H3910" s="6"/>
      <c r="I3910" s="6"/>
    </row>
    <row r="3911" spans="8:9" x14ac:dyDescent="0.2">
      <c r="H3911" s="6"/>
      <c r="I3911" s="6"/>
    </row>
    <row r="3912" spans="8:9" x14ac:dyDescent="0.2">
      <c r="H3912" s="6"/>
      <c r="I3912" s="6"/>
    </row>
    <row r="3913" spans="8:9" x14ac:dyDescent="0.2">
      <c r="H3913" s="6"/>
      <c r="I3913" s="6"/>
    </row>
    <row r="3914" spans="8:9" x14ac:dyDescent="0.2">
      <c r="H3914" s="6"/>
      <c r="I3914" s="6"/>
    </row>
    <row r="3915" spans="8:9" x14ac:dyDescent="0.2">
      <c r="H3915" s="6"/>
      <c r="I3915" s="6"/>
    </row>
    <row r="3916" spans="8:9" x14ac:dyDescent="0.2">
      <c r="H3916" s="6"/>
      <c r="I3916" s="6"/>
    </row>
    <row r="3917" spans="8:9" x14ac:dyDescent="0.2">
      <c r="H3917" s="6"/>
      <c r="I3917" s="6"/>
    </row>
    <row r="3918" spans="8:9" x14ac:dyDescent="0.2">
      <c r="H3918" s="6"/>
      <c r="I3918" s="6"/>
    </row>
    <row r="3919" spans="8:9" x14ac:dyDescent="0.2">
      <c r="H3919" s="6"/>
      <c r="I3919" s="6"/>
    </row>
    <row r="3920" spans="8:9" x14ac:dyDescent="0.2">
      <c r="H3920" s="6"/>
      <c r="I3920" s="6"/>
    </row>
    <row r="3921" spans="8:9" x14ac:dyDescent="0.2">
      <c r="H3921" s="6"/>
      <c r="I3921" s="6"/>
    </row>
    <row r="3922" spans="8:9" x14ac:dyDescent="0.2">
      <c r="H3922" s="6"/>
      <c r="I3922" s="6"/>
    </row>
    <row r="3923" spans="8:9" x14ac:dyDescent="0.2">
      <c r="H3923" s="6"/>
      <c r="I3923" s="6"/>
    </row>
    <row r="3924" spans="8:9" x14ac:dyDescent="0.2">
      <c r="H3924" s="6"/>
      <c r="I3924" s="6"/>
    </row>
    <row r="3925" spans="8:9" x14ac:dyDescent="0.2">
      <c r="H3925" s="6"/>
      <c r="I3925" s="6"/>
    </row>
    <row r="3926" spans="8:9" x14ac:dyDescent="0.2">
      <c r="H3926" s="6"/>
      <c r="I3926" s="6"/>
    </row>
    <row r="3927" spans="8:9" x14ac:dyDescent="0.2">
      <c r="H3927" s="6"/>
      <c r="I3927" s="6"/>
    </row>
    <row r="3928" spans="8:9" x14ac:dyDescent="0.2">
      <c r="H3928" s="6"/>
      <c r="I3928" s="6"/>
    </row>
    <row r="3929" spans="8:9" x14ac:dyDescent="0.2">
      <c r="H3929" s="6"/>
      <c r="I3929" s="6"/>
    </row>
    <row r="3930" spans="8:9" x14ac:dyDescent="0.2">
      <c r="H3930" s="6"/>
      <c r="I3930" s="6"/>
    </row>
    <row r="3931" spans="8:9" x14ac:dyDescent="0.2">
      <c r="H3931" s="6"/>
      <c r="I3931" s="6"/>
    </row>
    <row r="3932" spans="8:9" x14ac:dyDescent="0.2">
      <c r="H3932" s="6"/>
      <c r="I3932" s="6"/>
    </row>
    <row r="3933" spans="8:9" x14ac:dyDescent="0.2">
      <c r="H3933" s="6"/>
      <c r="I3933" s="6"/>
    </row>
    <row r="3934" spans="8:9" x14ac:dyDescent="0.2">
      <c r="H3934" s="6"/>
      <c r="I3934" s="6"/>
    </row>
    <row r="3935" spans="8:9" x14ac:dyDescent="0.2">
      <c r="H3935" s="6"/>
      <c r="I3935" s="6"/>
    </row>
    <row r="3936" spans="8:9" x14ac:dyDescent="0.2">
      <c r="H3936" s="6"/>
      <c r="I3936" s="6"/>
    </row>
    <row r="3937" spans="8:9" x14ac:dyDescent="0.2">
      <c r="H3937" s="6"/>
      <c r="I3937" s="6"/>
    </row>
    <row r="3938" spans="8:9" x14ac:dyDescent="0.2">
      <c r="H3938" s="6"/>
      <c r="I3938" s="6"/>
    </row>
    <row r="3939" spans="8:9" x14ac:dyDescent="0.2">
      <c r="H3939" s="6"/>
      <c r="I3939" s="6"/>
    </row>
    <row r="3940" spans="8:9" x14ac:dyDescent="0.2">
      <c r="H3940" s="6"/>
      <c r="I3940" s="6"/>
    </row>
    <row r="3941" spans="8:9" x14ac:dyDescent="0.2">
      <c r="H3941" s="6"/>
      <c r="I3941" s="6"/>
    </row>
    <row r="3942" spans="8:9" x14ac:dyDescent="0.2">
      <c r="H3942" s="6"/>
      <c r="I3942" s="6"/>
    </row>
    <row r="3943" spans="8:9" x14ac:dyDescent="0.2">
      <c r="H3943" s="6"/>
      <c r="I3943" s="6"/>
    </row>
    <row r="3944" spans="8:9" x14ac:dyDescent="0.2">
      <c r="H3944" s="6"/>
      <c r="I3944" s="6"/>
    </row>
    <row r="3945" spans="8:9" x14ac:dyDescent="0.2">
      <c r="H3945" s="6"/>
      <c r="I3945" s="6"/>
    </row>
    <row r="3946" spans="8:9" x14ac:dyDescent="0.2">
      <c r="H3946" s="6"/>
      <c r="I3946" s="6"/>
    </row>
    <row r="3947" spans="8:9" x14ac:dyDescent="0.2">
      <c r="H3947" s="6"/>
      <c r="I3947" s="6"/>
    </row>
    <row r="3948" spans="8:9" x14ac:dyDescent="0.2">
      <c r="H3948" s="6"/>
      <c r="I3948" s="6"/>
    </row>
    <row r="3949" spans="8:9" x14ac:dyDescent="0.2">
      <c r="H3949" s="6"/>
      <c r="I3949" s="6"/>
    </row>
    <row r="3950" spans="8:9" x14ac:dyDescent="0.2">
      <c r="H3950" s="6"/>
      <c r="I3950" s="6"/>
    </row>
    <row r="3951" spans="8:9" x14ac:dyDescent="0.2">
      <c r="H3951" s="6"/>
      <c r="I3951" s="6"/>
    </row>
    <row r="3952" spans="8:9" x14ac:dyDescent="0.2">
      <c r="H3952" s="6"/>
      <c r="I3952" s="6"/>
    </row>
    <row r="3953" spans="8:9" x14ac:dyDescent="0.2">
      <c r="H3953" s="6"/>
      <c r="I3953" s="6"/>
    </row>
    <row r="3954" spans="8:9" x14ac:dyDescent="0.2">
      <c r="H3954" s="6"/>
      <c r="I3954" s="6"/>
    </row>
    <row r="3955" spans="8:9" x14ac:dyDescent="0.2">
      <c r="H3955" s="6"/>
      <c r="I3955" s="6"/>
    </row>
    <row r="3956" spans="8:9" x14ac:dyDescent="0.2">
      <c r="H3956" s="6"/>
      <c r="I3956" s="6"/>
    </row>
    <row r="3957" spans="8:9" x14ac:dyDescent="0.2">
      <c r="H3957" s="6"/>
      <c r="I3957" s="6"/>
    </row>
    <row r="3958" spans="8:9" x14ac:dyDescent="0.2">
      <c r="H3958" s="6"/>
      <c r="I3958" s="6"/>
    </row>
    <row r="3959" spans="8:9" x14ac:dyDescent="0.2">
      <c r="H3959" s="6"/>
      <c r="I3959" s="6"/>
    </row>
    <row r="3960" spans="8:9" x14ac:dyDescent="0.2">
      <c r="H3960" s="6"/>
      <c r="I3960" s="6"/>
    </row>
    <row r="3961" spans="8:9" x14ac:dyDescent="0.2">
      <c r="H3961" s="6"/>
      <c r="I3961" s="6"/>
    </row>
    <row r="3962" spans="8:9" x14ac:dyDescent="0.2">
      <c r="H3962" s="6"/>
      <c r="I3962" s="6"/>
    </row>
    <row r="3963" spans="8:9" x14ac:dyDescent="0.2">
      <c r="H3963" s="6"/>
      <c r="I3963" s="6"/>
    </row>
    <row r="3964" spans="8:9" x14ac:dyDescent="0.2">
      <c r="H3964" s="6"/>
      <c r="I3964" s="6"/>
    </row>
    <row r="3965" spans="8:9" x14ac:dyDescent="0.2">
      <c r="H3965" s="6"/>
      <c r="I3965" s="6"/>
    </row>
    <row r="3966" spans="8:9" x14ac:dyDescent="0.2">
      <c r="H3966" s="6"/>
      <c r="I3966" s="6"/>
    </row>
    <row r="3967" spans="8:9" x14ac:dyDescent="0.2">
      <c r="H3967" s="6"/>
      <c r="I3967" s="6"/>
    </row>
    <row r="3968" spans="8:9" x14ac:dyDescent="0.2">
      <c r="H3968" s="6"/>
      <c r="I3968" s="6"/>
    </row>
    <row r="3969" spans="8:9" x14ac:dyDescent="0.2">
      <c r="H3969" s="6"/>
      <c r="I3969" s="6"/>
    </row>
    <row r="3970" spans="8:9" x14ac:dyDescent="0.2">
      <c r="H3970" s="6"/>
      <c r="I3970" s="6"/>
    </row>
    <row r="3971" spans="8:9" x14ac:dyDescent="0.2">
      <c r="H3971" s="6"/>
      <c r="I3971" s="6"/>
    </row>
    <row r="3972" spans="8:9" x14ac:dyDescent="0.2">
      <c r="H3972" s="6"/>
      <c r="I3972" s="6"/>
    </row>
    <row r="3973" spans="8:9" x14ac:dyDescent="0.2">
      <c r="H3973" s="6"/>
      <c r="I3973" s="6"/>
    </row>
    <row r="3974" spans="8:9" x14ac:dyDescent="0.2">
      <c r="H3974" s="6"/>
      <c r="I3974" s="6"/>
    </row>
    <row r="3975" spans="8:9" x14ac:dyDescent="0.2">
      <c r="H3975" s="6"/>
      <c r="I3975" s="6"/>
    </row>
    <row r="3976" spans="8:9" x14ac:dyDescent="0.2">
      <c r="H3976" s="6"/>
      <c r="I3976" s="6"/>
    </row>
    <row r="3977" spans="8:9" x14ac:dyDescent="0.2">
      <c r="H3977" s="6"/>
      <c r="I3977" s="6"/>
    </row>
    <row r="3978" spans="8:9" x14ac:dyDescent="0.2">
      <c r="H3978" s="6"/>
      <c r="I3978" s="6"/>
    </row>
    <row r="3979" spans="8:9" x14ac:dyDescent="0.2">
      <c r="H3979" s="6"/>
      <c r="I3979" s="6"/>
    </row>
    <row r="3980" spans="8:9" x14ac:dyDescent="0.2">
      <c r="H3980" s="6"/>
      <c r="I3980" s="6"/>
    </row>
    <row r="3981" spans="8:9" x14ac:dyDescent="0.2">
      <c r="H3981" s="6"/>
      <c r="I3981" s="6"/>
    </row>
    <row r="3982" spans="8:9" x14ac:dyDescent="0.2">
      <c r="H3982" s="6"/>
      <c r="I3982" s="6"/>
    </row>
    <row r="3983" spans="8:9" x14ac:dyDescent="0.2">
      <c r="H3983" s="6"/>
      <c r="I3983" s="6"/>
    </row>
    <row r="3984" spans="8:9" x14ac:dyDescent="0.2">
      <c r="H3984" s="6"/>
      <c r="I3984" s="6"/>
    </row>
    <row r="3985" spans="8:9" x14ac:dyDescent="0.2">
      <c r="H3985" s="6"/>
      <c r="I3985" s="6"/>
    </row>
    <row r="3986" spans="8:9" x14ac:dyDescent="0.2">
      <c r="H3986" s="6"/>
      <c r="I3986" s="6"/>
    </row>
    <row r="3987" spans="8:9" x14ac:dyDescent="0.2">
      <c r="H3987" s="6"/>
      <c r="I3987" s="6"/>
    </row>
    <row r="3988" spans="8:9" x14ac:dyDescent="0.2">
      <c r="H3988" s="6"/>
      <c r="I3988" s="6"/>
    </row>
    <row r="3989" spans="8:9" x14ac:dyDescent="0.2">
      <c r="H3989" s="6"/>
      <c r="I3989" s="6"/>
    </row>
    <row r="3990" spans="8:9" x14ac:dyDescent="0.2">
      <c r="H3990" s="6"/>
      <c r="I3990" s="6"/>
    </row>
    <row r="3991" spans="8:9" x14ac:dyDescent="0.2">
      <c r="H3991" s="6"/>
      <c r="I3991" s="6"/>
    </row>
    <row r="3992" spans="8:9" x14ac:dyDescent="0.2">
      <c r="H3992" s="6"/>
      <c r="I3992" s="6"/>
    </row>
    <row r="3993" spans="8:9" x14ac:dyDescent="0.2">
      <c r="H3993" s="6"/>
      <c r="I3993" s="6"/>
    </row>
    <row r="3994" spans="8:9" x14ac:dyDescent="0.2">
      <c r="H3994" s="6"/>
      <c r="I3994" s="6"/>
    </row>
    <row r="3995" spans="8:9" x14ac:dyDescent="0.2">
      <c r="H3995" s="6"/>
      <c r="I3995" s="6"/>
    </row>
    <row r="3996" spans="8:9" x14ac:dyDescent="0.2">
      <c r="H3996" s="6"/>
      <c r="I3996" s="6"/>
    </row>
    <row r="3997" spans="8:9" x14ac:dyDescent="0.2">
      <c r="H3997" s="6"/>
      <c r="I3997" s="6"/>
    </row>
    <row r="3998" spans="8:9" x14ac:dyDescent="0.2">
      <c r="H3998" s="6"/>
      <c r="I3998" s="6"/>
    </row>
    <row r="3999" spans="8:9" x14ac:dyDescent="0.2">
      <c r="H3999" s="6"/>
      <c r="I3999" s="6"/>
    </row>
    <row r="4000" spans="8:9" x14ac:dyDescent="0.2">
      <c r="H4000" s="6"/>
      <c r="I4000" s="6"/>
    </row>
    <row r="4001" spans="8:9" x14ac:dyDescent="0.2">
      <c r="H4001" s="6"/>
      <c r="I4001" s="6"/>
    </row>
    <row r="4002" spans="8:9" x14ac:dyDescent="0.2">
      <c r="H4002" s="6"/>
      <c r="I4002" s="6"/>
    </row>
    <row r="4003" spans="8:9" x14ac:dyDescent="0.2">
      <c r="H4003" s="6"/>
      <c r="I4003" s="6"/>
    </row>
    <row r="4004" spans="8:9" x14ac:dyDescent="0.2">
      <c r="H4004" s="6"/>
      <c r="I4004" s="6"/>
    </row>
    <row r="4005" spans="8:9" x14ac:dyDescent="0.2">
      <c r="H4005" s="6"/>
      <c r="I4005" s="6"/>
    </row>
    <row r="4006" spans="8:9" x14ac:dyDescent="0.2">
      <c r="H4006" s="6"/>
      <c r="I4006" s="6"/>
    </row>
    <row r="4007" spans="8:9" x14ac:dyDescent="0.2">
      <c r="H4007" s="6"/>
      <c r="I4007" s="6"/>
    </row>
    <row r="4008" spans="8:9" x14ac:dyDescent="0.2">
      <c r="H4008" s="6"/>
      <c r="I4008" s="6"/>
    </row>
    <row r="4009" spans="8:9" x14ac:dyDescent="0.2">
      <c r="H4009" s="6"/>
      <c r="I4009" s="6"/>
    </row>
    <row r="4010" spans="8:9" x14ac:dyDescent="0.2">
      <c r="H4010" s="6"/>
      <c r="I4010" s="6"/>
    </row>
    <row r="4011" spans="8:9" x14ac:dyDescent="0.2">
      <c r="H4011" s="6"/>
      <c r="I4011" s="6"/>
    </row>
    <row r="4012" spans="8:9" x14ac:dyDescent="0.2">
      <c r="H4012" s="6"/>
      <c r="I4012" s="6"/>
    </row>
    <row r="4013" spans="8:9" x14ac:dyDescent="0.2">
      <c r="H4013" s="6"/>
      <c r="I4013" s="6"/>
    </row>
    <row r="4014" spans="8:9" x14ac:dyDescent="0.2">
      <c r="H4014" s="6"/>
      <c r="I4014" s="6"/>
    </row>
    <row r="4015" spans="8:9" x14ac:dyDescent="0.2">
      <c r="H4015" s="6"/>
      <c r="I4015" s="6"/>
    </row>
    <row r="4016" spans="8:9" x14ac:dyDescent="0.2">
      <c r="H4016" s="6"/>
      <c r="I4016" s="6"/>
    </row>
    <row r="4017" spans="8:9" x14ac:dyDescent="0.2">
      <c r="H4017" s="6"/>
      <c r="I4017" s="6"/>
    </row>
    <row r="4018" spans="8:9" x14ac:dyDescent="0.2">
      <c r="H4018" s="6"/>
      <c r="I4018" s="6"/>
    </row>
    <row r="4019" spans="8:9" x14ac:dyDescent="0.2">
      <c r="H4019" s="6"/>
      <c r="I4019" s="6"/>
    </row>
    <row r="4020" spans="8:9" x14ac:dyDescent="0.2">
      <c r="H4020" s="6"/>
      <c r="I4020" s="6"/>
    </row>
    <row r="4021" spans="8:9" x14ac:dyDescent="0.2">
      <c r="H4021" s="6"/>
      <c r="I4021" s="6"/>
    </row>
    <row r="4022" spans="8:9" x14ac:dyDescent="0.2">
      <c r="H4022" s="6"/>
      <c r="I4022" s="6"/>
    </row>
    <row r="4023" spans="8:9" x14ac:dyDescent="0.2">
      <c r="H4023" s="6"/>
      <c r="I4023" s="6"/>
    </row>
    <row r="4024" spans="8:9" x14ac:dyDescent="0.2">
      <c r="H4024" s="6"/>
      <c r="I4024" s="6"/>
    </row>
    <row r="4025" spans="8:9" x14ac:dyDescent="0.2">
      <c r="H4025" s="6"/>
      <c r="I4025" s="6"/>
    </row>
    <row r="4026" spans="8:9" x14ac:dyDescent="0.2">
      <c r="H4026" s="6"/>
      <c r="I4026" s="6"/>
    </row>
    <row r="4027" spans="8:9" x14ac:dyDescent="0.2">
      <c r="H4027" s="6"/>
      <c r="I4027" s="6"/>
    </row>
    <row r="4028" spans="8:9" x14ac:dyDescent="0.2">
      <c r="H4028" s="6"/>
      <c r="I4028" s="6"/>
    </row>
    <row r="4029" spans="8:9" x14ac:dyDescent="0.2">
      <c r="H4029" s="6"/>
      <c r="I4029" s="6"/>
    </row>
    <row r="4030" spans="8:9" x14ac:dyDescent="0.2">
      <c r="H4030" s="6"/>
      <c r="I4030" s="6"/>
    </row>
    <row r="4031" spans="8:9" x14ac:dyDescent="0.2">
      <c r="H4031" s="6"/>
      <c r="I4031" s="6"/>
    </row>
    <row r="4032" spans="8:9" x14ac:dyDescent="0.2">
      <c r="H4032" s="6"/>
      <c r="I4032" s="6"/>
    </row>
    <row r="4033" spans="8:9" x14ac:dyDescent="0.2">
      <c r="H4033" s="6"/>
      <c r="I4033" s="6"/>
    </row>
    <row r="4034" spans="8:9" x14ac:dyDescent="0.2">
      <c r="H4034" s="6"/>
      <c r="I4034" s="6"/>
    </row>
    <row r="4035" spans="8:9" x14ac:dyDescent="0.2">
      <c r="H4035" s="6"/>
      <c r="I4035" s="6"/>
    </row>
    <row r="4036" spans="8:9" x14ac:dyDescent="0.2">
      <c r="H4036" s="6"/>
      <c r="I4036" s="6"/>
    </row>
    <row r="4037" spans="8:9" x14ac:dyDescent="0.2">
      <c r="H4037" s="6"/>
      <c r="I4037" s="6"/>
    </row>
    <row r="4038" spans="8:9" x14ac:dyDescent="0.2">
      <c r="H4038" s="6"/>
      <c r="I4038" s="6"/>
    </row>
    <row r="4039" spans="8:9" x14ac:dyDescent="0.2">
      <c r="H4039" s="6"/>
      <c r="I4039" s="6"/>
    </row>
    <row r="4040" spans="8:9" x14ac:dyDescent="0.2">
      <c r="H4040" s="6"/>
      <c r="I4040" s="6"/>
    </row>
    <row r="4041" spans="8:9" x14ac:dyDescent="0.2">
      <c r="H4041" s="6"/>
      <c r="I4041" s="6"/>
    </row>
    <row r="4042" spans="8:9" x14ac:dyDescent="0.2">
      <c r="H4042" s="6"/>
      <c r="I4042" s="6"/>
    </row>
    <row r="4043" spans="8:9" x14ac:dyDescent="0.2">
      <c r="H4043" s="6"/>
      <c r="I4043" s="6"/>
    </row>
    <row r="4044" spans="8:9" x14ac:dyDescent="0.2">
      <c r="H4044" s="6"/>
      <c r="I4044" s="6"/>
    </row>
    <row r="4045" spans="8:9" x14ac:dyDescent="0.2">
      <c r="H4045" s="6"/>
      <c r="I4045" s="6"/>
    </row>
    <row r="4046" spans="8:9" x14ac:dyDescent="0.2">
      <c r="H4046" s="6"/>
      <c r="I4046" s="6"/>
    </row>
    <row r="4047" spans="8:9" x14ac:dyDescent="0.2">
      <c r="H4047" s="6"/>
      <c r="I4047" s="6"/>
    </row>
    <row r="4048" spans="8:9" x14ac:dyDescent="0.2">
      <c r="H4048" s="6"/>
      <c r="I4048" s="6"/>
    </row>
    <row r="4049" spans="8:9" x14ac:dyDescent="0.2">
      <c r="H4049" s="6"/>
      <c r="I4049" s="6"/>
    </row>
    <row r="4050" spans="8:9" x14ac:dyDescent="0.2">
      <c r="H4050" s="6"/>
      <c r="I4050" s="6"/>
    </row>
    <row r="4051" spans="8:9" x14ac:dyDescent="0.2">
      <c r="H4051" s="6"/>
      <c r="I4051" s="6"/>
    </row>
    <row r="4052" spans="8:9" x14ac:dyDescent="0.2">
      <c r="H4052" s="6"/>
      <c r="I4052" s="6"/>
    </row>
    <row r="4053" spans="8:9" x14ac:dyDescent="0.2">
      <c r="H4053" s="6"/>
      <c r="I4053" s="6"/>
    </row>
    <row r="4054" spans="8:9" x14ac:dyDescent="0.2">
      <c r="H4054" s="6"/>
      <c r="I4054" s="6"/>
    </row>
    <row r="4055" spans="8:9" x14ac:dyDescent="0.2">
      <c r="H4055" s="6"/>
      <c r="I4055" s="6"/>
    </row>
    <row r="4056" spans="8:9" x14ac:dyDescent="0.2">
      <c r="H4056" s="6"/>
      <c r="I4056" s="6"/>
    </row>
    <row r="4057" spans="8:9" x14ac:dyDescent="0.2">
      <c r="H4057" s="6"/>
      <c r="I4057" s="6"/>
    </row>
    <row r="4058" spans="8:9" x14ac:dyDescent="0.2">
      <c r="H4058" s="6"/>
      <c r="I4058" s="6"/>
    </row>
    <row r="4059" spans="8:9" x14ac:dyDescent="0.2">
      <c r="H4059" s="6"/>
      <c r="I4059" s="6"/>
    </row>
    <row r="4060" spans="8:9" x14ac:dyDescent="0.2">
      <c r="H4060" s="6"/>
      <c r="I4060" s="6"/>
    </row>
    <row r="4061" spans="8:9" x14ac:dyDescent="0.2">
      <c r="H4061" s="6"/>
      <c r="I4061" s="6"/>
    </row>
    <row r="4062" spans="8:9" x14ac:dyDescent="0.2">
      <c r="H4062" s="6"/>
      <c r="I4062" s="6"/>
    </row>
    <row r="4063" spans="8:9" x14ac:dyDescent="0.2">
      <c r="H4063" s="6"/>
      <c r="I4063" s="6"/>
    </row>
    <row r="4064" spans="8:9" x14ac:dyDescent="0.2">
      <c r="H4064" s="6"/>
      <c r="I4064" s="6"/>
    </row>
    <row r="4065" spans="8:9" x14ac:dyDescent="0.2">
      <c r="H4065" s="6"/>
      <c r="I4065" s="6"/>
    </row>
    <row r="4066" spans="8:9" x14ac:dyDescent="0.2">
      <c r="H4066" s="6"/>
      <c r="I4066" s="6"/>
    </row>
    <row r="4067" spans="8:9" x14ac:dyDescent="0.2">
      <c r="H4067" s="6"/>
      <c r="I4067" s="6"/>
    </row>
    <row r="4068" spans="8:9" x14ac:dyDescent="0.2">
      <c r="H4068" s="6"/>
      <c r="I4068" s="6"/>
    </row>
    <row r="4069" spans="8:9" x14ac:dyDescent="0.2">
      <c r="H4069" s="6"/>
      <c r="I4069" s="6"/>
    </row>
    <row r="4070" spans="8:9" x14ac:dyDescent="0.2">
      <c r="H4070" s="6"/>
      <c r="I4070" s="6"/>
    </row>
    <row r="4071" spans="8:9" x14ac:dyDescent="0.2">
      <c r="H4071" s="6"/>
      <c r="I4071" s="6"/>
    </row>
    <row r="4072" spans="8:9" x14ac:dyDescent="0.2">
      <c r="H4072" s="6"/>
      <c r="I4072" s="6"/>
    </row>
    <row r="4073" spans="8:9" x14ac:dyDescent="0.2">
      <c r="H4073" s="6"/>
      <c r="I4073" s="6"/>
    </row>
    <row r="4074" spans="8:9" x14ac:dyDescent="0.2">
      <c r="H4074" s="6"/>
      <c r="I4074" s="6"/>
    </row>
    <row r="4075" spans="8:9" x14ac:dyDescent="0.2">
      <c r="H4075" s="6"/>
      <c r="I4075" s="6"/>
    </row>
    <row r="4076" spans="8:9" x14ac:dyDescent="0.2">
      <c r="H4076" s="6"/>
      <c r="I4076" s="6"/>
    </row>
    <row r="4077" spans="8:9" x14ac:dyDescent="0.2">
      <c r="H4077" s="6"/>
      <c r="I4077" s="6"/>
    </row>
    <row r="4078" spans="8:9" x14ac:dyDescent="0.2">
      <c r="H4078" s="6"/>
      <c r="I4078" s="6"/>
    </row>
    <row r="4079" spans="8:9" x14ac:dyDescent="0.2">
      <c r="H4079" s="6"/>
      <c r="I4079" s="6"/>
    </row>
    <row r="4080" spans="8:9" x14ac:dyDescent="0.2">
      <c r="H4080" s="6"/>
      <c r="I4080" s="6"/>
    </row>
    <row r="4081" spans="8:9" x14ac:dyDescent="0.2">
      <c r="H4081" s="6"/>
      <c r="I4081" s="6"/>
    </row>
    <row r="4082" spans="8:9" x14ac:dyDescent="0.2">
      <c r="H4082" s="6"/>
      <c r="I4082" s="6"/>
    </row>
    <row r="4083" spans="8:9" x14ac:dyDescent="0.2">
      <c r="H4083" s="6"/>
      <c r="I4083" s="6"/>
    </row>
    <row r="4084" spans="8:9" x14ac:dyDescent="0.2">
      <c r="H4084" s="6"/>
      <c r="I4084" s="6"/>
    </row>
    <row r="4085" spans="8:9" x14ac:dyDescent="0.2">
      <c r="H4085" s="6"/>
      <c r="I4085" s="6"/>
    </row>
    <row r="4086" spans="8:9" x14ac:dyDescent="0.2">
      <c r="H4086" s="6"/>
      <c r="I4086" s="6"/>
    </row>
    <row r="4087" spans="8:9" x14ac:dyDescent="0.2">
      <c r="H4087" s="6"/>
      <c r="I4087" s="6"/>
    </row>
    <row r="4088" spans="8:9" x14ac:dyDescent="0.2">
      <c r="H4088" s="6"/>
      <c r="I4088" s="6"/>
    </row>
    <row r="4089" spans="8:9" x14ac:dyDescent="0.2">
      <c r="H4089" s="6"/>
      <c r="I4089" s="6"/>
    </row>
    <row r="4090" spans="8:9" x14ac:dyDescent="0.2">
      <c r="H4090" s="6"/>
      <c r="I4090" s="6"/>
    </row>
    <row r="4091" spans="8:9" x14ac:dyDescent="0.2">
      <c r="H4091" s="6"/>
      <c r="I4091" s="6"/>
    </row>
    <row r="4092" spans="8:9" x14ac:dyDescent="0.2">
      <c r="H4092" s="6"/>
      <c r="I4092" s="6"/>
    </row>
    <row r="4093" spans="8:9" x14ac:dyDescent="0.2">
      <c r="H4093" s="6"/>
      <c r="I4093" s="6"/>
    </row>
    <row r="4094" spans="8:9" x14ac:dyDescent="0.2">
      <c r="H4094" s="6"/>
      <c r="I4094" s="6"/>
    </row>
    <row r="4095" spans="8:9" x14ac:dyDescent="0.2">
      <c r="H4095" s="6"/>
      <c r="I4095" s="6"/>
    </row>
    <row r="4096" spans="8:9" x14ac:dyDescent="0.2">
      <c r="H4096" s="6"/>
      <c r="I4096" s="6"/>
    </row>
    <row r="4097" spans="8:9" x14ac:dyDescent="0.2">
      <c r="H4097" s="6"/>
      <c r="I4097" s="6"/>
    </row>
    <row r="4098" spans="8:9" x14ac:dyDescent="0.2">
      <c r="H4098" s="6"/>
      <c r="I4098" s="6"/>
    </row>
    <row r="4099" spans="8:9" x14ac:dyDescent="0.2">
      <c r="H4099" s="6"/>
      <c r="I4099" s="6"/>
    </row>
    <row r="4100" spans="8:9" x14ac:dyDescent="0.2">
      <c r="H4100" s="6"/>
      <c r="I4100" s="6"/>
    </row>
    <row r="4101" spans="8:9" x14ac:dyDescent="0.2">
      <c r="H4101" s="6"/>
      <c r="I4101" s="6"/>
    </row>
    <row r="4102" spans="8:9" x14ac:dyDescent="0.2">
      <c r="H4102" s="6"/>
      <c r="I4102" s="6"/>
    </row>
    <row r="4103" spans="8:9" x14ac:dyDescent="0.2">
      <c r="H4103" s="6"/>
      <c r="I4103" s="6"/>
    </row>
    <row r="4104" spans="8:9" x14ac:dyDescent="0.2">
      <c r="H4104" s="6"/>
      <c r="I4104" s="6"/>
    </row>
    <row r="4105" spans="8:9" x14ac:dyDescent="0.2">
      <c r="H4105" s="6"/>
      <c r="I4105" s="6"/>
    </row>
    <row r="4106" spans="8:9" x14ac:dyDescent="0.2">
      <c r="H4106" s="6"/>
      <c r="I4106" s="6"/>
    </row>
    <row r="4107" spans="8:9" x14ac:dyDescent="0.2">
      <c r="H4107" s="6"/>
      <c r="I4107" s="6"/>
    </row>
    <row r="4108" spans="8:9" x14ac:dyDescent="0.2">
      <c r="H4108" s="6"/>
      <c r="I4108" s="6"/>
    </row>
    <row r="4109" spans="8:9" x14ac:dyDescent="0.2">
      <c r="H4109" s="6"/>
      <c r="I4109" s="6"/>
    </row>
    <row r="4110" spans="8:9" x14ac:dyDescent="0.2">
      <c r="H4110" s="6"/>
      <c r="I4110" s="6"/>
    </row>
    <row r="4111" spans="8:9" x14ac:dyDescent="0.2">
      <c r="H4111" s="6"/>
      <c r="I4111" s="6"/>
    </row>
    <row r="4112" spans="8:9" x14ac:dyDescent="0.2">
      <c r="H4112" s="6"/>
      <c r="I4112" s="6"/>
    </row>
    <row r="4113" spans="8:9" x14ac:dyDescent="0.2">
      <c r="H4113" s="6"/>
      <c r="I4113" s="6"/>
    </row>
    <row r="4114" spans="8:9" x14ac:dyDescent="0.2">
      <c r="H4114" s="6"/>
      <c r="I4114" s="6"/>
    </row>
    <row r="4115" spans="8:9" x14ac:dyDescent="0.2">
      <c r="H4115" s="6"/>
      <c r="I4115" s="6"/>
    </row>
    <row r="4116" spans="8:9" x14ac:dyDescent="0.2">
      <c r="H4116" s="6"/>
      <c r="I4116" s="6"/>
    </row>
    <row r="4117" spans="8:9" x14ac:dyDescent="0.2">
      <c r="H4117" s="6"/>
      <c r="I4117" s="6"/>
    </row>
    <row r="4118" spans="8:9" x14ac:dyDescent="0.2">
      <c r="H4118" s="6"/>
      <c r="I4118" s="6"/>
    </row>
    <row r="4119" spans="8:9" x14ac:dyDescent="0.2">
      <c r="H4119" s="6"/>
      <c r="I4119" s="6"/>
    </row>
    <row r="4120" spans="8:9" x14ac:dyDescent="0.2">
      <c r="H4120" s="6"/>
      <c r="I4120" s="6"/>
    </row>
    <row r="4121" spans="8:9" x14ac:dyDescent="0.2">
      <c r="H4121" s="6"/>
      <c r="I4121" s="6"/>
    </row>
    <row r="4122" spans="8:9" x14ac:dyDescent="0.2">
      <c r="H4122" s="6"/>
      <c r="I4122" s="6"/>
    </row>
    <row r="4123" spans="8:9" x14ac:dyDescent="0.2">
      <c r="H4123" s="6"/>
      <c r="I4123" s="6"/>
    </row>
    <row r="4124" spans="8:9" x14ac:dyDescent="0.2">
      <c r="H4124" s="6"/>
      <c r="I4124" s="6"/>
    </row>
    <row r="4125" spans="8:9" x14ac:dyDescent="0.2">
      <c r="H4125" s="6"/>
      <c r="I4125" s="6"/>
    </row>
    <row r="4126" spans="8:9" x14ac:dyDescent="0.2">
      <c r="H4126" s="6"/>
      <c r="I4126" s="6"/>
    </row>
    <row r="4127" spans="8:9" x14ac:dyDescent="0.2">
      <c r="H4127" s="6"/>
      <c r="I4127" s="6"/>
    </row>
    <row r="4128" spans="8:9" x14ac:dyDescent="0.2">
      <c r="H4128" s="6"/>
      <c r="I4128" s="6"/>
    </row>
    <row r="4129" spans="8:9" x14ac:dyDescent="0.2">
      <c r="H4129" s="6"/>
      <c r="I4129" s="6"/>
    </row>
    <row r="4130" spans="8:9" x14ac:dyDescent="0.2">
      <c r="H4130" s="6"/>
      <c r="I4130" s="6"/>
    </row>
    <row r="4131" spans="8:9" x14ac:dyDescent="0.2">
      <c r="H4131" s="6"/>
      <c r="I4131" s="6"/>
    </row>
    <row r="4132" spans="8:9" x14ac:dyDescent="0.2">
      <c r="H4132" s="6"/>
      <c r="I4132" s="6"/>
    </row>
    <row r="4133" spans="8:9" x14ac:dyDescent="0.2">
      <c r="H4133" s="6"/>
      <c r="I4133" s="6"/>
    </row>
    <row r="4134" spans="8:9" x14ac:dyDescent="0.2">
      <c r="H4134" s="6"/>
      <c r="I4134" s="6"/>
    </row>
    <row r="4135" spans="8:9" x14ac:dyDescent="0.2">
      <c r="H4135" s="6"/>
      <c r="I4135" s="6"/>
    </row>
    <row r="4136" spans="8:9" x14ac:dyDescent="0.2">
      <c r="H4136" s="6"/>
      <c r="I4136" s="6"/>
    </row>
    <row r="4137" spans="8:9" x14ac:dyDescent="0.2">
      <c r="H4137" s="6"/>
      <c r="I4137" s="6"/>
    </row>
    <row r="4138" spans="8:9" x14ac:dyDescent="0.2">
      <c r="H4138" s="6"/>
      <c r="I4138" s="6"/>
    </row>
    <row r="4139" spans="8:9" x14ac:dyDescent="0.2">
      <c r="H4139" s="6"/>
      <c r="I4139" s="6"/>
    </row>
    <row r="4140" spans="8:9" x14ac:dyDescent="0.2">
      <c r="H4140" s="6"/>
      <c r="I4140" s="6"/>
    </row>
    <row r="4141" spans="8:9" x14ac:dyDescent="0.2">
      <c r="H4141" s="6"/>
      <c r="I4141" s="6"/>
    </row>
    <row r="4142" spans="8:9" x14ac:dyDescent="0.2">
      <c r="H4142" s="6"/>
      <c r="I4142" s="6"/>
    </row>
    <row r="4143" spans="8:9" x14ac:dyDescent="0.2">
      <c r="H4143" s="6"/>
      <c r="I4143" s="6"/>
    </row>
    <row r="4144" spans="8:9" x14ac:dyDescent="0.2">
      <c r="H4144" s="6"/>
      <c r="I4144" s="6"/>
    </row>
    <row r="4145" spans="8:9" x14ac:dyDescent="0.2">
      <c r="H4145" s="6"/>
      <c r="I4145" s="6"/>
    </row>
    <row r="4146" spans="8:9" x14ac:dyDescent="0.2">
      <c r="H4146" s="6"/>
      <c r="I4146" s="6"/>
    </row>
    <row r="4147" spans="8:9" x14ac:dyDescent="0.2">
      <c r="H4147" s="6"/>
      <c r="I4147" s="6"/>
    </row>
    <row r="4148" spans="8:9" x14ac:dyDescent="0.2">
      <c r="H4148" s="6"/>
      <c r="I4148" s="6"/>
    </row>
    <row r="4149" spans="8:9" x14ac:dyDescent="0.2">
      <c r="H4149" s="6"/>
      <c r="I4149" s="6"/>
    </row>
    <row r="4150" spans="8:9" x14ac:dyDescent="0.2">
      <c r="H4150" s="6"/>
      <c r="I4150" s="6"/>
    </row>
    <row r="4151" spans="8:9" x14ac:dyDescent="0.2">
      <c r="H4151" s="6"/>
      <c r="I4151" s="6"/>
    </row>
    <row r="4152" spans="8:9" x14ac:dyDescent="0.2">
      <c r="H4152" s="6"/>
      <c r="I4152" s="6"/>
    </row>
    <row r="4153" spans="8:9" x14ac:dyDescent="0.2">
      <c r="H4153" s="6"/>
      <c r="I4153" s="6"/>
    </row>
    <row r="4154" spans="8:9" x14ac:dyDescent="0.2">
      <c r="H4154" s="6"/>
      <c r="I4154" s="6"/>
    </row>
    <row r="4155" spans="8:9" x14ac:dyDescent="0.2">
      <c r="H4155" s="6"/>
      <c r="I4155" s="6"/>
    </row>
    <row r="4156" spans="8:9" x14ac:dyDescent="0.2">
      <c r="H4156" s="6"/>
      <c r="I4156" s="6"/>
    </row>
    <row r="4157" spans="8:9" x14ac:dyDescent="0.2">
      <c r="H4157" s="6"/>
      <c r="I4157" s="6"/>
    </row>
    <row r="4158" spans="8:9" x14ac:dyDescent="0.2">
      <c r="H4158" s="6"/>
      <c r="I4158" s="6"/>
    </row>
    <row r="4159" spans="8:9" x14ac:dyDescent="0.2">
      <c r="H4159" s="6"/>
      <c r="I4159" s="6"/>
    </row>
    <row r="4160" spans="8:9" x14ac:dyDescent="0.2">
      <c r="H4160" s="6"/>
      <c r="I4160" s="6"/>
    </row>
    <row r="4161" spans="8:9" x14ac:dyDescent="0.2">
      <c r="H4161" s="6"/>
      <c r="I4161" s="6"/>
    </row>
    <row r="4162" spans="8:9" x14ac:dyDescent="0.2">
      <c r="H4162" s="6"/>
      <c r="I4162" s="6"/>
    </row>
    <row r="4163" spans="8:9" x14ac:dyDescent="0.2">
      <c r="H4163" s="6"/>
      <c r="I4163" s="6"/>
    </row>
    <row r="4164" spans="8:9" x14ac:dyDescent="0.2">
      <c r="H4164" s="6"/>
      <c r="I4164" s="6"/>
    </row>
    <row r="4165" spans="8:9" x14ac:dyDescent="0.2">
      <c r="H4165" s="6"/>
      <c r="I4165" s="6"/>
    </row>
    <row r="4166" spans="8:9" x14ac:dyDescent="0.2">
      <c r="H4166" s="6"/>
      <c r="I4166" s="6"/>
    </row>
    <row r="4167" spans="8:9" x14ac:dyDescent="0.2">
      <c r="H4167" s="6"/>
      <c r="I4167" s="6"/>
    </row>
    <row r="4168" spans="8:9" x14ac:dyDescent="0.2">
      <c r="H4168" s="6"/>
      <c r="I4168" s="6"/>
    </row>
    <row r="4169" spans="8:9" x14ac:dyDescent="0.2">
      <c r="H4169" s="6"/>
      <c r="I4169" s="6"/>
    </row>
    <row r="4170" spans="8:9" x14ac:dyDescent="0.2">
      <c r="H4170" s="6"/>
      <c r="I4170" s="6"/>
    </row>
    <row r="4171" spans="8:9" x14ac:dyDescent="0.2">
      <c r="H4171" s="6"/>
      <c r="I4171" s="6"/>
    </row>
    <row r="4172" spans="8:9" x14ac:dyDescent="0.2">
      <c r="H4172" s="6"/>
      <c r="I4172" s="6"/>
    </row>
    <row r="4173" spans="8:9" x14ac:dyDescent="0.2">
      <c r="H4173" s="6"/>
      <c r="I4173" s="6"/>
    </row>
    <row r="4174" spans="8:9" x14ac:dyDescent="0.2">
      <c r="H4174" s="6"/>
      <c r="I4174" s="6"/>
    </row>
    <row r="4175" spans="8:9" x14ac:dyDescent="0.2">
      <c r="H4175" s="6"/>
      <c r="I4175" s="6"/>
    </row>
    <row r="4176" spans="8:9" x14ac:dyDescent="0.2">
      <c r="H4176" s="6"/>
      <c r="I4176" s="6"/>
    </row>
    <row r="4177" spans="8:9" x14ac:dyDescent="0.2">
      <c r="H4177" s="6"/>
      <c r="I4177" s="6"/>
    </row>
    <row r="4178" spans="8:9" x14ac:dyDescent="0.2">
      <c r="H4178" s="6"/>
      <c r="I4178" s="6"/>
    </row>
    <row r="4179" spans="8:9" x14ac:dyDescent="0.2">
      <c r="H4179" s="6"/>
      <c r="I4179" s="6"/>
    </row>
    <row r="4180" spans="8:9" x14ac:dyDescent="0.2">
      <c r="H4180" s="6"/>
      <c r="I4180" s="6"/>
    </row>
    <row r="4181" spans="8:9" x14ac:dyDescent="0.2">
      <c r="H4181" s="6"/>
      <c r="I4181" s="6"/>
    </row>
    <row r="4182" spans="8:9" x14ac:dyDescent="0.2">
      <c r="H4182" s="6"/>
      <c r="I4182" s="6"/>
    </row>
    <row r="4183" spans="8:9" x14ac:dyDescent="0.2">
      <c r="H4183" s="6"/>
      <c r="I4183" s="6"/>
    </row>
    <row r="4184" spans="8:9" x14ac:dyDescent="0.2">
      <c r="H4184" s="6"/>
      <c r="I4184" s="6"/>
    </row>
    <row r="4185" spans="8:9" x14ac:dyDescent="0.2">
      <c r="H4185" s="6"/>
      <c r="I4185" s="6"/>
    </row>
    <row r="4186" spans="8:9" x14ac:dyDescent="0.2">
      <c r="H4186" s="6"/>
      <c r="I4186" s="6"/>
    </row>
    <row r="4187" spans="8:9" x14ac:dyDescent="0.2">
      <c r="H4187" s="6"/>
      <c r="I4187" s="6"/>
    </row>
    <row r="4188" spans="8:9" x14ac:dyDescent="0.2">
      <c r="H4188" s="6"/>
      <c r="I4188" s="6"/>
    </row>
    <row r="4189" spans="8:9" x14ac:dyDescent="0.2">
      <c r="H4189" s="6"/>
      <c r="I4189" s="6"/>
    </row>
    <row r="4190" spans="8:9" x14ac:dyDescent="0.2">
      <c r="H4190" s="6"/>
      <c r="I4190" s="6"/>
    </row>
    <row r="4191" spans="8:9" x14ac:dyDescent="0.2">
      <c r="H4191" s="6"/>
      <c r="I4191" s="6"/>
    </row>
    <row r="4192" spans="8:9" x14ac:dyDescent="0.2">
      <c r="H4192" s="6"/>
      <c r="I4192" s="6"/>
    </row>
    <row r="4193" spans="8:9" x14ac:dyDescent="0.2">
      <c r="H4193" s="6"/>
      <c r="I4193" s="6"/>
    </row>
    <row r="4194" spans="8:9" x14ac:dyDescent="0.2">
      <c r="H4194" s="6"/>
      <c r="I4194" s="6"/>
    </row>
    <row r="4195" spans="8:9" x14ac:dyDescent="0.2">
      <c r="H4195" s="6"/>
      <c r="I4195" s="6"/>
    </row>
    <row r="4196" spans="8:9" x14ac:dyDescent="0.2">
      <c r="H4196" s="6"/>
      <c r="I4196" s="6"/>
    </row>
    <row r="4197" spans="8:9" x14ac:dyDescent="0.2">
      <c r="H4197" s="6"/>
      <c r="I4197" s="6"/>
    </row>
    <row r="4198" spans="8:9" x14ac:dyDescent="0.2">
      <c r="H4198" s="6"/>
      <c r="I4198" s="6"/>
    </row>
    <row r="4199" spans="8:9" x14ac:dyDescent="0.2">
      <c r="H4199" s="6"/>
      <c r="I4199" s="6"/>
    </row>
    <row r="4200" spans="8:9" x14ac:dyDescent="0.2">
      <c r="H4200" s="6"/>
      <c r="I4200" s="6"/>
    </row>
    <row r="4201" spans="8:9" x14ac:dyDescent="0.2">
      <c r="H4201" s="6"/>
      <c r="I4201" s="6"/>
    </row>
    <row r="4202" spans="8:9" x14ac:dyDescent="0.2">
      <c r="H4202" s="6"/>
      <c r="I4202" s="6"/>
    </row>
    <row r="4203" spans="8:9" x14ac:dyDescent="0.2">
      <c r="H4203" s="6"/>
      <c r="I4203" s="6"/>
    </row>
    <row r="4204" spans="8:9" x14ac:dyDescent="0.2">
      <c r="H4204" s="6"/>
      <c r="I4204" s="6"/>
    </row>
    <row r="4205" spans="8:9" x14ac:dyDescent="0.2">
      <c r="H4205" s="6"/>
      <c r="I4205" s="6"/>
    </row>
    <row r="4206" spans="8:9" x14ac:dyDescent="0.2">
      <c r="H4206" s="6"/>
      <c r="I4206" s="6"/>
    </row>
    <row r="4207" spans="8:9" x14ac:dyDescent="0.2">
      <c r="H4207" s="6"/>
      <c r="I4207" s="6"/>
    </row>
    <row r="4208" spans="8:9" x14ac:dyDescent="0.2">
      <c r="H4208" s="6"/>
      <c r="I4208" s="6"/>
    </row>
    <row r="4209" spans="8:9" x14ac:dyDescent="0.2">
      <c r="H4209" s="6"/>
      <c r="I4209" s="6"/>
    </row>
    <row r="4210" spans="8:9" x14ac:dyDescent="0.2">
      <c r="H4210" s="6"/>
      <c r="I4210" s="6"/>
    </row>
    <row r="4211" spans="8:9" x14ac:dyDescent="0.2">
      <c r="H4211" s="6"/>
      <c r="I4211" s="6"/>
    </row>
    <row r="4212" spans="8:9" x14ac:dyDescent="0.2">
      <c r="H4212" s="6"/>
      <c r="I4212" s="6"/>
    </row>
    <row r="4213" spans="8:9" x14ac:dyDescent="0.2">
      <c r="H4213" s="6"/>
    </row>
    <row r="4214" spans="8:9" x14ac:dyDescent="0.2">
      <c r="H4214" s="6"/>
      <c r="I4214" s="6"/>
    </row>
    <row r="4215" spans="8:9" x14ac:dyDescent="0.2">
      <c r="H4215" s="6"/>
      <c r="I4215" s="6"/>
    </row>
    <row r="4216" spans="8:9" x14ac:dyDescent="0.2">
      <c r="H4216" s="6"/>
      <c r="I4216" s="6"/>
    </row>
    <row r="4217" spans="8:9" x14ac:dyDescent="0.2">
      <c r="H4217" s="6"/>
      <c r="I4217" s="6"/>
    </row>
    <row r="4218" spans="8:9" x14ac:dyDescent="0.2">
      <c r="H4218" s="6"/>
      <c r="I4218" s="6"/>
    </row>
    <row r="4219" spans="8:9" x14ac:dyDescent="0.2">
      <c r="H4219" s="6"/>
      <c r="I4219" s="6"/>
    </row>
    <row r="4220" spans="8:9" x14ac:dyDescent="0.2">
      <c r="H4220" s="6"/>
      <c r="I4220" s="6"/>
    </row>
    <row r="4221" spans="8:9" x14ac:dyDescent="0.2">
      <c r="H4221" s="6"/>
      <c r="I4221" s="6"/>
    </row>
    <row r="4222" spans="8:9" x14ac:dyDescent="0.2">
      <c r="H4222" s="6"/>
      <c r="I4222" s="6"/>
    </row>
    <row r="4223" spans="8:9" x14ac:dyDescent="0.2">
      <c r="H4223" s="6"/>
      <c r="I4223" s="6"/>
    </row>
    <row r="4224" spans="8:9" x14ac:dyDescent="0.2">
      <c r="H4224" s="6"/>
      <c r="I4224" s="6"/>
    </row>
    <row r="4225" spans="8:9" x14ac:dyDescent="0.2">
      <c r="H4225" s="6"/>
      <c r="I4225" s="6"/>
    </row>
    <row r="4226" spans="8:9" x14ac:dyDescent="0.2">
      <c r="H4226" s="6"/>
      <c r="I4226" s="6"/>
    </row>
    <row r="4227" spans="8:9" x14ac:dyDescent="0.2">
      <c r="H4227" s="6"/>
      <c r="I4227" s="6"/>
    </row>
    <row r="4228" spans="8:9" x14ac:dyDescent="0.2">
      <c r="H4228" s="6"/>
      <c r="I4228" s="6"/>
    </row>
    <row r="4229" spans="8:9" x14ac:dyDescent="0.2">
      <c r="H4229" s="6"/>
      <c r="I4229" s="6"/>
    </row>
    <row r="4230" spans="8:9" x14ac:dyDescent="0.2">
      <c r="H4230" s="6"/>
      <c r="I4230" s="6"/>
    </row>
    <row r="4231" spans="8:9" x14ac:dyDescent="0.2">
      <c r="H4231" s="6"/>
      <c r="I4231" s="6"/>
    </row>
    <row r="4232" spans="8:9" x14ac:dyDescent="0.2">
      <c r="H4232" s="6"/>
      <c r="I4232" s="6"/>
    </row>
    <row r="4233" spans="8:9" x14ac:dyDescent="0.2">
      <c r="H4233" s="6"/>
      <c r="I4233" s="6"/>
    </row>
    <row r="4234" spans="8:9" x14ac:dyDescent="0.2">
      <c r="H4234" s="6"/>
      <c r="I4234" s="6"/>
    </row>
    <row r="4235" spans="8:9" x14ac:dyDescent="0.2">
      <c r="H4235" s="6"/>
      <c r="I4235" s="6"/>
    </row>
    <row r="4236" spans="8:9" x14ac:dyDescent="0.2">
      <c r="H4236" s="6"/>
      <c r="I4236" s="6"/>
    </row>
    <row r="4237" spans="8:9" x14ac:dyDescent="0.2">
      <c r="H4237" s="6"/>
      <c r="I4237" s="6"/>
    </row>
    <row r="4238" spans="8:9" x14ac:dyDescent="0.2">
      <c r="H4238" s="6"/>
      <c r="I4238" s="6"/>
    </row>
    <row r="4239" spans="8:9" x14ac:dyDescent="0.2">
      <c r="H4239" s="6"/>
      <c r="I4239" s="6"/>
    </row>
    <row r="4240" spans="8:9" x14ac:dyDescent="0.2">
      <c r="H4240" s="6"/>
      <c r="I4240" s="6"/>
    </row>
    <row r="4241" spans="8:9" x14ac:dyDescent="0.2">
      <c r="H4241" s="6"/>
      <c r="I4241" s="6"/>
    </row>
    <row r="4242" spans="8:9" x14ac:dyDescent="0.2">
      <c r="H4242" s="6"/>
      <c r="I4242" s="6"/>
    </row>
    <row r="4243" spans="8:9" x14ac:dyDescent="0.2">
      <c r="H4243" s="6"/>
      <c r="I4243" s="6"/>
    </row>
    <row r="4244" spans="8:9" x14ac:dyDescent="0.2">
      <c r="H4244" s="6"/>
      <c r="I4244" s="6"/>
    </row>
    <row r="4245" spans="8:9" x14ac:dyDescent="0.2">
      <c r="H4245" s="6"/>
      <c r="I4245" s="6"/>
    </row>
    <row r="4246" spans="8:9" x14ac:dyDescent="0.2">
      <c r="H4246" s="6"/>
      <c r="I4246" s="6"/>
    </row>
    <row r="4247" spans="8:9" x14ac:dyDescent="0.2">
      <c r="H4247" s="6"/>
      <c r="I4247" s="6"/>
    </row>
    <row r="4248" spans="8:9" x14ac:dyDescent="0.2">
      <c r="H4248" s="6"/>
      <c r="I4248" s="6"/>
    </row>
    <row r="4249" spans="8:9" x14ac:dyDescent="0.2">
      <c r="H4249" s="6"/>
      <c r="I4249" s="6"/>
    </row>
    <row r="4250" spans="8:9" x14ac:dyDescent="0.2">
      <c r="H4250" s="6"/>
      <c r="I4250" s="6"/>
    </row>
    <row r="4251" spans="8:9" x14ac:dyDescent="0.2">
      <c r="H4251" s="6"/>
      <c r="I4251" s="6"/>
    </row>
    <row r="4252" spans="8:9" x14ac:dyDescent="0.2">
      <c r="H4252" s="6"/>
      <c r="I4252" s="6"/>
    </row>
    <row r="4253" spans="8:9" x14ac:dyDescent="0.2">
      <c r="H4253" s="6"/>
      <c r="I4253" s="6"/>
    </row>
    <row r="4254" spans="8:9" x14ac:dyDescent="0.2">
      <c r="H4254" s="6"/>
      <c r="I4254" s="6"/>
    </row>
    <row r="4255" spans="8:9" x14ac:dyDescent="0.2">
      <c r="H4255" s="6"/>
      <c r="I4255" s="6"/>
    </row>
    <row r="4256" spans="8:9" x14ac:dyDescent="0.2">
      <c r="H4256" s="6"/>
      <c r="I4256" s="6"/>
    </row>
    <row r="4257" spans="8:9" x14ac:dyDescent="0.2">
      <c r="H4257" s="6"/>
      <c r="I4257" s="6"/>
    </row>
    <row r="4258" spans="8:9" x14ac:dyDescent="0.2">
      <c r="H4258" s="6"/>
      <c r="I4258" s="6"/>
    </row>
    <row r="4259" spans="8:9" x14ac:dyDescent="0.2">
      <c r="H4259" s="6"/>
      <c r="I4259" s="6"/>
    </row>
    <row r="4260" spans="8:9" x14ac:dyDescent="0.2">
      <c r="H4260" s="6"/>
      <c r="I4260" s="6"/>
    </row>
    <row r="4261" spans="8:9" x14ac:dyDescent="0.2">
      <c r="H4261" s="6"/>
      <c r="I4261" s="6"/>
    </row>
    <row r="4262" spans="8:9" x14ac:dyDescent="0.2">
      <c r="H4262" s="6"/>
      <c r="I4262" s="6"/>
    </row>
    <row r="4263" spans="8:9" x14ac:dyDescent="0.2">
      <c r="H4263" s="6"/>
      <c r="I4263" s="6"/>
    </row>
    <row r="4264" spans="8:9" x14ac:dyDescent="0.2">
      <c r="H4264" s="6"/>
      <c r="I4264" s="6"/>
    </row>
    <row r="4265" spans="8:9" x14ac:dyDescent="0.2">
      <c r="H4265" s="6"/>
      <c r="I4265" s="6"/>
    </row>
    <row r="4266" spans="8:9" x14ac:dyDescent="0.2">
      <c r="H4266" s="6"/>
      <c r="I4266" s="6"/>
    </row>
    <row r="4267" spans="8:9" x14ac:dyDescent="0.2">
      <c r="H4267" s="6"/>
      <c r="I4267" s="6"/>
    </row>
    <row r="4268" spans="8:9" x14ac:dyDescent="0.2">
      <c r="H4268" s="6"/>
      <c r="I4268" s="6"/>
    </row>
    <row r="4269" spans="8:9" x14ac:dyDescent="0.2">
      <c r="H4269" s="6"/>
      <c r="I4269" s="6"/>
    </row>
    <row r="4270" spans="8:9" x14ac:dyDescent="0.2">
      <c r="H4270" s="6"/>
      <c r="I4270" s="6"/>
    </row>
    <row r="4271" spans="8:9" x14ac:dyDescent="0.2">
      <c r="H4271" s="6"/>
      <c r="I4271" s="6"/>
    </row>
    <row r="4272" spans="8:9" x14ac:dyDescent="0.2">
      <c r="H4272" s="6"/>
      <c r="I4272" s="6"/>
    </row>
    <row r="4273" spans="8:9" x14ac:dyDescent="0.2">
      <c r="H4273" s="6"/>
      <c r="I4273" s="6"/>
    </row>
    <row r="4274" spans="8:9" x14ac:dyDescent="0.2">
      <c r="H4274" s="6"/>
      <c r="I4274" s="6"/>
    </row>
    <row r="4275" spans="8:9" x14ac:dyDescent="0.2">
      <c r="H4275" s="6"/>
      <c r="I4275" s="6"/>
    </row>
    <row r="4276" spans="8:9" x14ac:dyDescent="0.2">
      <c r="H4276" s="6"/>
      <c r="I4276" s="6"/>
    </row>
    <row r="4277" spans="8:9" x14ac:dyDescent="0.2">
      <c r="H4277" s="6"/>
      <c r="I4277" s="6"/>
    </row>
    <row r="4278" spans="8:9" x14ac:dyDescent="0.2">
      <c r="H4278" s="6"/>
      <c r="I4278" s="6"/>
    </row>
    <row r="4279" spans="8:9" x14ac:dyDescent="0.2">
      <c r="H4279" s="6"/>
      <c r="I4279" s="6"/>
    </row>
    <row r="4280" spans="8:9" x14ac:dyDescent="0.2">
      <c r="H4280" s="6"/>
      <c r="I4280" s="6"/>
    </row>
    <row r="4281" spans="8:9" x14ac:dyDescent="0.2">
      <c r="H4281" s="6"/>
      <c r="I4281" s="6"/>
    </row>
    <row r="4282" spans="8:9" x14ac:dyDescent="0.2">
      <c r="H4282" s="6"/>
      <c r="I4282" s="6"/>
    </row>
    <row r="4283" spans="8:9" x14ac:dyDescent="0.2">
      <c r="H4283" s="6"/>
      <c r="I4283" s="6"/>
    </row>
    <row r="4284" spans="8:9" x14ac:dyDescent="0.2">
      <c r="H4284" s="6"/>
      <c r="I4284" s="6"/>
    </row>
    <row r="4285" spans="8:9" x14ac:dyDescent="0.2">
      <c r="H4285" s="6"/>
      <c r="I4285" s="6"/>
    </row>
    <row r="4286" spans="8:9" x14ac:dyDescent="0.2">
      <c r="H4286" s="6"/>
      <c r="I4286" s="6"/>
    </row>
    <row r="4287" spans="8:9" x14ac:dyDescent="0.2">
      <c r="H4287" s="6"/>
      <c r="I4287" s="6"/>
    </row>
    <row r="4288" spans="8:9" x14ac:dyDescent="0.2">
      <c r="H4288" s="6"/>
      <c r="I4288" s="6"/>
    </row>
    <row r="4289" spans="8:9" x14ac:dyDescent="0.2">
      <c r="H4289" s="6"/>
      <c r="I4289" s="6"/>
    </row>
    <row r="4290" spans="8:9" x14ac:dyDescent="0.2">
      <c r="H4290" s="6"/>
      <c r="I4290" s="6"/>
    </row>
    <row r="4291" spans="8:9" x14ac:dyDescent="0.2">
      <c r="H4291" s="6"/>
      <c r="I4291" s="6"/>
    </row>
    <row r="4292" spans="8:9" x14ac:dyDescent="0.2">
      <c r="H4292" s="6"/>
      <c r="I4292" s="6"/>
    </row>
    <row r="4293" spans="8:9" x14ac:dyDescent="0.2">
      <c r="H4293" s="6"/>
      <c r="I4293" s="6"/>
    </row>
    <row r="4294" spans="8:9" x14ac:dyDescent="0.2">
      <c r="H4294" s="6"/>
      <c r="I4294" s="6"/>
    </row>
    <row r="4295" spans="8:9" x14ac:dyDescent="0.2">
      <c r="H4295" s="6"/>
      <c r="I4295" s="6"/>
    </row>
    <row r="4296" spans="8:9" x14ac:dyDescent="0.2">
      <c r="H4296" s="6"/>
      <c r="I4296" s="6"/>
    </row>
    <row r="4297" spans="8:9" x14ac:dyDescent="0.2">
      <c r="H4297" s="6"/>
      <c r="I4297" s="6"/>
    </row>
    <row r="4298" spans="8:9" x14ac:dyDescent="0.2">
      <c r="H4298" s="6"/>
      <c r="I4298" s="6"/>
    </row>
    <row r="4299" spans="8:9" x14ac:dyDescent="0.2">
      <c r="H4299" s="6"/>
      <c r="I4299" s="6"/>
    </row>
    <row r="4300" spans="8:9" x14ac:dyDescent="0.2">
      <c r="H4300" s="6"/>
      <c r="I4300" s="6"/>
    </row>
    <row r="4301" spans="8:9" x14ac:dyDescent="0.2">
      <c r="H4301" s="6"/>
      <c r="I4301" s="6"/>
    </row>
    <row r="4302" spans="8:9" x14ac:dyDescent="0.2">
      <c r="H4302" s="6"/>
      <c r="I4302" s="6"/>
    </row>
    <row r="4303" spans="8:9" x14ac:dyDescent="0.2">
      <c r="H4303" s="6"/>
      <c r="I4303" s="6"/>
    </row>
    <row r="4304" spans="8:9" x14ac:dyDescent="0.2">
      <c r="H4304" s="6"/>
      <c r="I4304" s="6"/>
    </row>
    <row r="4305" spans="8:9" x14ac:dyDescent="0.2">
      <c r="H4305" s="6"/>
      <c r="I4305" s="6"/>
    </row>
    <row r="4306" spans="8:9" x14ac:dyDescent="0.2">
      <c r="H4306" s="6"/>
      <c r="I4306" s="6"/>
    </row>
    <row r="4307" spans="8:9" x14ac:dyDescent="0.2">
      <c r="H4307" s="6"/>
      <c r="I4307" s="6"/>
    </row>
    <row r="4308" spans="8:9" x14ac:dyDescent="0.2">
      <c r="H4308" s="6"/>
      <c r="I4308" s="6"/>
    </row>
    <row r="4309" spans="8:9" x14ac:dyDescent="0.2">
      <c r="H4309" s="6"/>
      <c r="I4309" s="6"/>
    </row>
    <row r="4310" spans="8:9" x14ac:dyDescent="0.2">
      <c r="H4310" s="6"/>
      <c r="I4310" s="6"/>
    </row>
    <row r="4311" spans="8:9" x14ac:dyDescent="0.2">
      <c r="H4311" s="6"/>
      <c r="I4311" s="6"/>
    </row>
    <row r="4312" spans="8:9" x14ac:dyDescent="0.2">
      <c r="H4312" s="6"/>
      <c r="I4312" s="6"/>
    </row>
    <row r="4313" spans="8:9" x14ac:dyDescent="0.2">
      <c r="H4313" s="6"/>
      <c r="I4313" s="6"/>
    </row>
    <row r="4314" spans="8:9" x14ac:dyDescent="0.2">
      <c r="H4314" s="6"/>
      <c r="I4314" s="6"/>
    </row>
    <row r="4315" spans="8:9" x14ac:dyDescent="0.2">
      <c r="H4315" s="6"/>
      <c r="I4315" s="6"/>
    </row>
    <row r="4316" spans="8:9" x14ac:dyDescent="0.2">
      <c r="H4316" s="6"/>
      <c r="I4316" s="6"/>
    </row>
    <row r="4317" spans="8:9" x14ac:dyDescent="0.2">
      <c r="H4317" s="6"/>
      <c r="I4317" s="6"/>
    </row>
    <row r="4318" spans="8:9" x14ac:dyDescent="0.2">
      <c r="H4318" s="6"/>
      <c r="I4318" s="6"/>
    </row>
    <row r="4319" spans="8:9" x14ac:dyDescent="0.2">
      <c r="H4319" s="6"/>
      <c r="I4319" s="6"/>
    </row>
    <row r="4320" spans="8:9" x14ac:dyDescent="0.2">
      <c r="H4320" s="6"/>
      <c r="I4320" s="6"/>
    </row>
    <row r="4321" spans="8:9" x14ac:dyDescent="0.2">
      <c r="H4321" s="6"/>
      <c r="I4321" s="6"/>
    </row>
    <row r="4322" spans="8:9" x14ac:dyDescent="0.2">
      <c r="H4322" s="6"/>
      <c r="I4322" s="6"/>
    </row>
    <row r="4323" spans="8:9" x14ac:dyDescent="0.2">
      <c r="H4323" s="6"/>
      <c r="I4323" s="6"/>
    </row>
    <row r="4324" spans="8:9" x14ac:dyDescent="0.2">
      <c r="H4324" s="6"/>
      <c r="I4324" s="6"/>
    </row>
    <row r="4325" spans="8:9" x14ac:dyDescent="0.2">
      <c r="H4325" s="6"/>
      <c r="I4325" s="6"/>
    </row>
    <row r="4326" spans="8:9" x14ac:dyDescent="0.2">
      <c r="H4326" s="6"/>
      <c r="I4326" s="6"/>
    </row>
    <row r="4327" spans="8:9" x14ac:dyDescent="0.2">
      <c r="H4327" s="6"/>
      <c r="I4327" s="6"/>
    </row>
    <row r="4328" spans="8:9" x14ac:dyDescent="0.2">
      <c r="H4328" s="6"/>
      <c r="I4328" s="6"/>
    </row>
    <row r="4329" spans="8:9" x14ac:dyDescent="0.2">
      <c r="H4329" s="6"/>
      <c r="I4329" s="6"/>
    </row>
    <row r="4330" spans="8:9" x14ac:dyDescent="0.2">
      <c r="H4330" s="6"/>
      <c r="I4330" s="6"/>
    </row>
    <row r="4331" spans="8:9" x14ac:dyDescent="0.2">
      <c r="H4331" s="6"/>
      <c r="I4331" s="6"/>
    </row>
    <row r="4332" spans="8:9" x14ac:dyDescent="0.2">
      <c r="H4332" s="6"/>
      <c r="I4332" s="6"/>
    </row>
    <row r="4333" spans="8:9" x14ac:dyDescent="0.2">
      <c r="H4333" s="6"/>
      <c r="I4333" s="6"/>
    </row>
    <row r="4334" spans="8:9" x14ac:dyDescent="0.2">
      <c r="H4334" s="6"/>
      <c r="I4334" s="6"/>
    </row>
    <row r="4335" spans="8:9" x14ac:dyDescent="0.2">
      <c r="H4335" s="6"/>
      <c r="I4335" s="6"/>
    </row>
    <row r="4336" spans="8:9" x14ac:dyDescent="0.2">
      <c r="H4336" s="6"/>
      <c r="I4336" s="6"/>
    </row>
    <row r="4337" spans="8:9" x14ac:dyDescent="0.2">
      <c r="H4337" s="6"/>
      <c r="I4337" s="6"/>
    </row>
    <row r="4338" spans="8:9" x14ac:dyDescent="0.2">
      <c r="H4338" s="6"/>
      <c r="I4338" s="6"/>
    </row>
    <row r="4339" spans="8:9" x14ac:dyDescent="0.2">
      <c r="H4339" s="6"/>
      <c r="I4339" s="6"/>
    </row>
    <row r="4340" spans="8:9" x14ac:dyDescent="0.2">
      <c r="H4340" s="6"/>
      <c r="I4340" s="6"/>
    </row>
    <row r="4341" spans="8:9" x14ac:dyDescent="0.2">
      <c r="H4341" s="6"/>
      <c r="I4341" s="6"/>
    </row>
    <row r="4342" spans="8:9" x14ac:dyDescent="0.2">
      <c r="H4342" s="6"/>
      <c r="I4342" s="6"/>
    </row>
    <row r="4343" spans="8:9" x14ac:dyDescent="0.2">
      <c r="H4343" s="6"/>
      <c r="I4343" s="6"/>
    </row>
    <row r="4344" spans="8:9" x14ac:dyDescent="0.2">
      <c r="H4344" s="6"/>
      <c r="I4344" s="6"/>
    </row>
    <row r="4345" spans="8:9" x14ac:dyDescent="0.2">
      <c r="H4345" s="6"/>
      <c r="I4345" s="6"/>
    </row>
    <row r="4346" spans="8:9" x14ac:dyDescent="0.2">
      <c r="H4346" s="6"/>
      <c r="I4346" s="6"/>
    </row>
    <row r="4347" spans="8:9" x14ac:dyDescent="0.2">
      <c r="H4347" s="6"/>
      <c r="I4347" s="6"/>
    </row>
    <row r="4348" spans="8:9" x14ac:dyDescent="0.2">
      <c r="H4348" s="6"/>
      <c r="I4348" s="6"/>
    </row>
    <row r="4349" spans="8:9" x14ac:dyDescent="0.2">
      <c r="H4349" s="6"/>
      <c r="I4349" s="6"/>
    </row>
    <row r="4350" spans="8:9" x14ac:dyDescent="0.2">
      <c r="H4350" s="6"/>
      <c r="I4350" s="6"/>
    </row>
    <row r="4351" spans="8:9" x14ac:dyDescent="0.2">
      <c r="H4351" s="6"/>
      <c r="I4351" s="6"/>
    </row>
    <row r="4352" spans="8:9" x14ac:dyDescent="0.2">
      <c r="H4352" s="6"/>
      <c r="I4352" s="6"/>
    </row>
    <row r="4353" spans="8:9" x14ac:dyDescent="0.2">
      <c r="H4353" s="6"/>
      <c r="I4353" s="6"/>
    </row>
    <row r="4354" spans="8:9" x14ac:dyDescent="0.2">
      <c r="H4354" s="6"/>
      <c r="I4354" s="6"/>
    </row>
    <row r="4355" spans="8:9" x14ac:dyDescent="0.2">
      <c r="H4355" s="6"/>
      <c r="I4355" s="6"/>
    </row>
    <row r="4356" spans="8:9" x14ac:dyDescent="0.2">
      <c r="H4356" s="6"/>
      <c r="I4356" s="6"/>
    </row>
    <row r="4357" spans="8:9" x14ac:dyDescent="0.2">
      <c r="H4357" s="6"/>
      <c r="I4357" s="6"/>
    </row>
    <row r="4358" spans="8:9" x14ac:dyDescent="0.2">
      <c r="H4358" s="6"/>
      <c r="I4358" s="6"/>
    </row>
    <row r="4359" spans="8:9" x14ac:dyDescent="0.2">
      <c r="H4359" s="6"/>
      <c r="I4359" s="6"/>
    </row>
    <row r="4360" spans="8:9" x14ac:dyDescent="0.2">
      <c r="H4360" s="6"/>
      <c r="I4360" s="6"/>
    </row>
    <row r="4361" spans="8:9" x14ac:dyDescent="0.2">
      <c r="H4361" s="6"/>
      <c r="I4361" s="6"/>
    </row>
    <row r="4362" spans="8:9" x14ac:dyDescent="0.2">
      <c r="H4362" s="6"/>
      <c r="I4362" s="6"/>
    </row>
    <row r="4363" spans="8:9" x14ac:dyDescent="0.2">
      <c r="H4363" s="6"/>
      <c r="I4363" s="6"/>
    </row>
    <row r="4364" spans="8:9" x14ac:dyDescent="0.2">
      <c r="H4364" s="6"/>
      <c r="I4364" s="6"/>
    </row>
    <row r="4365" spans="8:9" x14ac:dyDescent="0.2">
      <c r="H4365" s="6"/>
      <c r="I4365" s="6"/>
    </row>
    <row r="4366" spans="8:9" x14ac:dyDescent="0.2">
      <c r="H4366" s="6"/>
      <c r="I4366" s="6"/>
    </row>
    <row r="4367" spans="8:9" x14ac:dyDescent="0.2">
      <c r="H4367" s="6"/>
      <c r="I4367" s="6"/>
    </row>
    <row r="4368" spans="8:9" x14ac:dyDescent="0.2">
      <c r="H4368" s="6"/>
      <c r="I4368" s="6"/>
    </row>
    <row r="4369" spans="8:9" x14ac:dyDescent="0.2">
      <c r="H4369" s="6"/>
      <c r="I4369" s="6"/>
    </row>
    <row r="4370" spans="8:9" x14ac:dyDescent="0.2">
      <c r="H4370" s="6"/>
      <c r="I4370" s="6"/>
    </row>
    <row r="4371" spans="8:9" x14ac:dyDescent="0.2">
      <c r="H4371" s="6"/>
      <c r="I4371" s="6"/>
    </row>
    <row r="4372" spans="8:9" x14ac:dyDescent="0.2">
      <c r="H4372" s="6"/>
      <c r="I4372" s="6"/>
    </row>
    <row r="4373" spans="8:9" x14ac:dyDescent="0.2">
      <c r="H4373" s="6"/>
      <c r="I4373" s="6"/>
    </row>
    <row r="4374" spans="8:9" x14ac:dyDescent="0.2">
      <c r="H4374" s="6"/>
      <c r="I4374" s="6"/>
    </row>
    <row r="4375" spans="8:9" x14ac:dyDescent="0.2">
      <c r="H4375" s="6"/>
      <c r="I4375" s="6"/>
    </row>
    <row r="4376" spans="8:9" x14ac:dyDescent="0.2">
      <c r="H4376" s="6"/>
      <c r="I4376" s="6"/>
    </row>
    <row r="4377" spans="8:9" x14ac:dyDescent="0.2">
      <c r="H4377" s="6"/>
      <c r="I4377" s="6"/>
    </row>
    <row r="4378" spans="8:9" x14ac:dyDescent="0.2">
      <c r="H4378" s="6"/>
      <c r="I4378" s="6"/>
    </row>
    <row r="4379" spans="8:9" x14ac:dyDescent="0.2">
      <c r="H4379" s="6"/>
      <c r="I4379" s="6"/>
    </row>
    <row r="4380" spans="8:9" x14ac:dyDescent="0.2">
      <c r="H4380" s="6"/>
      <c r="I4380" s="6"/>
    </row>
    <row r="4381" spans="8:9" x14ac:dyDescent="0.2">
      <c r="H4381" s="6"/>
      <c r="I4381" s="6"/>
    </row>
    <row r="4382" spans="8:9" x14ac:dyDescent="0.2">
      <c r="H4382" s="6"/>
      <c r="I4382" s="6"/>
    </row>
    <row r="4383" spans="8:9" x14ac:dyDescent="0.2">
      <c r="H4383" s="6"/>
      <c r="I4383" s="6"/>
    </row>
    <row r="4384" spans="8:9" x14ac:dyDescent="0.2">
      <c r="H4384" s="6"/>
      <c r="I4384" s="6"/>
    </row>
    <row r="4385" spans="8:9" x14ac:dyDescent="0.2">
      <c r="H4385" s="6"/>
      <c r="I4385" s="6"/>
    </row>
    <row r="4386" spans="8:9" x14ac:dyDescent="0.2">
      <c r="H4386" s="6"/>
      <c r="I4386" s="6"/>
    </row>
    <row r="4387" spans="8:9" x14ac:dyDescent="0.2">
      <c r="H4387" s="6"/>
      <c r="I4387" s="6"/>
    </row>
    <row r="4388" spans="8:9" x14ac:dyDescent="0.2">
      <c r="H4388" s="6"/>
      <c r="I4388" s="6"/>
    </row>
    <row r="4389" spans="8:9" x14ac:dyDescent="0.2">
      <c r="H4389" s="6"/>
      <c r="I4389" s="6"/>
    </row>
    <row r="4390" spans="8:9" x14ac:dyDescent="0.2">
      <c r="H4390" s="6"/>
      <c r="I4390" s="6"/>
    </row>
    <row r="4391" spans="8:9" x14ac:dyDescent="0.2">
      <c r="H4391" s="6"/>
      <c r="I4391" s="6"/>
    </row>
    <row r="4392" spans="8:9" x14ac:dyDescent="0.2">
      <c r="H4392" s="6"/>
      <c r="I4392" s="6"/>
    </row>
    <row r="4393" spans="8:9" x14ac:dyDescent="0.2">
      <c r="H4393" s="6"/>
      <c r="I4393" s="6"/>
    </row>
    <row r="4394" spans="8:9" x14ac:dyDescent="0.2">
      <c r="H4394" s="6"/>
      <c r="I4394" s="6"/>
    </row>
    <row r="4395" spans="8:9" x14ac:dyDescent="0.2">
      <c r="H4395" s="6"/>
      <c r="I4395" s="6"/>
    </row>
    <row r="4396" spans="8:9" x14ac:dyDescent="0.2">
      <c r="H4396" s="6"/>
      <c r="I4396" s="6"/>
    </row>
    <row r="4397" spans="8:9" x14ac:dyDescent="0.2">
      <c r="H4397" s="6"/>
      <c r="I4397" s="6"/>
    </row>
    <row r="4398" spans="8:9" x14ac:dyDescent="0.2">
      <c r="H4398" s="6"/>
      <c r="I4398" s="6"/>
    </row>
    <row r="4399" spans="8:9" x14ac:dyDescent="0.2">
      <c r="H4399" s="6"/>
      <c r="I4399" s="6"/>
    </row>
    <row r="4400" spans="8:9" x14ac:dyDescent="0.2">
      <c r="H4400" s="6"/>
      <c r="I4400" s="6"/>
    </row>
    <row r="4401" spans="8:9" x14ac:dyDescent="0.2">
      <c r="H4401" s="6"/>
      <c r="I4401" s="6"/>
    </row>
    <row r="4402" spans="8:9" x14ac:dyDescent="0.2">
      <c r="H4402" s="6"/>
      <c r="I4402" s="6"/>
    </row>
    <row r="4403" spans="8:9" x14ac:dyDescent="0.2">
      <c r="H4403" s="6"/>
      <c r="I4403" s="6"/>
    </row>
    <row r="4404" spans="8:9" x14ac:dyDescent="0.2">
      <c r="H4404" s="6"/>
      <c r="I4404" s="6"/>
    </row>
    <row r="4405" spans="8:9" x14ac:dyDescent="0.2">
      <c r="H4405" s="6"/>
      <c r="I4405" s="6"/>
    </row>
    <row r="4406" spans="8:9" x14ac:dyDescent="0.2">
      <c r="H4406" s="6"/>
      <c r="I4406" s="6"/>
    </row>
    <row r="4407" spans="8:9" x14ac:dyDescent="0.2">
      <c r="H4407" s="6"/>
      <c r="I4407" s="6"/>
    </row>
    <row r="4408" spans="8:9" x14ac:dyDescent="0.2">
      <c r="H4408" s="6"/>
      <c r="I4408" s="6"/>
    </row>
    <row r="4409" spans="8:9" x14ac:dyDescent="0.2">
      <c r="H4409" s="6"/>
      <c r="I4409" s="6"/>
    </row>
    <row r="4410" spans="8:9" x14ac:dyDescent="0.2">
      <c r="H4410" s="6"/>
      <c r="I4410" s="6"/>
    </row>
    <row r="4411" spans="8:9" x14ac:dyDescent="0.2">
      <c r="H4411" s="6"/>
      <c r="I4411" s="6"/>
    </row>
    <row r="4412" spans="8:9" x14ac:dyDescent="0.2">
      <c r="H4412" s="6"/>
      <c r="I4412" s="6"/>
    </row>
    <row r="4413" spans="8:9" x14ac:dyDescent="0.2">
      <c r="H4413" s="6"/>
      <c r="I4413" s="6"/>
    </row>
    <row r="4414" spans="8:9" x14ac:dyDescent="0.2">
      <c r="H4414" s="6"/>
      <c r="I4414" s="6"/>
    </row>
    <row r="4415" spans="8:9" x14ac:dyDescent="0.2">
      <c r="H4415" s="6"/>
      <c r="I4415" s="6"/>
    </row>
    <row r="4416" spans="8:9" x14ac:dyDescent="0.2">
      <c r="H4416" s="6"/>
      <c r="I4416" s="6"/>
    </row>
    <row r="4417" spans="8:9" x14ac:dyDescent="0.2">
      <c r="H4417" s="6"/>
      <c r="I4417" s="6"/>
    </row>
    <row r="4418" spans="8:9" x14ac:dyDescent="0.2">
      <c r="H4418" s="6"/>
      <c r="I4418" s="6"/>
    </row>
    <row r="4419" spans="8:9" x14ac:dyDescent="0.2">
      <c r="H4419" s="6"/>
      <c r="I4419" s="6"/>
    </row>
    <row r="4420" spans="8:9" x14ac:dyDescent="0.2">
      <c r="H4420" s="6"/>
      <c r="I4420" s="6"/>
    </row>
    <row r="4421" spans="8:9" x14ac:dyDescent="0.2">
      <c r="H4421" s="6"/>
      <c r="I4421" s="6"/>
    </row>
    <row r="4422" spans="8:9" x14ac:dyDescent="0.2">
      <c r="H4422" s="6"/>
      <c r="I4422" s="6"/>
    </row>
    <row r="4423" spans="8:9" x14ac:dyDescent="0.2">
      <c r="H4423" s="6"/>
      <c r="I4423" s="6"/>
    </row>
    <row r="4424" spans="8:9" x14ac:dyDescent="0.2">
      <c r="H4424" s="6"/>
      <c r="I4424" s="6"/>
    </row>
    <row r="4425" spans="8:9" x14ac:dyDescent="0.2">
      <c r="H4425" s="6"/>
      <c r="I4425" s="6"/>
    </row>
    <row r="4426" spans="8:9" x14ac:dyDescent="0.2">
      <c r="H4426" s="6"/>
      <c r="I4426" s="6"/>
    </row>
    <row r="4427" spans="8:9" x14ac:dyDescent="0.2">
      <c r="H4427" s="6"/>
      <c r="I4427" s="6"/>
    </row>
    <row r="4428" spans="8:9" x14ac:dyDescent="0.2">
      <c r="H4428" s="6"/>
      <c r="I4428" s="6"/>
    </row>
    <row r="4429" spans="8:9" x14ac:dyDescent="0.2">
      <c r="H4429" s="6"/>
      <c r="I4429" s="6"/>
    </row>
    <row r="4430" spans="8:9" x14ac:dyDescent="0.2">
      <c r="H4430" s="6"/>
      <c r="I4430" s="6"/>
    </row>
    <row r="4431" spans="8:9" x14ac:dyDescent="0.2">
      <c r="H4431" s="6"/>
      <c r="I4431" s="6"/>
    </row>
    <row r="4432" spans="8:9" x14ac:dyDescent="0.2">
      <c r="H4432" s="6"/>
      <c r="I4432" s="6"/>
    </row>
    <row r="4433" spans="8:9" x14ac:dyDescent="0.2">
      <c r="H4433" s="6"/>
      <c r="I4433" s="6"/>
    </row>
    <row r="4434" spans="8:9" x14ac:dyDescent="0.2">
      <c r="H4434" s="6"/>
      <c r="I4434" s="6"/>
    </row>
    <row r="4435" spans="8:9" x14ac:dyDescent="0.2">
      <c r="H4435" s="6"/>
      <c r="I4435" s="6"/>
    </row>
    <row r="4436" spans="8:9" x14ac:dyDescent="0.2">
      <c r="H4436" s="6"/>
      <c r="I4436" s="6"/>
    </row>
    <row r="4437" spans="8:9" x14ac:dyDescent="0.2">
      <c r="H4437" s="6"/>
      <c r="I4437" s="6"/>
    </row>
    <row r="4438" spans="8:9" x14ac:dyDescent="0.2">
      <c r="H4438" s="6"/>
      <c r="I4438" s="6"/>
    </row>
    <row r="4439" spans="8:9" x14ac:dyDescent="0.2">
      <c r="H4439" s="6"/>
      <c r="I4439" s="6"/>
    </row>
    <row r="4440" spans="8:9" x14ac:dyDescent="0.2">
      <c r="H4440" s="6"/>
      <c r="I4440" s="6"/>
    </row>
    <row r="4441" spans="8:9" x14ac:dyDescent="0.2">
      <c r="H4441" s="6"/>
      <c r="I4441" s="6"/>
    </row>
    <row r="4442" spans="8:9" x14ac:dyDescent="0.2">
      <c r="H4442" s="6"/>
      <c r="I4442" s="6"/>
    </row>
    <row r="4443" spans="8:9" x14ac:dyDescent="0.2">
      <c r="H4443" s="6"/>
      <c r="I4443" s="6"/>
    </row>
    <row r="4444" spans="8:9" x14ac:dyDescent="0.2">
      <c r="H4444" s="6"/>
      <c r="I4444" s="6"/>
    </row>
    <row r="4445" spans="8:9" x14ac:dyDescent="0.2">
      <c r="H4445" s="6"/>
      <c r="I4445" s="6"/>
    </row>
    <row r="4446" spans="8:9" x14ac:dyDescent="0.2">
      <c r="H4446" s="6"/>
      <c r="I4446" s="6"/>
    </row>
    <row r="4447" spans="8:9" x14ac:dyDescent="0.2">
      <c r="H4447" s="6"/>
      <c r="I4447" s="6"/>
    </row>
    <row r="4448" spans="8:9" x14ac:dyDescent="0.2">
      <c r="H4448" s="6"/>
      <c r="I4448" s="6"/>
    </row>
    <row r="4449" spans="8:9" x14ac:dyDescent="0.2">
      <c r="H4449" s="6"/>
      <c r="I4449" s="6"/>
    </row>
    <row r="4450" spans="8:9" x14ac:dyDescent="0.2">
      <c r="H4450" s="6"/>
      <c r="I4450" s="6"/>
    </row>
    <row r="4451" spans="8:9" x14ac:dyDescent="0.2">
      <c r="H4451" s="6"/>
      <c r="I4451" s="6"/>
    </row>
    <row r="4452" spans="8:9" x14ac:dyDescent="0.2">
      <c r="H4452" s="6"/>
      <c r="I4452" s="6"/>
    </row>
    <row r="4453" spans="8:9" x14ac:dyDescent="0.2">
      <c r="H4453" s="6"/>
      <c r="I4453" s="6"/>
    </row>
    <row r="4454" spans="8:9" x14ac:dyDescent="0.2">
      <c r="H4454" s="6"/>
      <c r="I4454" s="6"/>
    </row>
    <row r="4455" spans="8:9" x14ac:dyDescent="0.2">
      <c r="H4455" s="6"/>
      <c r="I4455" s="6"/>
    </row>
    <row r="4456" spans="8:9" x14ac:dyDescent="0.2">
      <c r="H4456" s="6"/>
      <c r="I4456" s="6"/>
    </row>
    <row r="4457" spans="8:9" x14ac:dyDescent="0.2">
      <c r="H4457" s="6"/>
      <c r="I4457" s="6"/>
    </row>
    <row r="4458" spans="8:9" x14ac:dyDescent="0.2">
      <c r="H4458" s="6"/>
      <c r="I4458" s="6"/>
    </row>
    <row r="4459" spans="8:9" x14ac:dyDescent="0.2">
      <c r="H4459" s="6"/>
      <c r="I4459" s="6"/>
    </row>
    <row r="4460" spans="8:9" x14ac:dyDescent="0.2">
      <c r="H4460" s="6"/>
      <c r="I4460" s="6"/>
    </row>
    <row r="4461" spans="8:9" x14ac:dyDescent="0.2">
      <c r="H4461" s="6"/>
      <c r="I4461" s="6"/>
    </row>
    <row r="4462" spans="8:9" x14ac:dyDescent="0.2">
      <c r="H4462" s="6"/>
      <c r="I4462" s="6"/>
    </row>
    <row r="4463" spans="8:9" x14ac:dyDescent="0.2">
      <c r="H4463" s="6"/>
      <c r="I4463" s="6"/>
    </row>
    <row r="4464" spans="8:9" x14ac:dyDescent="0.2">
      <c r="H4464" s="6"/>
      <c r="I4464" s="6"/>
    </row>
    <row r="4465" spans="8:9" x14ac:dyDescent="0.2">
      <c r="H4465" s="6"/>
      <c r="I4465" s="6"/>
    </row>
    <row r="4466" spans="8:9" x14ac:dyDescent="0.2">
      <c r="H4466" s="6"/>
      <c r="I4466" s="6"/>
    </row>
    <row r="4467" spans="8:9" x14ac:dyDescent="0.2">
      <c r="H4467" s="6"/>
      <c r="I4467" s="6"/>
    </row>
    <row r="4468" spans="8:9" x14ac:dyDescent="0.2">
      <c r="H4468" s="6"/>
      <c r="I4468" s="6"/>
    </row>
    <row r="4469" spans="8:9" x14ac:dyDescent="0.2">
      <c r="H4469" s="6"/>
      <c r="I4469" s="6"/>
    </row>
    <row r="4470" spans="8:9" x14ac:dyDescent="0.2">
      <c r="H4470" s="6"/>
      <c r="I4470" s="6"/>
    </row>
    <row r="4471" spans="8:9" x14ac:dyDescent="0.2">
      <c r="H4471" s="6"/>
      <c r="I4471" s="6"/>
    </row>
    <row r="4472" spans="8:9" x14ac:dyDescent="0.2">
      <c r="H4472" s="6"/>
      <c r="I4472" s="6"/>
    </row>
    <row r="4473" spans="8:9" x14ac:dyDescent="0.2">
      <c r="H4473" s="6"/>
      <c r="I4473" s="6"/>
    </row>
    <row r="4474" spans="8:9" x14ac:dyDescent="0.2">
      <c r="H4474" s="6"/>
      <c r="I4474" s="6"/>
    </row>
    <row r="4475" spans="8:9" x14ac:dyDescent="0.2">
      <c r="H4475" s="6"/>
      <c r="I4475" s="6"/>
    </row>
    <row r="4476" spans="8:9" x14ac:dyDescent="0.2">
      <c r="H4476" s="6"/>
      <c r="I4476" s="6"/>
    </row>
    <row r="4477" spans="8:9" x14ac:dyDescent="0.2">
      <c r="H4477" s="6"/>
      <c r="I4477" s="6"/>
    </row>
    <row r="4478" spans="8:9" x14ac:dyDescent="0.2">
      <c r="H4478" s="6"/>
      <c r="I4478" s="6"/>
    </row>
    <row r="4479" spans="8:9" x14ac:dyDescent="0.2">
      <c r="H4479" s="6"/>
      <c r="I4479" s="6"/>
    </row>
    <row r="4480" spans="8:9" x14ac:dyDescent="0.2">
      <c r="H4480" s="6"/>
      <c r="I4480" s="6"/>
    </row>
    <row r="4481" spans="8:9" x14ac:dyDescent="0.2">
      <c r="H4481" s="6"/>
      <c r="I4481" s="6"/>
    </row>
    <row r="4482" spans="8:9" x14ac:dyDescent="0.2">
      <c r="H4482" s="6"/>
      <c r="I4482" s="6"/>
    </row>
    <row r="4483" spans="8:9" x14ac:dyDescent="0.2">
      <c r="H4483" s="6"/>
      <c r="I4483" s="6"/>
    </row>
    <row r="4484" spans="8:9" x14ac:dyDescent="0.2">
      <c r="H4484" s="6"/>
      <c r="I4484" s="6"/>
    </row>
    <row r="4485" spans="8:9" x14ac:dyDescent="0.2">
      <c r="H4485" s="6"/>
      <c r="I4485" s="6"/>
    </row>
    <row r="4486" spans="8:9" x14ac:dyDescent="0.2">
      <c r="H4486" s="6"/>
      <c r="I4486" s="6"/>
    </row>
    <row r="4487" spans="8:9" x14ac:dyDescent="0.2">
      <c r="H4487" s="6"/>
      <c r="I4487" s="6"/>
    </row>
    <row r="4488" spans="8:9" x14ac:dyDescent="0.2">
      <c r="H4488" s="6"/>
      <c r="I4488" s="6"/>
    </row>
    <row r="4489" spans="8:9" x14ac:dyDescent="0.2">
      <c r="H4489" s="6"/>
      <c r="I4489" s="6"/>
    </row>
    <row r="4490" spans="8:9" x14ac:dyDescent="0.2">
      <c r="H4490" s="6"/>
      <c r="I4490" s="6"/>
    </row>
    <row r="4491" spans="8:9" x14ac:dyDescent="0.2">
      <c r="H4491" s="6"/>
      <c r="I4491" s="6"/>
    </row>
    <row r="4492" spans="8:9" x14ac:dyDescent="0.2">
      <c r="H4492" s="6"/>
      <c r="I4492" s="6"/>
    </row>
    <row r="4493" spans="8:9" x14ac:dyDescent="0.2">
      <c r="H4493" s="6"/>
      <c r="I4493" s="6"/>
    </row>
    <row r="4494" spans="8:9" x14ac:dyDescent="0.2">
      <c r="H4494" s="6"/>
      <c r="I4494" s="6"/>
    </row>
    <row r="4495" spans="8:9" x14ac:dyDescent="0.2">
      <c r="H4495" s="6"/>
      <c r="I4495" s="6"/>
    </row>
    <row r="4496" spans="8:9" x14ac:dyDescent="0.2">
      <c r="H4496" s="6"/>
      <c r="I4496" s="6"/>
    </row>
    <row r="4497" spans="8:9" x14ac:dyDescent="0.2">
      <c r="H4497" s="6"/>
      <c r="I4497" s="6"/>
    </row>
    <row r="4498" spans="8:9" x14ac:dyDescent="0.2">
      <c r="H4498" s="6"/>
      <c r="I4498" s="6"/>
    </row>
    <row r="4499" spans="8:9" x14ac:dyDescent="0.2">
      <c r="H4499" s="6"/>
      <c r="I4499" s="6"/>
    </row>
    <row r="4500" spans="8:9" x14ac:dyDescent="0.2">
      <c r="H4500" s="6"/>
      <c r="I4500" s="6"/>
    </row>
    <row r="4501" spans="8:9" x14ac:dyDescent="0.2">
      <c r="H4501" s="6"/>
      <c r="I4501" s="6"/>
    </row>
    <row r="4502" spans="8:9" x14ac:dyDescent="0.2">
      <c r="H4502" s="6"/>
      <c r="I4502" s="6"/>
    </row>
    <row r="4503" spans="8:9" x14ac:dyDescent="0.2">
      <c r="H4503" s="6"/>
      <c r="I4503" s="6"/>
    </row>
    <row r="4504" spans="8:9" x14ac:dyDescent="0.2">
      <c r="H4504" s="6"/>
      <c r="I4504" s="6"/>
    </row>
    <row r="4505" spans="8:9" x14ac:dyDescent="0.2">
      <c r="H4505" s="6"/>
      <c r="I4505" s="6"/>
    </row>
    <row r="4506" spans="8:9" x14ac:dyDescent="0.2">
      <c r="H4506" s="6"/>
      <c r="I4506" s="6"/>
    </row>
    <row r="4507" spans="8:9" x14ac:dyDescent="0.2">
      <c r="H4507" s="6"/>
      <c r="I4507" s="6"/>
    </row>
    <row r="4508" spans="8:9" x14ac:dyDescent="0.2">
      <c r="H4508" s="6"/>
      <c r="I4508" s="6"/>
    </row>
    <row r="4509" spans="8:9" x14ac:dyDescent="0.2">
      <c r="H4509" s="6"/>
      <c r="I4509" s="6"/>
    </row>
    <row r="4510" spans="8:9" x14ac:dyDescent="0.2">
      <c r="H4510" s="6"/>
      <c r="I4510" s="6"/>
    </row>
    <row r="4511" spans="8:9" x14ac:dyDescent="0.2">
      <c r="H4511" s="6"/>
      <c r="I4511" s="6"/>
    </row>
    <row r="4512" spans="8:9" x14ac:dyDescent="0.2">
      <c r="H4512" s="6"/>
      <c r="I4512" s="6"/>
    </row>
    <row r="4513" spans="8:9" x14ac:dyDescent="0.2">
      <c r="H4513" s="6"/>
      <c r="I4513" s="6"/>
    </row>
    <row r="4514" spans="8:9" x14ac:dyDescent="0.2">
      <c r="H4514" s="6"/>
      <c r="I4514" s="6"/>
    </row>
    <row r="4515" spans="8:9" x14ac:dyDescent="0.2">
      <c r="H4515" s="6"/>
      <c r="I4515" s="6"/>
    </row>
    <row r="4516" spans="8:9" x14ac:dyDescent="0.2">
      <c r="H4516" s="6"/>
      <c r="I4516" s="6"/>
    </row>
    <row r="4517" spans="8:9" x14ac:dyDescent="0.2">
      <c r="H4517" s="6"/>
      <c r="I4517" s="6"/>
    </row>
    <row r="4518" spans="8:9" x14ac:dyDescent="0.2">
      <c r="H4518" s="6"/>
      <c r="I4518" s="6"/>
    </row>
    <row r="4519" spans="8:9" x14ac:dyDescent="0.2">
      <c r="H4519" s="6"/>
      <c r="I4519" s="6"/>
    </row>
    <row r="4520" spans="8:9" x14ac:dyDescent="0.2">
      <c r="H4520" s="6"/>
      <c r="I4520" s="6"/>
    </row>
    <row r="4521" spans="8:9" x14ac:dyDescent="0.2">
      <c r="H4521" s="6"/>
      <c r="I4521" s="6"/>
    </row>
    <row r="4522" spans="8:9" x14ac:dyDescent="0.2">
      <c r="H4522" s="6"/>
      <c r="I4522" s="6"/>
    </row>
    <row r="4523" spans="8:9" x14ac:dyDescent="0.2">
      <c r="H4523" s="6"/>
      <c r="I4523" s="6"/>
    </row>
    <row r="4524" spans="8:9" x14ac:dyDescent="0.2">
      <c r="H4524" s="6"/>
      <c r="I4524" s="6"/>
    </row>
    <row r="4525" spans="8:9" x14ac:dyDescent="0.2">
      <c r="H4525" s="6"/>
      <c r="I4525" s="6"/>
    </row>
    <row r="4526" spans="8:9" x14ac:dyDescent="0.2">
      <c r="H4526" s="6"/>
      <c r="I4526" s="6"/>
    </row>
    <row r="4527" spans="8:9" x14ac:dyDescent="0.2">
      <c r="H4527" s="6"/>
      <c r="I4527" s="6"/>
    </row>
    <row r="4528" spans="8:9" x14ac:dyDescent="0.2">
      <c r="H4528" s="6"/>
      <c r="I4528" s="6"/>
    </row>
    <row r="4529" spans="8:9" x14ac:dyDescent="0.2">
      <c r="H4529" s="6"/>
      <c r="I4529" s="6"/>
    </row>
    <row r="4530" spans="8:9" x14ac:dyDescent="0.2">
      <c r="H4530" s="6"/>
      <c r="I4530" s="6"/>
    </row>
    <row r="4531" spans="8:9" x14ac:dyDescent="0.2">
      <c r="H4531" s="6"/>
      <c r="I4531" s="6"/>
    </row>
    <row r="4532" spans="8:9" x14ac:dyDescent="0.2">
      <c r="H4532" s="6"/>
      <c r="I4532" s="6"/>
    </row>
    <row r="4533" spans="8:9" x14ac:dyDescent="0.2">
      <c r="H4533" s="6"/>
      <c r="I4533" s="6"/>
    </row>
    <row r="4534" spans="8:9" x14ac:dyDescent="0.2">
      <c r="H4534" s="6"/>
      <c r="I4534" s="6"/>
    </row>
    <row r="4535" spans="8:9" x14ac:dyDescent="0.2">
      <c r="H4535" s="6"/>
      <c r="I4535" s="6"/>
    </row>
    <row r="4536" spans="8:9" x14ac:dyDescent="0.2">
      <c r="H4536" s="6"/>
      <c r="I4536" s="6"/>
    </row>
    <row r="4537" spans="8:9" x14ac:dyDescent="0.2">
      <c r="H4537" s="6"/>
      <c r="I4537" s="6"/>
    </row>
    <row r="4538" spans="8:9" x14ac:dyDescent="0.2">
      <c r="H4538" s="6"/>
      <c r="I4538" s="6"/>
    </row>
    <row r="4539" spans="8:9" x14ac:dyDescent="0.2">
      <c r="H4539" s="6"/>
      <c r="I4539" s="6"/>
    </row>
    <row r="4540" spans="8:9" x14ac:dyDescent="0.2">
      <c r="H4540" s="6"/>
      <c r="I4540" s="6"/>
    </row>
    <row r="4541" spans="8:9" x14ac:dyDescent="0.2">
      <c r="H4541" s="6"/>
      <c r="I4541" s="6"/>
    </row>
    <row r="4542" spans="8:9" x14ac:dyDescent="0.2">
      <c r="H4542" s="6"/>
      <c r="I4542" s="6"/>
    </row>
    <row r="4543" spans="8:9" x14ac:dyDescent="0.2">
      <c r="H4543" s="6"/>
      <c r="I4543" s="6"/>
    </row>
    <row r="4544" spans="8:9" x14ac:dyDescent="0.2">
      <c r="H4544" s="6"/>
      <c r="I4544" s="6"/>
    </row>
    <row r="4545" spans="8:9" x14ac:dyDescent="0.2">
      <c r="H4545" s="6"/>
      <c r="I4545" s="6"/>
    </row>
    <row r="4546" spans="8:9" x14ac:dyDescent="0.2">
      <c r="H4546" s="6"/>
      <c r="I4546" s="6"/>
    </row>
    <row r="4547" spans="8:9" x14ac:dyDescent="0.2">
      <c r="H4547" s="6"/>
      <c r="I4547" s="6"/>
    </row>
    <row r="4548" spans="8:9" x14ac:dyDescent="0.2">
      <c r="H4548" s="6"/>
      <c r="I4548" s="6"/>
    </row>
    <row r="4549" spans="8:9" x14ac:dyDescent="0.2">
      <c r="H4549" s="6"/>
      <c r="I4549" s="6"/>
    </row>
    <row r="4550" spans="8:9" x14ac:dyDescent="0.2">
      <c r="H4550" s="6"/>
      <c r="I4550" s="6"/>
    </row>
    <row r="4551" spans="8:9" x14ac:dyDescent="0.2">
      <c r="H4551" s="6"/>
      <c r="I4551" s="6"/>
    </row>
    <row r="4552" spans="8:9" x14ac:dyDescent="0.2">
      <c r="H4552" s="6"/>
      <c r="I4552" s="6"/>
    </row>
    <row r="4553" spans="8:9" x14ac:dyDescent="0.2">
      <c r="H4553" s="6"/>
      <c r="I4553" s="6"/>
    </row>
    <row r="4554" spans="8:9" x14ac:dyDescent="0.2">
      <c r="H4554" s="6"/>
      <c r="I4554" s="6"/>
    </row>
    <row r="4555" spans="8:9" x14ac:dyDescent="0.2">
      <c r="H4555" s="6"/>
      <c r="I4555" s="6"/>
    </row>
    <row r="4556" spans="8:9" x14ac:dyDescent="0.2">
      <c r="H4556" s="6"/>
      <c r="I4556" s="6"/>
    </row>
    <row r="4557" spans="8:9" x14ac:dyDescent="0.2">
      <c r="H4557" s="6"/>
      <c r="I4557" s="6"/>
    </row>
    <row r="4558" spans="8:9" x14ac:dyDescent="0.2">
      <c r="H4558" s="6"/>
      <c r="I4558" s="6"/>
    </row>
    <row r="4559" spans="8:9" x14ac:dyDescent="0.2">
      <c r="H4559" s="6"/>
      <c r="I4559" s="6"/>
    </row>
    <row r="4560" spans="8:9" x14ac:dyDescent="0.2">
      <c r="H4560" s="6"/>
      <c r="I4560" s="6"/>
    </row>
    <row r="4561" spans="8:9" x14ac:dyDescent="0.2">
      <c r="H4561" s="6"/>
      <c r="I4561" s="6"/>
    </row>
    <row r="4562" spans="8:9" x14ac:dyDescent="0.2">
      <c r="H4562" s="6"/>
      <c r="I4562" s="6"/>
    </row>
    <row r="4563" spans="8:9" x14ac:dyDescent="0.2">
      <c r="H4563" s="6"/>
      <c r="I4563" s="6"/>
    </row>
    <row r="4564" spans="8:9" x14ac:dyDescent="0.2">
      <c r="H4564" s="6"/>
      <c r="I4564" s="6"/>
    </row>
    <row r="4565" spans="8:9" x14ac:dyDescent="0.2">
      <c r="H4565" s="6"/>
      <c r="I4565" s="6"/>
    </row>
    <row r="4566" spans="8:9" x14ac:dyDescent="0.2">
      <c r="H4566" s="6"/>
      <c r="I4566" s="6"/>
    </row>
    <row r="4567" spans="8:9" x14ac:dyDescent="0.2">
      <c r="H4567" s="6"/>
      <c r="I4567" s="6"/>
    </row>
    <row r="4568" spans="8:9" x14ac:dyDescent="0.2">
      <c r="H4568" s="6"/>
      <c r="I4568" s="6"/>
    </row>
    <row r="4569" spans="8:9" x14ac:dyDescent="0.2">
      <c r="H4569" s="6"/>
      <c r="I4569" s="6"/>
    </row>
    <row r="4570" spans="8:9" x14ac:dyDescent="0.2">
      <c r="H4570" s="6"/>
      <c r="I4570" s="6"/>
    </row>
    <row r="4571" spans="8:9" x14ac:dyDescent="0.2">
      <c r="H4571" s="6"/>
      <c r="I4571" s="6"/>
    </row>
    <row r="4572" spans="8:9" x14ac:dyDescent="0.2">
      <c r="H4572" s="6"/>
      <c r="I4572" s="6"/>
    </row>
    <row r="4573" spans="8:9" x14ac:dyDescent="0.2">
      <c r="H4573" s="6"/>
      <c r="I4573" s="6"/>
    </row>
    <row r="4574" spans="8:9" x14ac:dyDescent="0.2">
      <c r="H4574" s="6"/>
      <c r="I4574" s="6"/>
    </row>
    <row r="4575" spans="8:9" x14ac:dyDescent="0.2">
      <c r="H4575" s="6"/>
      <c r="I4575" s="6"/>
    </row>
    <row r="4576" spans="8:9" x14ac:dyDescent="0.2">
      <c r="H4576" s="6"/>
      <c r="I4576" s="6"/>
    </row>
    <row r="4577" spans="8:9" x14ac:dyDescent="0.2">
      <c r="H4577" s="6"/>
      <c r="I4577" s="6"/>
    </row>
    <row r="4578" spans="8:9" x14ac:dyDescent="0.2">
      <c r="H4578" s="6"/>
      <c r="I4578" s="6"/>
    </row>
    <row r="4579" spans="8:9" x14ac:dyDescent="0.2">
      <c r="H4579" s="6"/>
      <c r="I4579" s="6"/>
    </row>
    <row r="4580" spans="8:9" x14ac:dyDescent="0.2">
      <c r="H4580" s="6"/>
      <c r="I4580" s="6"/>
    </row>
    <row r="4581" spans="8:9" x14ac:dyDescent="0.2">
      <c r="H4581" s="6"/>
      <c r="I4581" s="6"/>
    </row>
    <row r="4582" spans="8:9" x14ac:dyDescent="0.2">
      <c r="H4582" s="6"/>
      <c r="I4582" s="6"/>
    </row>
    <row r="4583" spans="8:9" x14ac:dyDescent="0.2">
      <c r="H4583" s="6"/>
      <c r="I4583" s="6"/>
    </row>
    <row r="4584" spans="8:9" x14ac:dyDescent="0.2">
      <c r="H4584" s="6"/>
      <c r="I4584" s="6"/>
    </row>
    <row r="4585" spans="8:9" x14ac:dyDescent="0.2">
      <c r="H4585" s="6"/>
      <c r="I4585" s="6"/>
    </row>
    <row r="4586" spans="8:9" x14ac:dyDescent="0.2">
      <c r="H4586" s="6"/>
      <c r="I4586" s="6"/>
    </row>
    <row r="4587" spans="8:9" x14ac:dyDescent="0.2">
      <c r="H4587" s="6"/>
      <c r="I4587" s="6"/>
    </row>
    <row r="4588" spans="8:9" x14ac:dyDescent="0.2">
      <c r="H4588" s="6"/>
      <c r="I4588" s="6"/>
    </row>
    <row r="4589" spans="8:9" x14ac:dyDescent="0.2">
      <c r="H4589" s="6"/>
      <c r="I4589" s="6"/>
    </row>
    <row r="4590" spans="8:9" x14ac:dyDescent="0.2">
      <c r="H4590" s="6"/>
      <c r="I4590" s="6"/>
    </row>
    <row r="4591" spans="8:9" x14ac:dyDescent="0.2">
      <c r="H4591" s="6"/>
      <c r="I4591" s="6"/>
    </row>
    <row r="4592" spans="8:9" x14ac:dyDescent="0.2">
      <c r="H4592" s="6"/>
      <c r="I4592" s="6"/>
    </row>
    <row r="4593" spans="8:9" x14ac:dyDescent="0.2">
      <c r="H4593" s="6"/>
      <c r="I4593" s="6"/>
    </row>
    <row r="4594" spans="8:9" x14ac:dyDescent="0.2">
      <c r="H4594" s="6"/>
      <c r="I4594" s="6"/>
    </row>
    <row r="4595" spans="8:9" x14ac:dyDescent="0.2">
      <c r="H4595" s="6"/>
      <c r="I4595" s="6"/>
    </row>
    <row r="4596" spans="8:9" x14ac:dyDescent="0.2">
      <c r="H4596" s="6"/>
      <c r="I4596" s="6"/>
    </row>
    <row r="4597" spans="8:9" x14ac:dyDescent="0.2">
      <c r="H4597" s="6"/>
      <c r="I4597" s="6"/>
    </row>
    <row r="4598" spans="8:9" x14ac:dyDescent="0.2">
      <c r="H4598" s="6"/>
      <c r="I4598" s="6"/>
    </row>
    <row r="4599" spans="8:9" x14ac:dyDescent="0.2">
      <c r="H4599" s="6"/>
      <c r="I4599" s="6"/>
    </row>
    <row r="4600" spans="8:9" x14ac:dyDescent="0.2">
      <c r="H4600" s="6"/>
      <c r="I4600" s="6"/>
    </row>
    <row r="4601" spans="8:9" x14ac:dyDescent="0.2">
      <c r="H4601" s="6"/>
      <c r="I4601" s="6"/>
    </row>
    <row r="4602" spans="8:9" x14ac:dyDescent="0.2">
      <c r="H4602" s="6"/>
      <c r="I4602" s="6"/>
    </row>
    <row r="4603" spans="8:9" x14ac:dyDescent="0.2">
      <c r="H4603" s="6"/>
      <c r="I4603" s="6"/>
    </row>
    <row r="4604" spans="8:9" x14ac:dyDescent="0.2">
      <c r="H4604" s="6"/>
      <c r="I4604" s="6"/>
    </row>
    <row r="4605" spans="8:9" x14ac:dyDescent="0.2">
      <c r="H4605" s="6"/>
      <c r="I4605" s="6"/>
    </row>
    <row r="4606" spans="8:9" x14ac:dyDescent="0.2">
      <c r="H4606" s="6"/>
      <c r="I4606" s="6"/>
    </row>
    <row r="4607" spans="8:9" x14ac:dyDescent="0.2">
      <c r="H4607" s="6"/>
      <c r="I4607" s="6"/>
    </row>
    <row r="4608" spans="8:9" x14ac:dyDescent="0.2">
      <c r="H4608" s="6"/>
      <c r="I4608" s="6"/>
    </row>
    <row r="4609" spans="8:9" x14ac:dyDescent="0.2">
      <c r="H4609" s="6"/>
      <c r="I4609" s="6"/>
    </row>
    <row r="4610" spans="8:9" x14ac:dyDescent="0.2">
      <c r="H4610" s="6"/>
      <c r="I4610" s="6"/>
    </row>
    <row r="4611" spans="8:9" x14ac:dyDescent="0.2">
      <c r="H4611" s="6"/>
      <c r="I4611" s="6"/>
    </row>
    <row r="4612" spans="8:9" x14ac:dyDescent="0.2">
      <c r="H4612" s="6"/>
      <c r="I4612" s="6"/>
    </row>
    <row r="4613" spans="8:9" x14ac:dyDescent="0.2">
      <c r="H4613" s="6"/>
      <c r="I4613" s="6"/>
    </row>
    <row r="4614" spans="8:9" x14ac:dyDescent="0.2">
      <c r="H4614" s="6"/>
      <c r="I4614" s="6"/>
    </row>
    <row r="4615" spans="8:9" x14ac:dyDescent="0.2">
      <c r="H4615" s="6"/>
      <c r="I4615" s="6"/>
    </row>
    <row r="4616" spans="8:9" x14ac:dyDescent="0.2">
      <c r="H4616" s="6"/>
      <c r="I4616" s="6"/>
    </row>
    <row r="4617" spans="8:9" x14ac:dyDescent="0.2">
      <c r="H4617" s="6"/>
      <c r="I4617" s="6"/>
    </row>
    <row r="4618" spans="8:9" x14ac:dyDescent="0.2">
      <c r="H4618" s="6"/>
      <c r="I4618" s="6"/>
    </row>
    <row r="4619" spans="8:9" x14ac:dyDescent="0.2">
      <c r="H4619" s="6"/>
      <c r="I4619" s="6"/>
    </row>
    <row r="4620" spans="8:9" x14ac:dyDescent="0.2">
      <c r="H4620" s="6"/>
      <c r="I4620" s="6"/>
    </row>
    <row r="4621" spans="8:9" x14ac:dyDescent="0.2">
      <c r="H4621" s="6"/>
      <c r="I4621" s="6"/>
    </row>
    <row r="4622" spans="8:9" x14ac:dyDescent="0.2">
      <c r="H4622" s="6"/>
      <c r="I4622" s="6"/>
    </row>
    <row r="4623" spans="8:9" x14ac:dyDescent="0.2">
      <c r="H4623" s="6"/>
      <c r="I4623" s="6"/>
    </row>
    <row r="4624" spans="8:9" x14ac:dyDescent="0.2">
      <c r="H4624" s="6"/>
      <c r="I4624" s="6"/>
    </row>
    <row r="4625" spans="8:9" x14ac:dyDescent="0.2">
      <c r="H4625" s="6"/>
      <c r="I4625" s="6"/>
    </row>
    <row r="4626" spans="8:9" x14ac:dyDescent="0.2">
      <c r="H4626" s="6"/>
      <c r="I4626" s="6"/>
    </row>
    <row r="4627" spans="8:9" x14ac:dyDescent="0.2">
      <c r="H4627" s="6"/>
      <c r="I4627" s="6"/>
    </row>
    <row r="4628" spans="8:9" x14ac:dyDescent="0.2">
      <c r="H4628" s="6"/>
      <c r="I4628" s="6"/>
    </row>
    <row r="4629" spans="8:9" x14ac:dyDescent="0.2">
      <c r="H4629" s="6"/>
      <c r="I4629" s="6"/>
    </row>
    <row r="4630" spans="8:9" x14ac:dyDescent="0.2">
      <c r="H4630" s="6"/>
      <c r="I4630" s="6"/>
    </row>
    <row r="4631" spans="8:9" x14ac:dyDescent="0.2">
      <c r="H4631" s="6"/>
      <c r="I4631" s="6"/>
    </row>
    <row r="4632" spans="8:9" x14ac:dyDescent="0.2">
      <c r="H4632" s="6"/>
      <c r="I4632" s="6"/>
    </row>
    <row r="4633" spans="8:9" x14ac:dyDescent="0.2">
      <c r="H4633" s="6"/>
      <c r="I4633" s="6"/>
    </row>
    <row r="4634" spans="8:9" x14ac:dyDescent="0.2">
      <c r="H4634" s="6"/>
      <c r="I4634" s="6"/>
    </row>
    <row r="4635" spans="8:9" x14ac:dyDescent="0.2">
      <c r="H4635" s="6"/>
      <c r="I4635" s="6"/>
    </row>
    <row r="4636" spans="8:9" x14ac:dyDescent="0.2">
      <c r="H4636" s="6"/>
      <c r="I4636" s="6"/>
    </row>
    <row r="4637" spans="8:9" x14ac:dyDescent="0.2">
      <c r="H4637" s="6"/>
      <c r="I4637" s="6"/>
    </row>
    <row r="4638" spans="8:9" x14ac:dyDescent="0.2">
      <c r="H4638" s="6"/>
      <c r="I4638" s="6"/>
    </row>
    <row r="4639" spans="8:9" x14ac:dyDescent="0.2">
      <c r="H4639" s="6"/>
      <c r="I4639" s="6"/>
    </row>
    <row r="4640" spans="8:9" x14ac:dyDescent="0.2">
      <c r="H4640" s="6"/>
      <c r="I4640" s="6"/>
    </row>
    <row r="4641" spans="8:9" x14ac:dyDescent="0.2">
      <c r="H4641" s="6"/>
      <c r="I4641" s="6"/>
    </row>
    <row r="4642" spans="8:9" x14ac:dyDescent="0.2">
      <c r="H4642" s="6"/>
      <c r="I4642" s="6"/>
    </row>
    <row r="4643" spans="8:9" x14ac:dyDescent="0.2">
      <c r="H4643" s="6"/>
      <c r="I4643" s="6"/>
    </row>
    <row r="4644" spans="8:9" x14ac:dyDescent="0.2">
      <c r="H4644" s="6"/>
      <c r="I4644" s="6"/>
    </row>
    <row r="4645" spans="8:9" x14ac:dyDescent="0.2">
      <c r="H4645" s="6"/>
      <c r="I4645" s="6"/>
    </row>
    <row r="4646" spans="8:9" x14ac:dyDescent="0.2">
      <c r="H4646" s="6"/>
      <c r="I4646" s="6"/>
    </row>
    <row r="4647" spans="8:9" x14ac:dyDescent="0.2">
      <c r="H4647" s="6"/>
      <c r="I4647" s="6"/>
    </row>
    <row r="4648" spans="8:9" x14ac:dyDescent="0.2">
      <c r="H4648" s="6"/>
      <c r="I4648" s="6"/>
    </row>
    <row r="4649" spans="8:9" x14ac:dyDescent="0.2">
      <c r="H4649" s="6"/>
      <c r="I4649" s="6"/>
    </row>
    <row r="4650" spans="8:9" x14ac:dyDescent="0.2">
      <c r="H4650" s="6"/>
      <c r="I4650" s="6"/>
    </row>
    <row r="4651" spans="8:9" x14ac:dyDescent="0.2">
      <c r="H4651" s="6"/>
      <c r="I4651" s="6"/>
    </row>
    <row r="4652" spans="8:9" x14ac:dyDescent="0.2">
      <c r="H4652" s="6"/>
      <c r="I4652" s="6"/>
    </row>
    <row r="4653" spans="8:9" x14ac:dyDescent="0.2">
      <c r="H4653" s="6"/>
      <c r="I4653" s="6"/>
    </row>
    <row r="4654" spans="8:9" x14ac:dyDescent="0.2">
      <c r="H4654" s="6"/>
      <c r="I4654" s="6"/>
    </row>
    <row r="4655" spans="8:9" x14ac:dyDescent="0.2">
      <c r="H4655" s="6"/>
      <c r="I4655" s="6"/>
    </row>
    <row r="4656" spans="8:9" x14ac:dyDescent="0.2">
      <c r="H4656" s="6"/>
      <c r="I4656" s="6"/>
    </row>
    <row r="4657" spans="8:9" x14ac:dyDescent="0.2">
      <c r="H4657" s="6"/>
      <c r="I4657" s="6"/>
    </row>
    <row r="4658" spans="8:9" x14ac:dyDescent="0.2">
      <c r="H4658" s="6"/>
      <c r="I4658" s="6"/>
    </row>
    <row r="4659" spans="8:9" x14ac:dyDescent="0.2">
      <c r="H4659" s="6"/>
      <c r="I4659" s="6"/>
    </row>
    <row r="4660" spans="8:9" x14ac:dyDescent="0.2">
      <c r="H4660" s="6"/>
      <c r="I4660" s="6"/>
    </row>
    <row r="4661" spans="8:9" x14ac:dyDescent="0.2">
      <c r="H4661" s="6"/>
      <c r="I4661" s="6"/>
    </row>
    <row r="4662" spans="8:9" x14ac:dyDescent="0.2">
      <c r="H4662" s="6"/>
      <c r="I4662" s="6"/>
    </row>
    <row r="4663" spans="8:9" x14ac:dyDescent="0.2">
      <c r="H4663" s="6"/>
      <c r="I4663" s="6"/>
    </row>
    <row r="4664" spans="8:9" x14ac:dyDescent="0.2">
      <c r="H4664" s="6"/>
      <c r="I4664" s="6"/>
    </row>
    <row r="4665" spans="8:9" x14ac:dyDescent="0.2">
      <c r="H4665" s="6"/>
      <c r="I4665" s="6"/>
    </row>
    <row r="4666" spans="8:9" x14ac:dyDescent="0.2">
      <c r="H4666" s="6"/>
      <c r="I4666" s="6"/>
    </row>
    <row r="4667" spans="8:9" x14ac:dyDescent="0.2">
      <c r="H4667" s="6"/>
      <c r="I4667" s="6"/>
    </row>
    <row r="4668" spans="8:9" x14ac:dyDescent="0.2">
      <c r="H4668" s="6"/>
      <c r="I4668" s="6"/>
    </row>
    <row r="4669" spans="8:9" x14ac:dyDescent="0.2">
      <c r="H4669" s="6"/>
      <c r="I4669" s="6"/>
    </row>
    <row r="4670" spans="8:9" x14ac:dyDescent="0.2">
      <c r="H4670" s="6"/>
      <c r="I4670" s="6"/>
    </row>
    <row r="4671" spans="8:9" x14ac:dyDescent="0.2">
      <c r="H4671" s="6"/>
      <c r="I4671" s="6"/>
    </row>
    <row r="4672" spans="8:9" x14ac:dyDescent="0.2">
      <c r="H4672" s="6"/>
      <c r="I4672" s="6"/>
    </row>
    <row r="4673" spans="8:9" x14ac:dyDescent="0.2">
      <c r="H4673" s="6"/>
      <c r="I4673" s="6"/>
    </row>
    <row r="4674" spans="8:9" x14ac:dyDescent="0.2">
      <c r="H4674" s="6"/>
      <c r="I4674" s="6"/>
    </row>
    <row r="4675" spans="8:9" x14ac:dyDescent="0.2">
      <c r="H4675" s="6"/>
      <c r="I4675" s="6"/>
    </row>
    <row r="4676" spans="8:9" x14ac:dyDescent="0.2">
      <c r="H4676" s="6"/>
      <c r="I4676" s="6"/>
    </row>
    <row r="4677" spans="8:9" x14ac:dyDescent="0.2">
      <c r="H4677" s="6"/>
      <c r="I4677" s="6"/>
    </row>
    <row r="4678" spans="8:9" x14ac:dyDescent="0.2">
      <c r="H4678" s="6"/>
      <c r="I4678" s="6"/>
    </row>
    <row r="4679" spans="8:9" x14ac:dyDescent="0.2">
      <c r="H4679" s="6"/>
      <c r="I4679" s="6"/>
    </row>
    <row r="4680" spans="8:9" x14ac:dyDescent="0.2">
      <c r="H4680" s="6"/>
      <c r="I4680" s="6"/>
    </row>
    <row r="4681" spans="8:9" x14ac:dyDescent="0.2">
      <c r="H4681" s="6"/>
      <c r="I4681" s="6"/>
    </row>
    <row r="4682" spans="8:9" x14ac:dyDescent="0.2">
      <c r="H4682" s="6"/>
      <c r="I4682" s="6"/>
    </row>
    <row r="4683" spans="8:9" x14ac:dyDescent="0.2">
      <c r="H4683" s="6"/>
      <c r="I4683" s="6"/>
    </row>
    <row r="4684" spans="8:9" x14ac:dyDescent="0.2">
      <c r="H4684" s="6"/>
      <c r="I4684" s="6"/>
    </row>
    <row r="4685" spans="8:9" x14ac:dyDescent="0.2">
      <c r="H4685" s="6"/>
      <c r="I4685" s="6"/>
    </row>
    <row r="4686" spans="8:9" x14ac:dyDescent="0.2">
      <c r="H4686" s="6"/>
      <c r="I4686" s="6"/>
    </row>
    <row r="4687" spans="8:9" x14ac:dyDescent="0.2">
      <c r="H4687" s="6"/>
      <c r="I4687" s="6"/>
    </row>
    <row r="4688" spans="8:9" x14ac:dyDescent="0.2">
      <c r="H4688" s="6"/>
      <c r="I4688" s="6"/>
    </row>
    <row r="4689" spans="8:9" x14ac:dyDescent="0.2">
      <c r="H4689" s="6"/>
      <c r="I4689" s="6"/>
    </row>
    <row r="4690" spans="8:9" x14ac:dyDescent="0.2">
      <c r="H4690" s="6"/>
      <c r="I4690" s="6"/>
    </row>
    <row r="4691" spans="8:9" x14ac:dyDescent="0.2">
      <c r="H4691" s="6"/>
      <c r="I4691" s="6"/>
    </row>
    <row r="4692" spans="8:9" x14ac:dyDescent="0.2">
      <c r="H4692" s="6"/>
      <c r="I4692" s="6"/>
    </row>
    <row r="4693" spans="8:9" x14ac:dyDescent="0.2">
      <c r="H4693" s="6"/>
      <c r="I4693" s="6"/>
    </row>
    <row r="4694" spans="8:9" x14ac:dyDescent="0.2">
      <c r="H4694" s="6"/>
      <c r="I4694" s="6"/>
    </row>
    <row r="4695" spans="8:9" x14ac:dyDescent="0.2">
      <c r="H4695" s="6"/>
      <c r="I4695" s="6"/>
    </row>
    <row r="4696" spans="8:9" x14ac:dyDescent="0.2">
      <c r="H4696" s="6"/>
      <c r="I4696" s="6"/>
    </row>
    <row r="4697" spans="8:9" x14ac:dyDescent="0.2">
      <c r="H4697" s="6"/>
      <c r="I4697" s="6"/>
    </row>
    <row r="4698" spans="8:9" x14ac:dyDescent="0.2">
      <c r="H4698" s="6"/>
      <c r="I4698" s="6"/>
    </row>
    <row r="4699" spans="8:9" x14ac:dyDescent="0.2">
      <c r="H4699" s="6"/>
      <c r="I4699" s="6"/>
    </row>
    <row r="4700" spans="8:9" x14ac:dyDescent="0.2">
      <c r="H4700" s="6"/>
      <c r="I4700" s="6"/>
    </row>
    <row r="4701" spans="8:9" x14ac:dyDescent="0.2">
      <c r="H4701" s="6"/>
      <c r="I4701" s="6"/>
    </row>
    <row r="4702" spans="8:9" x14ac:dyDescent="0.2">
      <c r="H4702" s="6"/>
      <c r="I4702" s="6"/>
    </row>
    <row r="4703" spans="8:9" x14ac:dyDescent="0.2">
      <c r="H4703" s="6"/>
      <c r="I4703" s="6"/>
    </row>
    <row r="4704" spans="8:9" x14ac:dyDescent="0.2">
      <c r="H4704" s="6"/>
      <c r="I4704" s="6"/>
    </row>
    <row r="4705" spans="8:9" x14ac:dyDescent="0.2">
      <c r="H4705" s="6"/>
      <c r="I4705" s="6"/>
    </row>
    <row r="4706" spans="8:9" x14ac:dyDescent="0.2">
      <c r="H4706" s="6"/>
      <c r="I4706" s="6"/>
    </row>
    <row r="4707" spans="8:9" x14ac:dyDescent="0.2">
      <c r="H4707" s="6"/>
      <c r="I4707" s="6"/>
    </row>
    <row r="4708" spans="8:9" x14ac:dyDescent="0.2">
      <c r="H4708" s="6"/>
      <c r="I4708" s="6"/>
    </row>
    <row r="4709" spans="8:9" x14ac:dyDescent="0.2">
      <c r="H4709" s="6"/>
      <c r="I4709" s="6"/>
    </row>
    <row r="4710" spans="8:9" x14ac:dyDescent="0.2">
      <c r="H4710" s="6"/>
      <c r="I4710" s="6"/>
    </row>
    <row r="4711" spans="8:9" x14ac:dyDescent="0.2">
      <c r="H4711" s="6"/>
      <c r="I4711" s="6"/>
    </row>
    <row r="4712" spans="8:9" x14ac:dyDescent="0.2">
      <c r="H4712" s="6"/>
      <c r="I4712" s="6"/>
    </row>
    <row r="4713" spans="8:9" x14ac:dyDescent="0.2">
      <c r="H4713" s="6"/>
      <c r="I4713" s="6"/>
    </row>
    <row r="4714" spans="8:9" x14ac:dyDescent="0.2">
      <c r="H4714" s="6"/>
      <c r="I4714" s="6"/>
    </row>
    <row r="4715" spans="8:9" x14ac:dyDescent="0.2">
      <c r="H4715" s="6"/>
      <c r="I4715" s="6"/>
    </row>
    <row r="4716" spans="8:9" x14ac:dyDescent="0.2">
      <c r="H4716" s="6"/>
      <c r="I4716" s="6"/>
    </row>
    <row r="4717" spans="8:9" x14ac:dyDescent="0.2">
      <c r="H4717" s="6"/>
      <c r="I4717" s="6"/>
    </row>
    <row r="4718" spans="8:9" x14ac:dyDescent="0.2">
      <c r="H4718" s="6"/>
      <c r="I4718" s="6"/>
    </row>
    <row r="4719" spans="8:9" x14ac:dyDescent="0.2">
      <c r="H4719" s="6"/>
      <c r="I4719" s="6"/>
    </row>
    <row r="4720" spans="8:9" x14ac:dyDescent="0.2">
      <c r="H4720" s="6"/>
      <c r="I4720" s="6"/>
    </row>
    <row r="4721" spans="8:9" x14ac:dyDescent="0.2">
      <c r="H4721" s="6"/>
      <c r="I4721" s="6"/>
    </row>
    <row r="4722" spans="8:9" x14ac:dyDescent="0.2">
      <c r="H4722" s="6"/>
      <c r="I4722" s="6"/>
    </row>
    <row r="4723" spans="8:9" x14ac:dyDescent="0.2">
      <c r="H4723" s="6"/>
      <c r="I4723" s="6"/>
    </row>
    <row r="4724" spans="8:9" x14ac:dyDescent="0.2">
      <c r="H4724" s="6"/>
      <c r="I4724" s="6"/>
    </row>
    <row r="4725" spans="8:9" x14ac:dyDescent="0.2">
      <c r="H4725" s="6"/>
      <c r="I4725" s="6"/>
    </row>
    <row r="4726" spans="8:9" x14ac:dyDescent="0.2">
      <c r="H4726" s="6"/>
      <c r="I4726" s="6"/>
    </row>
    <row r="4727" spans="8:9" x14ac:dyDescent="0.2">
      <c r="H4727" s="6"/>
      <c r="I4727" s="6"/>
    </row>
    <row r="4728" spans="8:9" x14ac:dyDescent="0.2">
      <c r="H4728" s="6"/>
      <c r="I4728" s="6"/>
    </row>
    <row r="4729" spans="8:9" x14ac:dyDescent="0.2">
      <c r="H4729" s="6"/>
      <c r="I4729" s="6"/>
    </row>
    <row r="4730" spans="8:9" x14ac:dyDescent="0.2">
      <c r="H4730" s="6"/>
      <c r="I4730" s="6"/>
    </row>
    <row r="4731" spans="8:9" x14ac:dyDescent="0.2">
      <c r="H4731" s="6"/>
      <c r="I4731" s="6"/>
    </row>
    <row r="4732" spans="8:9" x14ac:dyDescent="0.2">
      <c r="H4732" s="6"/>
      <c r="I4732" s="6"/>
    </row>
    <row r="4733" spans="8:9" x14ac:dyDescent="0.2">
      <c r="H4733" s="6"/>
      <c r="I4733" s="6"/>
    </row>
    <row r="4734" spans="8:9" x14ac:dyDescent="0.2">
      <c r="H4734" s="6"/>
      <c r="I4734" s="6"/>
    </row>
    <row r="4735" spans="8:9" x14ac:dyDescent="0.2">
      <c r="H4735" s="6"/>
      <c r="I4735" s="6"/>
    </row>
    <row r="4736" spans="8:9" x14ac:dyDescent="0.2">
      <c r="H4736" s="6"/>
      <c r="I4736" s="6"/>
    </row>
    <row r="4737" spans="8:9" x14ac:dyDescent="0.2">
      <c r="H4737" s="6"/>
      <c r="I4737" s="6"/>
    </row>
    <row r="4738" spans="8:9" x14ac:dyDescent="0.2">
      <c r="H4738" s="6"/>
      <c r="I4738" s="6"/>
    </row>
    <row r="4739" spans="8:9" x14ac:dyDescent="0.2">
      <c r="H4739" s="6"/>
      <c r="I4739" s="6"/>
    </row>
    <row r="4740" spans="8:9" x14ac:dyDescent="0.2">
      <c r="H4740" s="6"/>
      <c r="I4740" s="6"/>
    </row>
    <row r="4741" spans="8:9" x14ac:dyDescent="0.2">
      <c r="H4741" s="6"/>
      <c r="I4741" s="6"/>
    </row>
    <row r="4742" spans="8:9" x14ac:dyDescent="0.2">
      <c r="H4742" s="6"/>
      <c r="I4742" s="6"/>
    </row>
    <row r="4743" spans="8:9" x14ac:dyDescent="0.2">
      <c r="H4743" s="6"/>
      <c r="I4743" s="6"/>
    </row>
    <row r="4744" spans="8:9" x14ac:dyDescent="0.2">
      <c r="H4744" s="6"/>
      <c r="I4744" s="6"/>
    </row>
    <row r="4745" spans="8:9" x14ac:dyDescent="0.2">
      <c r="H4745" s="6"/>
      <c r="I4745" s="6"/>
    </row>
    <row r="4746" spans="8:9" x14ac:dyDescent="0.2">
      <c r="H4746" s="6"/>
      <c r="I4746" s="6"/>
    </row>
    <row r="4747" spans="8:9" x14ac:dyDescent="0.2">
      <c r="H4747" s="6"/>
      <c r="I4747" s="6"/>
    </row>
    <row r="4748" spans="8:9" x14ac:dyDescent="0.2">
      <c r="H4748" s="6"/>
      <c r="I4748" s="6"/>
    </row>
    <row r="4749" spans="8:9" x14ac:dyDescent="0.2">
      <c r="H4749" s="6"/>
      <c r="I4749" s="6"/>
    </row>
    <row r="4750" spans="8:9" x14ac:dyDescent="0.2">
      <c r="H4750" s="6"/>
      <c r="I4750" s="6"/>
    </row>
    <row r="4751" spans="8:9" x14ac:dyDescent="0.2">
      <c r="H4751" s="6"/>
      <c r="I4751" s="6"/>
    </row>
    <row r="4752" spans="8:9" x14ac:dyDescent="0.2">
      <c r="H4752" s="6"/>
      <c r="I4752" s="6"/>
    </row>
    <row r="4753" spans="8:9" x14ac:dyDescent="0.2">
      <c r="H4753" s="6"/>
      <c r="I4753" s="6"/>
    </row>
    <row r="4754" spans="8:9" x14ac:dyDescent="0.2">
      <c r="H4754" s="6"/>
      <c r="I4754" s="6"/>
    </row>
    <row r="4755" spans="8:9" x14ac:dyDescent="0.2">
      <c r="H4755" s="6"/>
      <c r="I4755" s="6"/>
    </row>
    <row r="4756" spans="8:9" x14ac:dyDescent="0.2">
      <c r="H4756" s="6"/>
      <c r="I4756" s="6"/>
    </row>
    <row r="4757" spans="8:9" x14ac:dyDescent="0.2">
      <c r="H4757" s="6"/>
      <c r="I4757" s="6"/>
    </row>
    <row r="4758" spans="8:9" x14ac:dyDescent="0.2">
      <c r="H4758" s="6"/>
      <c r="I4758" s="6"/>
    </row>
    <row r="4759" spans="8:9" x14ac:dyDescent="0.2">
      <c r="H4759" s="6"/>
      <c r="I4759" s="6"/>
    </row>
    <row r="4760" spans="8:9" x14ac:dyDescent="0.2">
      <c r="H4760" s="6"/>
      <c r="I4760" s="6"/>
    </row>
    <row r="4761" spans="8:9" x14ac:dyDescent="0.2">
      <c r="H4761" s="6"/>
      <c r="I4761" s="6"/>
    </row>
    <row r="4762" spans="8:9" x14ac:dyDescent="0.2">
      <c r="H4762" s="6"/>
      <c r="I4762" s="6"/>
    </row>
    <row r="4763" spans="8:9" x14ac:dyDescent="0.2">
      <c r="H4763" s="6"/>
      <c r="I4763" s="6"/>
    </row>
    <row r="4764" spans="8:9" x14ac:dyDescent="0.2">
      <c r="H4764" s="6"/>
      <c r="I4764" s="6"/>
    </row>
    <row r="4765" spans="8:9" x14ac:dyDescent="0.2">
      <c r="H4765" s="6"/>
      <c r="I4765" s="6"/>
    </row>
    <row r="4766" spans="8:9" x14ac:dyDescent="0.2">
      <c r="H4766" s="6"/>
      <c r="I4766" s="6"/>
    </row>
    <row r="4767" spans="8:9" x14ac:dyDescent="0.2">
      <c r="H4767" s="6"/>
      <c r="I4767" s="6"/>
    </row>
    <row r="4768" spans="8:9" x14ac:dyDescent="0.2">
      <c r="H4768" s="6"/>
      <c r="I4768" s="6"/>
    </row>
    <row r="4769" spans="8:9" x14ac:dyDescent="0.2">
      <c r="H4769" s="6"/>
      <c r="I4769" s="6"/>
    </row>
    <row r="4770" spans="8:9" x14ac:dyDescent="0.2">
      <c r="H4770" s="6"/>
      <c r="I4770" s="6"/>
    </row>
    <row r="4771" spans="8:9" x14ac:dyDescent="0.2">
      <c r="H4771" s="6"/>
      <c r="I4771" s="6"/>
    </row>
    <row r="4772" spans="8:9" x14ac:dyDescent="0.2">
      <c r="H4772" s="6"/>
      <c r="I4772" s="6"/>
    </row>
    <row r="4773" spans="8:9" x14ac:dyDescent="0.2">
      <c r="H4773" s="6"/>
      <c r="I4773" s="6"/>
    </row>
    <row r="4774" spans="8:9" x14ac:dyDescent="0.2">
      <c r="H4774" s="6"/>
      <c r="I4774" s="6"/>
    </row>
    <row r="4775" spans="8:9" x14ac:dyDescent="0.2">
      <c r="H4775" s="6"/>
      <c r="I4775" s="6"/>
    </row>
    <row r="4776" spans="8:9" x14ac:dyDescent="0.2">
      <c r="H4776" s="6"/>
      <c r="I4776" s="6"/>
    </row>
    <row r="4777" spans="8:9" x14ac:dyDescent="0.2">
      <c r="H4777" s="6"/>
      <c r="I4777" s="6"/>
    </row>
    <row r="4778" spans="8:9" x14ac:dyDescent="0.2">
      <c r="H4778" s="6"/>
      <c r="I4778" s="6"/>
    </row>
    <row r="4779" spans="8:9" x14ac:dyDescent="0.2">
      <c r="H4779" s="6"/>
      <c r="I4779" s="6"/>
    </row>
    <row r="4780" spans="8:9" x14ac:dyDescent="0.2">
      <c r="H4780" s="6"/>
      <c r="I4780" s="6"/>
    </row>
    <row r="4781" spans="8:9" x14ac:dyDescent="0.2">
      <c r="H4781" s="6"/>
      <c r="I4781" s="6"/>
    </row>
    <row r="4782" spans="8:9" x14ac:dyDescent="0.2">
      <c r="H4782" s="6"/>
      <c r="I4782" s="6"/>
    </row>
    <row r="4783" spans="8:9" x14ac:dyDescent="0.2">
      <c r="H4783" s="6"/>
      <c r="I4783" s="6"/>
    </row>
    <row r="4784" spans="8:9" x14ac:dyDescent="0.2">
      <c r="H4784" s="6"/>
      <c r="I4784" s="6"/>
    </row>
    <row r="4785" spans="8:9" x14ac:dyDescent="0.2">
      <c r="H4785" s="6"/>
      <c r="I4785" s="6"/>
    </row>
    <row r="4786" spans="8:9" x14ac:dyDescent="0.2">
      <c r="H4786" s="6"/>
      <c r="I4786" s="6"/>
    </row>
    <row r="4787" spans="8:9" x14ac:dyDescent="0.2">
      <c r="H4787" s="6"/>
      <c r="I4787" s="6"/>
    </row>
    <row r="4788" spans="8:9" x14ac:dyDescent="0.2">
      <c r="H4788" s="6"/>
      <c r="I4788" s="6"/>
    </row>
    <row r="4789" spans="8:9" x14ac:dyDescent="0.2">
      <c r="H4789" s="6"/>
      <c r="I4789" s="6"/>
    </row>
    <row r="4790" spans="8:9" x14ac:dyDescent="0.2">
      <c r="H4790" s="6"/>
      <c r="I4790" s="6"/>
    </row>
    <row r="4791" spans="8:9" x14ac:dyDescent="0.2">
      <c r="H4791" s="6"/>
      <c r="I4791" s="6"/>
    </row>
    <row r="4792" spans="8:9" x14ac:dyDescent="0.2">
      <c r="H4792" s="6"/>
      <c r="I4792" s="6"/>
    </row>
    <row r="4793" spans="8:9" x14ac:dyDescent="0.2">
      <c r="H4793" s="6"/>
      <c r="I4793" s="6"/>
    </row>
    <row r="4794" spans="8:9" x14ac:dyDescent="0.2">
      <c r="H4794" s="6"/>
      <c r="I4794" s="6"/>
    </row>
    <row r="4795" spans="8:9" x14ac:dyDescent="0.2">
      <c r="H4795" s="6"/>
      <c r="I4795" s="6"/>
    </row>
    <row r="4796" spans="8:9" x14ac:dyDescent="0.2">
      <c r="H4796" s="6"/>
      <c r="I4796" s="6"/>
    </row>
    <row r="4797" spans="8:9" x14ac:dyDescent="0.2">
      <c r="H4797" s="6"/>
      <c r="I4797" s="6"/>
    </row>
    <row r="4798" spans="8:9" x14ac:dyDescent="0.2">
      <c r="H4798" s="6"/>
      <c r="I4798" s="6"/>
    </row>
    <row r="4799" spans="8:9" x14ac:dyDescent="0.2">
      <c r="H4799" s="6"/>
      <c r="I4799" s="6"/>
    </row>
    <row r="4800" spans="8:9" x14ac:dyDescent="0.2">
      <c r="H4800" s="6"/>
      <c r="I4800" s="6"/>
    </row>
    <row r="4801" spans="8:9" x14ac:dyDescent="0.2">
      <c r="H4801" s="6"/>
      <c r="I4801" s="6"/>
    </row>
    <row r="4802" spans="8:9" x14ac:dyDescent="0.2">
      <c r="H4802" s="6"/>
      <c r="I4802" s="6"/>
    </row>
    <row r="4803" spans="8:9" x14ac:dyDescent="0.2">
      <c r="H4803" s="6"/>
      <c r="I4803" s="6"/>
    </row>
    <row r="4804" spans="8:9" x14ac:dyDescent="0.2">
      <c r="H4804" s="6"/>
      <c r="I4804" s="6"/>
    </row>
    <row r="4805" spans="8:9" x14ac:dyDescent="0.2">
      <c r="H4805" s="6"/>
      <c r="I4805" s="6"/>
    </row>
    <row r="4806" spans="8:9" x14ac:dyDescent="0.2">
      <c r="H4806" s="6"/>
      <c r="I4806" s="6"/>
    </row>
    <row r="4807" spans="8:9" x14ac:dyDescent="0.2">
      <c r="H4807" s="6"/>
      <c r="I4807" s="6"/>
    </row>
    <row r="4808" spans="8:9" x14ac:dyDescent="0.2">
      <c r="H4808" s="6"/>
      <c r="I4808" s="6"/>
    </row>
    <row r="4809" spans="8:9" x14ac:dyDescent="0.2">
      <c r="H4809" s="6"/>
      <c r="I4809" s="6"/>
    </row>
    <row r="4810" spans="8:9" x14ac:dyDescent="0.2">
      <c r="H4810" s="6"/>
      <c r="I4810" s="6"/>
    </row>
    <row r="4811" spans="8:9" x14ac:dyDescent="0.2">
      <c r="H4811" s="6"/>
      <c r="I4811" s="6"/>
    </row>
    <row r="4812" spans="8:9" x14ac:dyDescent="0.2">
      <c r="H4812" s="6"/>
      <c r="I4812" s="6"/>
    </row>
    <row r="4813" spans="8:9" x14ac:dyDescent="0.2">
      <c r="H4813" s="6"/>
      <c r="I4813" s="6"/>
    </row>
    <row r="4814" spans="8:9" x14ac:dyDescent="0.2">
      <c r="H4814" s="6"/>
      <c r="I4814" s="6"/>
    </row>
    <row r="4815" spans="8:9" x14ac:dyDescent="0.2">
      <c r="H4815" s="6"/>
      <c r="I4815" s="6"/>
    </row>
    <row r="4816" spans="8:9" x14ac:dyDescent="0.2">
      <c r="H4816" s="6"/>
      <c r="I4816" s="6"/>
    </row>
    <row r="4817" spans="8:9" x14ac:dyDescent="0.2">
      <c r="H4817" s="6"/>
      <c r="I4817" s="6"/>
    </row>
    <row r="4818" spans="8:9" x14ac:dyDescent="0.2">
      <c r="H4818" s="6"/>
      <c r="I4818" s="6"/>
    </row>
    <row r="4819" spans="8:9" x14ac:dyDescent="0.2">
      <c r="H4819" s="6"/>
      <c r="I4819" s="6"/>
    </row>
    <row r="4820" spans="8:9" x14ac:dyDescent="0.2">
      <c r="H4820" s="6"/>
      <c r="I4820" s="6"/>
    </row>
    <row r="4821" spans="8:9" x14ac:dyDescent="0.2">
      <c r="H4821" s="6"/>
      <c r="I4821" s="6"/>
    </row>
    <row r="4822" spans="8:9" x14ac:dyDescent="0.2">
      <c r="H4822" s="6"/>
      <c r="I4822" s="6"/>
    </row>
    <row r="4823" spans="8:9" x14ac:dyDescent="0.2">
      <c r="H4823" s="6"/>
      <c r="I4823" s="6"/>
    </row>
    <row r="4824" spans="8:9" x14ac:dyDescent="0.2">
      <c r="H4824" s="6"/>
      <c r="I4824" s="6"/>
    </row>
    <row r="4825" spans="8:9" x14ac:dyDescent="0.2">
      <c r="H4825" s="6"/>
      <c r="I4825" s="6"/>
    </row>
    <row r="4826" spans="8:9" x14ac:dyDescent="0.2">
      <c r="H4826" s="6"/>
      <c r="I4826" s="6"/>
    </row>
    <row r="4827" spans="8:9" x14ac:dyDescent="0.2">
      <c r="H4827" s="6"/>
      <c r="I4827" s="6"/>
    </row>
    <row r="4828" spans="8:9" x14ac:dyDescent="0.2">
      <c r="H4828" s="6"/>
      <c r="I4828" s="6"/>
    </row>
    <row r="4829" spans="8:9" x14ac:dyDescent="0.2">
      <c r="H4829" s="6"/>
      <c r="I4829" s="6"/>
    </row>
    <row r="4830" spans="8:9" x14ac:dyDescent="0.2">
      <c r="H4830" s="6"/>
      <c r="I4830" s="6"/>
    </row>
    <row r="4831" spans="8:9" x14ac:dyDescent="0.2">
      <c r="H4831" s="6"/>
      <c r="I4831" s="6"/>
    </row>
    <row r="4832" spans="8:9" x14ac:dyDescent="0.2">
      <c r="H4832" s="6"/>
      <c r="I4832" s="6"/>
    </row>
    <row r="4833" spans="8:9" x14ac:dyDescent="0.2">
      <c r="H4833" s="6"/>
      <c r="I4833" s="6"/>
    </row>
    <row r="4834" spans="8:9" x14ac:dyDescent="0.2">
      <c r="H4834" s="6"/>
      <c r="I4834" s="6"/>
    </row>
    <row r="4835" spans="8:9" x14ac:dyDescent="0.2">
      <c r="H4835" s="6"/>
      <c r="I4835" s="6"/>
    </row>
    <row r="4836" spans="8:9" x14ac:dyDescent="0.2">
      <c r="H4836" s="6"/>
      <c r="I4836" s="6"/>
    </row>
    <row r="4837" spans="8:9" x14ac:dyDescent="0.2">
      <c r="H4837" s="6"/>
      <c r="I4837" s="6"/>
    </row>
    <row r="4838" spans="8:9" x14ac:dyDescent="0.2">
      <c r="H4838" s="6"/>
      <c r="I4838" s="6"/>
    </row>
    <row r="4839" spans="8:9" x14ac:dyDescent="0.2">
      <c r="H4839" s="6"/>
      <c r="I4839" s="6"/>
    </row>
    <row r="4840" spans="8:9" x14ac:dyDescent="0.2">
      <c r="H4840" s="6"/>
      <c r="I4840" s="6"/>
    </row>
    <row r="4841" spans="8:9" x14ac:dyDescent="0.2">
      <c r="H4841" s="6"/>
      <c r="I4841" s="6"/>
    </row>
    <row r="4842" spans="8:9" x14ac:dyDescent="0.2">
      <c r="H4842" s="6"/>
      <c r="I4842" s="6"/>
    </row>
    <row r="4843" spans="8:9" x14ac:dyDescent="0.2">
      <c r="H4843" s="6"/>
      <c r="I4843" s="6"/>
    </row>
    <row r="4844" spans="8:9" x14ac:dyDescent="0.2">
      <c r="H4844" s="6"/>
      <c r="I4844" s="6"/>
    </row>
    <row r="4845" spans="8:9" x14ac:dyDescent="0.2">
      <c r="H4845" s="6"/>
      <c r="I4845" s="6"/>
    </row>
    <row r="4846" spans="8:9" x14ac:dyDescent="0.2">
      <c r="H4846" s="6"/>
      <c r="I4846" s="6"/>
    </row>
    <row r="4847" spans="8:9" x14ac:dyDescent="0.2">
      <c r="H4847" s="6"/>
      <c r="I4847" s="6"/>
    </row>
    <row r="4848" spans="8:9" x14ac:dyDescent="0.2">
      <c r="H4848" s="6"/>
      <c r="I4848" s="6"/>
    </row>
    <row r="4849" spans="8:9" x14ac:dyDescent="0.2">
      <c r="H4849" s="6"/>
      <c r="I4849" s="6"/>
    </row>
    <row r="4850" spans="8:9" x14ac:dyDescent="0.2">
      <c r="H4850" s="6"/>
      <c r="I4850" s="6"/>
    </row>
    <row r="4851" spans="8:9" x14ac:dyDescent="0.2">
      <c r="H4851" s="6"/>
      <c r="I4851" s="6"/>
    </row>
    <row r="4852" spans="8:9" x14ac:dyDescent="0.2">
      <c r="H4852" s="6"/>
      <c r="I4852" s="6"/>
    </row>
    <row r="4853" spans="8:9" x14ac:dyDescent="0.2">
      <c r="H4853" s="6"/>
      <c r="I4853" s="6"/>
    </row>
    <row r="4854" spans="8:9" x14ac:dyDescent="0.2">
      <c r="H4854" s="6"/>
      <c r="I4854" s="6"/>
    </row>
    <row r="4855" spans="8:9" x14ac:dyDescent="0.2">
      <c r="H4855" s="6"/>
      <c r="I4855" s="6"/>
    </row>
    <row r="4856" spans="8:9" x14ac:dyDescent="0.2">
      <c r="H4856" s="6"/>
      <c r="I4856" s="6"/>
    </row>
    <row r="4857" spans="8:9" x14ac:dyDescent="0.2">
      <c r="H4857" s="6"/>
      <c r="I4857" s="6"/>
    </row>
    <row r="4858" spans="8:9" x14ac:dyDescent="0.2">
      <c r="H4858" s="6"/>
      <c r="I4858" s="6"/>
    </row>
    <row r="4859" spans="8:9" x14ac:dyDescent="0.2">
      <c r="H4859" s="6"/>
      <c r="I4859" s="6"/>
    </row>
    <row r="4860" spans="8:9" x14ac:dyDescent="0.2">
      <c r="H4860" s="6"/>
      <c r="I4860" s="6"/>
    </row>
    <row r="4861" spans="8:9" x14ac:dyDescent="0.2">
      <c r="H4861" s="6"/>
      <c r="I4861" s="6"/>
    </row>
    <row r="4862" spans="8:9" x14ac:dyDescent="0.2">
      <c r="H4862" s="6"/>
      <c r="I4862" s="6"/>
    </row>
    <row r="4863" spans="8:9" x14ac:dyDescent="0.2">
      <c r="H4863" s="6"/>
      <c r="I4863" s="6"/>
    </row>
    <row r="4864" spans="8:9" x14ac:dyDescent="0.2">
      <c r="H4864" s="6"/>
      <c r="I4864" s="6"/>
    </row>
    <row r="4865" spans="8:9" x14ac:dyDescent="0.2">
      <c r="H4865" s="6"/>
      <c r="I4865" s="6"/>
    </row>
    <row r="4866" spans="8:9" x14ac:dyDescent="0.2">
      <c r="H4866" s="6"/>
      <c r="I4866" s="6"/>
    </row>
    <row r="4867" spans="8:9" x14ac:dyDescent="0.2">
      <c r="H4867" s="6"/>
      <c r="I4867" s="6"/>
    </row>
    <row r="4868" spans="8:9" x14ac:dyDescent="0.2">
      <c r="H4868" s="6"/>
      <c r="I4868" s="6"/>
    </row>
    <row r="4869" spans="8:9" x14ac:dyDescent="0.2">
      <c r="H4869" s="6"/>
      <c r="I4869" s="6"/>
    </row>
    <row r="4870" spans="8:9" x14ac:dyDescent="0.2">
      <c r="H4870" s="6"/>
      <c r="I4870" s="6"/>
    </row>
    <row r="4871" spans="8:9" x14ac:dyDescent="0.2">
      <c r="H4871" s="6"/>
      <c r="I4871" s="6"/>
    </row>
    <row r="4872" spans="8:9" x14ac:dyDescent="0.2">
      <c r="H4872" s="6"/>
      <c r="I4872" s="6"/>
    </row>
    <row r="4873" spans="8:9" x14ac:dyDescent="0.2">
      <c r="H4873" s="6"/>
      <c r="I4873" s="6"/>
    </row>
    <row r="4874" spans="8:9" x14ac:dyDescent="0.2">
      <c r="H4874" s="6"/>
      <c r="I4874" s="6"/>
    </row>
    <row r="4875" spans="8:9" x14ac:dyDescent="0.2">
      <c r="H4875" s="6"/>
      <c r="I4875" s="6"/>
    </row>
    <row r="4876" spans="8:9" x14ac:dyDescent="0.2">
      <c r="H4876" s="6"/>
      <c r="I4876" s="6"/>
    </row>
    <row r="4877" spans="8:9" x14ac:dyDescent="0.2">
      <c r="H4877" s="6"/>
      <c r="I4877" s="6"/>
    </row>
    <row r="4878" spans="8:9" x14ac:dyDescent="0.2">
      <c r="H4878" s="6"/>
      <c r="I4878" s="6"/>
    </row>
    <row r="4879" spans="8:9" x14ac:dyDescent="0.2">
      <c r="H4879" s="6"/>
      <c r="I4879" s="6"/>
    </row>
    <row r="4880" spans="8:9" x14ac:dyDescent="0.2">
      <c r="H4880" s="6"/>
      <c r="I4880" s="6"/>
    </row>
    <row r="4881" spans="8:9" x14ac:dyDescent="0.2">
      <c r="H4881" s="6"/>
      <c r="I4881" s="6"/>
    </row>
    <row r="4882" spans="8:9" x14ac:dyDescent="0.2">
      <c r="H4882" s="6"/>
      <c r="I4882" s="6"/>
    </row>
    <row r="4883" spans="8:9" x14ac:dyDescent="0.2">
      <c r="H4883" s="6"/>
      <c r="I4883" s="6"/>
    </row>
    <row r="4884" spans="8:9" x14ac:dyDescent="0.2">
      <c r="H4884" s="6"/>
      <c r="I4884" s="6"/>
    </row>
    <row r="4885" spans="8:9" x14ac:dyDescent="0.2">
      <c r="H4885" s="6"/>
      <c r="I4885" s="6"/>
    </row>
    <row r="4886" spans="8:9" x14ac:dyDescent="0.2">
      <c r="H4886" s="6"/>
      <c r="I4886" s="6"/>
    </row>
    <row r="4887" spans="8:9" x14ac:dyDescent="0.2">
      <c r="H4887" s="6"/>
      <c r="I4887" s="6"/>
    </row>
    <row r="4888" spans="8:9" x14ac:dyDescent="0.2">
      <c r="H4888" s="6"/>
      <c r="I4888" s="6"/>
    </row>
    <row r="4889" spans="8:9" x14ac:dyDescent="0.2">
      <c r="H4889" s="6"/>
      <c r="I4889" s="6"/>
    </row>
    <row r="4890" spans="8:9" x14ac:dyDescent="0.2">
      <c r="H4890" s="6"/>
      <c r="I4890" s="6"/>
    </row>
    <row r="4891" spans="8:9" x14ac:dyDescent="0.2">
      <c r="H4891" s="6"/>
      <c r="I4891" s="6"/>
    </row>
    <row r="4892" spans="8:9" x14ac:dyDescent="0.2">
      <c r="H4892" s="6"/>
      <c r="I4892" s="6"/>
    </row>
    <row r="4893" spans="8:9" x14ac:dyDescent="0.2">
      <c r="H4893" s="6"/>
      <c r="I4893" s="6"/>
    </row>
    <row r="4894" spans="8:9" x14ac:dyDescent="0.2">
      <c r="H4894" s="6"/>
      <c r="I4894" s="6"/>
    </row>
    <row r="4895" spans="8:9" x14ac:dyDescent="0.2">
      <c r="H4895" s="6"/>
      <c r="I4895" s="6"/>
    </row>
    <row r="4896" spans="8:9" x14ac:dyDescent="0.2">
      <c r="H4896" s="6"/>
      <c r="I4896" s="6"/>
    </row>
    <row r="4897" spans="8:9" x14ac:dyDescent="0.2">
      <c r="H4897" s="6"/>
      <c r="I4897" s="6"/>
    </row>
    <row r="4898" spans="8:9" x14ac:dyDescent="0.2">
      <c r="H4898" s="6"/>
      <c r="I4898" s="6"/>
    </row>
    <row r="4899" spans="8:9" x14ac:dyDescent="0.2">
      <c r="H4899" s="6"/>
      <c r="I4899" s="6"/>
    </row>
    <row r="4900" spans="8:9" x14ac:dyDescent="0.2">
      <c r="H4900" s="6"/>
      <c r="I4900" s="6"/>
    </row>
    <row r="4901" spans="8:9" x14ac:dyDescent="0.2">
      <c r="H4901" s="6"/>
      <c r="I4901" s="6"/>
    </row>
    <row r="4902" spans="8:9" x14ac:dyDescent="0.2">
      <c r="H4902" s="6"/>
      <c r="I4902" s="6"/>
    </row>
    <row r="4903" spans="8:9" x14ac:dyDescent="0.2">
      <c r="H4903" s="6"/>
      <c r="I4903" s="6"/>
    </row>
    <row r="4904" spans="8:9" x14ac:dyDescent="0.2">
      <c r="H4904" s="6"/>
      <c r="I4904" s="6"/>
    </row>
    <row r="4905" spans="8:9" x14ac:dyDescent="0.2">
      <c r="H4905" s="6"/>
      <c r="I4905" s="6"/>
    </row>
    <row r="4906" spans="8:9" x14ac:dyDescent="0.2">
      <c r="H4906" s="6"/>
      <c r="I4906" s="6"/>
    </row>
    <row r="4907" spans="8:9" x14ac:dyDescent="0.2">
      <c r="H4907" s="6"/>
      <c r="I4907" s="6"/>
    </row>
    <row r="4908" spans="8:9" x14ac:dyDescent="0.2">
      <c r="H4908" s="6"/>
      <c r="I4908" s="6"/>
    </row>
    <row r="4909" spans="8:9" x14ac:dyDescent="0.2">
      <c r="H4909" s="6"/>
      <c r="I4909" s="6"/>
    </row>
    <row r="4910" spans="8:9" x14ac:dyDescent="0.2">
      <c r="H4910" s="6"/>
      <c r="I4910" s="6"/>
    </row>
    <row r="4911" spans="8:9" x14ac:dyDescent="0.2">
      <c r="H4911" s="6"/>
      <c r="I4911" s="6"/>
    </row>
    <row r="4912" spans="8:9" x14ac:dyDescent="0.2">
      <c r="H4912" s="6"/>
      <c r="I4912" s="6"/>
    </row>
    <row r="4913" spans="8:9" x14ac:dyDescent="0.2">
      <c r="H4913" s="6"/>
      <c r="I4913" s="6"/>
    </row>
    <row r="4914" spans="8:9" x14ac:dyDescent="0.2">
      <c r="H4914" s="6"/>
      <c r="I4914" s="6"/>
    </row>
    <row r="4915" spans="8:9" x14ac:dyDescent="0.2">
      <c r="H4915" s="6"/>
      <c r="I4915" s="6"/>
    </row>
    <row r="4916" spans="8:9" x14ac:dyDescent="0.2">
      <c r="H4916" s="6"/>
      <c r="I4916" s="6"/>
    </row>
    <row r="4917" spans="8:9" x14ac:dyDescent="0.2">
      <c r="H4917" s="6"/>
      <c r="I4917" s="6"/>
    </row>
    <row r="4918" spans="8:9" x14ac:dyDescent="0.2">
      <c r="H4918" s="6"/>
      <c r="I4918" s="6"/>
    </row>
    <row r="4919" spans="8:9" x14ac:dyDescent="0.2">
      <c r="H4919" s="6"/>
      <c r="I4919" s="6"/>
    </row>
    <row r="4920" spans="8:9" x14ac:dyDescent="0.2">
      <c r="H4920" s="6"/>
      <c r="I4920" s="6"/>
    </row>
    <row r="4921" spans="8:9" x14ac:dyDescent="0.2">
      <c r="H4921" s="6"/>
      <c r="I4921" s="6"/>
    </row>
    <row r="4922" spans="8:9" x14ac:dyDescent="0.2">
      <c r="H4922" s="6"/>
      <c r="I4922" s="6"/>
    </row>
    <row r="4923" spans="8:9" x14ac:dyDescent="0.2">
      <c r="H4923" s="6"/>
      <c r="I4923" s="6"/>
    </row>
    <row r="4924" spans="8:9" x14ac:dyDescent="0.2">
      <c r="H4924" s="6"/>
      <c r="I4924" s="6"/>
    </row>
    <row r="4925" spans="8:9" x14ac:dyDescent="0.2">
      <c r="H4925" s="6"/>
      <c r="I4925" s="6"/>
    </row>
    <row r="4926" spans="8:9" x14ac:dyDescent="0.2">
      <c r="H4926" s="6"/>
      <c r="I4926" s="6"/>
    </row>
    <row r="4927" spans="8:9" x14ac:dyDescent="0.2">
      <c r="H4927" s="6"/>
      <c r="I4927" s="6"/>
    </row>
    <row r="4928" spans="8:9" x14ac:dyDescent="0.2">
      <c r="H4928" s="6"/>
      <c r="I4928" s="6"/>
    </row>
    <row r="4929" spans="8:9" x14ac:dyDescent="0.2">
      <c r="H4929" s="6"/>
      <c r="I4929" s="6"/>
    </row>
    <row r="4930" spans="8:9" x14ac:dyDescent="0.2">
      <c r="H4930" s="6"/>
      <c r="I4930" s="6"/>
    </row>
    <row r="4931" spans="8:9" x14ac:dyDescent="0.2">
      <c r="H4931" s="6"/>
      <c r="I4931" s="6"/>
    </row>
    <row r="4932" spans="8:9" x14ac:dyDescent="0.2">
      <c r="H4932" s="6"/>
      <c r="I4932" s="6"/>
    </row>
    <row r="4933" spans="8:9" x14ac:dyDescent="0.2">
      <c r="H4933" s="6"/>
      <c r="I4933" s="6"/>
    </row>
    <row r="4934" spans="8:9" x14ac:dyDescent="0.2">
      <c r="H4934" s="6"/>
      <c r="I4934" s="6"/>
    </row>
    <row r="4935" spans="8:9" x14ac:dyDescent="0.2">
      <c r="H4935" s="6"/>
      <c r="I4935" s="6"/>
    </row>
    <row r="4936" spans="8:9" x14ac:dyDescent="0.2">
      <c r="H4936" s="6"/>
      <c r="I4936" s="6"/>
    </row>
    <row r="4937" spans="8:9" x14ac:dyDescent="0.2">
      <c r="H4937" s="6"/>
      <c r="I4937" s="6"/>
    </row>
    <row r="4938" spans="8:9" x14ac:dyDescent="0.2">
      <c r="H4938" s="6"/>
      <c r="I4938" s="6"/>
    </row>
    <row r="4939" spans="8:9" x14ac:dyDescent="0.2">
      <c r="H4939" s="6"/>
      <c r="I4939" s="6"/>
    </row>
    <row r="4940" spans="8:9" x14ac:dyDescent="0.2">
      <c r="H4940" s="6"/>
      <c r="I4940" s="6"/>
    </row>
    <row r="4941" spans="8:9" x14ac:dyDescent="0.2">
      <c r="H4941" s="6"/>
      <c r="I4941" s="6"/>
    </row>
    <row r="4942" spans="8:9" x14ac:dyDescent="0.2">
      <c r="H4942" s="6"/>
      <c r="I4942" s="6"/>
    </row>
    <row r="4943" spans="8:9" x14ac:dyDescent="0.2">
      <c r="H4943" s="6"/>
      <c r="I4943" s="6"/>
    </row>
    <row r="4944" spans="8:9" x14ac:dyDescent="0.2">
      <c r="H4944" s="6"/>
      <c r="I4944" s="6"/>
    </row>
    <row r="4945" spans="8:9" x14ac:dyDescent="0.2">
      <c r="H4945" s="6"/>
      <c r="I4945" s="6"/>
    </row>
    <row r="4946" spans="8:9" x14ac:dyDescent="0.2">
      <c r="H4946" s="6"/>
      <c r="I4946" s="6"/>
    </row>
    <row r="4947" spans="8:9" x14ac:dyDescent="0.2">
      <c r="H4947" s="6"/>
      <c r="I4947" s="6"/>
    </row>
    <row r="4948" spans="8:9" x14ac:dyDescent="0.2">
      <c r="H4948" s="6"/>
      <c r="I4948" s="6"/>
    </row>
    <row r="4949" spans="8:9" x14ac:dyDescent="0.2">
      <c r="H4949" s="6"/>
      <c r="I4949" s="6"/>
    </row>
    <row r="4950" spans="8:9" x14ac:dyDescent="0.2">
      <c r="H4950" s="6"/>
      <c r="I4950" s="6"/>
    </row>
    <row r="4951" spans="8:9" x14ac:dyDescent="0.2">
      <c r="H4951" s="6"/>
      <c r="I4951" s="6"/>
    </row>
    <row r="4952" spans="8:9" x14ac:dyDescent="0.2">
      <c r="H4952" s="6"/>
      <c r="I4952" s="6"/>
    </row>
    <row r="4953" spans="8:9" x14ac:dyDescent="0.2">
      <c r="H4953" s="6"/>
      <c r="I4953" s="6"/>
    </row>
    <row r="4954" spans="8:9" x14ac:dyDescent="0.2">
      <c r="H4954" s="6"/>
      <c r="I4954" s="6"/>
    </row>
    <row r="4955" spans="8:9" x14ac:dyDescent="0.2">
      <c r="H4955" s="6"/>
      <c r="I4955" s="6"/>
    </row>
    <row r="4956" spans="8:9" x14ac:dyDescent="0.2">
      <c r="H4956" s="6"/>
      <c r="I4956" s="6"/>
    </row>
    <row r="4957" spans="8:9" x14ac:dyDescent="0.2">
      <c r="H4957" s="6"/>
      <c r="I4957" s="6"/>
    </row>
    <row r="4958" spans="8:9" x14ac:dyDescent="0.2">
      <c r="H4958" s="6"/>
      <c r="I4958" s="6"/>
    </row>
    <row r="4959" spans="8:9" x14ac:dyDescent="0.2">
      <c r="H4959" s="6"/>
      <c r="I4959" s="6"/>
    </row>
    <row r="4960" spans="8:9" x14ac:dyDescent="0.2">
      <c r="H4960" s="6"/>
    </row>
    <row r="4961" spans="8:9" x14ac:dyDescent="0.2">
      <c r="H4961" s="6"/>
      <c r="I4961" s="6"/>
    </row>
    <row r="4962" spans="8:9" x14ac:dyDescent="0.2">
      <c r="H4962" s="6"/>
      <c r="I4962" s="6"/>
    </row>
    <row r="4963" spans="8:9" x14ac:dyDescent="0.2">
      <c r="H4963" s="6"/>
      <c r="I4963" s="6"/>
    </row>
    <row r="4964" spans="8:9" x14ac:dyDescent="0.2">
      <c r="H4964" s="6"/>
      <c r="I4964" s="6"/>
    </row>
    <row r="4965" spans="8:9" x14ac:dyDescent="0.2">
      <c r="H4965" s="6"/>
      <c r="I4965" s="6"/>
    </row>
    <row r="4966" spans="8:9" x14ac:dyDescent="0.2">
      <c r="H4966" s="6"/>
      <c r="I4966" s="6"/>
    </row>
    <row r="4967" spans="8:9" x14ac:dyDescent="0.2">
      <c r="H4967" s="6"/>
      <c r="I4967" s="6"/>
    </row>
    <row r="4968" spans="8:9" x14ac:dyDescent="0.2">
      <c r="H4968" s="6"/>
      <c r="I4968" s="6"/>
    </row>
    <row r="4969" spans="8:9" x14ac:dyDescent="0.2">
      <c r="H4969" s="6"/>
      <c r="I4969" s="6"/>
    </row>
    <row r="4970" spans="8:9" x14ac:dyDescent="0.2">
      <c r="H4970" s="6"/>
      <c r="I4970" s="6"/>
    </row>
    <row r="4971" spans="8:9" x14ac:dyDescent="0.2">
      <c r="H4971" s="6"/>
      <c r="I4971" s="6"/>
    </row>
    <row r="4972" spans="8:9" x14ac:dyDescent="0.2">
      <c r="H4972" s="6"/>
      <c r="I4972" s="6"/>
    </row>
    <row r="4973" spans="8:9" x14ac:dyDescent="0.2">
      <c r="H4973" s="6"/>
      <c r="I4973" s="6"/>
    </row>
    <row r="4974" spans="8:9" x14ac:dyDescent="0.2">
      <c r="H4974" s="6"/>
      <c r="I4974" s="6"/>
    </row>
    <row r="4975" spans="8:9" x14ac:dyDescent="0.2">
      <c r="H4975" s="6"/>
      <c r="I4975" s="6"/>
    </row>
    <row r="4976" spans="8:9" x14ac:dyDescent="0.2">
      <c r="H4976" s="6"/>
      <c r="I4976" s="6"/>
    </row>
    <row r="4977" spans="8:9" x14ac:dyDescent="0.2">
      <c r="H4977" s="6"/>
      <c r="I4977" s="6"/>
    </row>
    <row r="4978" spans="8:9" x14ac:dyDescent="0.2">
      <c r="H4978" s="6"/>
      <c r="I4978" s="6"/>
    </row>
    <row r="4979" spans="8:9" x14ac:dyDescent="0.2">
      <c r="H4979" s="6"/>
      <c r="I4979" s="6"/>
    </row>
    <row r="4980" spans="8:9" x14ac:dyDescent="0.2">
      <c r="H4980" s="6"/>
      <c r="I4980" s="6"/>
    </row>
    <row r="4981" spans="8:9" x14ac:dyDescent="0.2">
      <c r="H4981" s="6"/>
      <c r="I4981" s="6"/>
    </row>
    <row r="4982" spans="8:9" x14ac:dyDescent="0.2">
      <c r="H4982" s="6"/>
      <c r="I4982" s="6"/>
    </row>
    <row r="4983" spans="8:9" x14ac:dyDescent="0.2">
      <c r="H4983" s="6"/>
      <c r="I4983" s="6"/>
    </row>
    <row r="4984" spans="8:9" x14ac:dyDescent="0.2">
      <c r="H4984" s="6"/>
      <c r="I4984" s="6"/>
    </row>
    <row r="4985" spans="8:9" x14ac:dyDescent="0.2">
      <c r="H4985" s="6"/>
      <c r="I4985" s="6"/>
    </row>
    <row r="4986" spans="8:9" x14ac:dyDescent="0.2">
      <c r="H4986" s="6"/>
      <c r="I4986" s="6"/>
    </row>
    <row r="4987" spans="8:9" x14ac:dyDescent="0.2">
      <c r="H4987" s="6"/>
      <c r="I4987" s="6"/>
    </row>
    <row r="4988" spans="8:9" x14ac:dyDescent="0.2">
      <c r="H4988" s="6"/>
      <c r="I4988" s="6"/>
    </row>
    <row r="4989" spans="8:9" x14ac:dyDescent="0.2">
      <c r="H4989" s="6"/>
      <c r="I4989" s="6"/>
    </row>
    <row r="4990" spans="8:9" x14ac:dyDescent="0.2">
      <c r="H4990" s="6"/>
      <c r="I4990" s="6"/>
    </row>
    <row r="4991" spans="8:9" x14ac:dyDescent="0.2">
      <c r="H4991" s="6"/>
      <c r="I4991" s="6"/>
    </row>
    <row r="4992" spans="8:9" x14ac:dyDescent="0.2">
      <c r="H4992" s="6"/>
      <c r="I4992" s="6"/>
    </row>
    <row r="4993" spans="8:9" x14ac:dyDescent="0.2">
      <c r="H4993" s="6"/>
      <c r="I4993" s="6"/>
    </row>
    <row r="4994" spans="8:9" x14ac:dyDescent="0.2">
      <c r="H4994" s="6"/>
      <c r="I4994" s="6"/>
    </row>
    <row r="4995" spans="8:9" x14ac:dyDescent="0.2">
      <c r="H4995" s="6"/>
      <c r="I4995" s="6"/>
    </row>
    <row r="4996" spans="8:9" x14ac:dyDescent="0.2">
      <c r="H4996" s="6"/>
      <c r="I4996" s="6"/>
    </row>
    <row r="4997" spans="8:9" x14ac:dyDescent="0.2">
      <c r="H4997" s="6"/>
      <c r="I4997" s="6"/>
    </row>
    <row r="4998" spans="8:9" x14ac:dyDescent="0.2">
      <c r="H4998" s="6"/>
      <c r="I4998" s="6"/>
    </row>
    <row r="4999" spans="8:9" x14ac:dyDescent="0.2">
      <c r="H4999" s="6"/>
      <c r="I4999" s="6"/>
    </row>
    <row r="5000" spans="8:9" x14ac:dyDescent="0.2">
      <c r="H5000" s="6"/>
      <c r="I5000" s="6"/>
    </row>
    <row r="5001" spans="8:9" x14ac:dyDescent="0.2">
      <c r="H5001" s="6"/>
      <c r="I5001" s="6"/>
    </row>
    <row r="5002" spans="8:9" x14ac:dyDescent="0.2">
      <c r="H5002" s="6"/>
      <c r="I5002" s="6"/>
    </row>
    <row r="5003" spans="8:9" x14ac:dyDescent="0.2">
      <c r="H5003" s="6"/>
      <c r="I5003" s="6"/>
    </row>
    <row r="5004" spans="8:9" x14ac:dyDescent="0.2">
      <c r="H5004" s="6"/>
      <c r="I5004" s="6"/>
    </row>
    <row r="5005" spans="8:9" x14ac:dyDescent="0.2">
      <c r="H5005" s="6"/>
      <c r="I5005" s="6"/>
    </row>
    <row r="5006" spans="8:9" x14ac:dyDescent="0.2">
      <c r="H5006" s="6"/>
      <c r="I5006" s="6"/>
    </row>
    <row r="5007" spans="8:9" x14ac:dyDescent="0.2">
      <c r="H5007" s="6"/>
      <c r="I5007" s="6"/>
    </row>
    <row r="5008" spans="8:9" x14ac:dyDescent="0.2">
      <c r="H5008" s="6"/>
      <c r="I5008" s="6"/>
    </row>
    <row r="5009" spans="8:9" x14ac:dyDescent="0.2">
      <c r="H5009" s="6"/>
      <c r="I5009" s="6"/>
    </row>
    <row r="5010" spans="8:9" x14ac:dyDescent="0.2">
      <c r="H5010" s="6"/>
      <c r="I5010" s="6"/>
    </row>
    <row r="5011" spans="8:9" x14ac:dyDescent="0.2">
      <c r="H5011" s="6"/>
      <c r="I5011" s="6"/>
    </row>
    <row r="5012" spans="8:9" x14ac:dyDescent="0.2">
      <c r="H5012" s="6"/>
      <c r="I5012" s="6"/>
    </row>
    <row r="5013" spans="8:9" x14ac:dyDescent="0.2">
      <c r="H5013" s="6"/>
      <c r="I5013" s="6"/>
    </row>
    <row r="5014" spans="8:9" x14ac:dyDescent="0.2">
      <c r="H5014" s="6"/>
      <c r="I5014" s="6"/>
    </row>
    <row r="5015" spans="8:9" x14ac:dyDescent="0.2">
      <c r="H5015" s="6"/>
      <c r="I5015" s="6"/>
    </row>
    <row r="5016" spans="8:9" x14ac:dyDescent="0.2">
      <c r="H5016" s="6"/>
      <c r="I5016" s="6"/>
    </row>
    <row r="5017" spans="8:9" x14ac:dyDescent="0.2">
      <c r="H5017" s="6"/>
      <c r="I5017" s="6"/>
    </row>
    <row r="5018" spans="8:9" x14ac:dyDescent="0.2">
      <c r="H5018" s="6"/>
      <c r="I5018" s="6"/>
    </row>
    <row r="5019" spans="8:9" x14ac:dyDescent="0.2">
      <c r="H5019" s="6"/>
      <c r="I5019" s="6"/>
    </row>
    <row r="5020" spans="8:9" x14ac:dyDescent="0.2">
      <c r="H5020" s="6"/>
      <c r="I5020" s="6"/>
    </row>
    <row r="5021" spans="8:9" x14ac:dyDescent="0.2">
      <c r="H5021" s="6"/>
      <c r="I5021" s="6"/>
    </row>
    <row r="5022" spans="8:9" x14ac:dyDescent="0.2">
      <c r="H5022" s="6"/>
      <c r="I5022" s="6"/>
    </row>
    <row r="5023" spans="8:9" x14ac:dyDescent="0.2">
      <c r="H5023" s="6"/>
      <c r="I5023" s="6"/>
    </row>
    <row r="5024" spans="8:9" x14ac:dyDescent="0.2">
      <c r="H5024" s="6"/>
      <c r="I5024" s="6"/>
    </row>
    <row r="5025" spans="8:9" x14ac:dyDescent="0.2">
      <c r="H5025" s="6"/>
      <c r="I5025" s="6"/>
    </row>
    <row r="5026" spans="8:9" x14ac:dyDescent="0.2">
      <c r="H5026" s="6"/>
      <c r="I5026" s="6"/>
    </row>
    <row r="5027" spans="8:9" x14ac:dyDescent="0.2">
      <c r="H5027" s="6"/>
      <c r="I5027" s="6"/>
    </row>
    <row r="5028" spans="8:9" x14ac:dyDescent="0.2">
      <c r="H5028" s="6"/>
      <c r="I5028" s="6"/>
    </row>
    <row r="5029" spans="8:9" x14ac:dyDescent="0.2">
      <c r="H5029" s="6"/>
      <c r="I5029" s="6"/>
    </row>
    <row r="5030" spans="8:9" x14ac:dyDescent="0.2">
      <c r="H5030" s="6"/>
      <c r="I5030" s="6"/>
    </row>
    <row r="5031" spans="8:9" x14ac:dyDescent="0.2">
      <c r="H5031" s="6"/>
      <c r="I5031" s="6"/>
    </row>
    <row r="5032" spans="8:9" x14ac:dyDescent="0.2">
      <c r="H5032" s="6"/>
      <c r="I5032" s="6"/>
    </row>
    <row r="5033" spans="8:9" x14ac:dyDescent="0.2">
      <c r="H5033" s="6"/>
      <c r="I5033" s="6"/>
    </row>
    <row r="5034" spans="8:9" x14ac:dyDescent="0.2">
      <c r="H5034" s="6"/>
      <c r="I5034" s="6"/>
    </row>
    <row r="5035" spans="8:9" x14ac:dyDescent="0.2">
      <c r="H5035" s="6"/>
      <c r="I5035" s="6"/>
    </row>
    <row r="5036" spans="8:9" x14ac:dyDescent="0.2">
      <c r="H5036" s="6"/>
      <c r="I5036" s="6"/>
    </row>
    <row r="5037" spans="8:9" x14ac:dyDescent="0.2">
      <c r="H5037" s="6"/>
      <c r="I5037" s="6"/>
    </row>
    <row r="5038" spans="8:9" x14ac:dyDescent="0.2">
      <c r="H5038" s="6"/>
      <c r="I5038" s="6"/>
    </row>
    <row r="5039" spans="8:9" x14ac:dyDescent="0.2">
      <c r="H5039" s="6"/>
      <c r="I5039" s="6"/>
    </row>
    <row r="5040" spans="8:9" x14ac:dyDescent="0.2">
      <c r="H5040" s="6"/>
      <c r="I5040" s="6"/>
    </row>
    <row r="5041" spans="8:9" x14ac:dyDescent="0.2">
      <c r="H5041" s="6"/>
      <c r="I5041" s="6"/>
    </row>
    <row r="5042" spans="8:9" x14ac:dyDescent="0.2">
      <c r="H5042" s="6"/>
      <c r="I5042" s="6"/>
    </row>
    <row r="5043" spans="8:9" x14ac:dyDescent="0.2">
      <c r="H5043" s="6"/>
      <c r="I5043" s="6"/>
    </row>
    <row r="5044" spans="8:9" x14ac:dyDescent="0.2">
      <c r="H5044" s="6"/>
      <c r="I5044" s="6"/>
    </row>
    <row r="5045" spans="8:9" x14ac:dyDescent="0.2">
      <c r="H5045" s="6"/>
      <c r="I5045" s="6"/>
    </row>
    <row r="5046" spans="8:9" x14ac:dyDescent="0.2">
      <c r="H5046" s="6"/>
      <c r="I5046" s="6"/>
    </row>
    <row r="5047" spans="8:9" x14ac:dyDescent="0.2">
      <c r="H5047" s="6"/>
      <c r="I5047" s="6"/>
    </row>
    <row r="5048" spans="8:9" x14ac:dyDescent="0.2">
      <c r="H5048" s="6"/>
      <c r="I5048" s="6"/>
    </row>
    <row r="5049" spans="8:9" x14ac:dyDescent="0.2">
      <c r="H5049" s="6"/>
      <c r="I5049" s="6"/>
    </row>
    <row r="5050" spans="8:9" x14ac:dyDescent="0.2">
      <c r="H5050" s="6"/>
      <c r="I5050" s="6"/>
    </row>
    <row r="5051" spans="8:9" x14ac:dyDescent="0.2">
      <c r="H5051" s="6"/>
      <c r="I5051" s="6"/>
    </row>
    <row r="5052" spans="8:9" x14ac:dyDescent="0.2">
      <c r="H5052" s="6"/>
      <c r="I5052" s="6"/>
    </row>
    <row r="5053" spans="8:9" x14ac:dyDescent="0.2">
      <c r="H5053" s="6"/>
      <c r="I5053" s="6"/>
    </row>
    <row r="5054" spans="8:9" x14ac:dyDescent="0.2">
      <c r="H5054" s="6"/>
      <c r="I5054" s="6"/>
    </row>
    <row r="5055" spans="8:9" x14ac:dyDescent="0.2">
      <c r="H5055" s="6"/>
      <c r="I5055" s="6"/>
    </row>
    <row r="5056" spans="8:9" x14ac:dyDescent="0.2">
      <c r="H5056" s="6"/>
      <c r="I5056" s="6"/>
    </row>
    <row r="5057" spans="8:9" x14ac:dyDescent="0.2">
      <c r="H5057" s="6"/>
      <c r="I5057" s="6"/>
    </row>
    <row r="5058" spans="8:9" x14ac:dyDescent="0.2">
      <c r="H5058" s="6"/>
      <c r="I5058" s="6"/>
    </row>
    <row r="5059" spans="8:9" x14ac:dyDescent="0.2">
      <c r="H5059" s="6"/>
      <c r="I5059" s="6"/>
    </row>
    <row r="5060" spans="8:9" x14ac:dyDescent="0.2">
      <c r="H5060" s="6"/>
    </row>
    <row r="5061" spans="8:9" x14ac:dyDescent="0.2">
      <c r="H5061" s="6"/>
      <c r="I5061" s="6"/>
    </row>
    <row r="5062" spans="8:9" x14ac:dyDescent="0.2">
      <c r="H5062" s="6"/>
      <c r="I5062" s="6"/>
    </row>
    <row r="5063" spans="8:9" x14ac:dyDescent="0.2">
      <c r="H5063" s="6"/>
      <c r="I5063" s="6"/>
    </row>
    <row r="5064" spans="8:9" x14ac:dyDescent="0.2">
      <c r="H5064" s="6"/>
      <c r="I5064" s="6"/>
    </row>
    <row r="5065" spans="8:9" x14ac:dyDescent="0.2">
      <c r="H5065" s="6"/>
      <c r="I5065" s="6"/>
    </row>
    <row r="5066" spans="8:9" x14ac:dyDescent="0.2">
      <c r="H5066" s="6"/>
      <c r="I5066" s="6"/>
    </row>
    <row r="5067" spans="8:9" x14ac:dyDescent="0.2">
      <c r="H5067" s="6"/>
      <c r="I5067" s="6"/>
    </row>
    <row r="5068" spans="8:9" x14ac:dyDescent="0.2">
      <c r="H5068" s="6"/>
      <c r="I5068" s="6"/>
    </row>
    <row r="5069" spans="8:9" x14ac:dyDescent="0.2">
      <c r="H5069" s="6"/>
      <c r="I5069" s="6"/>
    </row>
    <row r="5070" spans="8:9" x14ac:dyDescent="0.2">
      <c r="H5070" s="6"/>
      <c r="I5070" s="6"/>
    </row>
    <row r="5071" spans="8:9" x14ac:dyDescent="0.2">
      <c r="H5071" s="6"/>
      <c r="I5071" s="6"/>
    </row>
    <row r="5072" spans="8:9" x14ac:dyDescent="0.2">
      <c r="H5072" s="6"/>
      <c r="I5072" s="6"/>
    </row>
    <row r="5073" spans="8:9" x14ac:dyDescent="0.2">
      <c r="H5073" s="6"/>
      <c r="I5073" s="6"/>
    </row>
    <row r="5074" spans="8:9" x14ac:dyDescent="0.2">
      <c r="H5074" s="6"/>
      <c r="I5074" s="6"/>
    </row>
    <row r="5075" spans="8:9" x14ac:dyDescent="0.2">
      <c r="H5075" s="6"/>
      <c r="I5075" s="6"/>
    </row>
    <row r="5076" spans="8:9" x14ac:dyDescent="0.2">
      <c r="H5076" s="6"/>
      <c r="I5076" s="6"/>
    </row>
    <row r="5077" spans="8:9" x14ac:dyDescent="0.2">
      <c r="H5077" s="6"/>
      <c r="I5077" s="6"/>
    </row>
    <row r="5078" spans="8:9" x14ac:dyDescent="0.2">
      <c r="H5078" s="6"/>
      <c r="I5078" s="6"/>
    </row>
    <row r="5079" spans="8:9" x14ac:dyDescent="0.2">
      <c r="H5079" s="6"/>
      <c r="I5079" s="6"/>
    </row>
    <row r="5080" spans="8:9" x14ac:dyDescent="0.2">
      <c r="H5080" s="6"/>
      <c r="I5080" s="6"/>
    </row>
    <row r="5081" spans="8:9" x14ac:dyDescent="0.2">
      <c r="H5081" s="6"/>
      <c r="I5081" s="6"/>
    </row>
    <row r="5082" spans="8:9" x14ac:dyDescent="0.2">
      <c r="H5082" s="6"/>
      <c r="I5082" s="6"/>
    </row>
    <row r="5083" spans="8:9" x14ac:dyDescent="0.2">
      <c r="H5083" s="6"/>
      <c r="I5083" s="6"/>
    </row>
    <row r="5084" spans="8:9" x14ac:dyDescent="0.2">
      <c r="H5084" s="6"/>
      <c r="I5084" s="6"/>
    </row>
    <row r="5085" spans="8:9" x14ac:dyDescent="0.2">
      <c r="H5085" s="6"/>
      <c r="I5085" s="6"/>
    </row>
    <row r="5086" spans="8:9" x14ac:dyDescent="0.2">
      <c r="H5086" s="6"/>
      <c r="I5086" s="6"/>
    </row>
    <row r="5087" spans="8:9" x14ac:dyDescent="0.2">
      <c r="H5087" s="6"/>
      <c r="I5087" s="6"/>
    </row>
    <row r="5088" spans="8:9" x14ac:dyDescent="0.2">
      <c r="H5088" s="6"/>
      <c r="I5088" s="6"/>
    </row>
    <row r="5089" spans="8:9" x14ac:dyDescent="0.2">
      <c r="H5089" s="6"/>
      <c r="I5089" s="6"/>
    </row>
    <row r="5090" spans="8:9" x14ac:dyDescent="0.2">
      <c r="H5090" s="6"/>
      <c r="I5090" s="6"/>
    </row>
    <row r="5091" spans="8:9" x14ac:dyDescent="0.2">
      <c r="H5091" s="6"/>
      <c r="I5091" s="6"/>
    </row>
    <row r="5092" spans="8:9" x14ac:dyDescent="0.2">
      <c r="H5092" s="6"/>
      <c r="I5092" s="6"/>
    </row>
    <row r="5093" spans="8:9" x14ac:dyDescent="0.2">
      <c r="H5093" s="6"/>
      <c r="I5093" s="6"/>
    </row>
    <row r="5094" spans="8:9" x14ac:dyDescent="0.2">
      <c r="H5094" s="6"/>
      <c r="I5094" s="6"/>
    </row>
    <row r="5095" spans="8:9" x14ac:dyDescent="0.2">
      <c r="H5095" s="6"/>
      <c r="I5095" s="6"/>
    </row>
    <row r="5096" spans="8:9" x14ac:dyDescent="0.2">
      <c r="H5096" s="6"/>
      <c r="I5096" s="6"/>
    </row>
    <row r="5097" spans="8:9" x14ac:dyDescent="0.2">
      <c r="H5097" s="6"/>
      <c r="I5097" s="6"/>
    </row>
    <row r="5098" spans="8:9" x14ac:dyDescent="0.2">
      <c r="H5098" s="6"/>
      <c r="I5098" s="6"/>
    </row>
    <row r="5099" spans="8:9" x14ac:dyDescent="0.2">
      <c r="H5099" s="6"/>
      <c r="I5099" s="6"/>
    </row>
    <row r="5100" spans="8:9" x14ac:dyDescent="0.2">
      <c r="H5100" s="6"/>
      <c r="I5100" s="6"/>
    </row>
    <row r="5101" spans="8:9" x14ac:dyDescent="0.2">
      <c r="H5101" s="6"/>
      <c r="I5101" s="6"/>
    </row>
    <row r="5102" spans="8:9" x14ac:dyDescent="0.2">
      <c r="H5102" s="6"/>
      <c r="I5102" s="6"/>
    </row>
    <row r="5103" spans="8:9" x14ac:dyDescent="0.2">
      <c r="H5103" s="6"/>
      <c r="I5103" s="6"/>
    </row>
    <row r="5104" spans="8:9" x14ac:dyDescent="0.2">
      <c r="H5104" s="6"/>
      <c r="I5104" s="6"/>
    </row>
    <row r="5105" spans="8:9" x14ac:dyDescent="0.2">
      <c r="H5105" s="6"/>
      <c r="I5105" s="6"/>
    </row>
    <row r="5106" spans="8:9" x14ac:dyDescent="0.2">
      <c r="H5106" s="6"/>
      <c r="I5106" s="6"/>
    </row>
    <row r="5107" spans="8:9" x14ac:dyDescent="0.2">
      <c r="H5107" s="6"/>
      <c r="I5107" s="6"/>
    </row>
    <row r="5108" spans="8:9" x14ac:dyDescent="0.2">
      <c r="H5108" s="6"/>
      <c r="I5108" s="6"/>
    </row>
    <row r="5109" spans="8:9" x14ac:dyDescent="0.2">
      <c r="H5109" s="6"/>
      <c r="I5109" s="6"/>
    </row>
    <row r="5110" spans="8:9" x14ac:dyDescent="0.2">
      <c r="H5110" s="6"/>
      <c r="I5110" s="6"/>
    </row>
    <row r="5111" spans="8:9" x14ac:dyDescent="0.2">
      <c r="H5111" s="6"/>
      <c r="I5111" s="6"/>
    </row>
    <row r="5112" spans="8:9" x14ac:dyDescent="0.2">
      <c r="H5112" s="6"/>
      <c r="I5112" s="6"/>
    </row>
    <row r="5113" spans="8:9" x14ac:dyDescent="0.2">
      <c r="H5113" s="6"/>
      <c r="I5113" s="6"/>
    </row>
    <row r="5114" spans="8:9" x14ac:dyDescent="0.2">
      <c r="H5114" s="6"/>
      <c r="I5114" s="6"/>
    </row>
    <row r="5115" spans="8:9" x14ac:dyDescent="0.2">
      <c r="H5115" s="6"/>
      <c r="I5115" s="6"/>
    </row>
    <row r="5116" spans="8:9" x14ac:dyDescent="0.2">
      <c r="H5116" s="6"/>
      <c r="I5116" s="6"/>
    </row>
    <row r="5117" spans="8:9" x14ac:dyDescent="0.2">
      <c r="H5117" s="6"/>
      <c r="I5117" s="6"/>
    </row>
    <row r="5118" spans="8:9" x14ac:dyDescent="0.2">
      <c r="H5118" s="6"/>
      <c r="I5118" s="6"/>
    </row>
    <row r="5119" spans="8:9" x14ac:dyDescent="0.2">
      <c r="H5119" s="6"/>
      <c r="I5119" s="6"/>
    </row>
    <row r="5120" spans="8:9" x14ac:dyDescent="0.2">
      <c r="H5120" s="6"/>
      <c r="I5120" s="6"/>
    </row>
    <row r="5121" spans="8:9" x14ac:dyDescent="0.2">
      <c r="H5121" s="6"/>
      <c r="I5121" s="6"/>
    </row>
    <row r="5122" spans="8:9" x14ac:dyDescent="0.2">
      <c r="H5122" s="6"/>
      <c r="I5122" s="6"/>
    </row>
    <row r="5123" spans="8:9" x14ac:dyDescent="0.2">
      <c r="H5123" s="6"/>
      <c r="I5123" s="6"/>
    </row>
    <row r="5124" spans="8:9" x14ac:dyDescent="0.2">
      <c r="H5124" s="6"/>
      <c r="I5124" s="6"/>
    </row>
    <row r="5125" spans="8:9" x14ac:dyDescent="0.2">
      <c r="H5125" s="6"/>
      <c r="I5125" s="6"/>
    </row>
    <row r="5126" spans="8:9" x14ac:dyDescent="0.2">
      <c r="H5126" s="6"/>
      <c r="I5126" s="6"/>
    </row>
    <row r="5127" spans="8:9" x14ac:dyDescent="0.2">
      <c r="H5127" s="6"/>
      <c r="I5127" s="6"/>
    </row>
    <row r="5128" spans="8:9" x14ac:dyDescent="0.2">
      <c r="H5128" s="6"/>
      <c r="I5128" s="6"/>
    </row>
    <row r="5129" spans="8:9" x14ac:dyDescent="0.2">
      <c r="H5129" s="6"/>
      <c r="I5129" s="6"/>
    </row>
    <row r="5130" spans="8:9" x14ac:dyDescent="0.2">
      <c r="H5130" s="6"/>
      <c r="I5130" s="6"/>
    </row>
    <row r="5131" spans="8:9" x14ac:dyDescent="0.2">
      <c r="H5131" s="6"/>
      <c r="I5131" s="6"/>
    </row>
    <row r="5132" spans="8:9" x14ac:dyDescent="0.2">
      <c r="H5132" s="6"/>
      <c r="I5132" s="6"/>
    </row>
    <row r="5133" spans="8:9" x14ac:dyDescent="0.2">
      <c r="H5133" s="6"/>
      <c r="I5133" s="6"/>
    </row>
    <row r="5134" spans="8:9" x14ac:dyDescent="0.2">
      <c r="H5134" s="6"/>
      <c r="I5134" s="6"/>
    </row>
    <row r="5135" spans="8:9" x14ac:dyDescent="0.2">
      <c r="H5135" s="6"/>
      <c r="I5135" s="6"/>
    </row>
    <row r="5136" spans="8:9" x14ac:dyDescent="0.2">
      <c r="H5136" s="6"/>
      <c r="I5136" s="6"/>
    </row>
    <row r="5137" spans="8:9" x14ac:dyDescent="0.2">
      <c r="H5137" s="6"/>
      <c r="I5137" s="6"/>
    </row>
    <row r="5138" spans="8:9" x14ac:dyDescent="0.2">
      <c r="H5138" s="6"/>
      <c r="I5138" s="6"/>
    </row>
    <row r="5139" spans="8:9" x14ac:dyDescent="0.2">
      <c r="H5139" s="6"/>
      <c r="I5139" s="6"/>
    </row>
    <row r="5140" spans="8:9" x14ac:dyDescent="0.2">
      <c r="H5140" s="6"/>
      <c r="I5140" s="6"/>
    </row>
    <row r="5141" spans="8:9" x14ac:dyDescent="0.2">
      <c r="H5141" s="6"/>
      <c r="I5141" s="6"/>
    </row>
    <row r="5142" spans="8:9" x14ac:dyDescent="0.2">
      <c r="H5142" s="6"/>
      <c r="I5142" s="6"/>
    </row>
    <row r="5143" spans="8:9" x14ac:dyDescent="0.2">
      <c r="H5143" s="6"/>
      <c r="I5143" s="6"/>
    </row>
    <row r="5144" spans="8:9" x14ac:dyDescent="0.2">
      <c r="H5144" s="6"/>
      <c r="I5144" s="6"/>
    </row>
    <row r="5145" spans="8:9" x14ac:dyDescent="0.2">
      <c r="H5145" s="6"/>
      <c r="I5145" s="6"/>
    </row>
    <row r="5146" spans="8:9" x14ac:dyDescent="0.2">
      <c r="H5146" s="6"/>
      <c r="I5146" s="6"/>
    </row>
    <row r="5147" spans="8:9" x14ac:dyDescent="0.2">
      <c r="H5147" s="6"/>
      <c r="I5147" s="6"/>
    </row>
    <row r="5148" spans="8:9" x14ac:dyDescent="0.2">
      <c r="H5148" s="6"/>
      <c r="I5148" s="6"/>
    </row>
    <row r="5149" spans="8:9" x14ac:dyDescent="0.2">
      <c r="H5149" s="6"/>
      <c r="I5149" s="6"/>
    </row>
    <row r="5150" spans="8:9" x14ac:dyDescent="0.2">
      <c r="H5150" s="6"/>
      <c r="I5150" s="6"/>
    </row>
    <row r="5151" spans="8:9" x14ac:dyDescent="0.2">
      <c r="H5151" s="6"/>
      <c r="I5151" s="6"/>
    </row>
    <row r="5152" spans="8:9" x14ac:dyDescent="0.2">
      <c r="H5152" s="6"/>
      <c r="I5152" s="6"/>
    </row>
    <row r="5153" spans="8:9" x14ac:dyDescent="0.2">
      <c r="H5153" s="6"/>
      <c r="I5153" s="6"/>
    </row>
    <row r="5154" spans="8:9" x14ac:dyDescent="0.2">
      <c r="H5154" s="6"/>
      <c r="I5154" s="6"/>
    </row>
    <row r="5155" spans="8:9" x14ac:dyDescent="0.2">
      <c r="H5155" s="6"/>
      <c r="I5155" s="6"/>
    </row>
    <row r="5156" spans="8:9" x14ac:dyDescent="0.2">
      <c r="H5156" s="6"/>
      <c r="I5156" s="6"/>
    </row>
    <row r="5157" spans="8:9" x14ac:dyDescent="0.2">
      <c r="H5157" s="6"/>
      <c r="I5157" s="6"/>
    </row>
    <row r="5158" spans="8:9" x14ac:dyDescent="0.2">
      <c r="H5158" s="6"/>
      <c r="I5158" s="6"/>
    </row>
    <row r="5159" spans="8:9" x14ac:dyDescent="0.2">
      <c r="H5159" s="6"/>
      <c r="I5159" s="6"/>
    </row>
    <row r="5160" spans="8:9" x14ac:dyDescent="0.2">
      <c r="H5160" s="6"/>
      <c r="I5160" s="6"/>
    </row>
    <row r="5161" spans="8:9" x14ac:dyDescent="0.2">
      <c r="H5161" s="6"/>
      <c r="I5161" s="6"/>
    </row>
    <row r="5162" spans="8:9" x14ac:dyDescent="0.2">
      <c r="H5162" s="6"/>
      <c r="I5162" s="6"/>
    </row>
    <row r="5163" spans="8:9" x14ac:dyDescent="0.2">
      <c r="H5163" s="6"/>
      <c r="I5163" s="6"/>
    </row>
    <row r="5164" spans="8:9" x14ac:dyDescent="0.2">
      <c r="H5164" s="6"/>
      <c r="I5164" s="6"/>
    </row>
    <row r="5165" spans="8:9" x14ac:dyDescent="0.2">
      <c r="H5165" s="6"/>
      <c r="I5165" s="6"/>
    </row>
    <row r="5166" spans="8:9" x14ac:dyDescent="0.2">
      <c r="H5166" s="6"/>
      <c r="I5166" s="6"/>
    </row>
    <row r="5167" spans="8:9" x14ac:dyDescent="0.2">
      <c r="H5167" s="6"/>
      <c r="I5167" s="6"/>
    </row>
    <row r="5168" spans="8:9" x14ac:dyDescent="0.2">
      <c r="H5168" s="6"/>
      <c r="I5168" s="6"/>
    </row>
    <row r="5169" spans="8:9" x14ac:dyDescent="0.2">
      <c r="H5169" s="6"/>
      <c r="I5169" s="6"/>
    </row>
    <row r="5170" spans="8:9" x14ac:dyDescent="0.2">
      <c r="H5170" s="6"/>
      <c r="I5170" s="6"/>
    </row>
    <row r="5171" spans="8:9" x14ac:dyDescent="0.2">
      <c r="H5171" s="6"/>
      <c r="I5171" s="6"/>
    </row>
    <row r="5172" spans="8:9" x14ac:dyDescent="0.2">
      <c r="H5172" s="6"/>
      <c r="I5172" s="6"/>
    </row>
    <row r="5173" spans="8:9" x14ac:dyDescent="0.2">
      <c r="H5173" s="6"/>
      <c r="I5173" s="6"/>
    </row>
    <row r="5174" spans="8:9" x14ac:dyDescent="0.2">
      <c r="H5174" s="6"/>
      <c r="I5174" s="6"/>
    </row>
    <row r="5175" spans="8:9" x14ac:dyDescent="0.2">
      <c r="H5175" s="6"/>
      <c r="I5175" s="6"/>
    </row>
    <row r="5176" spans="8:9" x14ac:dyDescent="0.2">
      <c r="H5176" s="6"/>
      <c r="I5176" s="6"/>
    </row>
    <row r="5177" spans="8:9" x14ac:dyDescent="0.2">
      <c r="H5177" s="6"/>
      <c r="I5177" s="6"/>
    </row>
    <row r="5178" spans="8:9" x14ac:dyDescent="0.2">
      <c r="H5178" s="6"/>
      <c r="I5178" s="6"/>
    </row>
    <row r="5179" spans="8:9" x14ac:dyDescent="0.2">
      <c r="H5179" s="6"/>
      <c r="I5179" s="6"/>
    </row>
    <row r="5180" spans="8:9" x14ac:dyDescent="0.2">
      <c r="H5180" s="6"/>
      <c r="I5180" s="6"/>
    </row>
    <row r="5181" spans="8:9" x14ac:dyDescent="0.2">
      <c r="H5181" s="6"/>
      <c r="I5181" s="6"/>
    </row>
    <row r="5182" spans="8:9" x14ac:dyDescent="0.2">
      <c r="H5182" s="6"/>
      <c r="I5182" s="6"/>
    </row>
    <row r="5183" spans="8:9" x14ac:dyDescent="0.2">
      <c r="H5183" s="6"/>
      <c r="I5183" s="6"/>
    </row>
    <row r="5184" spans="8:9" x14ac:dyDescent="0.2">
      <c r="H5184" s="6"/>
      <c r="I5184" s="6"/>
    </row>
    <row r="5185" spans="8:9" x14ac:dyDescent="0.2">
      <c r="H5185" s="6"/>
      <c r="I5185" s="6"/>
    </row>
    <row r="5186" spans="8:9" x14ac:dyDescent="0.2">
      <c r="H5186" s="6"/>
      <c r="I5186" s="6"/>
    </row>
    <row r="5187" spans="8:9" x14ac:dyDescent="0.2">
      <c r="H5187" s="6"/>
      <c r="I5187" s="6"/>
    </row>
    <row r="5188" spans="8:9" x14ac:dyDescent="0.2">
      <c r="H5188" s="6"/>
      <c r="I5188" s="6"/>
    </row>
    <row r="5189" spans="8:9" x14ac:dyDescent="0.2">
      <c r="H5189" s="6"/>
      <c r="I5189" s="6"/>
    </row>
    <row r="5190" spans="8:9" x14ac:dyDescent="0.2">
      <c r="H5190" s="6"/>
      <c r="I5190" s="6"/>
    </row>
    <row r="5191" spans="8:9" x14ac:dyDescent="0.2">
      <c r="H5191" s="6"/>
      <c r="I5191" s="6"/>
    </row>
    <row r="5192" spans="8:9" x14ac:dyDescent="0.2">
      <c r="H5192" s="6"/>
      <c r="I5192" s="6"/>
    </row>
    <row r="5193" spans="8:9" x14ac:dyDescent="0.2">
      <c r="H5193" s="6"/>
      <c r="I5193" s="6"/>
    </row>
    <row r="5194" spans="8:9" x14ac:dyDescent="0.2">
      <c r="H5194" s="6"/>
      <c r="I5194" s="6"/>
    </row>
    <row r="5195" spans="8:9" x14ac:dyDescent="0.2">
      <c r="H5195" s="6"/>
      <c r="I5195" s="6"/>
    </row>
    <row r="5196" spans="8:9" x14ac:dyDescent="0.2">
      <c r="H5196" s="6"/>
      <c r="I5196" s="6"/>
    </row>
    <row r="5197" spans="8:9" x14ac:dyDescent="0.2">
      <c r="H5197" s="6"/>
      <c r="I5197" s="6"/>
    </row>
    <row r="5198" spans="8:9" x14ac:dyDescent="0.2">
      <c r="H5198" s="6"/>
      <c r="I5198" s="6"/>
    </row>
    <row r="5199" spans="8:9" x14ac:dyDescent="0.2">
      <c r="H5199" s="6"/>
      <c r="I5199" s="6"/>
    </row>
    <row r="5200" spans="8:9" x14ac:dyDescent="0.2">
      <c r="H5200" s="6"/>
      <c r="I5200" s="6"/>
    </row>
    <row r="5201" spans="8:9" x14ac:dyDescent="0.2">
      <c r="H5201" s="6"/>
      <c r="I5201" s="6"/>
    </row>
    <row r="5202" spans="8:9" x14ac:dyDescent="0.2">
      <c r="H5202" s="6"/>
      <c r="I5202" s="6"/>
    </row>
    <row r="5203" spans="8:9" x14ac:dyDescent="0.2">
      <c r="H5203" s="6"/>
      <c r="I5203" s="6"/>
    </row>
    <row r="5204" spans="8:9" x14ac:dyDescent="0.2">
      <c r="H5204" s="6"/>
      <c r="I5204" s="6"/>
    </row>
    <row r="5205" spans="8:9" x14ac:dyDescent="0.2">
      <c r="H5205" s="6"/>
      <c r="I5205" s="6"/>
    </row>
    <row r="5206" spans="8:9" x14ac:dyDescent="0.2">
      <c r="H5206" s="6"/>
      <c r="I5206" s="6"/>
    </row>
    <row r="5207" spans="8:9" x14ac:dyDescent="0.2">
      <c r="H5207" s="6"/>
      <c r="I5207" s="6"/>
    </row>
    <row r="5208" spans="8:9" x14ac:dyDescent="0.2">
      <c r="H5208" s="6"/>
      <c r="I5208" s="6"/>
    </row>
    <row r="5209" spans="8:9" x14ac:dyDescent="0.2">
      <c r="H5209" s="6"/>
      <c r="I5209" s="6"/>
    </row>
    <row r="5210" spans="8:9" x14ac:dyDescent="0.2">
      <c r="H5210" s="6"/>
      <c r="I5210" s="6"/>
    </row>
    <row r="5211" spans="8:9" x14ac:dyDescent="0.2">
      <c r="H5211" s="6"/>
      <c r="I5211" s="6"/>
    </row>
    <row r="5212" spans="8:9" x14ac:dyDescent="0.2">
      <c r="H5212" s="6"/>
      <c r="I5212" s="6"/>
    </row>
    <row r="5213" spans="8:9" x14ac:dyDescent="0.2">
      <c r="H5213" s="6"/>
      <c r="I5213" s="6"/>
    </row>
    <row r="5214" spans="8:9" x14ac:dyDescent="0.2">
      <c r="H5214" s="6"/>
      <c r="I5214" s="6"/>
    </row>
    <row r="5215" spans="8:9" x14ac:dyDescent="0.2">
      <c r="H5215" s="6"/>
      <c r="I5215" s="6"/>
    </row>
    <row r="5216" spans="8:9" x14ac:dyDescent="0.2">
      <c r="H5216" s="6"/>
      <c r="I5216" s="6"/>
    </row>
    <row r="5217" spans="8:9" x14ac:dyDescent="0.2">
      <c r="H5217" s="6"/>
      <c r="I5217" s="6"/>
    </row>
    <row r="5218" spans="8:9" x14ac:dyDescent="0.2">
      <c r="H5218" s="6"/>
      <c r="I5218" s="6"/>
    </row>
    <row r="5219" spans="8:9" x14ac:dyDescent="0.2">
      <c r="H5219" s="6"/>
      <c r="I5219" s="6"/>
    </row>
    <row r="5220" spans="8:9" x14ac:dyDescent="0.2">
      <c r="H5220" s="6"/>
      <c r="I5220" s="6"/>
    </row>
    <row r="5221" spans="8:9" x14ac:dyDescent="0.2">
      <c r="H5221" s="6"/>
      <c r="I5221" s="6"/>
    </row>
    <row r="5222" spans="8:9" x14ac:dyDescent="0.2">
      <c r="H5222" s="6"/>
      <c r="I5222" s="6"/>
    </row>
    <row r="5223" spans="8:9" x14ac:dyDescent="0.2">
      <c r="H5223" s="6"/>
      <c r="I5223" s="6"/>
    </row>
    <row r="5224" spans="8:9" x14ac:dyDescent="0.2">
      <c r="H5224" s="6"/>
      <c r="I5224" s="6"/>
    </row>
    <row r="5225" spans="8:9" x14ac:dyDescent="0.2">
      <c r="H5225" s="6"/>
      <c r="I5225" s="6"/>
    </row>
    <row r="5226" spans="8:9" x14ac:dyDescent="0.2">
      <c r="H5226" s="6"/>
      <c r="I5226" s="6"/>
    </row>
    <row r="5227" spans="8:9" x14ac:dyDescent="0.2">
      <c r="H5227" s="6"/>
      <c r="I5227" s="6"/>
    </row>
    <row r="5228" spans="8:9" x14ac:dyDescent="0.2">
      <c r="H5228" s="6"/>
      <c r="I5228" s="6"/>
    </row>
    <row r="5229" spans="8:9" x14ac:dyDescent="0.2">
      <c r="H5229" s="6"/>
      <c r="I5229" s="6"/>
    </row>
    <row r="5230" spans="8:9" x14ac:dyDescent="0.2">
      <c r="H5230" s="6"/>
      <c r="I5230" s="6"/>
    </row>
    <row r="5231" spans="8:9" x14ac:dyDescent="0.2">
      <c r="H5231" s="6"/>
      <c r="I5231" s="6"/>
    </row>
    <row r="5232" spans="8:9" x14ac:dyDescent="0.2">
      <c r="H5232" s="6"/>
      <c r="I5232" s="6"/>
    </row>
    <row r="5233" spans="8:9" x14ac:dyDescent="0.2">
      <c r="H5233" s="6"/>
      <c r="I5233" s="6"/>
    </row>
    <row r="5234" spans="8:9" x14ac:dyDescent="0.2">
      <c r="H5234" s="6"/>
      <c r="I5234" s="6"/>
    </row>
    <row r="5235" spans="8:9" x14ac:dyDescent="0.2">
      <c r="H5235" s="6"/>
      <c r="I5235" s="6"/>
    </row>
    <row r="5236" spans="8:9" x14ac:dyDescent="0.2">
      <c r="H5236" s="6"/>
      <c r="I5236" s="6"/>
    </row>
    <row r="5237" spans="8:9" x14ac:dyDescent="0.2">
      <c r="H5237" s="6"/>
      <c r="I5237" s="6"/>
    </row>
    <row r="5238" spans="8:9" x14ac:dyDescent="0.2">
      <c r="H5238" s="6"/>
      <c r="I5238" s="6"/>
    </row>
    <row r="5239" spans="8:9" x14ac:dyDescent="0.2">
      <c r="H5239" s="6"/>
      <c r="I5239" s="6"/>
    </row>
    <row r="5240" spans="8:9" x14ac:dyDescent="0.2">
      <c r="H5240" s="6"/>
      <c r="I5240" s="6"/>
    </row>
    <row r="5241" spans="8:9" x14ac:dyDescent="0.2">
      <c r="H5241" s="6"/>
      <c r="I5241" s="6"/>
    </row>
    <row r="5242" spans="8:9" x14ac:dyDescent="0.2">
      <c r="H5242" s="6"/>
      <c r="I5242" s="6"/>
    </row>
    <row r="5243" spans="8:9" x14ac:dyDescent="0.2">
      <c r="H5243" s="6"/>
      <c r="I5243" s="6"/>
    </row>
    <row r="5244" spans="8:9" x14ac:dyDescent="0.2">
      <c r="H5244" s="6"/>
      <c r="I5244" s="6"/>
    </row>
    <row r="5245" spans="8:9" x14ac:dyDescent="0.2">
      <c r="H5245" s="6"/>
      <c r="I5245" s="6"/>
    </row>
    <row r="5246" spans="8:9" x14ac:dyDescent="0.2">
      <c r="H5246" s="6"/>
      <c r="I5246" s="6"/>
    </row>
    <row r="5247" spans="8:9" x14ac:dyDescent="0.2">
      <c r="H5247" s="6"/>
      <c r="I5247" s="6"/>
    </row>
    <row r="5248" spans="8:9" x14ac:dyDescent="0.2">
      <c r="H5248" s="6"/>
      <c r="I5248" s="6"/>
    </row>
    <row r="5249" spans="8:9" x14ac:dyDescent="0.2">
      <c r="H5249" s="6"/>
      <c r="I5249" s="6"/>
    </row>
    <row r="5250" spans="8:9" x14ac:dyDescent="0.2">
      <c r="H5250" s="6"/>
      <c r="I5250" s="6"/>
    </row>
    <row r="5251" spans="8:9" x14ac:dyDescent="0.2">
      <c r="H5251" s="6"/>
      <c r="I5251" s="6"/>
    </row>
    <row r="5252" spans="8:9" x14ac:dyDescent="0.2">
      <c r="H5252" s="6"/>
      <c r="I5252" s="6"/>
    </row>
    <row r="5253" spans="8:9" x14ac:dyDescent="0.2">
      <c r="H5253" s="6"/>
      <c r="I5253" s="6"/>
    </row>
    <row r="5254" spans="8:9" x14ac:dyDescent="0.2">
      <c r="H5254" s="6"/>
      <c r="I5254" s="6"/>
    </row>
    <row r="5255" spans="8:9" x14ac:dyDescent="0.2">
      <c r="H5255" s="6"/>
      <c r="I5255" s="6"/>
    </row>
    <row r="5256" spans="8:9" x14ac:dyDescent="0.2">
      <c r="H5256" s="6"/>
      <c r="I5256" s="6"/>
    </row>
    <row r="5257" spans="8:9" x14ac:dyDescent="0.2">
      <c r="H5257" s="6"/>
      <c r="I5257" s="6"/>
    </row>
    <row r="5258" spans="8:9" x14ac:dyDescent="0.2">
      <c r="H5258" s="6"/>
      <c r="I5258" s="6"/>
    </row>
    <row r="5259" spans="8:9" x14ac:dyDescent="0.2">
      <c r="H5259" s="6"/>
      <c r="I5259" s="6"/>
    </row>
    <row r="5260" spans="8:9" x14ac:dyDescent="0.2">
      <c r="H5260" s="6"/>
      <c r="I5260" s="6"/>
    </row>
    <row r="5261" spans="8:9" x14ac:dyDescent="0.2">
      <c r="H5261" s="6"/>
      <c r="I5261" s="6"/>
    </row>
    <row r="5262" spans="8:9" x14ac:dyDescent="0.2">
      <c r="H5262" s="6"/>
      <c r="I5262" s="6"/>
    </row>
    <row r="5263" spans="8:9" x14ac:dyDescent="0.2">
      <c r="H5263" s="6"/>
      <c r="I5263" s="6"/>
    </row>
    <row r="5264" spans="8:9" x14ac:dyDescent="0.2">
      <c r="H5264" s="6"/>
      <c r="I5264" s="6"/>
    </row>
    <row r="5265" spans="8:9" x14ac:dyDescent="0.2">
      <c r="H5265" s="6"/>
      <c r="I5265" s="6"/>
    </row>
    <row r="5266" spans="8:9" x14ac:dyDescent="0.2">
      <c r="H5266" s="6"/>
      <c r="I5266" s="6"/>
    </row>
    <row r="5267" spans="8:9" x14ac:dyDescent="0.2">
      <c r="H5267" s="6"/>
      <c r="I5267" s="6"/>
    </row>
    <row r="5268" spans="8:9" x14ac:dyDescent="0.2">
      <c r="H5268" s="6"/>
      <c r="I5268" s="6"/>
    </row>
    <row r="5269" spans="8:9" x14ac:dyDescent="0.2">
      <c r="H5269" s="6"/>
      <c r="I5269" s="6"/>
    </row>
    <row r="5270" spans="8:9" x14ac:dyDescent="0.2">
      <c r="H5270" s="6"/>
      <c r="I5270" s="6"/>
    </row>
    <row r="5271" spans="8:9" x14ac:dyDescent="0.2">
      <c r="H5271" s="6"/>
      <c r="I5271" s="6"/>
    </row>
    <row r="5272" spans="8:9" x14ac:dyDescent="0.2">
      <c r="H5272" s="6"/>
      <c r="I5272" s="6"/>
    </row>
    <row r="5273" spans="8:9" x14ac:dyDescent="0.2">
      <c r="H5273" s="6"/>
      <c r="I5273" s="6"/>
    </row>
    <row r="5274" spans="8:9" x14ac:dyDescent="0.2">
      <c r="H5274" s="6"/>
      <c r="I5274" s="6"/>
    </row>
    <row r="5275" spans="8:9" x14ac:dyDescent="0.2">
      <c r="H5275" s="6"/>
      <c r="I5275" s="6"/>
    </row>
    <row r="5276" spans="8:9" x14ac:dyDescent="0.2">
      <c r="H5276" s="6"/>
      <c r="I5276" s="6"/>
    </row>
    <row r="5277" spans="8:9" x14ac:dyDescent="0.2">
      <c r="H5277" s="6"/>
      <c r="I5277" s="6"/>
    </row>
    <row r="5278" spans="8:9" x14ac:dyDescent="0.2">
      <c r="H5278" s="6"/>
      <c r="I5278" s="6"/>
    </row>
    <row r="5279" spans="8:9" x14ac:dyDescent="0.2">
      <c r="H5279" s="6"/>
      <c r="I5279" s="6"/>
    </row>
    <row r="5280" spans="8:9" x14ac:dyDescent="0.2">
      <c r="H5280" s="6"/>
      <c r="I5280" s="6"/>
    </row>
    <row r="5281" spans="8:9" x14ac:dyDescent="0.2">
      <c r="H5281" s="6"/>
      <c r="I5281" s="6"/>
    </row>
    <row r="5282" spans="8:9" x14ac:dyDescent="0.2">
      <c r="H5282" s="6"/>
      <c r="I5282" s="6"/>
    </row>
    <row r="5283" spans="8:9" x14ac:dyDescent="0.2">
      <c r="H5283" s="6"/>
      <c r="I5283" s="6"/>
    </row>
    <row r="5284" spans="8:9" x14ac:dyDescent="0.2">
      <c r="H5284" s="6"/>
      <c r="I5284" s="6"/>
    </row>
    <row r="5285" spans="8:9" x14ac:dyDescent="0.2">
      <c r="H5285" s="6"/>
      <c r="I5285" s="6"/>
    </row>
    <row r="5286" spans="8:9" x14ac:dyDescent="0.2">
      <c r="H5286" s="6"/>
      <c r="I5286" s="6"/>
    </row>
    <row r="5287" spans="8:9" x14ac:dyDescent="0.2">
      <c r="H5287" s="6"/>
      <c r="I5287" s="6"/>
    </row>
    <row r="5288" spans="8:9" x14ac:dyDescent="0.2">
      <c r="H5288" s="6"/>
      <c r="I5288" s="6"/>
    </row>
    <row r="5289" spans="8:9" x14ac:dyDescent="0.2">
      <c r="H5289" s="6"/>
      <c r="I5289" s="6"/>
    </row>
    <row r="5290" spans="8:9" x14ac:dyDescent="0.2">
      <c r="H5290" s="6"/>
      <c r="I5290" s="6"/>
    </row>
    <row r="5291" spans="8:9" x14ac:dyDescent="0.2">
      <c r="H5291" s="6"/>
      <c r="I5291" s="6"/>
    </row>
    <row r="5292" spans="8:9" x14ac:dyDescent="0.2">
      <c r="H5292" s="6"/>
      <c r="I5292" s="6"/>
    </row>
    <row r="5293" spans="8:9" x14ac:dyDescent="0.2">
      <c r="H5293" s="6"/>
      <c r="I5293" s="6"/>
    </row>
    <row r="5294" spans="8:9" x14ac:dyDescent="0.2">
      <c r="H5294" s="6"/>
      <c r="I5294" s="6"/>
    </row>
    <row r="5295" spans="8:9" x14ac:dyDescent="0.2">
      <c r="H5295" s="6"/>
      <c r="I5295" s="6"/>
    </row>
    <row r="5296" spans="8:9" x14ac:dyDescent="0.2">
      <c r="H5296" s="6"/>
      <c r="I5296" s="6"/>
    </row>
    <row r="5297" spans="8:9" x14ac:dyDescent="0.2">
      <c r="H5297" s="6"/>
      <c r="I5297" s="6"/>
    </row>
    <row r="5298" spans="8:9" x14ac:dyDescent="0.2">
      <c r="H5298" s="6"/>
      <c r="I5298" s="6"/>
    </row>
    <row r="5299" spans="8:9" x14ac:dyDescent="0.2">
      <c r="H5299" s="6"/>
      <c r="I5299" s="6"/>
    </row>
    <row r="5300" spans="8:9" x14ac:dyDescent="0.2">
      <c r="H5300" s="6"/>
      <c r="I5300" s="6"/>
    </row>
    <row r="5301" spans="8:9" x14ac:dyDescent="0.2">
      <c r="H5301" s="6"/>
      <c r="I5301" s="6"/>
    </row>
    <row r="5302" spans="8:9" x14ac:dyDescent="0.2">
      <c r="H5302" s="6"/>
      <c r="I5302" s="6"/>
    </row>
    <row r="5303" spans="8:9" x14ac:dyDescent="0.2">
      <c r="H5303" s="6"/>
      <c r="I5303" s="6"/>
    </row>
    <row r="5304" spans="8:9" x14ac:dyDescent="0.2">
      <c r="H5304" s="6"/>
      <c r="I5304" s="6"/>
    </row>
    <row r="5305" spans="8:9" x14ac:dyDescent="0.2">
      <c r="H5305" s="6"/>
      <c r="I5305" s="6"/>
    </row>
    <row r="5306" spans="8:9" x14ac:dyDescent="0.2">
      <c r="H5306" s="6"/>
      <c r="I5306" s="6"/>
    </row>
    <row r="5307" spans="8:9" x14ac:dyDescent="0.2">
      <c r="H5307" s="6"/>
      <c r="I5307" s="6"/>
    </row>
    <row r="5308" spans="8:9" x14ac:dyDescent="0.2">
      <c r="H5308" s="6"/>
      <c r="I5308" s="6"/>
    </row>
    <row r="5309" spans="8:9" x14ac:dyDescent="0.2">
      <c r="H5309" s="6"/>
      <c r="I5309" s="6"/>
    </row>
    <row r="5310" spans="8:9" x14ac:dyDescent="0.2">
      <c r="H5310" s="6"/>
      <c r="I5310" s="6"/>
    </row>
    <row r="5311" spans="8:9" x14ac:dyDescent="0.2">
      <c r="H5311" s="6"/>
      <c r="I5311" s="6"/>
    </row>
    <row r="5312" spans="8:9" x14ac:dyDescent="0.2">
      <c r="H5312" s="6"/>
      <c r="I5312" s="6"/>
    </row>
    <row r="5313" spans="8:9" x14ac:dyDescent="0.2">
      <c r="H5313" s="6"/>
      <c r="I5313" s="6"/>
    </row>
    <row r="5314" spans="8:9" x14ac:dyDescent="0.2">
      <c r="H5314" s="6"/>
      <c r="I5314" s="6"/>
    </row>
    <row r="5315" spans="8:9" x14ac:dyDescent="0.2">
      <c r="H5315" s="6"/>
      <c r="I5315" s="6"/>
    </row>
    <row r="5316" spans="8:9" x14ac:dyDescent="0.2">
      <c r="H5316" s="6"/>
      <c r="I5316" s="6"/>
    </row>
    <row r="5317" spans="8:9" x14ac:dyDescent="0.2">
      <c r="H5317" s="6"/>
      <c r="I5317" s="6"/>
    </row>
    <row r="5318" spans="8:9" x14ac:dyDescent="0.2">
      <c r="H5318" s="6"/>
      <c r="I5318" s="6"/>
    </row>
    <row r="5319" spans="8:9" x14ac:dyDescent="0.2">
      <c r="H5319" s="6"/>
      <c r="I5319" s="6"/>
    </row>
    <row r="5320" spans="8:9" x14ac:dyDescent="0.2">
      <c r="H5320" s="6"/>
      <c r="I5320" s="6"/>
    </row>
    <row r="5321" spans="8:9" x14ac:dyDescent="0.2">
      <c r="H5321" s="6"/>
      <c r="I5321" s="6"/>
    </row>
    <row r="5322" spans="8:9" x14ac:dyDescent="0.2">
      <c r="H5322" s="6"/>
      <c r="I5322" s="6"/>
    </row>
    <row r="5323" spans="8:9" x14ac:dyDescent="0.2">
      <c r="H5323" s="6"/>
      <c r="I5323" s="6"/>
    </row>
    <row r="5324" spans="8:9" x14ac:dyDescent="0.2">
      <c r="H5324" s="6"/>
      <c r="I5324" s="6"/>
    </row>
    <row r="5325" spans="8:9" x14ac:dyDescent="0.2">
      <c r="H5325" s="6"/>
      <c r="I5325" s="6"/>
    </row>
    <row r="5326" spans="8:9" x14ac:dyDescent="0.2">
      <c r="H5326" s="6"/>
      <c r="I5326" s="6"/>
    </row>
    <row r="5327" spans="8:9" x14ac:dyDescent="0.2">
      <c r="H5327" s="6"/>
      <c r="I5327" s="6"/>
    </row>
    <row r="5328" spans="8:9" x14ac:dyDescent="0.2">
      <c r="H5328" s="6"/>
      <c r="I5328" s="6"/>
    </row>
    <row r="5329" spans="8:9" x14ac:dyDescent="0.2">
      <c r="H5329" s="6"/>
      <c r="I5329" s="6"/>
    </row>
    <row r="5330" spans="8:9" x14ac:dyDescent="0.2">
      <c r="H5330" s="6"/>
      <c r="I5330" s="6"/>
    </row>
    <row r="5331" spans="8:9" x14ac:dyDescent="0.2">
      <c r="H5331" s="6"/>
      <c r="I5331" s="6"/>
    </row>
    <row r="5332" spans="8:9" x14ac:dyDescent="0.2">
      <c r="H5332" s="6"/>
      <c r="I5332" s="6"/>
    </row>
    <row r="5333" spans="8:9" x14ac:dyDescent="0.2">
      <c r="H5333" s="6"/>
      <c r="I5333" s="6"/>
    </row>
    <row r="5334" spans="8:9" x14ac:dyDescent="0.2">
      <c r="H5334" s="6"/>
      <c r="I5334" s="6"/>
    </row>
    <row r="5335" spans="8:9" x14ac:dyDescent="0.2">
      <c r="H5335" s="6"/>
      <c r="I5335" s="6"/>
    </row>
    <row r="5336" spans="8:9" x14ac:dyDescent="0.2">
      <c r="H5336" s="6"/>
      <c r="I5336" s="6"/>
    </row>
    <row r="5337" spans="8:9" x14ac:dyDescent="0.2">
      <c r="H5337" s="6"/>
      <c r="I5337" s="6"/>
    </row>
    <row r="5338" spans="8:9" x14ac:dyDescent="0.2">
      <c r="H5338" s="6"/>
      <c r="I5338" s="6"/>
    </row>
    <row r="5339" spans="8:9" x14ac:dyDescent="0.2">
      <c r="H5339" s="6"/>
      <c r="I5339" s="6"/>
    </row>
    <row r="5340" spans="8:9" x14ac:dyDescent="0.2">
      <c r="H5340" s="6"/>
      <c r="I5340" s="6"/>
    </row>
    <row r="5341" spans="8:9" x14ac:dyDescent="0.2">
      <c r="H5341" s="6"/>
      <c r="I5341" s="6"/>
    </row>
    <row r="5342" spans="8:9" x14ac:dyDescent="0.2">
      <c r="H5342" s="6"/>
      <c r="I5342" s="6"/>
    </row>
    <row r="5343" spans="8:9" x14ac:dyDescent="0.2">
      <c r="H5343" s="6"/>
      <c r="I5343" s="6"/>
    </row>
    <row r="5344" spans="8:9" x14ac:dyDescent="0.2">
      <c r="H5344" s="6"/>
      <c r="I5344" s="6"/>
    </row>
    <row r="5345" spans="8:9" x14ac:dyDescent="0.2">
      <c r="H5345" s="6"/>
      <c r="I5345" s="6"/>
    </row>
    <row r="5346" spans="8:9" x14ac:dyDescent="0.2">
      <c r="H5346" s="6"/>
      <c r="I5346" s="6"/>
    </row>
    <row r="5347" spans="8:9" x14ac:dyDescent="0.2">
      <c r="H5347" s="6"/>
      <c r="I5347" s="6"/>
    </row>
    <row r="5348" spans="8:9" x14ac:dyDescent="0.2">
      <c r="H5348" s="6"/>
      <c r="I5348" s="6"/>
    </row>
    <row r="5349" spans="8:9" x14ac:dyDescent="0.2">
      <c r="H5349" s="6"/>
      <c r="I5349" s="6"/>
    </row>
    <row r="5350" spans="8:9" x14ac:dyDescent="0.2">
      <c r="H5350" s="6"/>
      <c r="I5350" s="6"/>
    </row>
    <row r="5351" spans="8:9" x14ac:dyDescent="0.2">
      <c r="H5351" s="6"/>
      <c r="I5351" s="6"/>
    </row>
    <row r="5352" spans="8:9" x14ac:dyDescent="0.2">
      <c r="H5352" s="6"/>
      <c r="I5352" s="6"/>
    </row>
    <row r="5353" spans="8:9" x14ac:dyDescent="0.2">
      <c r="H5353" s="6"/>
      <c r="I5353" s="6"/>
    </row>
    <row r="5354" spans="8:9" x14ac:dyDescent="0.2">
      <c r="H5354" s="6"/>
      <c r="I5354" s="6"/>
    </row>
    <row r="5355" spans="8:9" x14ac:dyDescent="0.2">
      <c r="H5355" s="6"/>
      <c r="I5355" s="6"/>
    </row>
    <row r="5356" spans="8:9" x14ac:dyDescent="0.2">
      <c r="H5356" s="6"/>
      <c r="I5356" s="6"/>
    </row>
    <row r="5357" spans="8:9" x14ac:dyDescent="0.2">
      <c r="H5357" s="6"/>
      <c r="I5357" s="6"/>
    </row>
    <row r="5358" spans="8:9" x14ac:dyDescent="0.2">
      <c r="H5358" s="6"/>
      <c r="I5358" s="6"/>
    </row>
    <row r="5359" spans="8:9" x14ac:dyDescent="0.2">
      <c r="H5359" s="6"/>
      <c r="I5359" s="6"/>
    </row>
    <row r="5360" spans="8:9" x14ac:dyDescent="0.2">
      <c r="H5360" s="6"/>
      <c r="I5360" s="6"/>
    </row>
    <row r="5361" spans="8:9" x14ac:dyDescent="0.2">
      <c r="H5361" s="6"/>
      <c r="I5361" s="6"/>
    </row>
    <row r="5362" spans="8:9" x14ac:dyDescent="0.2">
      <c r="H5362" s="6"/>
      <c r="I5362" s="6"/>
    </row>
    <row r="5363" spans="8:9" x14ac:dyDescent="0.2">
      <c r="H5363" s="6"/>
      <c r="I5363" s="6"/>
    </row>
    <row r="5364" spans="8:9" x14ac:dyDescent="0.2">
      <c r="H5364" s="6"/>
      <c r="I5364" s="6"/>
    </row>
    <row r="5365" spans="8:9" x14ac:dyDescent="0.2">
      <c r="H5365" s="6"/>
      <c r="I5365" s="6"/>
    </row>
    <row r="5366" spans="8:9" x14ac:dyDescent="0.2">
      <c r="H5366" s="6"/>
      <c r="I5366" s="6"/>
    </row>
    <row r="5367" spans="8:9" x14ac:dyDescent="0.2">
      <c r="H5367" s="6"/>
      <c r="I5367" s="6"/>
    </row>
    <row r="5368" spans="8:9" x14ac:dyDescent="0.2">
      <c r="H5368" s="6"/>
      <c r="I5368" s="6"/>
    </row>
    <row r="5369" spans="8:9" x14ac:dyDescent="0.2">
      <c r="H5369" s="6"/>
      <c r="I5369" s="6"/>
    </row>
    <row r="5370" spans="8:9" x14ac:dyDescent="0.2">
      <c r="H5370" s="6"/>
      <c r="I5370" s="6"/>
    </row>
    <row r="5371" spans="8:9" x14ac:dyDescent="0.2">
      <c r="H5371" s="6"/>
      <c r="I5371" s="6"/>
    </row>
    <row r="5372" spans="8:9" x14ac:dyDescent="0.2">
      <c r="H5372" s="6"/>
      <c r="I5372" s="6"/>
    </row>
    <row r="5373" spans="8:9" x14ac:dyDescent="0.2">
      <c r="H5373" s="6"/>
      <c r="I5373" s="6"/>
    </row>
    <row r="5374" spans="8:9" x14ac:dyDescent="0.2">
      <c r="H5374" s="6"/>
      <c r="I5374" s="6"/>
    </row>
    <row r="5375" spans="8:9" x14ac:dyDescent="0.2">
      <c r="H5375" s="6"/>
      <c r="I5375" s="6"/>
    </row>
    <row r="5376" spans="8:9" x14ac:dyDescent="0.2">
      <c r="H5376" s="6"/>
      <c r="I5376" s="6"/>
    </row>
    <row r="5377" spans="8:9" x14ac:dyDescent="0.2">
      <c r="H5377" s="6"/>
      <c r="I5377" s="6"/>
    </row>
    <row r="5378" spans="8:9" x14ac:dyDescent="0.2">
      <c r="H5378" s="6"/>
      <c r="I5378" s="6"/>
    </row>
    <row r="5379" spans="8:9" x14ac:dyDescent="0.2">
      <c r="H5379" s="6"/>
      <c r="I5379" s="6"/>
    </row>
    <row r="5380" spans="8:9" x14ac:dyDescent="0.2">
      <c r="H5380" s="6"/>
      <c r="I5380" s="6"/>
    </row>
    <row r="5381" spans="8:9" x14ac:dyDescent="0.2">
      <c r="H5381" s="6"/>
      <c r="I5381" s="6"/>
    </row>
    <row r="5382" spans="8:9" x14ac:dyDescent="0.2">
      <c r="H5382" s="6"/>
      <c r="I5382" s="6"/>
    </row>
    <row r="5383" spans="8:9" x14ac:dyDescent="0.2">
      <c r="H5383" s="6"/>
      <c r="I5383" s="6"/>
    </row>
    <row r="5384" spans="8:9" x14ac:dyDescent="0.2">
      <c r="H5384" s="6"/>
      <c r="I5384" s="6"/>
    </row>
    <row r="5385" spans="8:9" x14ac:dyDescent="0.2">
      <c r="H5385" s="6"/>
      <c r="I5385" s="6"/>
    </row>
    <row r="5386" spans="8:9" x14ac:dyDescent="0.2">
      <c r="H5386" s="6"/>
      <c r="I5386" s="6"/>
    </row>
    <row r="5387" spans="8:9" x14ac:dyDescent="0.2">
      <c r="H5387" s="6"/>
      <c r="I5387" s="6"/>
    </row>
    <row r="5388" spans="8:9" x14ac:dyDescent="0.2">
      <c r="H5388" s="6"/>
      <c r="I5388" s="6"/>
    </row>
    <row r="5389" spans="8:9" x14ac:dyDescent="0.2">
      <c r="H5389" s="6"/>
      <c r="I5389" s="6"/>
    </row>
    <row r="5390" spans="8:9" x14ac:dyDescent="0.2">
      <c r="H5390" s="6"/>
      <c r="I5390" s="6"/>
    </row>
    <row r="5391" spans="8:9" x14ac:dyDescent="0.2">
      <c r="H5391" s="6"/>
      <c r="I5391" s="6"/>
    </row>
    <row r="5392" spans="8:9" x14ac:dyDescent="0.2">
      <c r="H5392" s="6"/>
      <c r="I5392" s="6"/>
    </row>
    <row r="5393" spans="8:9" x14ac:dyDescent="0.2">
      <c r="H5393" s="6"/>
      <c r="I5393" s="6"/>
    </row>
    <row r="5394" spans="8:9" x14ac:dyDescent="0.2">
      <c r="H5394" s="6"/>
      <c r="I5394" s="6"/>
    </row>
    <row r="5395" spans="8:9" x14ac:dyDescent="0.2">
      <c r="H5395" s="6"/>
      <c r="I5395" s="6"/>
    </row>
    <row r="5396" spans="8:9" x14ac:dyDescent="0.2">
      <c r="H5396" s="6"/>
      <c r="I5396" s="6"/>
    </row>
    <row r="5397" spans="8:9" x14ac:dyDescent="0.2">
      <c r="H5397" s="6"/>
      <c r="I5397" s="6"/>
    </row>
    <row r="5398" spans="8:9" x14ac:dyDescent="0.2">
      <c r="H5398" s="6"/>
      <c r="I5398" s="6"/>
    </row>
    <row r="5399" spans="8:9" x14ac:dyDescent="0.2">
      <c r="H5399" s="6"/>
      <c r="I5399" s="6"/>
    </row>
    <row r="5400" spans="8:9" x14ac:dyDescent="0.2">
      <c r="H5400" s="6"/>
      <c r="I5400" s="6"/>
    </row>
    <row r="5401" spans="8:9" x14ac:dyDescent="0.2">
      <c r="H5401" s="6"/>
      <c r="I5401" s="6"/>
    </row>
    <row r="5402" spans="8:9" x14ac:dyDescent="0.2">
      <c r="H5402" s="6"/>
      <c r="I5402" s="6"/>
    </row>
    <row r="5403" spans="8:9" x14ac:dyDescent="0.2">
      <c r="H5403" s="6"/>
      <c r="I5403" s="6"/>
    </row>
    <row r="5404" spans="8:9" x14ac:dyDescent="0.2">
      <c r="H5404" s="6"/>
      <c r="I5404" s="6"/>
    </row>
    <row r="5405" spans="8:9" x14ac:dyDescent="0.2">
      <c r="H5405" s="6"/>
      <c r="I5405" s="6"/>
    </row>
    <row r="5406" spans="8:9" x14ac:dyDescent="0.2">
      <c r="H5406" s="6"/>
      <c r="I5406" s="6"/>
    </row>
    <row r="5407" spans="8:9" x14ac:dyDescent="0.2">
      <c r="H5407" s="6"/>
      <c r="I5407" s="6"/>
    </row>
    <row r="5408" spans="8:9" x14ac:dyDescent="0.2">
      <c r="H5408" s="6"/>
      <c r="I5408" s="6"/>
    </row>
    <row r="5409" spans="8:9" x14ac:dyDescent="0.2">
      <c r="H5409" s="6"/>
      <c r="I5409" s="6"/>
    </row>
    <row r="5410" spans="8:9" x14ac:dyDescent="0.2">
      <c r="H5410" s="6"/>
      <c r="I5410" s="6"/>
    </row>
    <row r="5411" spans="8:9" x14ac:dyDescent="0.2">
      <c r="H5411" s="6"/>
      <c r="I5411" s="6"/>
    </row>
    <row r="5412" spans="8:9" x14ac:dyDescent="0.2">
      <c r="H5412" s="6"/>
      <c r="I5412" s="6"/>
    </row>
    <row r="5413" spans="8:9" x14ac:dyDescent="0.2">
      <c r="H5413" s="6"/>
      <c r="I5413" s="6"/>
    </row>
    <row r="5414" spans="8:9" x14ac:dyDescent="0.2">
      <c r="H5414" s="6"/>
      <c r="I5414" s="6"/>
    </row>
    <row r="5415" spans="8:9" x14ac:dyDescent="0.2">
      <c r="H5415" s="6"/>
      <c r="I5415" s="6"/>
    </row>
    <row r="5416" spans="8:9" x14ac:dyDescent="0.2">
      <c r="H5416" s="6"/>
      <c r="I5416" s="6"/>
    </row>
    <row r="5417" spans="8:9" x14ac:dyDescent="0.2">
      <c r="H5417" s="6"/>
      <c r="I5417" s="6"/>
    </row>
    <row r="5418" spans="8:9" x14ac:dyDescent="0.2">
      <c r="H5418" s="6"/>
      <c r="I5418" s="6"/>
    </row>
    <row r="5419" spans="8:9" x14ac:dyDescent="0.2">
      <c r="H5419" s="6"/>
      <c r="I5419" s="6"/>
    </row>
    <row r="5420" spans="8:9" x14ac:dyDescent="0.2">
      <c r="H5420" s="6"/>
      <c r="I5420" s="6"/>
    </row>
    <row r="5421" spans="8:9" x14ac:dyDescent="0.2">
      <c r="H5421" s="6"/>
      <c r="I5421" s="6"/>
    </row>
    <row r="5422" spans="8:9" x14ac:dyDescent="0.2">
      <c r="H5422" s="6"/>
      <c r="I5422" s="6"/>
    </row>
    <row r="5423" spans="8:9" x14ac:dyDescent="0.2">
      <c r="H5423" s="6"/>
      <c r="I5423" s="6"/>
    </row>
    <row r="5424" spans="8:9" x14ac:dyDescent="0.2">
      <c r="H5424" s="6"/>
      <c r="I5424" s="6"/>
    </row>
    <row r="5425" spans="8:9" x14ac:dyDescent="0.2">
      <c r="H5425" s="6"/>
      <c r="I5425" s="6"/>
    </row>
    <row r="5426" spans="8:9" x14ac:dyDescent="0.2">
      <c r="H5426" s="6"/>
      <c r="I5426" s="6"/>
    </row>
    <row r="5427" spans="8:9" x14ac:dyDescent="0.2">
      <c r="H5427" s="6"/>
      <c r="I5427" s="6"/>
    </row>
    <row r="5428" spans="8:9" x14ac:dyDescent="0.2">
      <c r="H5428" s="6"/>
      <c r="I5428" s="6"/>
    </row>
    <row r="5429" spans="8:9" x14ac:dyDescent="0.2">
      <c r="H5429" s="6"/>
      <c r="I5429" s="6"/>
    </row>
    <row r="5430" spans="8:9" x14ac:dyDescent="0.2">
      <c r="H5430" s="6"/>
      <c r="I5430" s="6"/>
    </row>
    <row r="5431" spans="8:9" x14ac:dyDescent="0.2">
      <c r="H5431" s="6"/>
      <c r="I5431" s="6"/>
    </row>
    <row r="5432" spans="8:9" x14ac:dyDescent="0.2">
      <c r="H5432" s="6"/>
      <c r="I5432" s="6"/>
    </row>
    <row r="5433" spans="8:9" x14ac:dyDescent="0.2">
      <c r="H5433" s="6"/>
      <c r="I5433" s="6"/>
    </row>
    <row r="5434" spans="8:9" x14ac:dyDescent="0.2">
      <c r="H5434" s="6"/>
      <c r="I5434" s="6"/>
    </row>
    <row r="5435" spans="8:9" x14ac:dyDescent="0.2">
      <c r="H5435" s="6"/>
      <c r="I5435" s="6"/>
    </row>
    <row r="5436" spans="8:9" x14ac:dyDescent="0.2">
      <c r="H5436" s="6"/>
      <c r="I5436" s="6"/>
    </row>
    <row r="5437" spans="8:9" x14ac:dyDescent="0.2">
      <c r="H5437" s="6"/>
      <c r="I5437" s="6"/>
    </row>
    <row r="5438" spans="8:9" x14ac:dyDescent="0.2">
      <c r="H5438" s="6"/>
      <c r="I5438" s="6"/>
    </row>
    <row r="5439" spans="8:9" x14ac:dyDescent="0.2">
      <c r="H5439" s="6"/>
      <c r="I5439" s="6"/>
    </row>
    <row r="5440" spans="8:9" x14ac:dyDescent="0.2">
      <c r="H5440" s="6"/>
      <c r="I5440" s="6"/>
    </row>
    <row r="5441" spans="8:9" x14ac:dyDescent="0.2">
      <c r="H5441" s="6"/>
      <c r="I5441" s="6"/>
    </row>
    <row r="5442" spans="8:9" x14ac:dyDescent="0.2">
      <c r="H5442" s="6"/>
      <c r="I5442" s="6"/>
    </row>
    <row r="5443" spans="8:9" x14ac:dyDescent="0.2">
      <c r="H5443" s="6"/>
      <c r="I5443" s="6"/>
    </row>
    <row r="5444" spans="8:9" x14ac:dyDescent="0.2">
      <c r="H5444" s="6"/>
      <c r="I5444" s="6"/>
    </row>
    <row r="5445" spans="8:9" x14ac:dyDescent="0.2">
      <c r="H5445" s="6"/>
      <c r="I5445" s="6"/>
    </row>
    <row r="5446" spans="8:9" x14ac:dyDescent="0.2">
      <c r="H5446" s="6"/>
      <c r="I5446" s="6"/>
    </row>
    <row r="5447" spans="8:9" x14ac:dyDescent="0.2">
      <c r="H5447" s="6"/>
      <c r="I5447" s="6"/>
    </row>
    <row r="5448" spans="8:9" x14ac:dyDescent="0.2">
      <c r="H5448" s="6"/>
      <c r="I5448" s="6"/>
    </row>
    <row r="5449" spans="8:9" x14ac:dyDescent="0.2">
      <c r="H5449" s="6"/>
      <c r="I5449" s="6"/>
    </row>
    <row r="5450" spans="8:9" x14ac:dyDescent="0.2">
      <c r="H5450" s="6"/>
      <c r="I5450" s="6"/>
    </row>
    <row r="5451" spans="8:9" x14ac:dyDescent="0.2">
      <c r="H5451" s="6"/>
      <c r="I5451" s="6"/>
    </row>
    <row r="5452" spans="8:9" x14ac:dyDescent="0.2">
      <c r="H5452" s="6"/>
      <c r="I5452" s="6"/>
    </row>
    <row r="5453" spans="8:9" x14ac:dyDescent="0.2">
      <c r="H5453" s="6"/>
      <c r="I5453" s="6"/>
    </row>
    <row r="5454" spans="8:9" x14ac:dyDescent="0.2">
      <c r="H5454" s="6"/>
      <c r="I5454" s="6"/>
    </row>
    <row r="5455" spans="8:9" x14ac:dyDescent="0.2">
      <c r="H5455" s="6"/>
      <c r="I5455" s="6"/>
    </row>
    <row r="5456" spans="8:9" x14ac:dyDescent="0.2">
      <c r="H5456" s="6"/>
      <c r="I5456" s="6"/>
    </row>
    <row r="5457" spans="8:9" x14ac:dyDescent="0.2">
      <c r="H5457" s="6"/>
      <c r="I5457" s="6"/>
    </row>
    <row r="5458" spans="8:9" x14ac:dyDescent="0.2">
      <c r="H5458" s="6"/>
      <c r="I5458" s="6"/>
    </row>
    <row r="5459" spans="8:9" x14ac:dyDescent="0.2">
      <c r="H5459" s="6"/>
      <c r="I5459" s="6"/>
    </row>
    <row r="5460" spans="8:9" x14ac:dyDescent="0.2">
      <c r="H5460" s="6"/>
      <c r="I5460" s="6"/>
    </row>
    <row r="5461" spans="8:9" x14ac:dyDescent="0.2">
      <c r="H5461" s="6"/>
      <c r="I5461" s="6"/>
    </row>
    <row r="5462" spans="8:9" x14ac:dyDescent="0.2">
      <c r="H5462" s="6"/>
      <c r="I5462" s="6"/>
    </row>
    <row r="5463" spans="8:9" x14ac:dyDescent="0.2">
      <c r="H5463" s="6"/>
      <c r="I5463" s="6"/>
    </row>
    <row r="5464" spans="8:9" x14ac:dyDescent="0.2">
      <c r="H5464" s="6"/>
      <c r="I5464" s="6"/>
    </row>
    <row r="5465" spans="8:9" x14ac:dyDescent="0.2">
      <c r="H5465" s="6"/>
      <c r="I5465" s="6"/>
    </row>
    <row r="5466" spans="8:9" x14ac:dyDescent="0.2">
      <c r="H5466" s="6"/>
      <c r="I5466" s="6"/>
    </row>
    <row r="5467" spans="8:9" x14ac:dyDescent="0.2">
      <c r="H5467" s="6"/>
      <c r="I5467" s="6"/>
    </row>
    <row r="5468" spans="8:9" x14ac:dyDescent="0.2">
      <c r="H5468" s="6"/>
      <c r="I5468" s="6"/>
    </row>
    <row r="5469" spans="8:9" x14ac:dyDescent="0.2">
      <c r="H5469" s="6"/>
      <c r="I5469" s="6"/>
    </row>
    <row r="5470" spans="8:9" x14ac:dyDescent="0.2">
      <c r="H5470" s="6"/>
      <c r="I5470" s="6"/>
    </row>
    <row r="5471" spans="8:9" x14ac:dyDescent="0.2">
      <c r="H5471" s="6"/>
      <c r="I5471" s="6"/>
    </row>
    <row r="5472" spans="8:9" x14ac:dyDescent="0.2">
      <c r="H5472" s="6"/>
      <c r="I5472" s="6"/>
    </row>
    <row r="5473" spans="8:9" x14ac:dyDescent="0.2">
      <c r="H5473" s="6"/>
      <c r="I5473" s="6"/>
    </row>
    <row r="5474" spans="8:9" x14ac:dyDescent="0.2">
      <c r="H5474" s="6"/>
      <c r="I5474" s="6"/>
    </row>
    <row r="5475" spans="8:9" x14ac:dyDescent="0.2">
      <c r="H5475" s="6"/>
      <c r="I5475" s="6"/>
    </row>
    <row r="5476" spans="8:9" x14ac:dyDescent="0.2">
      <c r="H5476" s="6"/>
      <c r="I5476" s="6"/>
    </row>
    <row r="5477" spans="8:9" x14ac:dyDescent="0.2">
      <c r="H5477" s="6"/>
      <c r="I5477" s="6"/>
    </row>
    <row r="5478" spans="8:9" x14ac:dyDescent="0.2">
      <c r="H5478" s="6"/>
      <c r="I5478" s="6"/>
    </row>
    <row r="5479" spans="8:9" x14ac:dyDescent="0.2">
      <c r="H5479" s="6"/>
      <c r="I5479" s="6"/>
    </row>
    <row r="5480" spans="8:9" x14ac:dyDescent="0.2">
      <c r="H5480" s="6"/>
      <c r="I5480" s="6"/>
    </row>
    <row r="5481" spans="8:9" x14ac:dyDescent="0.2">
      <c r="H5481" s="6"/>
      <c r="I5481" s="6"/>
    </row>
    <row r="5482" spans="8:9" x14ac:dyDescent="0.2">
      <c r="H5482" s="6"/>
      <c r="I5482" s="6"/>
    </row>
    <row r="5483" spans="8:9" x14ac:dyDescent="0.2">
      <c r="H5483" s="6"/>
      <c r="I5483" s="6"/>
    </row>
    <row r="5484" spans="8:9" x14ac:dyDescent="0.2">
      <c r="H5484" s="6"/>
      <c r="I5484" s="6"/>
    </row>
    <row r="5485" spans="8:9" x14ac:dyDescent="0.2">
      <c r="H5485" s="6"/>
      <c r="I5485" s="6"/>
    </row>
    <row r="5486" spans="8:9" x14ac:dyDescent="0.2">
      <c r="H5486" s="6"/>
      <c r="I5486" s="6"/>
    </row>
    <row r="5487" spans="8:9" x14ac:dyDescent="0.2">
      <c r="H5487" s="6"/>
      <c r="I5487" s="6"/>
    </row>
    <row r="5488" spans="8:9" x14ac:dyDescent="0.2">
      <c r="H5488" s="6"/>
      <c r="I5488" s="6"/>
    </row>
    <row r="5489" spans="8:9" x14ac:dyDescent="0.2">
      <c r="H5489" s="6"/>
      <c r="I5489" s="6"/>
    </row>
    <row r="5490" spans="8:9" x14ac:dyDescent="0.2">
      <c r="H5490" s="6"/>
      <c r="I5490" s="6"/>
    </row>
    <row r="5491" spans="8:9" x14ac:dyDescent="0.2">
      <c r="H5491" s="6"/>
      <c r="I5491" s="6"/>
    </row>
    <row r="5492" spans="8:9" x14ac:dyDescent="0.2">
      <c r="H5492" s="6"/>
      <c r="I5492" s="6"/>
    </row>
    <row r="5493" spans="8:9" x14ac:dyDescent="0.2">
      <c r="H5493" s="6"/>
      <c r="I5493" s="6"/>
    </row>
    <row r="5494" spans="8:9" x14ac:dyDescent="0.2">
      <c r="H5494" s="6"/>
      <c r="I5494" s="6"/>
    </row>
    <row r="5495" spans="8:9" x14ac:dyDescent="0.2">
      <c r="H5495" s="6"/>
      <c r="I5495" s="6"/>
    </row>
    <row r="5496" spans="8:9" x14ac:dyDescent="0.2">
      <c r="H5496" s="6"/>
      <c r="I5496" s="6"/>
    </row>
    <row r="5497" spans="8:9" x14ac:dyDescent="0.2">
      <c r="H5497" s="6"/>
      <c r="I5497" s="6"/>
    </row>
    <row r="5498" spans="8:9" x14ac:dyDescent="0.2">
      <c r="H5498" s="6"/>
      <c r="I5498" s="6"/>
    </row>
    <row r="5499" spans="8:9" x14ac:dyDescent="0.2">
      <c r="H5499" s="6"/>
      <c r="I5499" s="6"/>
    </row>
    <row r="5500" spans="8:9" x14ac:dyDescent="0.2">
      <c r="H5500" s="6"/>
      <c r="I5500" s="6"/>
    </row>
    <row r="5501" spans="8:9" x14ac:dyDescent="0.2">
      <c r="H5501" s="6"/>
      <c r="I5501" s="6"/>
    </row>
    <row r="5502" spans="8:9" x14ac:dyDescent="0.2">
      <c r="H5502" s="6"/>
      <c r="I5502" s="6"/>
    </row>
    <row r="5503" spans="8:9" x14ac:dyDescent="0.2">
      <c r="H5503" s="6"/>
      <c r="I5503" s="6"/>
    </row>
    <row r="5504" spans="8:9" x14ac:dyDescent="0.2">
      <c r="H5504" s="6"/>
      <c r="I5504" s="6"/>
    </row>
    <row r="5505" spans="8:9" x14ac:dyDescent="0.2">
      <c r="H5505" s="6"/>
      <c r="I5505" s="6"/>
    </row>
    <row r="5506" spans="8:9" x14ac:dyDescent="0.2">
      <c r="H5506" s="6"/>
      <c r="I5506" s="6"/>
    </row>
    <row r="5507" spans="8:9" x14ac:dyDescent="0.2">
      <c r="H5507" s="6"/>
      <c r="I5507" s="6"/>
    </row>
    <row r="5508" spans="8:9" x14ac:dyDescent="0.2">
      <c r="H5508" s="6"/>
      <c r="I5508" s="6"/>
    </row>
    <row r="5509" spans="8:9" x14ac:dyDescent="0.2">
      <c r="H5509" s="6"/>
      <c r="I5509" s="6"/>
    </row>
    <row r="5510" spans="8:9" x14ac:dyDescent="0.2">
      <c r="H5510" s="6"/>
      <c r="I5510" s="6"/>
    </row>
    <row r="5511" spans="8:9" x14ac:dyDescent="0.2">
      <c r="H5511" s="6"/>
      <c r="I5511" s="6"/>
    </row>
    <row r="5512" spans="8:9" x14ac:dyDescent="0.2">
      <c r="H5512" s="6"/>
      <c r="I5512" s="6"/>
    </row>
    <row r="5513" spans="8:9" x14ac:dyDescent="0.2">
      <c r="H5513" s="6"/>
      <c r="I5513" s="6"/>
    </row>
    <row r="5514" spans="8:9" x14ac:dyDescent="0.2">
      <c r="H5514" s="6"/>
      <c r="I5514" s="6"/>
    </row>
    <row r="5515" spans="8:9" x14ac:dyDescent="0.2">
      <c r="H5515" s="6"/>
      <c r="I5515" s="6"/>
    </row>
    <row r="5516" spans="8:9" x14ac:dyDescent="0.2">
      <c r="H5516" s="6"/>
      <c r="I5516" s="6"/>
    </row>
    <row r="5517" spans="8:9" x14ac:dyDescent="0.2">
      <c r="H5517" s="6"/>
      <c r="I5517" s="6"/>
    </row>
    <row r="5518" spans="8:9" x14ac:dyDescent="0.2">
      <c r="H5518" s="6"/>
      <c r="I5518" s="6"/>
    </row>
    <row r="5519" spans="8:9" x14ac:dyDescent="0.2">
      <c r="H5519" s="6"/>
      <c r="I5519" s="6"/>
    </row>
    <row r="5520" spans="8:9" x14ac:dyDescent="0.2">
      <c r="H5520" s="6"/>
      <c r="I5520" s="6"/>
    </row>
    <row r="5521" spans="8:9" x14ac:dyDescent="0.2">
      <c r="H5521" s="6"/>
      <c r="I5521" s="6"/>
    </row>
    <row r="5522" spans="8:9" x14ac:dyDescent="0.2">
      <c r="H5522" s="6"/>
      <c r="I5522" s="6"/>
    </row>
    <row r="5523" spans="8:9" x14ac:dyDescent="0.2">
      <c r="H5523" s="6"/>
      <c r="I5523" s="6"/>
    </row>
    <row r="5524" spans="8:9" x14ac:dyDescent="0.2">
      <c r="H5524" s="6"/>
      <c r="I5524" s="6"/>
    </row>
    <row r="5525" spans="8:9" x14ac:dyDescent="0.2">
      <c r="H5525" s="6"/>
      <c r="I5525" s="6"/>
    </row>
    <row r="5526" spans="8:9" x14ac:dyDescent="0.2">
      <c r="H5526" s="6"/>
      <c r="I5526" s="6"/>
    </row>
    <row r="5527" spans="8:9" x14ac:dyDescent="0.2">
      <c r="H5527" s="6"/>
      <c r="I5527" s="6"/>
    </row>
    <row r="5528" spans="8:9" x14ac:dyDescent="0.2">
      <c r="H5528" s="6"/>
      <c r="I5528" s="6"/>
    </row>
    <row r="5529" spans="8:9" x14ac:dyDescent="0.2">
      <c r="H5529" s="6"/>
      <c r="I5529" s="6"/>
    </row>
    <row r="5530" spans="8:9" x14ac:dyDescent="0.2">
      <c r="H5530" s="6"/>
      <c r="I5530" s="6"/>
    </row>
    <row r="5531" spans="8:9" x14ac:dyDescent="0.2">
      <c r="H5531" s="6"/>
      <c r="I5531" s="6"/>
    </row>
    <row r="5532" spans="8:9" x14ac:dyDescent="0.2">
      <c r="H5532" s="6"/>
      <c r="I5532" s="6"/>
    </row>
    <row r="5533" spans="8:9" x14ac:dyDescent="0.2">
      <c r="H5533" s="6"/>
      <c r="I5533" s="6"/>
    </row>
    <row r="5534" spans="8:9" x14ac:dyDescent="0.2">
      <c r="H5534" s="6"/>
      <c r="I5534" s="6"/>
    </row>
    <row r="5535" spans="8:9" x14ac:dyDescent="0.2">
      <c r="H5535" s="6"/>
      <c r="I5535" s="6"/>
    </row>
    <row r="5536" spans="8:9" x14ac:dyDescent="0.2">
      <c r="H5536" s="6"/>
      <c r="I5536" s="6"/>
    </row>
    <row r="5537" spans="8:9" x14ac:dyDescent="0.2">
      <c r="H5537" s="6"/>
      <c r="I5537" s="6"/>
    </row>
    <row r="5538" spans="8:9" x14ac:dyDescent="0.2">
      <c r="H5538" s="6"/>
      <c r="I5538" s="6"/>
    </row>
    <row r="5539" spans="8:9" x14ac:dyDescent="0.2">
      <c r="H5539" s="6"/>
      <c r="I5539" s="6"/>
    </row>
    <row r="5540" spans="8:9" x14ac:dyDescent="0.2">
      <c r="H5540" s="6"/>
      <c r="I5540" s="6"/>
    </row>
    <row r="5541" spans="8:9" x14ac:dyDescent="0.2">
      <c r="H5541" s="6"/>
      <c r="I5541" s="6"/>
    </row>
    <row r="5542" spans="8:9" x14ac:dyDescent="0.2">
      <c r="H5542" s="6"/>
      <c r="I5542" s="6"/>
    </row>
    <row r="5543" spans="8:9" x14ac:dyDescent="0.2">
      <c r="H5543" s="6"/>
      <c r="I5543" s="6"/>
    </row>
    <row r="5544" spans="8:9" x14ac:dyDescent="0.2">
      <c r="H5544" s="6"/>
      <c r="I5544" s="6"/>
    </row>
    <row r="5545" spans="8:9" x14ac:dyDescent="0.2">
      <c r="H5545" s="6"/>
      <c r="I5545" s="6"/>
    </row>
    <row r="5546" spans="8:9" x14ac:dyDescent="0.2">
      <c r="H5546" s="6"/>
      <c r="I5546" s="6"/>
    </row>
    <row r="5547" spans="8:9" x14ac:dyDescent="0.2">
      <c r="H5547" s="6"/>
      <c r="I5547" s="6"/>
    </row>
    <row r="5548" spans="8:9" x14ac:dyDescent="0.2">
      <c r="H5548" s="6"/>
      <c r="I5548" s="6"/>
    </row>
    <row r="5549" spans="8:9" x14ac:dyDescent="0.2">
      <c r="H5549" s="6"/>
      <c r="I5549" s="6"/>
    </row>
    <row r="5550" spans="8:9" x14ac:dyDescent="0.2">
      <c r="H5550" s="6"/>
      <c r="I5550" s="6"/>
    </row>
    <row r="5551" spans="8:9" x14ac:dyDescent="0.2">
      <c r="H5551" s="6"/>
      <c r="I5551" s="6"/>
    </row>
    <row r="5552" spans="8:9" x14ac:dyDescent="0.2">
      <c r="H5552" s="6"/>
      <c r="I5552" s="6"/>
    </row>
    <row r="5553" spans="8:9" x14ac:dyDescent="0.2">
      <c r="H5553" s="6"/>
      <c r="I5553" s="6"/>
    </row>
    <row r="5554" spans="8:9" x14ac:dyDescent="0.2">
      <c r="H5554" s="6"/>
      <c r="I5554" s="6"/>
    </row>
    <row r="5555" spans="8:9" x14ac:dyDescent="0.2">
      <c r="H5555" s="6"/>
      <c r="I5555" s="6"/>
    </row>
    <row r="5556" spans="8:9" x14ac:dyDescent="0.2">
      <c r="H5556" s="6"/>
      <c r="I5556" s="6"/>
    </row>
    <row r="5557" spans="8:9" x14ac:dyDescent="0.2">
      <c r="H5557" s="6"/>
      <c r="I5557" s="6"/>
    </row>
    <row r="5558" spans="8:9" x14ac:dyDescent="0.2">
      <c r="H5558" s="6"/>
      <c r="I5558" s="6"/>
    </row>
    <row r="5559" spans="8:9" x14ac:dyDescent="0.2">
      <c r="H5559" s="6"/>
      <c r="I5559" s="6"/>
    </row>
    <row r="5560" spans="8:9" x14ac:dyDescent="0.2">
      <c r="H5560" s="6"/>
      <c r="I5560" s="6"/>
    </row>
    <row r="5561" spans="8:9" x14ac:dyDescent="0.2">
      <c r="H5561" s="6"/>
      <c r="I5561" s="6"/>
    </row>
    <row r="5562" spans="8:9" x14ac:dyDescent="0.2">
      <c r="H5562" s="6"/>
      <c r="I5562" s="6"/>
    </row>
    <row r="5563" spans="8:9" x14ac:dyDescent="0.2">
      <c r="H5563" s="6"/>
      <c r="I5563" s="6"/>
    </row>
    <row r="5564" spans="8:9" x14ac:dyDescent="0.2">
      <c r="H5564" s="6"/>
      <c r="I5564" s="6"/>
    </row>
    <row r="5565" spans="8:9" x14ac:dyDescent="0.2">
      <c r="H5565" s="6"/>
      <c r="I5565" s="6"/>
    </row>
    <row r="5566" spans="8:9" x14ac:dyDescent="0.2">
      <c r="H5566" s="6"/>
      <c r="I5566" s="6"/>
    </row>
    <row r="5567" spans="8:9" x14ac:dyDescent="0.2">
      <c r="H5567" s="6"/>
      <c r="I5567" s="6"/>
    </row>
    <row r="5568" spans="8:9" x14ac:dyDescent="0.2">
      <c r="H5568" s="6"/>
      <c r="I5568" s="6"/>
    </row>
    <row r="5569" spans="8:9" x14ac:dyDescent="0.2">
      <c r="H5569" s="6"/>
      <c r="I5569" s="6"/>
    </row>
    <row r="5570" spans="8:9" x14ac:dyDescent="0.2">
      <c r="H5570" s="6"/>
      <c r="I5570" s="6"/>
    </row>
    <row r="5571" spans="8:9" x14ac:dyDescent="0.2">
      <c r="H5571" s="6"/>
      <c r="I5571" s="6"/>
    </row>
    <row r="5572" spans="8:9" x14ac:dyDescent="0.2">
      <c r="H5572" s="6"/>
      <c r="I5572" s="6"/>
    </row>
    <row r="5573" spans="8:9" x14ac:dyDescent="0.2">
      <c r="H5573" s="6"/>
      <c r="I5573" s="6"/>
    </row>
    <row r="5574" spans="8:9" x14ac:dyDescent="0.2">
      <c r="H5574" s="6"/>
      <c r="I5574" s="6"/>
    </row>
    <row r="5575" spans="8:9" x14ac:dyDescent="0.2">
      <c r="H5575" s="6"/>
      <c r="I5575" s="6"/>
    </row>
    <row r="5576" spans="8:9" x14ac:dyDescent="0.2">
      <c r="H5576" s="6"/>
      <c r="I5576" s="6"/>
    </row>
    <row r="5577" spans="8:9" x14ac:dyDescent="0.2">
      <c r="H5577" s="6"/>
      <c r="I5577" s="6"/>
    </row>
    <row r="5578" spans="8:9" x14ac:dyDescent="0.2">
      <c r="H5578" s="6"/>
      <c r="I5578" s="6"/>
    </row>
    <row r="5579" spans="8:9" x14ac:dyDescent="0.2">
      <c r="H5579" s="6"/>
      <c r="I5579" s="6"/>
    </row>
    <row r="5580" spans="8:9" x14ac:dyDescent="0.2">
      <c r="H5580" s="6"/>
      <c r="I5580" s="6"/>
    </row>
    <row r="5581" spans="8:9" x14ac:dyDescent="0.2">
      <c r="H5581" s="6"/>
      <c r="I5581" s="6"/>
    </row>
    <row r="5582" spans="8:9" x14ac:dyDescent="0.2">
      <c r="H5582" s="6"/>
      <c r="I5582" s="6"/>
    </row>
    <row r="5583" spans="8:9" x14ac:dyDescent="0.2">
      <c r="H5583" s="6"/>
      <c r="I5583" s="6"/>
    </row>
    <row r="5584" spans="8:9" x14ac:dyDescent="0.2">
      <c r="H5584" s="6"/>
      <c r="I5584" s="6"/>
    </row>
    <row r="5585" spans="8:9" x14ac:dyDescent="0.2">
      <c r="H5585" s="6"/>
      <c r="I5585" s="6"/>
    </row>
    <row r="5586" spans="8:9" x14ac:dyDescent="0.2">
      <c r="H5586" s="6"/>
      <c r="I5586" s="6"/>
    </row>
    <row r="5587" spans="8:9" x14ac:dyDescent="0.2">
      <c r="H5587" s="6"/>
      <c r="I5587" s="6"/>
    </row>
    <row r="5588" spans="8:9" x14ac:dyDescent="0.2">
      <c r="H5588" s="6"/>
      <c r="I5588" s="6"/>
    </row>
    <row r="5589" spans="8:9" x14ac:dyDescent="0.2">
      <c r="H5589" s="6"/>
      <c r="I5589" s="6"/>
    </row>
    <row r="5590" spans="8:9" x14ac:dyDescent="0.2">
      <c r="H5590" s="6"/>
      <c r="I5590" s="6"/>
    </row>
    <row r="5591" spans="8:9" x14ac:dyDescent="0.2">
      <c r="H5591" s="6"/>
      <c r="I5591" s="6"/>
    </row>
    <row r="5592" spans="8:9" x14ac:dyDescent="0.2">
      <c r="H5592" s="6"/>
      <c r="I5592" s="6"/>
    </row>
    <row r="5593" spans="8:9" x14ac:dyDescent="0.2">
      <c r="H5593" s="6"/>
      <c r="I5593" s="6"/>
    </row>
    <row r="5594" spans="8:9" x14ac:dyDescent="0.2">
      <c r="H5594" s="6"/>
      <c r="I5594" s="6"/>
    </row>
    <row r="5595" spans="8:9" x14ac:dyDescent="0.2">
      <c r="H5595" s="6"/>
      <c r="I5595" s="6"/>
    </row>
    <row r="5596" spans="8:9" x14ac:dyDescent="0.2">
      <c r="H5596" s="6"/>
      <c r="I5596" s="6"/>
    </row>
    <row r="5597" spans="8:9" x14ac:dyDescent="0.2">
      <c r="H5597" s="6"/>
      <c r="I5597" s="6"/>
    </row>
    <row r="5598" spans="8:9" x14ac:dyDescent="0.2">
      <c r="H5598" s="6"/>
      <c r="I5598" s="6"/>
    </row>
    <row r="5599" spans="8:9" x14ac:dyDescent="0.2">
      <c r="H5599" s="6"/>
      <c r="I5599" s="6"/>
    </row>
    <row r="5600" spans="8:9" x14ac:dyDescent="0.2">
      <c r="H5600" s="6"/>
      <c r="I5600" s="6"/>
    </row>
    <row r="5601" spans="8:9" x14ac:dyDescent="0.2">
      <c r="H5601" s="6"/>
      <c r="I5601" s="6"/>
    </row>
    <row r="5602" spans="8:9" x14ac:dyDescent="0.2">
      <c r="H5602" s="6"/>
      <c r="I5602" s="6"/>
    </row>
    <row r="5603" spans="8:9" x14ac:dyDescent="0.2">
      <c r="H5603" s="6"/>
      <c r="I5603" s="6"/>
    </row>
    <row r="5604" spans="8:9" x14ac:dyDescent="0.2">
      <c r="H5604" s="6"/>
      <c r="I5604" s="6"/>
    </row>
    <row r="5605" spans="8:9" x14ac:dyDescent="0.2">
      <c r="H5605" s="6"/>
      <c r="I5605" s="6"/>
    </row>
    <row r="5606" spans="8:9" x14ac:dyDescent="0.2">
      <c r="H5606" s="6"/>
      <c r="I5606" s="6"/>
    </row>
    <row r="5607" spans="8:9" x14ac:dyDescent="0.2">
      <c r="H5607" s="6"/>
      <c r="I5607" s="6"/>
    </row>
    <row r="5608" spans="8:9" x14ac:dyDescent="0.2">
      <c r="H5608" s="6"/>
      <c r="I5608" s="6"/>
    </row>
    <row r="5609" spans="8:9" x14ac:dyDescent="0.2">
      <c r="H5609" s="6"/>
      <c r="I5609" s="6"/>
    </row>
    <row r="5610" spans="8:9" x14ac:dyDescent="0.2">
      <c r="H5610" s="6"/>
      <c r="I5610" s="6"/>
    </row>
    <row r="5611" spans="8:9" x14ac:dyDescent="0.2">
      <c r="H5611" s="6"/>
      <c r="I5611" s="6"/>
    </row>
    <row r="5612" spans="8:9" x14ac:dyDescent="0.2">
      <c r="H5612" s="6"/>
      <c r="I5612" s="6"/>
    </row>
    <row r="5613" spans="8:9" x14ac:dyDescent="0.2">
      <c r="H5613" s="6"/>
      <c r="I5613" s="6"/>
    </row>
    <row r="5614" spans="8:9" x14ac:dyDescent="0.2">
      <c r="H5614" s="6"/>
      <c r="I5614" s="6"/>
    </row>
    <row r="5615" spans="8:9" x14ac:dyDescent="0.2">
      <c r="H5615" s="6"/>
      <c r="I5615" s="6"/>
    </row>
    <row r="5616" spans="8:9" x14ac:dyDescent="0.2">
      <c r="H5616" s="6"/>
      <c r="I5616" s="6"/>
    </row>
    <row r="5617" spans="8:9" x14ac:dyDescent="0.2">
      <c r="H5617" s="6"/>
      <c r="I5617" s="6"/>
    </row>
    <row r="5618" spans="8:9" x14ac:dyDescent="0.2">
      <c r="H5618" s="6"/>
      <c r="I5618" s="6"/>
    </row>
    <row r="5619" spans="8:9" x14ac:dyDescent="0.2">
      <c r="H5619" s="6"/>
      <c r="I5619" s="6"/>
    </row>
    <row r="5620" spans="8:9" x14ac:dyDescent="0.2">
      <c r="H5620" s="6"/>
      <c r="I5620" s="6"/>
    </row>
    <row r="5621" spans="8:9" x14ac:dyDescent="0.2">
      <c r="H5621" s="6"/>
      <c r="I5621" s="6"/>
    </row>
    <row r="5622" spans="8:9" x14ac:dyDescent="0.2">
      <c r="H5622" s="6"/>
      <c r="I5622" s="6"/>
    </row>
    <row r="5623" spans="8:9" x14ac:dyDescent="0.2">
      <c r="H5623" s="6"/>
      <c r="I5623" s="6"/>
    </row>
    <row r="5624" spans="8:9" x14ac:dyDescent="0.2">
      <c r="H5624" s="6"/>
      <c r="I5624" s="6"/>
    </row>
    <row r="5625" spans="8:9" x14ac:dyDescent="0.2">
      <c r="H5625" s="6"/>
      <c r="I5625" s="6"/>
    </row>
    <row r="5626" spans="8:9" x14ac:dyDescent="0.2">
      <c r="H5626" s="6"/>
      <c r="I5626" s="6"/>
    </row>
    <row r="5627" spans="8:9" x14ac:dyDescent="0.2">
      <c r="H5627" s="6"/>
      <c r="I5627" s="6"/>
    </row>
    <row r="5628" spans="8:9" x14ac:dyDescent="0.2">
      <c r="H5628" s="6"/>
      <c r="I5628" s="6"/>
    </row>
    <row r="5629" spans="8:9" x14ac:dyDescent="0.2">
      <c r="H5629" s="6"/>
      <c r="I5629" s="6"/>
    </row>
    <row r="5630" spans="8:9" x14ac:dyDescent="0.2">
      <c r="H5630" s="6"/>
      <c r="I5630" s="6"/>
    </row>
    <row r="5631" spans="8:9" x14ac:dyDescent="0.2">
      <c r="H5631" s="6"/>
      <c r="I5631" s="6"/>
    </row>
    <row r="5632" spans="8:9" x14ac:dyDescent="0.2">
      <c r="H5632" s="6"/>
      <c r="I5632" s="6"/>
    </row>
    <row r="5633" spans="8:9" x14ac:dyDescent="0.2">
      <c r="H5633" s="6"/>
      <c r="I5633" s="6"/>
    </row>
    <row r="5634" spans="8:9" x14ac:dyDescent="0.2">
      <c r="H5634" s="6"/>
      <c r="I5634" s="6"/>
    </row>
    <row r="5635" spans="8:9" x14ac:dyDescent="0.2">
      <c r="H5635" s="6"/>
      <c r="I5635" s="6"/>
    </row>
    <row r="5636" spans="8:9" x14ac:dyDescent="0.2">
      <c r="H5636" s="6"/>
      <c r="I5636" s="6"/>
    </row>
    <row r="5637" spans="8:9" x14ac:dyDescent="0.2">
      <c r="H5637" s="6"/>
      <c r="I5637" s="6"/>
    </row>
    <row r="5638" spans="8:9" x14ac:dyDescent="0.2">
      <c r="H5638" s="6"/>
      <c r="I5638" s="6"/>
    </row>
    <row r="5639" spans="8:9" x14ac:dyDescent="0.2">
      <c r="H5639" s="6"/>
      <c r="I5639" s="6"/>
    </row>
    <row r="5640" spans="8:9" x14ac:dyDescent="0.2">
      <c r="H5640" s="6"/>
      <c r="I5640" s="6"/>
    </row>
    <row r="5641" spans="8:9" x14ac:dyDescent="0.2">
      <c r="H5641" s="6"/>
      <c r="I5641" s="6"/>
    </row>
    <row r="5642" spans="8:9" x14ac:dyDescent="0.2">
      <c r="H5642" s="6"/>
      <c r="I5642" s="6"/>
    </row>
    <row r="5643" spans="8:9" x14ac:dyDescent="0.2">
      <c r="H5643" s="6"/>
      <c r="I5643" s="6"/>
    </row>
    <row r="5644" spans="8:9" x14ac:dyDescent="0.2">
      <c r="H5644" s="6"/>
      <c r="I5644" s="6"/>
    </row>
    <row r="5645" spans="8:9" x14ac:dyDescent="0.2">
      <c r="H5645" s="6"/>
      <c r="I5645" s="6"/>
    </row>
    <row r="5646" spans="8:9" x14ac:dyDescent="0.2">
      <c r="H5646" s="6"/>
      <c r="I5646" s="6"/>
    </row>
    <row r="5647" spans="8:9" x14ac:dyDescent="0.2">
      <c r="H5647" s="6"/>
      <c r="I5647" s="6"/>
    </row>
    <row r="5648" spans="8:9" x14ac:dyDescent="0.2">
      <c r="H5648" s="6"/>
      <c r="I5648" s="6"/>
    </row>
    <row r="5649" spans="8:9" x14ac:dyDescent="0.2">
      <c r="H5649" s="6"/>
      <c r="I5649" s="6"/>
    </row>
    <row r="5650" spans="8:9" x14ac:dyDescent="0.2">
      <c r="H5650" s="6"/>
      <c r="I5650" s="6"/>
    </row>
    <row r="5651" spans="8:9" x14ac:dyDescent="0.2">
      <c r="H5651" s="6"/>
      <c r="I5651" s="6"/>
    </row>
    <row r="5652" spans="8:9" x14ac:dyDescent="0.2">
      <c r="H5652" s="6"/>
      <c r="I5652" s="6"/>
    </row>
    <row r="5653" spans="8:9" x14ac:dyDescent="0.2">
      <c r="H5653" s="6"/>
      <c r="I5653" s="6"/>
    </row>
    <row r="5654" spans="8:9" x14ac:dyDescent="0.2">
      <c r="H5654" s="6"/>
      <c r="I5654" s="6"/>
    </row>
    <row r="5655" spans="8:9" x14ac:dyDescent="0.2">
      <c r="H5655" s="6"/>
      <c r="I5655" s="6"/>
    </row>
    <row r="5656" spans="8:9" x14ac:dyDescent="0.2">
      <c r="H5656" s="6"/>
      <c r="I5656" s="6"/>
    </row>
    <row r="5657" spans="8:9" x14ac:dyDescent="0.2">
      <c r="H5657" s="6"/>
      <c r="I5657" s="6"/>
    </row>
    <row r="5658" spans="8:9" x14ac:dyDescent="0.2">
      <c r="H5658" s="6"/>
      <c r="I5658" s="6"/>
    </row>
    <row r="5659" spans="8:9" x14ac:dyDescent="0.2">
      <c r="H5659" s="6"/>
      <c r="I5659" s="6"/>
    </row>
    <row r="5660" spans="8:9" x14ac:dyDescent="0.2">
      <c r="H5660" s="6"/>
      <c r="I5660" s="6"/>
    </row>
    <row r="5661" spans="8:9" x14ac:dyDescent="0.2">
      <c r="H5661" s="6"/>
      <c r="I5661" s="6"/>
    </row>
    <row r="5662" spans="8:9" x14ac:dyDescent="0.2">
      <c r="H5662" s="6"/>
      <c r="I5662" s="6"/>
    </row>
    <row r="5663" spans="8:9" x14ac:dyDescent="0.2">
      <c r="H5663" s="6"/>
      <c r="I5663" s="6"/>
    </row>
    <row r="5664" spans="8:9" x14ac:dyDescent="0.2">
      <c r="H5664" s="6"/>
      <c r="I5664" s="6"/>
    </row>
    <row r="5665" spans="8:9" x14ac:dyDescent="0.2">
      <c r="H5665" s="6"/>
      <c r="I5665" s="6"/>
    </row>
    <row r="5666" spans="8:9" x14ac:dyDescent="0.2">
      <c r="H5666" s="6"/>
      <c r="I5666" s="6"/>
    </row>
    <row r="5667" spans="8:9" x14ac:dyDescent="0.2">
      <c r="H5667" s="6"/>
      <c r="I5667" s="6"/>
    </row>
    <row r="5668" spans="8:9" x14ac:dyDescent="0.2">
      <c r="H5668" s="6"/>
      <c r="I5668" s="6"/>
    </row>
    <row r="5669" spans="8:9" x14ac:dyDescent="0.2">
      <c r="H5669" s="6"/>
      <c r="I5669" s="6"/>
    </row>
    <row r="5670" spans="8:9" x14ac:dyDescent="0.2">
      <c r="H5670" s="6"/>
      <c r="I5670" s="6"/>
    </row>
    <row r="5671" spans="8:9" x14ac:dyDescent="0.2">
      <c r="H5671" s="6"/>
    </row>
    <row r="5672" spans="8:9" x14ac:dyDescent="0.2">
      <c r="H5672" s="6"/>
      <c r="I5672" s="6"/>
    </row>
    <row r="5673" spans="8:9" x14ac:dyDescent="0.2">
      <c r="H5673" s="6"/>
      <c r="I5673" s="6"/>
    </row>
    <row r="5674" spans="8:9" x14ac:dyDescent="0.2">
      <c r="H5674" s="6"/>
      <c r="I5674" s="6"/>
    </row>
    <row r="5675" spans="8:9" x14ac:dyDescent="0.2">
      <c r="H5675" s="6"/>
      <c r="I5675" s="6"/>
    </row>
    <row r="5676" spans="8:9" x14ac:dyDescent="0.2">
      <c r="H5676" s="6"/>
      <c r="I5676" s="6"/>
    </row>
    <row r="5677" spans="8:9" x14ac:dyDescent="0.2">
      <c r="H5677" s="6"/>
      <c r="I5677" s="6"/>
    </row>
    <row r="5678" spans="8:9" x14ac:dyDescent="0.2">
      <c r="H5678" s="6"/>
      <c r="I5678" s="6"/>
    </row>
    <row r="5679" spans="8:9" x14ac:dyDescent="0.2">
      <c r="H5679" s="6"/>
      <c r="I5679" s="6"/>
    </row>
    <row r="5680" spans="8:9" x14ac:dyDescent="0.2">
      <c r="H5680" s="6"/>
      <c r="I5680" s="6"/>
    </row>
    <row r="5681" spans="8:9" x14ac:dyDescent="0.2">
      <c r="H5681" s="6"/>
      <c r="I5681" s="6"/>
    </row>
    <row r="5682" spans="8:9" x14ac:dyDescent="0.2">
      <c r="H5682" s="6"/>
      <c r="I5682" s="6"/>
    </row>
    <row r="5683" spans="8:9" x14ac:dyDescent="0.2">
      <c r="H5683" s="6"/>
      <c r="I5683" s="6"/>
    </row>
    <row r="5684" spans="8:9" x14ac:dyDescent="0.2">
      <c r="H5684" s="6"/>
      <c r="I5684" s="6"/>
    </row>
    <row r="5685" spans="8:9" x14ac:dyDescent="0.2">
      <c r="H5685" s="6"/>
      <c r="I5685" s="6"/>
    </row>
    <row r="5686" spans="8:9" x14ac:dyDescent="0.2">
      <c r="H5686" s="6"/>
      <c r="I5686" s="6"/>
    </row>
    <row r="5687" spans="8:9" x14ac:dyDescent="0.2">
      <c r="H5687" s="6"/>
      <c r="I5687" s="6"/>
    </row>
    <row r="5688" spans="8:9" x14ac:dyDescent="0.2">
      <c r="H5688" s="6"/>
      <c r="I5688" s="6"/>
    </row>
    <row r="5689" spans="8:9" x14ac:dyDescent="0.2">
      <c r="H5689" s="6"/>
      <c r="I5689" s="6"/>
    </row>
    <row r="5690" spans="8:9" x14ac:dyDescent="0.2">
      <c r="H5690" s="6"/>
      <c r="I5690" s="6"/>
    </row>
    <row r="5691" spans="8:9" x14ac:dyDescent="0.2">
      <c r="H5691" s="6"/>
      <c r="I5691" s="6"/>
    </row>
    <row r="5692" spans="8:9" x14ac:dyDescent="0.2">
      <c r="H5692" s="6"/>
      <c r="I5692" s="6"/>
    </row>
    <row r="5693" spans="8:9" x14ac:dyDescent="0.2">
      <c r="H5693" s="6"/>
      <c r="I5693" s="6"/>
    </row>
    <row r="5694" spans="8:9" x14ac:dyDescent="0.2">
      <c r="H5694" s="6"/>
      <c r="I5694" s="6"/>
    </row>
    <row r="5695" spans="8:9" x14ac:dyDescent="0.2">
      <c r="H5695" s="6"/>
      <c r="I5695" s="6"/>
    </row>
    <row r="5696" spans="8:9" x14ac:dyDescent="0.2">
      <c r="H5696" s="6"/>
      <c r="I5696" s="6"/>
    </row>
    <row r="5697" spans="8:9" x14ac:dyDescent="0.2">
      <c r="H5697" s="6"/>
      <c r="I5697" s="6"/>
    </row>
    <row r="5698" spans="8:9" x14ac:dyDescent="0.2">
      <c r="H5698" s="6"/>
      <c r="I5698" s="6"/>
    </row>
    <row r="5699" spans="8:9" x14ac:dyDescent="0.2">
      <c r="H5699" s="6"/>
      <c r="I5699" s="6"/>
    </row>
    <row r="5700" spans="8:9" x14ac:dyDescent="0.2">
      <c r="H5700" s="6"/>
      <c r="I5700" s="6"/>
    </row>
    <row r="5701" spans="8:9" x14ac:dyDescent="0.2">
      <c r="H5701" s="6"/>
      <c r="I5701" s="6"/>
    </row>
    <row r="5702" spans="8:9" x14ac:dyDescent="0.2">
      <c r="H5702" s="6"/>
      <c r="I5702" s="6"/>
    </row>
    <row r="5703" spans="8:9" x14ac:dyDescent="0.2">
      <c r="H5703" s="6"/>
      <c r="I5703" s="6"/>
    </row>
    <row r="5704" spans="8:9" x14ac:dyDescent="0.2">
      <c r="H5704" s="6"/>
      <c r="I5704" s="6"/>
    </row>
    <row r="5705" spans="8:9" x14ac:dyDescent="0.2">
      <c r="H5705" s="6"/>
      <c r="I5705" s="6"/>
    </row>
    <row r="5706" spans="8:9" x14ac:dyDescent="0.2">
      <c r="H5706" s="6"/>
      <c r="I5706" s="6"/>
    </row>
    <row r="5707" spans="8:9" x14ac:dyDescent="0.2">
      <c r="H5707" s="6"/>
      <c r="I5707" s="6"/>
    </row>
    <row r="5708" spans="8:9" x14ac:dyDescent="0.2">
      <c r="H5708" s="6"/>
      <c r="I5708" s="6"/>
    </row>
    <row r="5709" spans="8:9" x14ac:dyDescent="0.2">
      <c r="H5709" s="6"/>
      <c r="I5709" s="6"/>
    </row>
    <row r="5710" spans="8:9" x14ac:dyDescent="0.2">
      <c r="H5710" s="6"/>
      <c r="I5710" s="6"/>
    </row>
    <row r="5711" spans="8:9" x14ac:dyDescent="0.2">
      <c r="H5711" s="6"/>
      <c r="I5711" s="6"/>
    </row>
    <row r="5712" spans="8:9" x14ac:dyDescent="0.2">
      <c r="H5712" s="6"/>
      <c r="I5712" s="6"/>
    </row>
    <row r="5713" spans="8:9" x14ac:dyDescent="0.2">
      <c r="H5713" s="6"/>
      <c r="I5713" s="6"/>
    </row>
    <row r="5714" spans="8:9" x14ac:dyDescent="0.2">
      <c r="H5714" s="6"/>
      <c r="I5714" s="6"/>
    </row>
    <row r="5715" spans="8:9" x14ac:dyDescent="0.2">
      <c r="H5715" s="6"/>
      <c r="I5715" s="6"/>
    </row>
    <row r="5716" spans="8:9" x14ac:dyDescent="0.2">
      <c r="H5716" s="6"/>
      <c r="I5716" s="6"/>
    </row>
    <row r="5717" spans="8:9" x14ac:dyDescent="0.2">
      <c r="H5717" s="6"/>
      <c r="I5717" s="6"/>
    </row>
    <row r="5718" spans="8:9" x14ac:dyDescent="0.2">
      <c r="H5718" s="6"/>
      <c r="I5718" s="6"/>
    </row>
    <row r="5719" spans="8:9" x14ac:dyDescent="0.2">
      <c r="H5719" s="6"/>
      <c r="I5719" s="6"/>
    </row>
    <row r="5720" spans="8:9" x14ac:dyDescent="0.2">
      <c r="H5720" s="6"/>
      <c r="I5720" s="6"/>
    </row>
    <row r="5721" spans="8:9" x14ac:dyDescent="0.2">
      <c r="H5721" s="6"/>
      <c r="I5721" s="6"/>
    </row>
    <row r="5722" spans="8:9" x14ac:dyDescent="0.2">
      <c r="H5722" s="6"/>
      <c r="I5722" s="6"/>
    </row>
    <row r="5723" spans="8:9" x14ac:dyDescent="0.2">
      <c r="H5723" s="6"/>
      <c r="I5723" s="6"/>
    </row>
    <row r="5724" spans="8:9" x14ac:dyDescent="0.2">
      <c r="H5724" s="6"/>
      <c r="I5724" s="6"/>
    </row>
    <row r="5725" spans="8:9" x14ac:dyDescent="0.2">
      <c r="H5725" s="6"/>
      <c r="I5725" s="6"/>
    </row>
    <row r="5726" spans="8:9" x14ac:dyDescent="0.2">
      <c r="H5726" s="6"/>
      <c r="I5726" s="6"/>
    </row>
    <row r="5727" spans="8:9" x14ac:dyDescent="0.2">
      <c r="H5727" s="6"/>
    </row>
    <row r="5728" spans="8:9" x14ac:dyDescent="0.2">
      <c r="H5728" s="6"/>
      <c r="I5728" s="6"/>
    </row>
    <row r="5729" spans="8:9" x14ac:dyDescent="0.2">
      <c r="H5729" s="6"/>
      <c r="I5729" s="6"/>
    </row>
    <row r="5730" spans="8:9" x14ac:dyDescent="0.2">
      <c r="H5730" s="6"/>
      <c r="I5730" s="6"/>
    </row>
    <row r="5731" spans="8:9" x14ac:dyDescent="0.2">
      <c r="H5731" s="6"/>
      <c r="I5731" s="6"/>
    </row>
    <row r="5732" spans="8:9" x14ac:dyDescent="0.2">
      <c r="H5732" s="6"/>
      <c r="I5732" s="6"/>
    </row>
    <row r="5733" spans="8:9" x14ac:dyDescent="0.2">
      <c r="H5733" s="6"/>
      <c r="I5733" s="6"/>
    </row>
    <row r="5734" spans="8:9" x14ac:dyDescent="0.2">
      <c r="H5734" s="6"/>
      <c r="I5734" s="6"/>
    </row>
    <row r="5735" spans="8:9" x14ac:dyDescent="0.2">
      <c r="H5735" s="6"/>
      <c r="I5735" s="6"/>
    </row>
    <row r="5736" spans="8:9" x14ac:dyDescent="0.2">
      <c r="H5736" s="6"/>
      <c r="I5736" s="6"/>
    </row>
    <row r="5737" spans="8:9" x14ac:dyDescent="0.2">
      <c r="H5737" s="6"/>
      <c r="I5737" s="6"/>
    </row>
    <row r="5738" spans="8:9" x14ac:dyDescent="0.2">
      <c r="H5738" s="6"/>
      <c r="I5738" s="6"/>
    </row>
    <row r="5739" spans="8:9" x14ac:dyDescent="0.2">
      <c r="H5739" s="6"/>
      <c r="I5739" s="6"/>
    </row>
    <row r="5740" spans="8:9" x14ac:dyDescent="0.2">
      <c r="H5740" s="6"/>
      <c r="I5740" s="6"/>
    </row>
    <row r="5741" spans="8:9" x14ac:dyDescent="0.2">
      <c r="H5741" s="6"/>
      <c r="I5741" s="6"/>
    </row>
    <row r="5742" spans="8:9" x14ac:dyDescent="0.2">
      <c r="H5742" s="6"/>
      <c r="I5742" s="6"/>
    </row>
    <row r="5743" spans="8:9" x14ac:dyDescent="0.2">
      <c r="H5743" s="6"/>
      <c r="I5743" s="6"/>
    </row>
    <row r="5744" spans="8:9" x14ac:dyDescent="0.2">
      <c r="H5744" s="6"/>
      <c r="I5744" s="6"/>
    </row>
    <row r="5745" spans="8:9" x14ac:dyDescent="0.2">
      <c r="H5745" s="6"/>
      <c r="I5745" s="6"/>
    </row>
    <row r="5746" spans="8:9" x14ac:dyDescent="0.2">
      <c r="H5746" s="6"/>
      <c r="I5746" s="6"/>
    </row>
    <row r="5747" spans="8:9" x14ac:dyDescent="0.2">
      <c r="H5747" s="6"/>
      <c r="I5747" s="6"/>
    </row>
    <row r="5748" spans="8:9" x14ac:dyDescent="0.2">
      <c r="H5748" s="6"/>
      <c r="I5748" s="6"/>
    </row>
    <row r="5749" spans="8:9" x14ac:dyDescent="0.2">
      <c r="H5749" s="6"/>
      <c r="I5749" s="6"/>
    </row>
    <row r="5750" spans="8:9" x14ac:dyDescent="0.2">
      <c r="H5750" s="6"/>
      <c r="I5750" s="6"/>
    </row>
    <row r="5751" spans="8:9" x14ac:dyDescent="0.2">
      <c r="H5751" s="6"/>
      <c r="I5751" s="6"/>
    </row>
    <row r="5752" spans="8:9" x14ac:dyDescent="0.2">
      <c r="H5752" s="6"/>
      <c r="I5752" s="6"/>
    </row>
    <row r="5753" spans="8:9" x14ac:dyDescent="0.2">
      <c r="H5753" s="6"/>
      <c r="I5753" s="6"/>
    </row>
    <row r="5754" spans="8:9" x14ac:dyDescent="0.2">
      <c r="H5754" s="6"/>
      <c r="I5754" s="6"/>
    </row>
    <row r="5755" spans="8:9" x14ac:dyDescent="0.2">
      <c r="H5755" s="6"/>
      <c r="I5755" s="6"/>
    </row>
    <row r="5756" spans="8:9" x14ac:dyDescent="0.2">
      <c r="H5756" s="6"/>
      <c r="I5756" s="6"/>
    </row>
    <row r="5757" spans="8:9" x14ac:dyDescent="0.2">
      <c r="H5757" s="6"/>
      <c r="I5757" s="6"/>
    </row>
    <row r="5758" spans="8:9" x14ac:dyDescent="0.2">
      <c r="H5758" s="6"/>
      <c r="I5758" s="6"/>
    </row>
    <row r="5759" spans="8:9" x14ac:dyDescent="0.2">
      <c r="H5759" s="6"/>
      <c r="I5759" s="6"/>
    </row>
    <row r="5760" spans="8:9" x14ac:dyDescent="0.2">
      <c r="H5760" s="6"/>
      <c r="I5760" s="6"/>
    </row>
    <row r="5761" spans="8:9" x14ac:dyDescent="0.2">
      <c r="H5761" s="6"/>
      <c r="I5761" s="6"/>
    </row>
    <row r="5762" spans="8:9" x14ac:dyDescent="0.2">
      <c r="H5762" s="6"/>
      <c r="I5762" s="6"/>
    </row>
    <row r="5763" spans="8:9" x14ac:dyDescent="0.2">
      <c r="H5763" s="6"/>
      <c r="I5763" s="6"/>
    </row>
    <row r="5764" spans="8:9" x14ac:dyDescent="0.2">
      <c r="H5764" s="6"/>
      <c r="I5764" s="6"/>
    </row>
    <row r="5765" spans="8:9" x14ac:dyDescent="0.2">
      <c r="H5765" s="6"/>
      <c r="I5765" s="6"/>
    </row>
    <row r="5766" spans="8:9" x14ac:dyDescent="0.2">
      <c r="H5766" s="6"/>
      <c r="I5766" s="6"/>
    </row>
    <row r="5767" spans="8:9" x14ac:dyDescent="0.2">
      <c r="H5767" s="6"/>
      <c r="I5767" s="6"/>
    </row>
    <row r="5768" spans="8:9" x14ac:dyDescent="0.2">
      <c r="H5768" s="6"/>
      <c r="I5768" s="6"/>
    </row>
    <row r="5769" spans="8:9" x14ac:dyDescent="0.2">
      <c r="H5769" s="6"/>
      <c r="I5769" s="6"/>
    </row>
    <row r="5770" spans="8:9" x14ac:dyDescent="0.2">
      <c r="H5770" s="6"/>
      <c r="I5770" s="6"/>
    </row>
    <row r="5771" spans="8:9" x14ac:dyDescent="0.2">
      <c r="H5771" s="6"/>
      <c r="I5771" s="6"/>
    </row>
    <row r="5772" spans="8:9" x14ac:dyDescent="0.2">
      <c r="H5772" s="6"/>
      <c r="I5772" s="6"/>
    </row>
    <row r="5773" spans="8:9" x14ac:dyDescent="0.2">
      <c r="H5773" s="6"/>
      <c r="I5773" s="6"/>
    </row>
    <row r="5774" spans="8:9" x14ac:dyDescent="0.2">
      <c r="H5774" s="6"/>
      <c r="I5774" s="6"/>
    </row>
    <row r="5775" spans="8:9" x14ac:dyDescent="0.2">
      <c r="H5775" s="6"/>
      <c r="I5775" s="6"/>
    </row>
    <row r="5776" spans="8:9" x14ac:dyDescent="0.2">
      <c r="H5776" s="6"/>
      <c r="I5776" s="6"/>
    </row>
    <row r="5777" spans="8:9" x14ac:dyDescent="0.2">
      <c r="H5777" s="6"/>
      <c r="I5777" s="6"/>
    </row>
    <row r="5778" spans="8:9" x14ac:dyDescent="0.2">
      <c r="H5778" s="6"/>
      <c r="I5778" s="6"/>
    </row>
    <row r="5779" spans="8:9" x14ac:dyDescent="0.2">
      <c r="H5779" s="6"/>
      <c r="I5779" s="6"/>
    </row>
    <row r="5780" spans="8:9" x14ac:dyDescent="0.2">
      <c r="H5780" s="6"/>
      <c r="I5780" s="6"/>
    </row>
    <row r="5781" spans="8:9" x14ac:dyDescent="0.2">
      <c r="H5781" s="6"/>
      <c r="I5781" s="6"/>
    </row>
    <row r="5782" spans="8:9" x14ac:dyDescent="0.2">
      <c r="H5782" s="6"/>
      <c r="I5782" s="6"/>
    </row>
    <row r="5783" spans="8:9" x14ac:dyDescent="0.2">
      <c r="H5783" s="6"/>
      <c r="I5783" s="6"/>
    </row>
    <row r="5784" spans="8:9" x14ac:dyDescent="0.2">
      <c r="H5784" s="6"/>
      <c r="I5784" s="6"/>
    </row>
    <row r="5785" spans="8:9" x14ac:dyDescent="0.2">
      <c r="H5785" s="6"/>
      <c r="I5785" s="6"/>
    </row>
    <row r="5786" spans="8:9" x14ac:dyDescent="0.2">
      <c r="H5786" s="6"/>
      <c r="I5786" s="6"/>
    </row>
    <row r="5787" spans="8:9" x14ac:dyDescent="0.2">
      <c r="H5787" s="6"/>
      <c r="I5787" s="6"/>
    </row>
    <row r="5788" spans="8:9" x14ac:dyDescent="0.2">
      <c r="H5788" s="6"/>
      <c r="I5788" s="6"/>
    </row>
    <row r="5789" spans="8:9" x14ac:dyDescent="0.2">
      <c r="H5789" s="6"/>
      <c r="I5789" s="6"/>
    </row>
    <row r="5790" spans="8:9" x14ac:dyDescent="0.2">
      <c r="H5790" s="6"/>
      <c r="I5790" s="6"/>
    </row>
    <row r="5791" spans="8:9" x14ac:dyDescent="0.2">
      <c r="H5791" s="6"/>
      <c r="I5791" s="6"/>
    </row>
    <row r="5792" spans="8:9" x14ac:dyDescent="0.2">
      <c r="H5792" s="6"/>
      <c r="I5792" s="6"/>
    </row>
    <row r="5793" spans="8:9" x14ac:dyDescent="0.2">
      <c r="H5793" s="6"/>
      <c r="I5793" s="6"/>
    </row>
    <row r="5794" spans="8:9" x14ac:dyDescent="0.2">
      <c r="H5794" s="6"/>
      <c r="I5794" s="6"/>
    </row>
    <row r="5795" spans="8:9" x14ac:dyDescent="0.2">
      <c r="H5795" s="6"/>
      <c r="I5795" s="6"/>
    </row>
    <row r="5796" spans="8:9" x14ac:dyDescent="0.2">
      <c r="H5796" s="6"/>
      <c r="I5796" s="6"/>
    </row>
    <row r="5797" spans="8:9" x14ac:dyDescent="0.2">
      <c r="H5797" s="6"/>
      <c r="I5797" s="6"/>
    </row>
    <row r="5798" spans="8:9" x14ac:dyDescent="0.2">
      <c r="H5798" s="6"/>
      <c r="I5798" s="6"/>
    </row>
    <row r="5799" spans="8:9" x14ac:dyDescent="0.2">
      <c r="H5799" s="6"/>
      <c r="I5799" s="6"/>
    </row>
    <row r="5800" spans="8:9" x14ac:dyDescent="0.2">
      <c r="H5800" s="6"/>
      <c r="I5800" s="6"/>
    </row>
    <row r="5801" spans="8:9" x14ac:dyDescent="0.2">
      <c r="H5801" s="6"/>
      <c r="I5801" s="6"/>
    </row>
    <row r="5802" spans="8:9" x14ac:dyDescent="0.2">
      <c r="H5802" s="6"/>
      <c r="I5802" s="6"/>
    </row>
    <row r="5803" spans="8:9" x14ac:dyDescent="0.2">
      <c r="H5803" s="6"/>
      <c r="I5803" s="6"/>
    </row>
    <row r="5804" spans="8:9" x14ac:dyDescent="0.2">
      <c r="H5804" s="6"/>
      <c r="I5804" s="6"/>
    </row>
    <row r="5805" spans="8:9" x14ac:dyDescent="0.2">
      <c r="H5805" s="6"/>
      <c r="I5805" s="6"/>
    </row>
    <row r="5806" spans="8:9" x14ac:dyDescent="0.2">
      <c r="H5806" s="6"/>
      <c r="I5806" s="6"/>
    </row>
    <row r="5807" spans="8:9" x14ac:dyDescent="0.2">
      <c r="H5807" s="6"/>
      <c r="I5807" s="6"/>
    </row>
    <row r="5808" spans="8:9" x14ac:dyDescent="0.2">
      <c r="H5808" s="6"/>
      <c r="I5808" s="6"/>
    </row>
    <row r="5809" spans="8:9" x14ac:dyDescent="0.2">
      <c r="H5809" s="6"/>
      <c r="I5809" s="6"/>
    </row>
    <row r="5810" spans="8:9" x14ac:dyDescent="0.2">
      <c r="H5810" s="6"/>
      <c r="I5810" s="6"/>
    </row>
    <row r="5811" spans="8:9" x14ac:dyDescent="0.2">
      <c r="H5811" s="6"/>
      <c r="I5811" s="6"/>
    </row>
    <row r="5812" spans="8:9" x14ac:dyDescent="0.2">
      <c r="H5812" s="6"/>
      <c r="I5812" s="6"/>
    </row>
    <row r="5813" spans="8:9" x14ac:dyDescent="0.2">
      <c r="H5813" s="6"/>
      <c r="I5813" s="6"/>
    </row>
    <row r="5814" spans="8:9" x14ac:dyDescent="0.2">
      <c r="H5814" s="6"/>
      <c r="I5814" s="6"/>
    </row>
    <row r="5815" spans="8:9" x14ac:dyDescent="0.2">
      <c r="H5815" s="6"/>
      <c r="I5815" s="6"/>
    </row>
    <row r="5816" spans="8:9" x14ac:dyDescent="0.2">
      <c r="H5816" s="6"/>
      <c r="I5816" s="6"/>
    </row>
    <row r="5817" spans="8:9" x14ac:dyDescent="0.2">
      <c r="H5817" s="6"/>
      <c r="I5817" s="6"/>
    </row>
    <row r="5818" spans="8:9" x14ac:dyDescent="0.2">
      <c r="H5818" s="6"/>
      <c r="I5818" s="6"/>
    </row>
    <row r="5819" spans="8:9" x14ac:dyDescent="0.2">
      <c r="H5819" s="6"/>
      <c r="I5819" s="6"/>
    </row>
    <row r="5820" spans="8:9" x14ac:dyDescent="0.2">
      <c r="H5820" s="6"/>
      <c r="I5820" s="6"/>
    </row>
    <row r="5821" spans="8:9" x14ac:dyDescent="0.2">
      <c r="H5821" s="6"/>
      <c r="I5821" s="6"/>
    </row>
    <row r="5822" spans="8:9" x14ac:dyDescent="0.2">
      <c r="H5822" s="6"/>
      <c r="I5822" s="6"/>
    </row>
    <row r="5823" spans="8:9" x14ac:dyDescent="0.2">
      <c r="H5823" s="6"/>
      <c r="I5823" s="6"/>
    </row>
    <row r="5824" spans="8:9" x14ac:dyDescent="0.2">
      <c r="H5824" s="6"/>
      <c r="I5824" s="6"/>
    </row>
    <row r="5825" spans="8:9" x14ac:dyDescent="0.2">
      <c r="H5825" s="6"/>
      <c r="I5825" s="6"/>
    </row>
    <row r="5826" spans="8:9" x14ac:dyDescent="0.2">
      <c r="H5826" s="6"/>
      <c r="I5826" s="6"/>
    </row>
    <row r="5827" spans="8:9" x14ac:dyDescent="0.2">
      <c r="H5827" s="6"/>
      <c r="I5827" s="6"/>
    </row>
    <row r="5828" spans="8:9" x14ac:dyDescent="0.2">
      <c r="H5828" s="6"/>
      <c r="I5828" s="6"/>
    </row>
    <row r="5829" spans="8:9" x14ac:dyDescent="0.2">
      <c r="H5829" s="6"/>
      <c r="I5829" s="6"/>
    </row>
    <row r="5830" spans="8:9" x14ac:dyDescent="0.2">
      <c r="H5830" s="6"/>
      <c r="I5830" s="6"/>
    </row>
    <row r="5831" spans="8:9" x14ac:dyDescent="0.2">
      <c r="H5831" s="6"/>
      <c r="I5831" s="6"/>
    </row>
    <row r="5832" spans="8:9" x14ac:dyDescent="0.2">
      <c r="H5832" s="6"/>
      <c r="I5832" s="6"/>
    </row>
    <row r="5833" spans="8:9" x14ac:dyDescent="0.2">
      <c r="H5833" s="6"/>
      <c r="I5833" s="6"/>
    </row>
    <row r="5834" spans="8:9" x14ac:dyDescent="0.2">
      <c r="H5834" s="6"/>
      <c r="I5834" s="6"/>
    </row>
    <row r="5835" spans="8:9" x14ac:dyDescent="0.2">
      <c r="H5835" s="6"/>
      <c r="I5835" s="6"/>
    </row>
    <row r="5836" spans="8:9" x14ac:dyDescent="0.2">
      <c r="H5836" s="6"/>
      <c r="I5836" s="6"/>
    </row>
    <row r="5837" spans="8:9" x14ac:dyDescent="0.2">
      <c r="H5837" s="6"/>
      <c r="I5837" s="6"/>
    </row>
    <row r="5838" spans="8:9" x14ac:dyDescent="0.2">
      <c r="H5838" s="6"/>
      <c r="I5838" s="6"/>
    </row>
    <row r="5839" spans="8:9" x14ac:dyDescent="0.2">
      <c r="H5839" s="6"/>
      <c r="I5839" s="6"/>
    </row>
    <row r="5840" spans="8:9" x14ac:dyDescent="0.2">
      <c r="H5840" s="6"/>
      <c r="I5840" s="6"/>
    </row>
    <row r="5841" spans="8:9" x14ac:dyDescent="0.2">
      <c r="H5841" s="6"/>
      <c r="I5841" s="6"/>
    </row>
    <row r="5842" spans="8:9" x14ac:dyDescent="0.2">
      <c r="H5842" s="6"/>
      <c r="I5842" s="6"/>
    </row>
    <row r="5843" spans="8:9" x14ac:dyDescent="0.2">
      <c r="H5843" s="6"/>
      <c r="I5843" s="6"/>
    </row>
    <row r="5844" spans="8:9" x14ac:dyDescent="0.2">
      <c r="H5844" s="6"/>
      <c r="I5844" s="6"/>
    </row>
    <row r="5845" spans="8:9" x14ac:dyDescent="0.2">
      <c r="H5845" s="6"/>
      <c r="I5845" s="6"/>
    </row>
    <row r="5846" spans="8:9" x14ac:dyDescent="0.2">
      <c r="H5846" s="6"/>
      <c r="I5846" s="6"/>
    </row>
    <row r="5847" spans="8:9" x14ac:dyDescent="0.2">
      <c r="H5847" s="6"/>
      <c r="I5847" s="6"/>
    </row>
    <row r="5848" spans="8:9" x14ac:dyDescent="0.2">
      <c r="H5848" s="6"/>
      <c r="I5848" s="6"/>
    </row>
    <row r="5849" spans="8:9" x14ac:dyDescent="0.2">
      <c r="H5849" s="6"/>
      <c r="I5849" s="6"/>
    </row>
    <row r="5850" spans="8:9" x14ac:dyDescent="0.2">
      <c r="H5850" s="6"/>
      <c r="I5850" s="6"/>
    </row>
    <row r="5851" spans="8:9" x14ac:dyDescent="0.2">
      <c r="H5851" s="6"/>
      <c r="I5851" s="6"/>
    </row>
    <row r="5852" spans="8:9" x14ac:dyDescent="0.2">
      <c r="H5852" s="6"/>
      <c r="I5852" s="6"/>
    </row>
    <row r="5853" spans="8:9" x14ac:dyDescent="0.2">
      <c r="H5853" s="6"/>
      <c r="I5853" s="6"/>
    </row>
    <row r="5854" spans="8:9" x14ac:dyDescent="0.2">
      <c r="H5854" s="6"/>
      <c r="I5854" s="6"/>
    </row>
    <row r="5855" spans="8:9" x14ac:dyDescent="0.2">
      <c r="H5855" s="6"/>
      <c r="I5855" s="6"/>
    </row>
    <row r="5856" spans="8:9" x14ac:dyDescent="0.2">
      <c r="H5856" s="6"/>
      <c r="I5856" s="6"/>
    </row>
    <row r="5857" spans="8:9" x14ac:dyDescent="0.2">
      <c r="H5857" s="6"/>
      <c r="I5857" s="6"/>
    </row>
    <row r="5858" spans="8:9" x14ac:dyDescent="0.2">
      <c r="H5858" s="6"/>
      <c r="I5858" s="6"/>
    </row>
    <row r="5859" spans="8:9" x14ac:dyDescent="0.2">
      <c r="H5859" s="6"/>
      <c r="I5859" s="6"/>
    </row>
    <row r="5860" spans="8:9" x14ac:dyDescent="0.2">
      <c r="H5860" s="6"/>
      <c r="I5860" s="6"/>
    </row>
    <row r="5861" spans="8:9" x14ac:dyDescent="0.2">
      <c r="H5861" s="6"/>
      <c r="I5861" s="6"/>
    </row>
    <row r="5862" spans="8:9" x14ac:dyDescent="0.2">
      <c r="H5862" s="6"/>
      <c r="I5862" s="6"/>
    </row>
    <row r="5863" spans="8:9" x14ac:dyDescent="0.2">
      <c r="H5863" s="6"/>
      <c r="I5863" s="6"/>
    </row>
    <row r="5864" spans="8:9" x14ac:dyDescent="0.2">
      <c r="H5864" s="6"/>
      <c r="I5864" s="6"/>
    </row>
    <row r="5865" spans="8:9" x14ac:dyDescent="0.2">
      <c r="H5865" s="6"/>
      <c r="I5865" s="6"/>
    </row>
    <row r="5866" spans="8:9" x14ac:dyDescent="0.2">
      <c r="H5866" s="6"/>
      <c r="I5866" s="6"/>
    </row>
    <row r="5867" spans="8:9" x14ac:dyDescent="0.2">
      <c r="H5867" s="6"/>
      <c r="I5867" s="6"/>
    </row>
    <row r="5868" spans="8:9" x14ac:dyDescent="0.2">
      <c r="H5868" s="6"/>
      <c r="I5868" s="6"/>
    </row>
    <row r="5869" spans="8:9" x14ac:dyDescent="0.2">
      <c r="H5869" s="6"/>
      <c r="I5869" s="6"/>
    </row>
    <row r="5870" spans="8:9" x14ac:dyDescent="0.2">
      <c r="H5870" s="6"/>
      <c r="I5870" s="6"/>
    </row>
    <row r="5871" spans="8:9" x14ac:dyDescent="0.2">
      <c r="H5871" s="6"/>
      <c r="I5871" s="6"/>
    </row>
    <row r="5872" spans="8:9" x14ac:dyDescent="0.2">
      <c r="H5872" s="6"/>
      <c r="I5872" s="6"/>
    </row>
    <row r="5873" spans="8:9" x14ac:dyDescent="0.2">
      <c r="H5873" s="6"/>
      <c r="I5873" s="6"/>
    </row>
    <row r="5874" spans="8:9" x14ac:dyDescent="0.2">
      <c r="H5874" s="6"/>
      <c r="I5874" s="6"/>
    </row>
    <row r="5875" spans="8:9" x14ac:dyDescent="0.2">
      <c r="H5875" s="6"/>
      <c r="I5875" s="6"/>
    </row>
    <row r="5876" spans="8:9" x14ac:dyDescent="0.2">
      <c r="H5876" s="6"/>
      <c r="I5876" s="6"/>
    </row>
    <row r="5877" spans="8:9" x14ac:dyDescent="0.2">
      <c r="H5877" s="6"/>
      <c r="I5877" s="6"/>
    </row>
    <row r="5878" spans="8:9" x14ac:dyDescent="0.2">
      <c r="H5878" s="6"/>
      <c r="I5878" s="6"/>
    </row>
    <row r="5879" spans="8:9" x14ac:dyDescent="0.2">
      <c r="H5879" s="6"/>
      <c r="I5879" s="6"/>
    </row>
    <row r="5880" spans="8:9" x14ac:dyDescent="0.2">
      <c r="H5880" s="6"/>
      <c r="I5880" s="6"/>
    </row>
    <row r="5881" spans="8:9" x14ac:dyDescent="0.2">
      <c r="H5881" s="6"/>
      <c r="I5881" s="6"/>
    </row>
    <row r="5882" spans="8:9" x14ac:dyDescent="0.2">
      <c r="H5882" s="6"/>
      <c r="I5882" s="6"/>
    </row>
    <row r="5883" spans="8:9" x14ac:dyDescent="0.2">
      <c r="H5883" s="6"/>
      <c r="I5883" s="6"/>
    </row>
    <row r="5884" spans="8:9" x14ac:dyDescent="0.2">
      <c r="H5884" s="6"/>
      <c r="I5884" s="6"/>
    </row>
    <row r="5885" spans="8:9" x14ac:dyDescent="0.2">
      <c r="H5885" s="6"/>
      <c r="I5885" s="6"/>
    </row>
    <row r="5886" spans="8:9" x14ac:dyDescent="0.2">
      <c r="H5886" s="6"/>
      <c r="I5886" s="6"/>
    </row>
    <row r="5887" spans="8:9" x14ac:dyDescent="0.2">
      <c r="H5887" s="6"/>
      <c r="I5887" s="6"/>
    </row>
    <row r="5888" spans="8:9" x14ac:dyDescent="0.2">
      <c r="H5888" s="6"/>
      <c r="I5888" s="6"/>
    </row>
    <row r="5889" spans="8:9" x14ac:dyDescent="0.2">
      <c r="H5889" s="6"/>
      <c r="I5889" s="6"/>
    </row>
    <row r="5890" spans="8:9" x14ac:dyDescent="0.2">
      <c r="H5890" s="6"/>
      <c r="I5890" s="6"/>
    </row>
    <row r="5891" spans="8:9" x14ac:dyDescent="0.2">
      <c r="H5891" s="6"/>
      <c r="I5891" s="6"/>
    </row>
    <row r="5892" spans="8:9" x14ac:dyDescent="0.2">
      <c r="H5892" s="6"/>
      <c r="I5892" s="6"/>
    </row>
    <row r="5893" spans="8:9" x14ac:dyDescent="0.2">
      <c r="H5893" s="6"/>
      <c r="I5893" s="6"/>
    </row>
    <row r="5894" spans="8:9" x14ac:dyDescent="0.2">
      <c r="H5894" s="6"/>
      <c r="I5894" s="6"/>
    </row>
    <row r="5895" spans="8:9" x14ac:dyDescent="0.2">
      <c r="H5895" s="6"/>
      <c r="I5895" s="6"/>
    </row>
    <row r="5896" spans="8:9" x14ac:dyDescent="0.2">
      <c r="H5896" s="6"/>
      <c r="I5896" s="6"/>
    </row>
    <row r="5897" spans="8:9" x14ac:dyDescent="0.2">
      <c r="H5897" s="6"/>
      <c r="I5897" s="6"/>
    </row>
    <row r="5898" spans="8:9" x14ac:dyDescent="0.2">
      <c r="H5898" s="6"/>
      <c r="I5898" s="6"/>
    </row>
    <row r="5899" spans="8:9" x14ac:dyDescent="0.2">
      <c r="H5899" s="6"/>
      <c r="I5899" s="6"/>
    </row>
    <row r="5900" spans="8:9" x14ac:dyDescent="0.2">
      <c r="H5900" s="6"/>
      <c r="I5900" s="6"/>
    </row>
    <row r="5901" spans="8:9" x14ac:dyDescent="0.2">
      <c r="H5901" s="6"/>
      <c r="I5901" s="6"/>
    </row>
    <row r="5902" spans="8:9" x14ac:dyDescent="0.2">
      <c r="H5902" s="6"/>
      <c r="I5902" s="6"/>
    </row>
    <row r="5903" spans="8:9" x14ac:dyDescent="0.2">
      <c r="H5903" s="6"/>
      <c r="I5903" s="6"/>
    </row>
    <row r="5904" spans="8:9" x14ac:dyDescent="0.2">
      <c r="H5904" s="6"/>
      <c r="I5904" s="6"/>
    </row>
    <row r="5905" spans="8:9" x14ac:dyDescent="0.2">
      <c r="H5905" s="6"/>
      <c r="I5905" s="6"/>
    </row>
    <row r="5906" spans="8:9" x14ac:dyDescent="0.2">
      <c r="H5906" s="6"/>
      <c r="I5906" s="6"/>
    </row>
    <row r="5907" spans="8:9" x14ac:dyDescent="0.2">
      <c r="H5907" s="6"/>
      <c r="I5907" s="6"/>
    </row>
    <row r="5908" spans="8:9" x14ac:dyDescent="0.2">
      <c r="H5908" s="6"/>
      <c r="I5908" s="6"/>
    </row>
    <row r="5909" spans="8:9" x14ac:dyDescent="0.2">
      <c r="H5909" s="6"/>
      <c r="I5909" s="6"/>
    </row>
    <row r="5910" spans="8:9" x14ac:dyDescent="0.2">
      <c r="H5910" s="6"/>
      <c r="I5910" s="6"/>
    </row>
    <row r="5911" spans="8:9" x14ac:dyDescent="0.2">
      <c r="H5911" s="6"/>
      <c r="I5911" s="6"/>
    </row>
    <row r="5912" spans="8:9" x14ac:dyDescent="0.2">
      <c r="H5912" s="6"/>
      <c r="I5912" s="6"/>
    </row>
    <row r="5913" spans="8:9" x14ac:dyDescent="0.2">
      <c r="H5913" s="6"/>
      <c r="I5913" s="6"/>
    </row>
    <row r="5914" spans="8:9" x14ac:dyDescent="0.2">
      <c r="H5914" s="6"/>
      <c r="I5914" s="6"/>
    </row>
    <row r="5915" spans="8:9" x14ac:dyDescent="0.2">
      <c r="H5915" s="6"/>
      <c r="I5915" s="6"/>
    </row>
    <row r="5916" spans="8:9" x14ac:dyDescent="0.2">
      <c r="H5916" s="6"/>
      <c r="I5916" s="6"/>
    </row>
    <row r="5917" spans="8:9" x14ac:dyDescent="0.2">
      <c r="H5917" s="6"/>
      <c r="I5917" s="6"/>
    </row>
    <row r="5918" spans="8:9" x14ac:dyDescent="0.2">
      <c r="H5918" s="6"/>
      <c r="I5918" s="6"/>
    </row>
    <row r="5919" spans="8:9" x14ac:dyDescent="0.2">
      <c r="H5919" s="6"/>
      <c r="I5919" s="6"/>
    </row>
    <row r="5920" spans="8:9" x14ac:dyDescent="0.2">
      <c r="H5920" s="6"/>
      <c r="I5920" s="6"/>
    </row>
    <row r="5921" spans="8:9" x14ac:dyDescent="0.2">
      <c r="H5921" s="6"/>
      <c r="I5921" s="6"/>
    </row>
    <row r="5922" spans="8:9" x14ac:dyDescent="0.2">
      <c r="H5922" s="6"/>
      <c r="I5922" s="6"/>
    </row>
    <row r="5923" spans="8:9" x14ac:dyDescent="0.2">
      <c r="H5923" s="6"/>
      <c r="I5923" s="6"/>
    </row>
    <row r="5924" spans="8:9" x14ac:dyDescent="0.2">
      <c r="H5924" s="6"/>
      <c r="I5924" s="6"/>
    </row>
    <row r="5925" spans="8:9" x14ac:dyDescent="0.2">
      <c r="H5925" s="6"/>
      <c r="I5925" s="6"/>
    </row>
    <row r="5926" spans="8:9" x14ac:dyDescent="0.2">
      <c r="H5926" s="6"/>
      <c r="I5926" s="6"/>
    </row>
    <row r="5927" spans="8:9" x14ac:dyDescent="0.2">
      <c r="H5927" s="6"/>
      <c r="I5927" s="6"/>
    </row>
    <row r="5928" spans="8:9" x14ac:dyDescent="0.2">
      <c r="H5928" s="6"/>
      <c r="I5928" s="6"/>
    </row>
    <row r="5929" spans="8:9" x14ac:dyDescent="0.2">
      <c r="H5929" s="6"/>
      <c r="I5929" s="6"/>
    </row>
    <row r="5930" spans="8:9" x14ac:dyDescent="0.2">
      <c r="H5930" s="6"/>
      <c r="I5930" s="6"/>
    </row>
    <row r="5931" spans="8:9" x14ac:dyDescent="0.2">
      <c r="H5931" s="6"/>
      <c r="I5931" s="6"/>
    </row>
    <row r="5932" spans="8:9" x14ac:dyDescent="0.2">
      <c r="H5932" s="6"/>
      <c r="I5932" s="6"/>
    </row>
    <row r="5933" spans="8:9" x14ac:dyDescent="0.2">
      <c r="H5933" s="6"/>
      <c r="I5933" s="6"/>
    </row>
    <row r="5934" spans="8:9" x14ac:dyDescent="0.2">
      <c r="H5934" s="6"/>
      <c r="I5934" s="6"/>
    </row>
    <row r="5935" spans="8:9" x14ac:dyDescent="0.2">
      <c r="H5935" s="6"/>
      <c r="I5935" s="6"/>
    </row>
    <row r="5936" spans="8:9" x14ac:dyDescent="0.2">
      <c r="H5936" s="6"/>
      <c r="I5936" s="6"/>
    </row>
    <row r="5937" spans="8:9" x14ac:dyDescent="0.2">
      <c r="H5937" s="6"/>
      <c r="I5937" s="6"/>
    </row>
    <row r="5938" spans="8:9" x14ac:dyDescent="0.2">
      <c r="H5938" s="6"/>
      <c r="I5938" s="6"/>
    </row>
    <row r="5939" spans="8:9" x14ac:dyDescent="0.2">
      <c r="H5939" s="6"/>
      <c r="I5939" s="6"/>
    </row>
    <row r="5940" spans="8:9" x14ac:dyDescent="0.2">
      <c r="H5940" s="6"/>
      <c r="I5940" s="6"/>
    </row>
    <row r="5941" spans="8:9" x14ac:dyDescent="0.2">
      <c r="H5941" s="6"/>
      <c r="I5941" s="6"/>
    </row>
    <row r="5942" spans="8:9" x14ac:dyDescent="0.2">
      <c r="H5942" s="6"/>
      <c r="I5942" s="6"/>
    </row>
    <row r="5943" spans="8:9" x14ac:dyDescent="0.2">
      <c r="H5943" s="6"/>
      <c r="I5943" s="6"/>
    </row>
    <row r="5944" spans="8:9" x14ac:dyDescent="0.2">
      <c r="H5944" s="6"/>
      <c r="I5944" s="6"/>
    </row>
    <row r="5945" spans="8:9" x14ac:dyDescent="0.2">
      <c r="H5945" s="6"/>
      <c r="I5945" s="6"/>
    </row>
    <row r="5946" spans="8:9" x14ac:dyDescent="0.2">
      <c r="H5946" s="6"/>
      <c r="I5946" s="6"/>
    </row>
    <row r="5947" spans="8:9" x14ac:dyDescent="0.2">
      <c r="H5947" s="6"/>
      <c r="I5947" s="6"/>
    </row>
    <row r="5948" spans="8:9" x14ac:dyDescent="0.2">
      <c r="H5948" s="6"/>
      <c r="I5948" s="6"/>
    </row>
    <row r="5949" spans="8:9" x14ac:dyDescent="0.2">
      <c r="H5949" s="6"/>
      <c r="I5949" s="6"/>
    </row>
    <row r="5950" spans="8:9" x14ac:dyDescent="0.2">
      <c r="H5950" s="6"/>
      <c r="I5950" s="6"/>
    </row>
    <row r="5951" spans="8:9" x14ac:dyDescent="0.2">
      <c r="H5951" s="6"/>
      <c r="I5951" s="6"/>
    </row>
    <row r="5952" spans="8:9" x14ac:dyDescent="0.2">
      <c r="H5952" s="6"/>
      <c r="I5952" s="6"/>
    </row>
    <row r="5953" spans="8:9" x14ac:dyDescent="0.2">
      <c r="H5953" s="6"/>
      <c r="I5953" s="6"/>
    </row>
    <row r="5954" spans="8:9" x14ac:dyDescent="0.2">
      <c r="H5954" s="6"/>
      <c r="I5954" s="6"/>
    </row>
    <row r="5955" spans="8:9" x14ac:dyDescent="0.2">
      <c r="H5955" s="6"/>
      <c r="I5955" s="6"/>
    </row>
    <row r="5956" spans="8:9" x14ac:dyDescent="0.2">
      <c r="H5956" s="6"/>
      <c r="I5956" s="6"/>
    </row>
    <row r="5957" spans="8:9" x14ac:dyDescent="0.2">
      <c r="H5957" s="6"/>
      <c r="I5957" s="6"/>
    </row>
    <row r="5958" spans="8:9" x14ac:dyDescent="0.2">
      <c r="H5958" s="6"/>
      <c r="I5958" s="6"/>
    </row>
    <row r="5959" spans="8:9" x14ac:dyDescent="0.2">
      <c r="H5959" s="6"/>
      <c r="I5959" s="6"/>
    </row>
    <row r="5960" spans="8:9" x14ac:dyDescent="0.2">
      <c r="H5960" s="6"/>
      <c r="I5960" s="6"/>
    </row>
    <row r="5961" spans="8:9" x14ac:dyDescent="0.2">
      <c r="H5961" s="6"/>
      <c r="I5961" s="6"/>
    </row>
    <row r="5962" spans="8:9" x14ac:dyDescent="0.2">
      <c r="H5962" s="6"/>
      <c r="I5962" s="6"/>
    </row>
    <row r="5963" spans="8:9" x14ac:dyDescent="0.2">
      <c r="H5963" s="6"/>
      <c r="I5963" s="6"/>
    </row>
    <row r="5964" spans="8:9" x14ac:dyDescent="0.2">
      <c r="H5964" s="6"/>
      <c r="I5964" s="6"/>
    </row>
    <row r="5965" spans="8:9" x14ac:dyDescent="0.2">
      <c r="H5965" s="6"/>
      <c r="I5965" s="6"/>
    </row>
    <row r="5966" spans="8:9" x14ac:dyDescent="0.2">
      <c r="H5966" s="6"/>
      <c r="I5966" s="6"/>
    </row>
    <row r="5967" spans="8:9" x14ac:dyDescent="0.2">
      <c r="H5967" s="6"/>
      <c r="I5967" s="6"/>
    </row>
    <row r="5968" spans="8:9" x14ac:dyDescent="0.2">
      <c r="H5968" s="6"/>
      <c r="I5968" s="6"/>
    </row>
    <row r="5969" spans="8:9" x14ac:dyDescent="0.2">
      <c r="H5969" s="6"/>
      <c r="I5969" s="6"/>
    </row>
    <row r="5970" spans="8:9" x14ac:dyDescent="0.2">
      <c r="H5970" s="6"/>
      <c r="I5970" s="6"/>
    </row>
    <row r="5971" spans="8:9" x14ac:dyDescent="0.2">
      <c r="H5971" s="6"/>
      <c r="I5971" s="6"/>
    </row>
    <row r="5972" spans="8:9" x14ac:dyDescent="0.2">
      <c r="H5972" s="6"/>
      <c r="I5972" s="6"/>
    </row>
    <row r="5973" spans="8:9" x14ac:dyDescent="0.2">
      <c r="H5973" s="6"/>
      <c r="I5973" s="6"/>
    </row>
    <row r="5974" spans="8:9" x14ac:dyDescent="0.2">
      <c r="H5974" s="6"/>
      <c r="I5974" s="6"/>
    </row>
    <row r="5975" spans="8:9" x14ac:dyDescent="0.2">
      <c r="H5975" s="6"/>
      <c r="I5975" s="6"/>
    </row>
    <row r="5976" spans="8:9" x14ac:dyDescent="0.2">
      <c r="H5976" s="6"/>
      <c r="I5976" s="6"/>
    </row>
    <row r="5977" spans="8:9" x14ac:dyDescent="0.2">
      <c r="H5977" s="6"/>
      <c r="I5977" s="6"/>
    </row>
    <row r="5978" spans="8:9" x14ac:dyDescent="0.2">
      <c r="H5978" s="6"/>
      <c r="I5978" s="6"/>
    </row>
    <row r="5979" spans="8:9" x14ac:dyDescent="0.2">
      <c r="H5979" s="6"/>
      <c r="I5979" s="6"/>
    </row>
    <row r="5980" spans="8:9" x14ac:dyDescent="0.2">
      <c r="H5980" s="6"/>
      <c r="I5980" s="6"/>
    </row>
    <row r="5981" spans="8:9" x14ac:dyDescent="0.2">
      <c r="H5981" s="6"/>
      <c r="I5981" s="6"/>
    </row>
    <row r="5982" spans="8:9" x14ac:dyDescent="0.2">
      <c r="H5982" s="6"/>
      <c r="I5982" s="6"/>
    </row>
    <row r="5983" spans="8:9" x14ac:dyDescent="0.2">
      <c r="H5983" s="6"/>
      <c r="I5983" s="6"/>
    </row>
    <row r="5984" spans="8:9" x14ac:dyDescent="0.2">
      <c r="H5984" s="6"/>
      <c r="I5984" s="6"/>
    </row>
    <row r="5985" spans="8:9" x14ac:dyDescent="0.2">
      <c r="H5985" s="6"/>
      <c r="I5985" s="6"/>
    </row>
    <row r="5986" spans="8:9" x14ac:dyDescent="0.2">
      <c r="H5986" s="6"/>
      <c r="I5986" s="6"/>
    </row>
    <row r="5987" spans="8:9" x14ac:dyDescent="0.2">
      <c r="H5987" s="6"/>
      <c r="I5987" s="6"/>
    </row>
    <row r="5988" spans="8:9" x14ac:dyDescent="0.2">
      <c r="H5988" s="6"/>
      <c r="I5988" s="6"/>
    </row>
    <row r="5989" spans="8:9" x14ac:dyDescent="0.2">
      <c r="H5989" s="6"/>
      <c r="I5989" s="6"/>
    </row>
    <row r="5990" spans="8:9" x14ac:dyDescent="0.2">
      <c r="H5990" s="6"/>
      <c r="I5990" s="6"/>
    </row>
    <row r="5991" spans="8:9" x14ac:dyDescent="0.2">
      <c r="H5991" s="6"/>
      <c r="I5991" s="6"/>
    </row>
    <row r="5992" spans="8:9" x14ac:dyDescent="0.2">
      <c r="H5992" s="6"/>
      <c r="I5992" s="6"/>
    </row>
    <row r="5993" spans="8:9" x14ac:dyDescent="0.2">
      <c r="H5993" s="6"/>
      <c r="I5993" s="6"/>
    </row>
    <row r="5994" spans="8:9" x14ac:dyDescent="0.2">
      <c r="H5994" s="6"/>
      <c r="I5994" s="6"/>
    </row>
    <row r="5995" spans="8:9" x14ac:dyDescent="0.2">
      <c r="H5995" s="6"/>
      <c r="I5995" s="6"/>
    </row>
    <row r="5996" spans="8:9" x14ac:dyDescent="0.2">
      <c r="H5996" s="6"/>
      <c r="I5996" s="6"/>
    </row>
    <row r="5997" spans="8:9" x14ac:dyDescent="0.2">
      <c r="H5997" s="6"/>
      <c r="I5997" s="6"/>
    </row>
    <row r="5998" spans="8:9" x14ac:dyDescent="0.2">
      <c r="H5998" s="6"/>
      <c r="I5998" s="6"/>
    </row>
    <row r="5999" spans="8:9" x14ac:dyDescent="0.2">
      <c r="H5999" s="6"/>
      <c r="I5999" s="6"/>
    </row>
    <row r="6000" spans="8:9" x14ac:dyDescent="0.2">
      <c r="H6000" s="6"/>
      <c r="I6000" s="6"/>
    </row>
    <row r="6001" spans="8:9" x14ac:dyDescent="0.2">
      <c r="H6001" s="6"/>
      <c r="I6001" s="6"/>
    </row>
    <row r="6002" spans="8:9" x14ac:dyDescent="0.2">
      <c r="H6002" s="6"/>
      <c r="I6002" s="6"/>
    </row>
    <row r="6003" spans="8:9" x14ac:dyDescent="0.2">
      <c r="H6003" s="6"/>
      <c r="I6003" s="6"/>
    </row>
    <row r="6004" spans="8:9" x14ac:dyDescent="0.2">
      <c r="H6004" s="6"/>
      <c r="I6004" s="6"/>
    </row>
    <row r="6005" spans="8:9" x14ac:dyDescent="0.2">
      <c r="H6005" s="6"/>
      <c r="I6005" s="6"/>
    </row>
    <row r="6006" spans="8:9" x14ac:dyDescent="0.2">
      <c r="H6006" s="6"/>
      <c r="I6006" s="6"/>
    </row>
    <row r="6007" spans="8:9" x14ac:dyDescent="0.2">
      <c r="H6007" s="6"/>
      <c r="I6007" s="6"/>
    </row>
    <row r="6008" spans="8:9" x14ac:dyDescent="0.2">
      <c r="H6008" s="6"/>
      <c r="I6008" s="6"/>
    </row>
    <row r="6009" spans="8:9" x14ac:dyDescent="0.2">
      <c r="H6009" s="6"/>
      <c r="I6009" s="6"/>
    </row>
    <row r="6010" spans="8:9" x14ac:dyDescent="0.2">
      <c r="H6010" s="6"/>
      <c r="I6010" s="6"/>
    </row>
    <row r="6011" spans="8:9" x14ac:dyDescent="0.2">
      <c r="H6011" s="6"/>
      <c r="I6011" s="6"/>
    </row>
    <row r="6012" spans="8:9" x14ac:dyDescent="0.2">
      <c r="H6012" s="6"/>
      <c r="I6012" s="6"/>
    </row>
    <row r="6013" spans="8:9" x14ac:dyDescent="0.2">
      <c r="H6013" s="6"/>
      <c r="I6013" s="6"/>
    </row>
    <row r="6014" spans="8:9" x14ac:dyDescent="0.2">
      <c r="H6014" s="6"/>
      <c r="I6014" s="6"/>
    </row>
    <row r="6015" spans="8:9" x14ac:dyDescent="0.2">
      <c r="H6015" s="6"/>
      <c r="I6015" s="6"/>
    </row>
    <row r="6016" spans="8:9" x14ac:dyDescent="0.2">
      <c r="H6016" s="6"/>
      <c r="I6016" s="6"/>
    </row>
    <row r="6017" spans="8:9" x14ac:dyDescent="0.2">
      <c r="H6017" s="6"/>
      <c r="I6017" s="6"/>
    </row>
    <row r="6018" spans="8:9" x14ac:dyDescent="0.2">
      <c r="H6018" s="6"/>
      <c r="I6018" s="6"/>
    </row>
    <row r="6019" spans="8:9" x14ac:dyDescent="0.2">
      <c r="H6019" s="6"/>
      <c r="I6019" s="6"/>
    </row>
    <row r="6020" spans="8:9" x14ac:dyDescent="0.2">
      <c r="H6020" s="6"/>
      <c r="I6020" s="6"/>
    </row>
    <row r="6021" spans="8:9" x14ac:dyDescent="0.2">
      <c r="H6021" s="6"/>
      <c r="I6021" s="6"/>
    </row>
    <row r="6022" spans="8:9" x14ac:dyDescent="0.2">
      <c r="H6022" s="6"/>
      <c r="I6022" s="6"/>
    </row>
    <row r="6023" spans="8:9" x14ac:dyDescent="0.2">
      <c r="H6023" s="6"/>
      <c r="I6023" s="6"/>
    </row>
    <row r="6024" spans="8:9" x14ac:dyDescent="0.2">
      <c r="H6024" s="6"/>
      <c r="I6024" s="6"/>
    </row>
    <row r="6025" spans="8:9" x14ac:dyDescent="0.2">
      <c r="H6025" s="6"/>
      <c r="I6025" s="6"/>
    </row>
    <row r="6026" spans="8:9" x14ac:dyDescent="0.2">
      <c r="H6026" s="6"/>
      <c r="I6026" s="6"/>
    </row>
    <row r="6027" spans="8:9" x14ac:dyDescent="0.2">
      <c r="H6027" s="6"/>
      <c r="I6027" s="6"/>
    </row>
    <row r="6028" spans="8:9" x14ac:dyDescent="0.2">
      <c r="H6028" s="6"/>
      <c r="I6028" s="6"/>
    </row>
    <row r="6029" spans="8:9" x14ac:dyDescent="0.2">
      <c r="H6029" s="6"/>
      <c r="I6029" s="6"/>
    </row>
    <row r="6030" spans="8:9" x14ac:dyDescent="0.2">
      <c r="H6030" s="6"/>
      <c r="I6030" s="6"/>
    </row>
    <row r="6031" spans="8:9" x14ac:dyDescent="0.2">
      <c r="H6031" s="6"/>
      <c r="I6031" s="6"/>
    </row>
    <row r="6032" spans="8:9" x14ac:dyDescent="0.2">
      <c r="H6032" s="6"/>
      <c r="I6032" s="6"/>
    </row>
    <row r="6033" spans="8:9" x14ac:dyDescent="0.2">
      <c r="H6033" s="6"/>
      <c r="I6033" s="6"/>
    </row>
    <row r="6034" spans="8:9" x14ac:dyDescent="0.2">
      <c r="H6034" s="6"/>
      <c r="I6034" s="6"/>
    </row>
    <row r="6035" spans="8:9" x14ac:dyDescent="0.2">
      <c r="H6035" s="6"/>
      <c r="I6035" s="6"/>
    </row>
    <row r="6036" spans="8:9" x14ac:dyDescent="0.2">
      <c r="H6036" s="6"/>
      <c r="I6036" s="6"/>
    </row>
    <row r="6037" spans="8:9" x14ac:dyDescent="0.2">
      <c r="H6037" s="6"/>
      <c r="I6037" s="6"/>
    </row>
    <row r="6038" spans="8:9" x14ac:dyDescent="0.2">
      <c r="H6038" s="6"/>
      <c r="I6038" s="6"/>
    </row>
    <row r="6039" spans="8:9" x14ac:dyDescent="0.2">
      <c r="H6039" s="6"/>
      <c r="I6039" s="6"/>
    </row>
    <row r="6040" spans="8:9" x14ac:dyDescent="0.2">
      <c r="H6040" s="6"/>
      <c r="I6040" s="6"/>
    </row>
    <row r="6041" spans="8:9" x14ac:dyDescent="0.2">
      <c r="H6041" s="6"/>
      <c r="I6041" s="6"/>
    </row>
    <row r="6042" spans="8:9" x14ac:dyDescent="0.2">
      <c r="H6042" s="6"/>
      <c r="I6042" s="6"/>
    </row>
    <row r="6043" spans="8:9" x14ac:dyDescent="0.2">
      <c r="H6043" s="6"/>
      <c r="I6043" s="6"/>
    </row>
    <row r="6044" spans="8:9" x14ac:dyDescent="0.2">
      <c r="H6044" s="6"/>
      <c r="I6044" s="6"/>
    </row>
    <row r="6045" spans="8:9" x14ac:dyDescent="0.2">
      <c r="H6045" s="6"/>
      <c r="I6045" s="6"/>
    </row>
    <row r="6046" spans="8:9" x14ac:dyDescent="0.2">
      <c r="H6046" s="6"/>
      <c r="I6046" s="6"/>
    </row>
    <row r="6047" spans="8:9" x14ac:dyDescent="0.2">
      <c r="H6047" s="6"/>
      <c r="I6047" s="6"/>
    </row>
    <row r="6048" spans="8:9" x14ac:dyDescent="0.2">
      <c r="H6048" s="6"/>
      <c r="I6048" s="6"/>
    </row>
    <row r="6049" spans="8:9" x14ac:dyDescent="0.2">
      <c r="H6049" s="6"/>
      <c r="I6049" s="6"/>
    </row>
    <row r="6050" spans="8:9" x14ac:dyDescent="0.2">
      <c r="H6050" s="6"/>
      <c r="I6050" s="6"/>
    </row>
    <row r="6051" spans="8:9" x14ac:dyDescent="0.2">
      <c r="H6051" s="6"/>
      <c r="I6051" s="6"/>
    </row>
    <row r="6052" spans="8:9" x14ac:dyDescent="0.2">
      <c r="H6052" s="6"/>
      <c r="I6052" s="6"/>
    </row>
    <row r="6053" spans="8:9" x14ac:dyDescent="0.2">
      <c r="H6053" s="6"/>
      <c r="I6053" s="6"/>
    </row>
    <row r="6054" spans="8:9" x14ac:dyDescent="0.2">
      <c r="H6054" s="6"/>
      <c r="I6054" s="6"/>
    </row>
    <row r="6055" spans="8:9" x14ac:dyDescent="0.2">
      <c r="H6055" s="6"/>
      <c r="I6055" s="6"/>
    </row>
    <row r="6056" spans="8:9" x14ac:dyDescent="0.2">
      <c r="H6056" s="6"/>
      <c r="I6056" s="6"/>
    </row>
    <row r="6057" spans="8:9" x14ac:dyDescent="0.2">
      <c r="H6057" s="6"/>
      <c r="I6057" s="6"/>
    </row>
    <row r="6058" spans="8:9" x14ac:dyDescent="0.2">
      <c r="H6058" s="6"/>
      <c r="I6058" s="6"/>
    </row>
    <row r="6059" spans="8:9" x14ac:dyDescent="0.2">
      <c r="H6059" s="6"/>
      <c r="I6059" s="6"/>
    </row>
    <row r="6060" spans="8:9" x14ac:dyDescent="0.2">
      <c r="H6060" s="6"/>
      <c r="I6060" s="6"/>
    </row>
    <row r="6061" spans="8:9" x14ac:dyDescent="0.2">
      <c r="H6061" s="6"/>
      <c r="I6061" s="6"/>
    </row>
    <row r="6062" spans="8:9" x14ac:dyDescent="0.2">
      <c r="H6062" s="6"/>
      <c r="I6062" s="6"/>
    </row>
    <row r="6063" spans="8:9" x14ac:dyDescent="0.2">
      <c r="H6063" s="6"/>
      <c r="I6063" s="6"/>
    </row>
    <row r="6064" spans="8:9" x14ac:dyDescent="0.2">
      <c r="H6064" s="6"/>
      <c r="I6064" s="6"/>
    </row>
    <row r="6065" spans="8:9" x14ac:dyDescent="0.2">
      <c r="H6065" s="6"/>
      <c r="I6065" s="6"/>
    </row>
    <row r="6066" spans="8:9" x14ac:dyDescent="0.2">
      <c r="H6066" s="6"/>
      <c r="I6066" s="6"/>
    </row>
    <row r="6067" spans="8:9" x14ac:dyDescent="0.2">
      <c r="H6067" s="6"/>
      <c r="I6067" s="6"/>
    </row>
    <row r="6068" spans="8:9" x14ac:dyDescent="0.2">
      <c r="H6068" s="6"/>
      <c r="I6068" s="6"/>
    </row>
    <row r="6069" spans="8:9" x14ac:dyDescent="0.2">
      <c r="H6069" s="6"/>
      <c r="I6069" s="6"/>
    </row>
    <row r="6070" spans="8:9" x14ac:dyDescent="0.2">
      <c r="H6070" s="6"/>
      <c r="I6070" s="6"/>
    </row>
    <row r="6071" spans="8:9" x14ac:dyDescent="0.2">
      <c r="H6071" s="6"/>
      <c r="I6071" s="6"/>
    </row>
    <row r="6072" spans="8:9" x14ac:dyDescent="0.2">
      <c r="H6072" s="6"/>
      <c r="I6072" s="6"/>
    </row>
    <row r="6073" spans="8:9" x14ac:dyDescent="0.2">
      <c r="H6073" s="6"/>
      <c r="I6073" s="6"/>
    </row>
    <row r="6074" spans="8:9" x14ac:dyDescent="0.2">
      <c r="H6074" s="6"/>
      <c r="I6074" s="6"/>
    </row>
    <row r="6075" spans="8:9" x14ac:dyDescent="0.2">
      <c r="H6075" s="6"/>
      <c r="I6075" s="6"/>
    </row>
    <row r="6076" spans="8:9" x14ac:dyDescent="0.2">
      <c r="H6076" s="6"/>
      <c r="I6076" s="6"/>
    </row>
    <row r="6077" spans="8:9" x14ac:dyDescent="0.2">
      <c r="H6077" s="6"/>
      <c r="I6077" s="6"/>
    </row>
    <row r="6078" spans="8:9" x14ac:dyDescent="0.2">
      <c r="H6078" s="6"/>
      <c r="I6078" s="6"/>
    </row>
    <row r="6079" spans="8:9" x14ac:dyDescent="0.2">
      <c r="H6079" s="6"/>
      <c r="I6079" s="6"/>
    </row>
    <row r="6080" spans="8:9" x14ac:dyDescent="0.2">
      <c r="H6080" s="6"/>
      <c r="I6080" s="6"/>
    </row>
    <row r="6081" spans="8:9" x14ac:dyDescent="0.2">
      <c r="H6081" s="6"/>
      <c r="I6081" s="6"/>
    </row>
    <row r="6082" spans="8:9" x14ac:dyDescent="0.2">
      <c r="H6082" s="6"/>
      <c r="I6082" s="6"/>
    </row>
    <row r="6083" spans="8:9" x14ac:dyDescent="0.2">
      <c r="H6083" s="6"/>
      <c r="I6083" s="6"/>
    </row>
    <row r="6084" spans="8:9" x14ac:dyDescent="0.2">
      <c r="H6084" s="6"/>
      <c r="I6084" s="6"/>
    </row>
    <row r="6085" spans="8:9" x14ac:dyDescent="0.2">
      <c r="H6085" s="6"/>
      <c r="I6085" s="6"/>
    </row>
    <row r="6086" spans="8:9" x14ac:dyDescent="0.2">
      <c r="H6086" s="6"/>
      <c r="I6086" s="6"/>
    </row>
    <row r="6087" spans="8:9" x14ac:dyDescent="0.2">
      <c r="H6087" s="6"/>
      <c r="I6087" s="6"/>
    </row>
    <row r="6088" spans="8:9" x14ac:dyDescent="0.2">
      <c r="H6088" s="6"/>
      <c r="I6088" s="6"/>
    </row>
    <row r="6089" spans="8:9" x14ac:dyDescent="0.2">
      <c r="H6089" s="6"/>
      <c r="I6089" s="6"/>
    </row>
    <row r="6090" spans="8:9" x14ac:dyDescent="0.2">
      <c r="H6090" s="6"/>
      <c r="I6090" s="6"/>
    </row>
    <row r="6091" spans="8:9" x14ac:dyDescent="0.2">
      <c r="H6091" s="6"/>
      <c r="I6091" s="6"/>
    </row>
    <row r="6092" spans="8:9" x14ac:dyDescent="0.2">
      <c r="H6092" s="6"/>
      <c r="I6092" s="6"/>
    </row>
    <row r="6093" spans="8:9" x14ac:dyDescent="0.2">
      <c r="H6093" s="6"/>
      <c r="I6093" s="6"/>
    </row>
    <row r="6094" spans="8:9" x14ac:dyDescent="0.2">
      <c r="H6094" s="6"/>
      <c r="I6094" s="6"/>
    </row>
    <row r="6095" spans="8:9" x14ac:dyDescent="0.2">
      <c r="H6095" s="6"/>
      <c r="I6095" s="6"/>
    </row>
    <row r="6096" spans="8:9" x14ac:dyDescent="0.2">
      <c r="H6096" s="6"/>
      <c r="I6096" s="6"/>
    </row>
    <row r="6097" spans="8:9" x14ac:dyDescent="0.2">
      <c r="H6097" s="6"/>
      <c r="I6097" s="6"/>
    </row>
    <row r="6098" spans="8:9" x14ac:dyDescent="0.2">
      <c r="H6098" s="6"/>
      <c r="I6098" s="6"/>
    </row>
    <row r="6099" spans="8:9" x14ac:dyDescent="0.2">
      <c r="H6099" s="6"/>
      <c r="I6099" s="6"/>
    </row>
    <row r="6100" spans="8:9" x14ac:dyDescent="0.2">
      <c r="H6100" s="6"/>
      <c r="I6100" s="6"/>
    </row>
    <row r="6101" spans="8:9" x14ac:dyDescent="0.2">
      <c r="H6101" s="6"/>
      <c r="I6101" s="6"/>
    </row>
    <row r="6102" spans="8:9" x14ac:dyDescent="0.2">
      <c r="H6102" s="6"/>
      <c r="I6102" s="6"/>
    </row>
    <row r="6103" spans="8:9" x14ac:dyDescent="0.2">
      <c r="H6103" s="6"/>
      <c r="I6103" s="6"/>
    </row>
    <row r="6104" spans="8:9" x14ac:dyDescent="0.2">
      <c r="H6104" s="6"/>
      <c r="I6104" s="6"/>
    </row>
    <row r="6105" spans="8:9" x14ac:dyDescent="0.2">
      <c r="H6105" s="6"/>
      <c r="I6105" s="6"/>
    </row>
    <row r="6106" spans="8:9" x14ac:dyDescent="0.2">
      <c r="H6106" s="6"/>
      <c r="I6106" s="6"/>
    </row>
    <row r="6107" spans="8:9" x14ac:dyDescent="0.2">
      <c r="H6107" s="6"/>
      <c r="I6107" s="6"/>
    </row>
    <row r="6108" spans="8:9" x14ac:dyDescent="0.2">
      <c r="H6108" s="6"/>
      <c r="I6108" s="6"/>
    </row>
    <row r="6109" spans="8:9" x14ac:dyDescent="0.2">
      <c r="H6109" s="6"/>
      <c r="I6109" s="6"/>
    </row>
    <row r="6110" spans="8:9" x14ac:dyDescent="0.2">
      <c r="H6110" s="6"/>
      <c r="I6110" s="6"/>
    </row>
    <row r="6111" spans="8:9" x14ac:dyDescent="0.2">
      <c r="H6111" s="6"/>
      <c r="I6111" s="6"/>
    </row>
    <row r="6112" spans="8:9" x14ac:dyDescent="0.2">
      <c r="H6112" s="6"/>
      <c r="I6112" s="6"/>
    </row>
    <row r="6113" spans="8:9" x14ac:dyDescent="0.2">
      <c r="H6113" s="6"/>
      <c r="I6113" s="6"/>
    </row>
    <row r="6114" spans="8:9" x14ac:dyDescent="0.2">
      <c r="H6114" s="6"/>
      <c r="I6114" s="6"/>
    </row>
    <row r="6115" spans="8:9" x14ac:dyDescent="0.2">
      <c r="H6115" s="6"/>
      <c r="I6115" s="6"/>
    </row>
    <row r="6116" spans="8:9" x14ac:dyDescent="0.2">
      <c r="H6116" s="6"/>
      <c r="I6116" s="6"/>
    </row>
    <row r="6117" spans="8:9" x14ac:dyDescent="0.2">
      <c r="H6117" s="6"/>
      <c r="I6117" s="6"/>
    </row>
    <row r="6118" spans="8:9" x14ac:dyDescent="0.2">
      <c r="H6118" s="6"/>
      <c r="I6118" s="6"/>
    </row>
    <row r="6119" spans="8:9" x14ac:dyDescent="0.2">
      <c r="H6119" s="6"/>
      <c r="I6119" s="6"/>
    </row>
    <row r="6120" spans="8:9" x14ac:dyDescent="0.2">
      <c r="H6120" s="6"/>
      <c r="I6120" s="6"/>
    </row>
    <row r="6121" spans="8:9" x14ac:dyDescent="0.2">
      <c r="H6121" s="6"/>
      <c r="I6121" s="6"/>
    </row>
    <row r="6122" spans="8:9" x14ac:dyDescent="0.2">
      <c r="H6122" s="6"/>
      <c r="I6122" s="6"/>
    </row>
    <row r="6123" spans="8:9" x14ac:dyDescent="0.2">
      <c r="H6123" s="6"/>
      <c r="I6123" s="6"/>
    </row>
    <row r="6124" spans="8:9" x14ac:dyDescent="0.2">
      <c r="H6124" s="6"/>
      <c r="I6124" s="6"/>
    </row>
    <row r="6125" spans="8:9" x14ac:dyDescent="0.2">
      <c r="H6125" s="6"/>
      <c r="I6125" s="6"/>
    </row>
    <row r="6126" spans="8:9" x14ac:dyDescent="0.2">
      <c r="H6126" s="6"/>
      <c r="I6126" s="6"/>
    </row>
    <row r="6127" spans="8:9" x14ac:dyDescent="0.2">
      <c r="H6127" s="6"/>
      <c r="I6127" s="6"/>
    </row>
    <row r="6128" spans="8:9" x14ac:dyDescent="0.2">
      <c r="H6128" s="6"/>
      <c r="I6128" s="6"/>
    </row>
    <row r="6129" spans="8:9" x14ac:dyDescent="0.2">
      <c r="H6129" s="6"/>
      <c r="I6129" s="6"/>
    </row>
    <row r="6130" spans="8:9" x14ac:dyDescent="0.2">
      <c r="H6130" s="6"/>
      <c r="I6130" s="6"/>
    </row>
    <row r="6131" spans="8:9" x14ac:dyDescent="0.2">
      <c r="H6131" s="6"/>
      <c r="I6131" s="6"/>
    </row>
    <row r="6132" spans="8:9" x14ac:dyDescent="0.2">
      <c r="H6132" s="6"/>
      <c r="I6132" s="6"/>
    </row>
    <row r="6133" spans="8:9" x14ac:dyDescent="0.2">
      <c r="H6133" s="6"/>
      <c r="I6133" s="6"/>
    </row>
    <row r="6134" spans="8:9" x14ac:dyDescent="0.2">
      <c r="H6134" s="6"/>
      <c r="I6134" s="6"/>
    </row>
    <row r="6135" spans="8:9" x14ac:dyDescent="0.2">
      <c r="H6135" s="6"/>
      <c r="I6135" s="6"/>
    </row>
    <row r="6136" spans="8:9" x14ac:dyDescent="0.2">
      <c r="H6136" s="6"/>
      <c r="I6136" s="6"/>
    </row>
    <row r="6137" spans="8:9" x14ac:dyDescent="0.2">
      <c r="H6137" s="6"/>
      <c r="I6137" s="6"/>
    </row>
    <row r="6138" spans="8:9" x14ac:dyDescent="0.2">
      <c r="H6138" s="6"/>
      <c r="I6138" s="6"/>
    </row>
    <row r="6139" spans="8:9" x14ac:dyDescent="0.2">
      <c r="H6139" s="6"/>
      <c r="I6139" s="6"/>
    </row>
    <row r="6140" spans="8:9" x14ac:dyDescent="0.2">
      <c r="H6140" s="6"/>
      <c r="I6140" s="6"/>
    </row>
    <row r="6141" spans="8:9" x14ac:dyDescent="0.2">
      <c r="H6141" s="6"/>
      <c r="I6141" s="6"/>
    </row>
    <row r="6142" spans="8:9" x14ac:dyDescent="0.2">
      <c r="H6142" s="6"/>
      <c r="I6142" s="6"/>
    </row>
    <row r="6143" spans="8:9" x14ac:dyDescent="0.2">
      <c r="H6143" s="6"/>
      <c r="I6143" s="6"/>
    </row>
    <row r="6144" spans="8:9" x14ac:dyDescent="0.2">
      <c r="H6144" s="6"/>
      <c r="I6144" s="6"/>
    </row>
    <row r="6145" spans="8:9" x14ac:dyDescent="0.2">
      <c r="H6145" s="6"/>
      <c r="I6145" s="6"/>
    </row>
    <row r="6146" spans="8:9" x14ac:dyDescent="0.2">
      <c r="H6146" s="6"/>
      <c r="I6146" s="6"/>
    </row>
    <row r="6147" spans="8:9" x14ac:dyDescent="0.2">
      <c r="H6147" s="6"/>
      <c r="I6147" s="6"/>
    </row>
    <row r="6148" spans="8:9" x14ac:dyDescent="0.2">
      <c r="H6148" s="6"/>
      <c r="I6148" s="6"/>
    </row>
    <row r="6149" spans="8:9" x14ac:dyDescent="0.2">
      <c r="H6149" s="6"/>
      <c r="I6149" s="6"/>
    </row>
    <row r="6150" spans="8:9" x14ac:dyDescent="0.2">
      <c r="H6150" s="6"/>
      <c r="I6150" s="6"/>
    </row>
    <row r="6151" spans="8:9" x14ac:dyDescent="0.2">
      <c r="H6151" s="6"/>
      <c r="I6151" s="6"/>
    </row>
    <row r="6152" spans="8:9" x14ac:dyDescent="0.2">
      <c r="H6152" s="6"/>
      <c r="I6152" s="6"/>
    </row>
    <row r="6153" spans="8:9" x14ac:dyDescent="0.2">
      <c r="H6153" s="6"/>
      <c r="I6153" s="6"/>
    </row>
    <row r="6154" spans="8:9" x14ac:dyDescent="0.2">
      <c r="H6154" s="6"/>
      <c r="I6154" s="6"/>
    </row>
    <row r="6155" spans="8:9" x14ac:dyDescent="0.2">
      <c r="H6155" s="6"/>
      <c r="I6155" s="6"/>
    </row>
    <row r="6156" spans="8:9" x14ac:dyDescent="0.2">
      <c r="H6156" s="6"/>
      <c r="I6156" s="6"/>
    </row>
    <row r="6157" spans="8:9" x14ac:dyDescent="0.2">
      <c r="H6157" s="6"/>
      <c r="I6157" s="6"/>
    </row>
    <row r="6158" spans="8:9" x14ac:dyDescent="0.2">
      <c r="H6158" s="6"/>
      <c r="I6158" s="6"/>
    </row>
    <row r="6159" spans="8:9" x14ac:dyDescent="0.2">
      <c r="H6159" s="6"/>
      <c r="I6159" s="6"/>
    </row>
    <row r="6160" spans="8:9" x14ac:dyDescent="0.2">
      <c r="H6160" s="6"/>
      <c r="I6160" s="6"/>
    </row>
    <row r="6161" spans="8:9" x14ac:dyDescent="0.2">
      <c r="H6161" s="6"/>
      <c r="I6161" s="6"/>
    </row>
    <row r="6162" spans="8:9" x14ac:dyDescent="0.2">
      <c r="H6162" s="6"/>
      <c r="I6162" s="6"/>
    </row>
    <row r="6163" spans="8:9" x14ac:dyDescent="0.2">
      <c r="H6163" s="6"/>
      <c r="I6163" s="6"/>
    </row>
    <row r="6164" spans="8:9" x14ac:dyDescent="0.2">
      <c r="H6164" s="6"/>
      <c r="I6164" s="6"/>
    </row>
    <row r="6165" spans="8:9" x14ac:dyDescent="0.2">
      <c r="H6165" s="6"/>
      <c r="I6165" s="6"/>
    </row>
    <row r="6166" spans="8:9" x14ac:dyDescent="0.2">
      <c r="H6166" s="6"/>
      <c r="I6166" s="6"/>
    </row>
    <row r="6167" spans="8:9" x14ac:dyDescent="0.2">
      <c r="H6167" s="6"/>
      <c r="I6167" s="6"/>
    </row>
    <row r="6168" spans="8:9" x14ac:dyDescent="0.2">
      <c r="H6168" s="6"/>
      <c r="I6168" s="6"/>
    </row>
    <row r="6169" spans="8:9" x14ac:dyDescent="0.2">
      <c r="H6169" s="6"/>
      <c r="I6169" s="6"/>
    </row>
    <row r="6170" spans="8:9" x14ac:dyDescent="0.2">
      <c r="H6170" s="6"/>
      <c r="I6170" s="6"/>
    </row>
    <row r="6171" spans="8:9" x14ac:dyDescent="0.2">
      <c r="H6171" s="6"/>
      <c r="I6171" s="6"/>
    </row>
    <row r="6172" spans="8:9" x14ac:dyDescent="0.2">
      <c r="H6172" s="6"/>
      <c r="I6172" s="6"/>
    </row>
    <row r="6173" spans="8:9" x14ac:dyDescent="0.2">
      <c r="H6173" s="6"/>
      <c r="I6173" s="6"/>
    </row>
    <row r="6174" spans="8:9" x14ac:dyDescent="0.2">
      <c r="H6174" s="6"/>
      <c r="I6174" s="6"/>
    </row>
    <row r="6175" spans="8:9" x14ac:dyDescent="0.2">
      <c r="H6175" s="6"/>
      <c r="I6175" s="6"/>
    </row>
    <row r="6176" spans="8:9" x14ac:dyDescent="0.2">
      <c r="H6176" s="6"/>
      <c r="I6176" s="6"/>
    </row>
    <row r="6177" spans="8:9" x14ac:dyDescent="0.2">
      <c r="H6177" s="6"/>
      <c r="I6177" s="6"/>
    </row>
    <row r="6178" spans="8:9" x14ac:dyDescent="0.2">
      <c r="H6178" s="6"/>
      <c r="I6178" s="6"/>
    </row>
    <row r="6179" spans="8:9" x14ac:dyDescent="0.2">
      <c r="H6179" s="6"/>
      <c r="I6179" s="6"/>
    </row>
    <row r="6180" spans="8:9" x14ac:dyDescent="0.2">
      <c r="H6180" s="6"/>
      <c r="I6180" s="6"/>
    </row>
    <row r="6181" spans="8:9" x14ac:dyDescent="0.2">
      <c r="H6181" s="6"/>
      <c r="I6181" s="6"/>
    </row>
    <row r="6182" spans="8:9" x14ac:dyDescent="0.2">
      <c r="H6182" s="6"/>
      <c r="I6182" s="6"/>
    </row>
    <row r="6183" spans="8:9" x14ac:dyDescent="0.2">
      <c r="H6183" s="6"/>
      <c r="I6183" s="6"/>
    </row>
    <row r="6184" spans="8:9" x14ac:dyDescent="0.2">
      <c r="H6184" s="6"/>
      <c r="I6184" s="6"/>
    </row>
    <row r="6185" spans="8:9" x14ac:dyDescent="0.2">
      <c r="H6185" s="6"/>
      <c r="I6185" s="6"/>
    </row>
    <row r="6186" spans="8:9" x14ac:dyDescent="0.2">
      <c r="H6186" s="6"/>
      <c r="I6186" s="6"/>
    </row>
    <row r="6187" spans="8:9" x14ac:dyDescent="0.2">
      <c r="H6187" s="6"/>
      <c r="I6187" s="6"/>
    </row>
    <row r="6188" spans="8:9" x14ac:dyDescent="0.2">
      <c r="H6188" s="6"/>
      <c r="I6188" s="6"/>
    </row>
    <row r="6189" spans="8:9" x14ac:dyDescent="0.2">
      <c r="H6189" s="6"/>
      <c r="I6189" s="6"/>
    </row>
    <row r="6190" spans="8:9" x14ac:dyDescent="0.2">
      <c r="H6190" s="6"/>
      <c r="I6190" s="6"/>
    </row>
    <row r="6191" spans="8:9" x14ac:dyDescent="0.2">
      <c r="H6191" s="6"/>
      <c r="I6191" s="6"/>
    </row>
    <row r="6192" spans="8:9" x14ac:dyDescent="0.2">
      <c r="H6192" s="6"/>
      <c r="I6192" s="6"/>
    </row>
    <row r="6193" spans="8:9" x14ac:dyDescent="0.2">
      <c r="H6193" s="6"/>
      <c r="I6193" s="6"/>
    </row>
    <row r="6194" spans="8:9" x14ac:dyDescent="0.2">
      <c r="H6194" s="6"/>
      <c r="I6194" s="6"/>
    </row>
    <row r="6195" spans="8:9" x14ac:dyDescent="0.2">
      <c r="H6195" s="6"/>
      <c r="I6195" s="6"/>
    </row>
    <row r="6196" spans="8:9" x14ac:dyDescent="0.2">
      <c r="H6196" s="6"/>
      <c r="I6196" s="6"/>
    </row>
    <row r="6197" spans="8:9" x14ac:dyDescent="0.2">
      <c r="H6197" s="6"/>
      <c r="I6197" s="6"/>
    </row>
    <row r="6198" spans="8:9" x14ac:dyDescent="0.2">
      <c r="H6198" s="6"/>
      <c r="I6198" s="6"/>
    </row>
    <row r="6199" spans="8:9" x14ac:dyDescent="0.2">
      <c r="H6199" s="6"/>
      <c r="I6199" s="6"/>
    </row>
    <row r="6200" spans="8:9" x14ac:dyDescent="0.2">
      <c r="H6200" s="6"/>
      <c r="I6200" s="6"/>
    </row>
    <row r="6201" spans="8:9" x14ac:dyDescent="0.2">
      <c r="H6201" s="6"/>
      <c r="I6201" s="6"/>
    </row>
    <row r="6202" spans="8:9" x14ac:dyDescent="0.2">
      <c r="H6202" s="6"/>
      <c r="I6202" s="6"/>
    </row>
    <row r="6203" spans="8:9" x14ac:dyDescent="0.2">
      <c r="H6203" s="6"/>
      <c r="I6203" s="6"/>
    </row>
    <row r="6204" spans="8:9" x14ac:dyDescent="0.2">
      <c r="H6204" s="6"/>
      <c r="I6204" s="6"/>
    </row>
    <row r="6205" spans="8:9" x14ac:dyDescent="0.2">
      <c r="H6205" s="6"/>
      <c r="I6205" s="6"/>
    </row>
    <row r="6206" spans="8:9" x14ac:dyDescent="0.2">
      <c r="H6206" s="6"/>
      <c r="I6206" s="6"/>
    </row>
    <row r="6207" spans="8:9" x14ac:dyDescent="0.2">
      <c r="H6207" s="6"/>
      <c r="I6207" s="6"/>
    </row>
    <row r="6208" spans="8:9" x14ac:dyDescent="0.2">
      <c r="H6208" s="6"/>
      <c r="I6208" s="6"/>
    </row>
    <row r="6209" spans="8:9" x14ac:dyDescent="0.2">
      <c r="H6209" s="6"/>
      <c r="I6209" s="6"/>
    </row>
    <row r="6210" spans="8:9" x14ac:dyDescent="0.2">
      <c r="H6210" s="6"/>
      <c r="I6210" s="6"/>
    </row>
    <row r="6211" spans="8:9" x14ac:dyDescent="0.2">
      <c r="H6211" s="6"/>
      <c r="I6211" s="6"/>
    </row>
    <row r="6212" spans="8:9" x14ac:dyDescent="0.2">
      <c r="H6212" s="6"/>
      <c r="I6212" s="6"/>
    </row>
    <row r="6213" spans="8:9" x14ac:dyDescent="0.2">
      <c r="H6213" s="6"/>
      <c r="I6213" s="6"/>
    </row>
    <row r="6214" spans="8:9" x14ac:dyDescent="0.2">
      <c r="H6214" s="6"/>
      <c r="I6214" s="6"/>
    </row>
    <row r="6215" spans="8:9" x14ac:dyDescent="0.2">
      <c r="H6215" s="6"/>
      <c r="I6215" s="6"/>
    </row>
    <row r="6216" spans="8:9" x14ac:dyDescent="0.2">
      <c r="H6216" s="6"/>
      <c r="I6216" s="6"/>
    </row>
    <row r="6217" spans="8:9" x14ac:dyDescent="0.2">
      <c r="H6217" s="6"/>
      <c r="I6217" s="6"/>
    </row>
    <row r="6218" spans="8:9" x14ac:dyDescent="0.2">
      <c r="H6218" s="6"/>
      <c r="I6218" s="6"/>
    </row>
    <row r="6219" spans="8:9" x14ac:dyDescent="0.2">
      <c r="H6219" s="6"/>
      <c r="I6219" s="6"/>
    </row>
    <row r="6220" spans="8:9" x14ac:dyDescent="0.2">
      <c r="H6220" s="6"/>
      <c r="I6220" s="6"/>
    </row>
    <row r="6221" spans="8:9" x14ac:dyDescent="0.2">
      <c r="H6221" s="6"/>
      <c r="I6221" s="6"/>
    </row>
    <row r="6222" spans="8:9" x14ac:dyDescent="0.2">
      <c r="H6222" s="6"/>
      <c r="I6222" s="6"/>
    </row>
    <row r="6223" spans="8:9" x14ac:dyDescent="0.2">
      <c r="H6223" s="6"/>
      <c r="I6223" s="6"/>
    </row>
    <row r="6224" spans="8:9" x14ac:dyDescent="0.2">
      <c r="H6224" s="6"/>
      <c r="I6224" s="6"/>
    </row>
    <row r="6225" spans="8:9" x14ac:dyDescent="0.2">
      <c r="H6225" s="6"/>
      <c r="I6225" s="6"/>
    </row>
    <row r="6226" spans="8:9" x14ac:dyDescent="0.2">
      <c r="H6226" s="6"/>
      <c r="I6226" s="6"/>
    </row>
    <row r="6227" spans="8:9" x14ac:dyDescent="0.2">
      <c r="H6227" s="6"/>
      <c r="I6227" s="6"/>
    </row>
    <row r="6228" spans="8:9" x14ac:dyDescent="0.2">
      <c r="H6228" s="6"/>
      <c r="I6228" s="6"/>
    </row>
    <row r="6229" spans="8:9" x14ac:dyDescent="0.2">
      <c r="H6229" s="6"/>
      <c r="I6229" s="6"/>
    </row>
    <row r="6230" spans="8:9" x14ac:dyDescent="0.2">
      <c r="H6230" s="6"/>
      <c r="I6230" s="6"/>
    </row>
    <row r="6231" spans="8:9" x14ac:dyDescent="0.2">
      <c r="H6231" s="6"/>
      <c r="I6231" s="6"/>
    </row>
    <row r="6232" spans="8:9" x14ac:dyDescent="0.2">
      <c r="H6232" s="6"/>
      <c r="I6232" s="6"/>
    </row>
    <row r="6233" spans="8:9" x14ac:dyDescent="0.2">
      <c r="H6233" s="6"/>
      <c r="I6233" s="6"/>
    </row>
    <row r="6234" spans="8:9" x14ac:dyDescent="0.2">
      <c r="H6234" s="6"/>
      <c r="I6234" s="6"/>
    </row>
    <row r="6235" spans="8:9" x14ac:dyDescent="0.2">
      <c r="H6235" s="6"/>
      <c r="I6235" s="6"/>
    </row>
    <row r="6236" spans="8:9" x14ac:dyDescent="0.2">
      <c r="H6236" s="6"/>
      <c r="I6236" s="6"/>
    </row>
    <row r="6237" spans="8:9" x14ac:dyDescent="0.2">
      <c r="H6237" s="6"/>
      <c r="I6237" s="6"/>
    </row>
    <row r="6238" spans="8:9" x14ac:dyDescent="0.2">
      <c r="H6238" s="6"/>
      <c r="I6238" s="6"/>
    </row>
    <row r="6239" spans="8:9" x14ac:dyDescent="0.2">
      <c r="H6239" s="6"/>
      <c r="I6239" s="6"/>
    </row>
    <row r="6240" spans="8:9" x14ac:dyDescent="0.2">
      <c r="H6240" s="6"/>
      <c r="I6240" s="6"/>
    </row>
    <row r="6241" spans="8:9" x14ac:dyDescent="0.2">
      <c r="H6241" s="6"/>
      <c r="I6241" s="6"/>
    </row>
    <row r="6242" spans="8:9" x14ac:dyDescent="0.2">
      <c r="H6242" s="6"/>
      <c r="I6242" s="6"/>
    </row>
    <row r="6243" spans="8:9" x14ac:dyDescent="0.2">
      <c r="H6243" s="6"/>
      <c r="I6243" s="6"/>
    </row>
    <row r="6244" spans="8:9" x14ac:dyDescent="0.2">
      <c r="H6244" s="6"/>
      <c r="I6244" s="6"/>
    </row>
    <row r="6245" spans="8:9" x14ac:dyDescent="0.2">
      <c r="H6245" s="6"/>
      <c r="I6245" s="6"/>
    </row>
    <row r="6246" spans="8:9" x14ac:dyDescent="0.2">
      <c r="H6246" s="6"/>
      <c r="I6246" s="6"/>
    </row>
    <row r="6247" spans="8:9" x14ac:dyDescent="0.2">
      <c r="H6247" s="6"/>
      <c r="I6247" s="6"/>
    </row>
    <row r="6248" spans="8:9" x14ac:dyDescent="0.2">
      <c r="H6248" s="6"/>
      <c r="I6248" s="6"/>
    </row>
    <row r="6249" spans="8:9" x14ac:dyDescent="0.2">
      <c r="H6249" s="6"/>
      <c r="I6249" s="6"/>
    </row>
    <row r="6250" spans="8:9" x14ac:dyDescent="0.2">
      <c r="H6250" s="6"/>
      <c r="I6250" s="6"/>
    </row>
    <row r="6251" spans="8:9" x14ac:dyDescent="0.2">
      <c r="H6251" s="6"/>
      <c r="I6251" s="6"/>
    </row>
    <row r="6252" spans="8:9" x14ac:dyDescent="0.2">
      <c r="H6252" s="6"/>
      <c r="I6252" s="6"/>
    </row>
    <row r="6253" spans="8:9" x14ac:dyDescent="0.2">
      <c r="H6253" s="6"/>
      <c r="I6253" s="6"/>
    </row>
    <row r="6254" spans="8:9" x14ac:dyDescent="0.2">
      <c r="H6254" s="6"/>
      <c r="I6254" s="6"/>
    </row>
    <row r="6255" spans="8:9" x14ac:dyDescent="0.2">
      <c r="H6255" s="6"/>
      <c r="I6255" s="6"/>
    </row>
    <row r="6256" spans="8:9" x14ac:dyDescent="0.2">
      <c r="H6256" s="6"/>
      <c r="I6256" s="6"/>
    </row>
    <row r="6257" spans="8:9" x14ac:dyDescent="0.2">
      <c r="H6257" s="6"/>
      <c r="I6257" s="6"/>
    </row>
    <row r="6258" spans="8:9" x14ac:dyDescent="0.2">
      <c r="H6258" s="6"/>
      <c r="I6258" s="6"/>
    </row>
    <row r="6259" spans="8:9" x14ac:dyDescent="0.2">
      <c r="H6259" s="6"/>
      <c r="I6259" s="6"/>
    </row>
    <row r="6260" spans="8:9" x14ac:dyDescent="0.2">
      <c r="H6260" s="6"/>
      <c r="I6260" s="6"/>
    </row>
    <row r="6261" spans="8:9" x14ac:dyDescent="0.2">
      <c r="H6261" s="6"/>
      <c r="I6261" s="6"/>
    </row>
    <row r="6262" spans="8:9" x14ac:dyDescent="0.2">
      <c r="H6262" s="6"/>
      <c r="I6262" s="6"/>
    </row>
    <row r="6263" spans="8:9" x14ac:dyDescent="0.2">
      <c r="H6263" s="6"/>
      <c r="I6263" s="6"/>
    </row>
    <row r="6264" spans="8:9" x14ac:dyDescent="0.2">
      <c r="H6264" s="6"/>
      <c r="I6264" s="6"/>
    </row>
    <row r="6265" spans="8:9" x14ac:dyDescent="0.2">
      <c r="H6265" s="6"/>
      <c r="I6265" s="6"/>
    </row>
    <row r="6266" spans="8:9" x14ac:dyDescent="0.2">
      <c r="H6266" s="6"/>
      <c r="I6266" s="6"/>
    </row>
    <row r="6267" spans="8:9" x14ac:dyDescent="0.2">
      <c r="H6267" s="6"/>
      <c r="I6267" s="6"/>
    </row>
    <row r="6268" spans="8:9" x14ac:dyDescent="0.2">
      <c r="H6268" s="6"/>
      <c r="I6268" s="6"/>
    </row>
    <row r="6269" spans="8:9" x14ac:dyDescent="0.2">
      <c r="H6269" s="6"/>
      <c r="I6269" s="6"/>
    </row>
    <row r="6270" spans="8:9" x14ac:dyDescent="0.2">
      <c r="H6270" s="6"/>
      <c r="I6270" s="6"/>
    </row>
    <row r="6271" spans="8:9" x14ac:dyDescent="0.2">
      <c r="H6271" s="6"/>
      <c r="I6271" s="6"/>
    </row>
    <row r="6272" spans="8:9" x14ac:dyDescent="0.2">
      <c r="H6272" s="6"/>
      <c r="I6272" s="6"/>
    </row>
    <row r="6273" spans="8:9" x14ac:dyDescent="0.2">
      <c r="H6273" s="6"/>
      <c r="I6273" s="6"/>
    </row>
    <row r="6274" spans="8:9" x14ac:dyDescent="0.2">
      <c r="H6274" s="6"/>
      <c r="I6274" s="6"/>
    </row>
    <row r="6275" spans="8:9" x14ac:dyDescent="0.2">
      <c r="H6275" s="6"/>
      <c r="I6275" s="6"/>
    </row>
    <row r="6276" spans="8:9" x14ac:dyDescent="0.2">
      <c r="H6276" s="6"/>
      <c r="I6276" s="6"/>
    </row>
    <row r="6277" spans="8:9" x14ac:dyDescent="0.2">
      <c r="H6277" s="6"/>
      <c r="I6277" s="6"/>
    </row>
    <row r="6278" spans="8:9" x14ac:dyDescent="0.2">
      <c r="H6278" s="6"/>
      <c r="I6278" s="6"/>
    </row>
    <row r="6279" spans="8:9" x14ac:dyDescent="0.2">
      <c r="H6279" s="6"/>
      <c r="I6279" s="6"/>
    </row>
    <row r="6280" spans="8:9" x14ac:dyDescent="0.2">
      <c r="H6280" s="6"/>
      <c r="I6280" s="6"/>
    </row>
    <row r="6281" spans="8:9" x14ac:dyDescent="0.2">
      <c r="H6281" s="6"/>
      <c r="I6281" s="6"/>
    </row>
    <row r="6282" spans="8:9" x14ac:dyDescent="0.2">
      <c r="H6282" s="6"/>
      <c r="I6282" s="6"/>
    </row>
    <row r="6283" spans="8:9" x14ac:dyDescent="0.2">
      <c r="H6283" s="6"/>
      <c r="I6283" s="6"/>
    </row>
    <row r="6284" spans="8:9" x14ac:dyDescent="0.2">
      <c r="H6284" s="6"/>
      <c r="I6284" s="6"/>
    </row>
    <row r="6285" spans="8:9" x14ac:dyDescent="0.2">
      <c r="H6285" s="6"/>
      <c r="I6285" s="6"/>
    </row>
    <row r="6286" spans="8:9" x14ac:dyDescent="0.2">
      <c r="H6286" s="6"/>
      <c r="I6286" s="6"/>
    </row>
    <row r="6287" spans="8:9" x14ac:dyDescent="0.2">
      <c r="H6287" s="6"/>
      <c r="I6287" s="6"/>
    </row>
    <row r="6288" spans="8:9" x14ac:dyDescent="0.2">
      <c r="H6288" s="6"/>
      <c r="I6288" s="6"/>
    </row>
    <row r="6289" spans="8:9" x14ac:dyDescent="0.2">
      <c r="H6289" s="6"/>
      <c r="I6289" s="6"/>
    </row>
    <row r="6290" spans="8:9" x14ac:dyDescent="0.2">
      <c r="H6290" s="6"/>
      <c r="I6290" s="6"/>
    </row>
    <row r="6291" spans="8:9" x14ac:dyDescent="0.2">
      <c r="H6291" s="6"/>
      <c r="I6291" s="6"/>
    </row>
    <row r="6292" spans="8:9" x14ac:dyDescent="0.2">
      <c r="H6292" s="6"/>
      <c r="I6292" s="6"/>
    </row>
    <row r="6293" spans="8:9" x14ac:dyDescent="0.2">
      <c r="H6293" s="6"/>
      <c r="I6293" s="6"/>
    </row>
    <row r="6294" spans="8:9" x14ac:dyDescent="0.2">
      <c r="H6294" s="6"/>
      <c r="I6294" s="6"/>
    </row>
    <row r="6295" spans="8:9" x14ac:dyDescent="0.2">
      <c r="H6295" s="6"/>
      <c r="I6295" s="6"/>
    </row>
    <row r="6296" spans="8:9" x14ac:dyDescent="0.2">
      <c r="H6296" s="6"/>
      <c r="I6296" s="6"/>
    </row>
    <row r="6297" spans="8:9" x14ac:dyDescent="0.2">
      <c r="H6297" s="6"/>
      <c r="I6297" s="6"/>
    </row>
    <row r="6298" spans="8:9" x14ac:dyDescent="0.2">
      <c r="H6298" s="6"/>
      <c r="I6298" s="6"/>
    </row>
    <row r="6299" spans="8:9" x14ac:dyDescent="0.2">
      <c r="H6299" s="6"/>
      <c r="I6299" s="6"/>
    </row>
    <row r="6300" spans="8:9" x14ac:dyDescent="0.2">
      <c r="H6300" s="6"/>
      <c r="I6300" s="6"/>
    </row>
    <row r="6301" spans="8:9" x14ac:dyDescent="0.2">
      <c r="H6301" s="6"/>
      <c r="I6301" s="6"/>
    </row>
    <row r="6302" spans="8:9" x14ac:dyDescent="0.2">
      <c r="H6302" s="6"/>
      <c r="I6302" s="6"/>
    </row>
    <row r="6303" spans="8:9" x14ac:dyDescent="0.2">
      <c r="H6303" s="6"/>
      <c r="I6303" s="6"/>
    </row>
    <row r="6304" spans="8:9" x14ac:dyDescent="0.2">
      <c r="H6304" s="6"/>
      <c r="I6304" s="6"/>
    </row>
    <row r="6305" spans="8:9" x14ac:dyDescent="0.2">
      <c r="H6305" s="6"/>
      <c r="I6305" s="6"/>
    </row>
    <row r="6306" spans="8:9" x14ac:dyDescent="0.2">
      <c r="H6306" s="6"/>
      <c r="I6306" s="6"/>
    </row>
    <row r="6307" spans="8:9" x14ac:dyDescent="0.2">
      <c r="H6307" s="6"/>
      <c r="I6307" s="6"/>
    </row>
    <row r="6308" spans="8:9" x14ac:dyDescent="0.2">
      <c r="H6308" s="6"/>
      <c r="I6308" s="6"/>
    </row>
    <row r="6309" spans="8:9" x14ac:dyDescent="0.2">
      <c r="H6309" s="6"/>
      <c r="I6309" s="6"/>
    </row>
    <row r="6310" spans="8:9" x14ac:dyDescent="0.2">
      <c r="H6310" s="6"/>
      <c r="I6310" s="6"/>
    </row>
    <row r="6311" spans="8:9" x14ac:dyDescent="0.2">
      <c r="H6311" s="6"/>
      <c r="I6311" s="6"/>
    </row>
    <row r="6312" spans="8:9" x14ac:dyDescent="0.2">
      <c r="H6312" s="6"/>
      <c r="I6312" s="6"/>
    </row>
    <row r="6313" spans="8:9" x14ac:dyDescent="0.2">
      <c r="H6313" s="6"/>
      <c r="I6313" s="6"/>
    </row>
    <row r="6314" spans="8:9" x14ac:dyDescent="0.2">
      <c r="H6314" s="6"/>
      <c r="I6314" s="6"/>
    </row>
    <row r="6315" spans="8:9" x14ac:dyDescent="0.2">
      <c r="H6315" s="6"/>
      <c r="I6315" s="6"/>
    </row>
    <row r="6316" spans="8:9" x14ac:dyDescent="0.2">
      <c r="H6316" s="6"/>
      <c r="I6316" s="6"/>
    </row>
    <row r="6317" spans="8:9" x14ac:dyDescent="0.2">
      <c r="H6317" s="6"/>
      <c r="I6317" s="6"/>
    </row>
    <row r="6318" spans="8:9" x14ac:dyDescent="0.2">
      <c r="H6318" s="6"/>
      <c r="I6318" s="6"/>
    </row>
    <row r="6319" spans="8:9" x14ac:dyDescent="0.2">
      <c r="H6319" s="6"/>
      <c r="I6319" s="6"/>
    </row>
    <row r="6320" spans="8:9" x14ac:dyDescent="0.2">
      <c r="H6320" s="6"/>
      <c r="I6320" s="6"/>
    </row>
    <row r="6321" spans="8:9" x14ac:dyDescent="0.2">
      <c r="H6321" s="6"/>
      <c r="I6321" s="6"/>
    </row>
    <row r="6322" spans="8:9" x14ac:dyDescent="0.2">
      <c r="H6322" s="6"/>
      <c r="I6322" s="6"/>
    </row>
    <row r="6323" spans="8:9" x14ac:dyDescent="0.2">
      <c r="H6323" s="6"/>
      <c r="I6323" s="6"/>
    </row>
    <row r="6324" spans="8:9" x14ac:dyDescent="0.2">
      <c r="H6324" s="6"/>
      <c r="I6324" s="6"/>
    </row>
    <row r="6325" spans="8:9" x14ac:dyDescent="0.2">
      <c r="H6325" s="6"/>
      <c r="I6325" s="6"/>
    </row>
    <row r="6326" spans="8:9" x14ac:dyDescent="0.2">
      <c r="H6326" s="6"/>
      <c r="I6326" s="6"/>
    </row>
    <row r="6327" spans="8:9" x14ac:dyDescent="0.2">
      <c r="H6327" s="6"/>
      <c r="I6327" s="6"/>
    </row>
    <row r="6328" spans="8:9" x14ac:dyDescent="0.2">
      <c r="H6328" s="6"/>
      <c r="I6328" s="6"/>
    </row>
    <row r="6329" spans="8:9" x14ac:dyDescent="0.2">
      <c r="H6329" s="6"/>
      <c r="I6329" s="6"/>
    </row>
    <row r="6330" spans="8:9" x14ac:dyDescent="0.2">
      <c r="H6330" s="6"/>
      <c r="I6330" s="6"/>
    </row>
    <row r="6331" spans="8:9" x14ac:dyDescent="0.2">
      <c r="H6331" s="6"/>
      <c r="I6331" s="6"/>
    </row>
    <row r="6332" spans="8:9" x14ac:dyDescent="0.2">
      <c r="H6332" s="6"/>
      <c r="I6332" s="6"/>
    </row>
    <row r="6333" spans="8:9" x14ac:dyDescent="0.2">
      <c r="H6333" s="6"/>
      <c r="I6333" s="6"/>
    </row>
    <row r="6334" spans="8:9" x14ac:dyDescent="0.2">
      <c r="H6334" s="6"/>
      <c r="I6334" s="6"/>
    </row>
    <row r="6335" spans="8:9" x14ac:dyDescent="0.2">
      <c r="H6335" s="6"/>
      <c r="I6335" s="6"/>
    </row>
    <row r="6336" spans="8:9" x14ac:dyDescent="0.2">
      <c r="H6336" s="6"/>
      <c r="I6336" s="6"/>
    </row>
    <row r="6337" spans="8:9" x14ac:dyDescent="0.2">
      <c r="H6337" s="6"/>
      <c r="I6337" s="6"/>
    </row>
    <row r="6338" spans="8:9" x14ac:dyDescent="0.2">
      <c r="H6338" s="6"/>
      <c r="I6338" s="6"/>
    </row>
    <row r="6339" spans="8:9" x14ac:dyDescent="0.2">
      <c r="H6339" s="6"/>
      <c r="I6339" s="6"/>
    </row>
    <row r="6340" spans="8:9" x14ac:dyDescent="0.2">
      <c r="H6340" s="6"/>
      <c r="I6340" s="6"/>
    </row>
    <row r="6341" spans="8:9" x14ac:dyDescent="0.2">
      <c r="H6341" s="6"/>
      <c r="I6341" s="6"/>
    </row>
    <row r="6342" spans="8:9" x14ac:dyDescent="0.2">
      <c r="H6342" s="6"/>
      <c r="I6342" s="6"/>
    </row>
    <row r="6343" spans="8:9" x14ac:dyDescent="0.2">
      <c r="H6343" s="6"/>
      <c r="I6343" s="6"/>
    </row>
    <row r="6344" spans="8:9" x14ac:dyDescent="0.2">
      <c r="H6344" s="6"/>
      <c r="I6344" s="6"/>
    </row>
    <row r="6345" spans="8:9" x14ac:dyDescent="0.2">
      <c r="H6345" s="6"/>
      <c r="I6345" s="6"/>
    </row>
    <row r="6346" spans="8:9" x14ac:dyDescent="0.2">
      <c r="H6346" s="6"/>
      <c r="I6346" s="6"/>
    </row>
    <row r="6347" spans="8:9" x14ac:dyDescent="0.2">
      <c r="H6347" s="6"/>
      <c r="I6347" s="6"/>
    </row>
    <row r="6348" spans="8:9" x14ac:dyDescent="0.2">
      <c r="H6348" s="6"/>
      <c r="I6348" s="6"/>
    </row>
    <row r="6349" spans="8:9" x14ac:dyDescent="0.2">
      <c r="H6349" s="6"/>
      <c r="I6349" s="6"/>
    </row>
    <row r="6350" spans="8:9" x14ac:dyDescent="0.2">
      <c r="H6350" s="6"/>
      <c r="I6350" s="6"/>
    </row>
    <row r="6351" spans="8:9" x14ac:dyDescent="0.2">
      <c r="H6351" s="6"/>
      <c r="I6351" s="6"/>
    </row>
    <row r="6352" spans="8:9" x14ac:dyDescent="0.2">
      <c r="H6352" s="6"/>
      <c r="I6352" s="6"/>
    </row>
    <row r="6353" spans="8:9" x14ac:dyDescent="0.2">
      <c r="H6353" s="6"/>
      <c r="I6353" s="6"/>
    </row>
    <row r="6354" spans="8:9" x14ac:dyDescent="0.2">
      <c r="H6354" s="6"/>
      <c r="I6354" s="6"/>
    </row>
    <row r="6355" spans="8:9" x14ac:dyDescent="0.2">
      <c r="H6355" s="6"/>
      <c r="I6355" s="6"/>
    </row>
    <row r="6356" spans="8:9" x14ac:dyDescent="0.2">
      <c r="H6356" s="6"/>
      <c r="I6356" s="6"/>
    </row>
    <row r="6357" spans="8:9" x14ac:dyDescent="0.2">
      <c r="H6357" s="6"/>
      <c r="I6357" s="6"/>
    </row>
    <row r="6358" spans="8:9" x14ac:dyDescent="0.2">
      <c r="H6358" s="6"/>
      <c r="I6358" s="6"/>
    </row>
    <row r="6359" spans="8:9" x14ac:dyDescent="0.2">
      <c r="H6359" s="6"/>
      <c r="I6359" s="6"/>
    </row>
    <row r="6360" spans="8:9" x14ac:dyDescent="0.2">
      <c r="H6360" s="6"/>
      <c r="I6360" s="6"/>
    </row>
    <row r="6361" spans="8:9" x14ac:dyDescent="0.2">
      <c r="H6361" s="6"/>
      <c r="I6361" s="6"/>
    </row>
    <row r="6362" spans="8:9" x14ac:dyDescent="0.2">
      <c r="H6362" s="6"/>
      <c r="I6362" s="6"/>
    </row>
    <row r="6363" spans="8:9" x14ac:dyDescent="0.2">
      <c r="H6363" s="6"/>
      <c r="I6363" s="6"/>
    </row>
    <row r="6364" spans="8:9" x14ac:dyDescent="0.2">
      <c r="H6364" s="6"/>
      <c r="I6364" s="6"/>
    </row>
    <row r="6365" spans="8:9" x14ac:dyDescent="0.2">
      <c r="H6365" s="6"/>
      <c r="I6365" s="6"/>
    </row>
    <row r="6366" spans="8:9" x14ac:dyDescent="0.2">
      <c r="H6366" s="6"/>
      <c r="I6366" s="6"/>
    </row>
    <row r="6367" spans="8:9" x14ac:dyDescent="0.2">
      <c r="H6367" s="6"/>
      <c r="I6367" s="6"/>
    </row>
    <row r="6368" spans="8:9" x14ac:dyDescent="0.2">
      <c r="H6368" s="6"/>
      <c r="I6368" s="6"/>
    </row>
    <row r="6369" spans="8:9" x14ac:dyDescent="0.2">
      <c r="H6369" s="6"/>
      <c r="I6369" s="6"/>
    </row>
    <row r="6370" spans="8:9" x14ac:dyDescent="0.2">
      <c r="H6370" s="6"/>
      <c r="I6370" s="6"/>
    </row>
    <row r="6371" spans="8:9" x14ac:dyDescent="0.2">
      <c r="H6371" s="6"/>
      <c r="I6371" s="6"/>
    </row>
    <row r="6372" spans="8:9" x14ac:dyDescent="0.2">
      <c r="H6372" s="6"/>
      <c r="I6372" s="6"/>
    </row>
    <row r="6373" spans="8:9" x14ac:dyDescent="0.2">
      <c r="H6373" s="6"/>
      <c r="I6373" s="6"/>
    </row>
    <row r="6374" spans="8:9" x14ac:dyDescent="0.2">
      <c r="H6374" s="6"/>
      <c r="I6374" s="6"/>
    </row>
    <row r="6375" spans="8:9" x14ac:dyDescent="0.2">
      <c r="H6375" s="6"/>
      <c r="I6375" s="6"/>
    </row>
    <row r="6376" spans="8:9" x14ac:dyDescent="0.2">
      <c r="H6376" s="6"/>
      <c r="I6376" s="6"/>
    </row>
    <row r="6377" spans="8:9" x14ac:dyDescent="0.2">
      <c r="H6377" s="6"/>
      <c r="I6377" s="6"/>
    </row>
    <row r="6378" spans="8:9" x14ac:dyDescent="0.2">
      <c r="H6378" s="6"/>
      <c r="I6378" s="6"/>
    </row>
    <row r="6379" spans="8:9" x14ac:dyDescent="0.2">
      <c r="H6379" s="6"/>
      <c r="I6379" s="6"/>
    </row>
    <row r="6380" spans="8:9" x14ac:dyDescent="0.2">
      <c r="H6380" s="6"/>
      <c r="I6380" s="6"/>
    </row>
    <row r="6381" spans="8:9" x14ac:dyDescent="0.2">
      <c r="H6381" s="6"/>
      <c r="I6381" s="6"/>
    </row>
    <row r="6382" spans="8:9" x14ac:dyDescent="0.2">
      <c r="H6382" s="6"/>
      <c r="I6382" s="6"/>
    </row>
    <row r="6383" spans="8:9" x14ac:dyDescent="0.2">
      <c r="H6383" s="6"/>
      <c r="I6383" s="6"/>
    </row>
    <row r="6384" spans="8:9" x14ac:dyDescent="0.2">
      <c r="H6384" s="6"/>
      <c r="I6384" s="6"/>
    </row>
    <row r="6385" spans="8:9" x14ac:dyDescent="0.2">
      <c r="H6385" s="6"/>
      <c r="I6385" s="6"/>
    </row>
    <row r="6386" spans="8:9" x14ac:dyDescent="0.2">
      <c r="H6386" s="6"/>
      <c r="I6386" s="6"/>
    </row>
    <row r="6387" spans="8:9" x14ac:dyDescent="0.2">
      <c r="H6387" s="6"/>
      <c r="I6387" s="6"/>
    </row>
    <row r="6388" spans="8:9" x14ac:dyDescent="0.2">
      <c r="H6388" s="6"/>
      <c r="I6388" s="6"/>
    </row>
    <row r="6389" spans="8:9" x14ac:dyDescent="0.2">
      <c r="H6389" s="6"/>
      <c r="I6389" s="6"/>
    </row>
    <row r="6390" spans="8:9" x14ac:dyDescent="0.2">
      <c r="H6390" s="6"/>
      <c r="I6390" s="6"/>
    </row>
    <row r="6391" spans="8:9" x14ac:dyDescent="0.2">
      <c r="H6391" s="6"/>
      <c r="I6391" s="6"/>
    </row>
    <row r="6392" spans="8:9" x14ac:dyDescent="0.2">
      <c r="H6392" s="6"/>
      <c r="I6392" s="6"/>
    </row>
    <row r="6393" spans="8:9" x14ac:dyDescent="0.2">
      <c r="H6393" s="6"/>
      <c r="I6393" s="6"/>
    </row>
    <row r="6394" spans="8:9" x14ac:dyDescent="0.2">
      <c r="H6394" s="6"/>
      <c r="I6394" s="6"/>
    </row>
    <row r="6395" spans="8:9" x14ac:dyDescent="0.2">
      <c r="H6395" s="6"/>
      <c r="I6395" s="6"/>
    </row>
    <row r="6396" spans="8:9" x14ac:dyDescent="0.2">
      <c r="H6396" s="6"/>
      <c r="I6396" s="6"/>
    </row>
    <row r="6397" spans="8:9" x14ac:dyDescent="0.2">
      <c r="H6397" s="6"/>
      <c r="I6397" s="6"/>
    </row>
    <row r="6398" spans="8:9" x14ac:dyDescent="0.2">
      <c r="H6398" s="6"/>
      <c r="I6398" s="6"/>
    </row>
    <row r="6399" spans="8:9" x14ac:dyDescent="0.2">
      <c r="H6399" s="6"/>
      <c r="I6399" s="6"/>
    </row>
    <row r="6400" spans="8:9" x14ac:dyDescent="0.2">
      <c r="H6400" s="6"/>
      <c r="I6400" s="6"/>
    </row>
    <row r="6401" spans="8:9" x14ac:dyDescent="0.2">
      <c r="H6401" s="6"/>
      <c r="I6401" s="6"/>
    </row>
    <row r="6402" spans="8:9" x14ac:dyDescent="0.2">
      <c r="H6402" s="6"/>
      <c r="I6402" s="6"/>
    </row>
    <row r="6403" spans="8:9" x14ac:dyDescent="0.2">
      <c r="H6403" s="6"/>
      <c r="I6403" s="6"/>
    </row>
    <row r="6404" spans="8:9" x14ac:dyDescent="0.2">
      <c r="H6404" s="6"/>
      <c r="I6404" s="6"/>
    </row>
    <row r="6405" spans="8:9" x14ac:dyDescent="0.2">
      <c r="H6405" s="6"/>
      <c r="I6405" s="6"/>
    </row>
    <row r="6406" spans="8:9" x14ac:dyDescent="0.2">
      <c r="H6406" s="6"/>
      <c r="I6406" s="6"/>
    </row>
    <row r="6407" spans="8:9" x14ac:dyDescent="0.2">
      <c r="H6407" s="6"/>
      <c r="I6407" s="6"/>
    </row>
    <row r="6408" spans="8:9" x14ac:dyDescent="0.2">
      <c r="H6408" s="6"/>
      <c r="I6408" s="6"/>
    </row>
    <row r="6409" spans="8:9" x14ac:dyDescent="0.2">
      <c r="H6409" s="6"/>
      <c r="I6409" s="6"/>
    </row>
    <row r="6410" spans="8:9" x14ac:dyDescent="0.2">
      <c r="H6410" s="6"/>
      <c r="I6410" s="6"/>
    </row>
    <row r="6411" spans="8:9" x14ac:dyDescent="0.2">
      <c r="H6411" s="6"/>
      <c r="I6411" s="6"/>
    </row>
    <row r="6412" spans="8:9" x14ac:dyDescent="0.2">
      <c r="H6412" s="6"/>
      <c r="I6412" s="6"/>
    </row>
    <row r="6413" spans="8:9" x14ac:dyDescent="0.2">
      <c r="H6413" s="6"/>
      <c r="I6413" s="6"/>
    </row>
    <row r="6414" spans="8:9" x14ac:dyDescent="0.2">
      <c r="H6414" s="6"/>
      <c r="I6414" s="6"/>
    </row>
    <row r="6415" spans="8:9" x14ac:dyDescent="0.2">
      <c r="H6415" s="6"/>
      <c r="I6415" s="6"/>
    </row>
    <row r="6416" spans="8:9" x14ac:dyDescent="0.2">
      <c r="H6416" s="6"/>
      <c r="I6416" s="6"/>
    </row>
    <row r="6417" spans="8:9" x14ac:dyDescent="0.2">
      <c r="H6417" s="6"/>
      <c r="I6417" s="6"/>
    </row>
    <row r="6418" spans="8:9" x14ac:dyDescent="0.2">
      <c r="H6418" s="6"/>
      <c r="I6418" s="6"/>
    </row>
    <row r="6419" spans="8:9" x14ac:dyDescent="0.2">
      <c r="H6419" s="6"/>
      <c r="I6419" s="6"/>
    </row>
    <row r="6420" spans="8:9" x14ac:dyDescent="0.2">
      <c r="H6420" s="6"/>
      <c r="I6420" s="6"/>
    </row>
    <row r="6421" spans="8:9" x14ac:dyDescent="0.2">
      <c r="H6421" s="6"/>
      <c r="I6421" s="6"/>
    </row>
    <row r="6422" spans="8:9" x14ac:dyDescent="0.2">
      <c r="H6422" s="6"/>
      <c r="I6422" s="6"/>
    </row>
    <row r="6423" spans="8:9" x14ac:dyDescent="0.2">
      <c r="H6423" s="6"/>
      <c r="I6423" s="6"/>
    </row>
    <row r="6424" spans="8:9" x14ac:dyDescent="0.2">
      <c r="H6424" s="6"/>
      <c r="I6424" s="6"/>
    </row>
    <row r="6425" spans="8:9" x14ac:dyDescent="0.2">
      <c r="H6425" s="6"/>
      <c r="I6425" s="6"/>
    </row>
    <row r="6426" spans="8:9" x14ac:dyDescent="0.2">
      <c r="H6426" s="6"/>
      <c r="I6426" s="6"/>
    </row>
    <row r="6427" spans="8:9" x14ac:dyDescent="0.2">
      <c r="H6427" s="6"/>
      <c r="I6427" s="6"/>
    </row>
    <row r="6428" spans="8:9" x14ac:dyDescent="0.2">
      <c r="H6428" s="6"/>
      <c r="I6428" s="6"/>
    </row>
    <row r="6429" spans="8:9" x14ac:dyDescent="0.2">
      <c r="H6429" s="6"/>
      <c r="I6429" s="6"/>
    </row>
    <row r="6430" spans="8:9" x14ac:dyDescent="0.2">
      <c r="H6430" s="6"/>
      <c r="I6430" s="6"/>
    </row>
    <row r="6431" spans="8:9" x14ac:dyDescent="0.2">
      <c r="H6431" s="6"/>
      <c r="I6431" s="6"/>
    </row>
    <row r="6432" spans="8:9" x14ac:dyDescent="0.2">
      <c r="H6432" s="6"/>
      <c r="I6432" s="6"/>
    </row>
    <row r="6433" spans="8:9" x14ac:dyDescent="0.2">
      <c r="H6433" s="6"/>
      <c r="I6433" s="6"/>
    </row>
    <row r="6434" spans="8:9" x14ac:dyDescent="0.2">
      <c r="H6434" s="6"/>
      <c r="I6434" s="6"/>
    </row>
    <row r="6435" spans="8:9" x14ac:dyDescent="0.2">
      <c r="H6435" s="6"/>
      <c r="I6435" s="6"/>
    </row>
    <row r="6436" spans="8:9" x14ac:dyDescent="0.2">
      <c r="H6436" s="6"/>
      <c r="I6436" s="6"/>
    </row>
    <row r="6437" spans="8:9" x14ac:dyDescent="0.2">
      <c r="H6437" s="6"/>
      <c r="I6437" s="6"/>
    </row>
    <row r="6438" spans="8:9" x14ac:dyDescent="0.2">
      <c r="H6438" s="6"/>
      <c r="I6438" s="6"/>
    </row>
    <row r="6439" spans="8:9" x14ac:dyDescent="0.2">
      <c r="H6439" s="6"/>
      <c r="I6439" s="6"/>
    </row>
    <row r="6440" spans="8:9" x14ac:dyDescent="0.2">
      <c r="H6440" s="6"/>
      <c r="I6440" s="6"/>
    </row>
    <row r="6441" spans="8:9" x14ac:dyDescent="0.2">
      <c r="H6441" s="6"/>
      <c r="I6441" s="6"/>
    </row>
    <row r="6442" spans="8:9" x14ac:dyDescent="0.2">
      <c r="H6442" s="6"/>
      <c r="I6442" s="6"/>
    </row>
    <row r="6443" spans="8:9" x14ac:dyDescent="0.2">
      <c r="H6443" s="6"/>
      <c r="I6443" s="6"/>
    </row>
    <row r="6444" spans="8:9" x14ac:dyDescent="0.2">
      <c r="H6444" s="6"/>
      <c r="I6444" s="6"/>
    </row>
    <row r="6445" spans="8:9" x14ac:dyDescent="0.2">
      <c r="H6445" s="6"/>
      <c r="I6445" s="6"/>
    </row>
    <row r="6446" spans="8:9" x14ac:dyDescent="0.2">
      <c r="H6446" s="6"/>
      <c r="I6446" s="6"/>
    </row>
    <row r="6447" spans="8:9" x14ac:dyDescent="0.2">
      <c r="H6447" s="6"/>
      <c r="I6447" s="6"/>
    </row>
    <row r="6448" spans="8:9" x14ac:dyDescent="0.2">
      <c r="H6448" s="6"/>
      <c r="I6448" s="6"/>
    </row>
    <row r="6449" spans="8:9" x14ac:dyDescent="0.2">
      <c r="H6449" s="6"/>
      <c r="I6449" s="6"/>
    </row>
    <row r="6450" spans="8:9" x14ac:dyDescent="0.2">
      <c r="H6450" s="6"/>
      <c r="I6450" s="6"/>
    </row>
    <row r="6451" spans="8:9" x14ac:dyDescent="0.2">
      <c r="H6451" s="6"/>
      <c r="I6451" s="6"/>
    </row>
    <row r="6452" spans="8:9" x14ac:dyDescent="0.2">
      <c r="H6452" s="6"/>
      <c r="I6452" s="6"/>
    </row>
    <row r="6453" spans="8:9" x14ac:dyDescent="0.2">
      <c r="H6453" s="6"/>
      <c r="I6453" s="6"/>
    </row>
    <row r="6454" spans="8:9" x14ac:dyDescent="0.2">
      <c r="H6454" s="6"/>
      <c r="I6454" s="6"/>
    </row>
    <row r="6455" spans="8:9" x14ac:dyDescent="0.2">
      <c r="H6455" s="6"/>
      <c r="I6455" s="6"/>
    </row>
    <row r="6456" spans="8:9" x14ac:dyDescent="0.2">
      <c r="H6456" s="6"/>
      <c r="I6456" s="6"/>
    </row>
    <row r="6457" spans="8:9" x14ac:dyDescent="0.2">
      <c r="H6457" s="6"/>
      <c r="I6457" s="6"/>
    </row>
    <row r="6458" spans="8:9" x14ac:dyDescent="0.2">
      <c r="H6458" s="6"/>
      <c r="I6458" s="6"/>
    </row>
    <row r="6459" spans="8:9" x14ac:dyDescent="0.2">
      <c r="H6459" s="6"/>
      <c r="I6459" s="6"/>
    </row>
    <row r="6460" spans="8:9" x14ac:dyDescent="0.2">
      <c r="H6460" s="6"/>
      <c r="I6460" s="6"/>
    </row>
    <row r="6461" spans="8:9" x14ac:dyDescent="0.2">
      <c r="H6461" s="6"/>
      <c r="I6461" s="6"/>
    </row>
    <row r="6462" spans="8:9" x14ac:dyDescent="0.2">
      <c r="H6462" s="6"/>
      <c r="I6462" s="6"/>
    </row>
    <row r="6463" spans="8:9" x14ac:dyDescent="0.2">
      <c r="H6463" s="6"/>
      <c r="I6463" s="6"/>
    </row>
    <row r="6464" spans="8:9" x14ac:dyDescent="0.2">
      <c r="H6464" s="6"/>
      <c r="I6464" s="6"/>
    </row>
    <row r="6465" spans="8:9" x14ac:dyDescent="0.2">
      <c r="H6465" s="6"/>
      <c r="I6465" s="6"/>
    </row>
    <row r="6466" spans="8:9" x14ac:dyDescent="0.2">
      <c r="H6466" s="6"/>
      <c r="I6466" s="6"/>
    </row>
    <row r="6467" spans="8:9" x14ac:dyDescent="0.2">
      <c r="H6467" s="6"/>
      <c r="I6467" s="6"/>
    </row>
    <row r="6468" spans="8:9" x14ac:dyDescent="0.2">
      <c r="H6468" s="6"/>
      <c r="I6468" s="6"/>
    </row>
    <row r="6469" spans="8:9" x14ac:dyDescent="0.2">
      <c r="H6469" s="6"/>
      <c r="I6469" s="6"/>
    </row>
    <row r="6470" spans="8:9" x14ac:dyDescent="0.2">
      <c r="H6470" s="6"/>
      <c r="I6470" s="6"/>
    </row>
    <row r="6471" spans="8:9" x14ac:dyDescent="0.2">
      <c r="H6471" s="6"/>
      <c r="I6471" s="6"/>
    </row>
    <row r="6472" spans="8:9" x14ac:dyDescent="0.2">
      <c r="H6472" s="6"/>
      <c r="I6472" s="6"/>
    </row>
    <row r="6473" spans="8:9" x14ac:dyDescent="0.2">
      <c r="H6473" s="6"/>
      <c r="I6473" s="6"/>
    </row>
    <row r="6474" spans="8:9" x14ac:dyDescent="0.2">
      <c r="H6474" s="6"/>
      <c r="I6474" s="6"/>
    </row>
    <row r="6475" spans="8:9" x14ac:dyDescent="0.2">
      <c r="H6475" s="6"/>
      <c r="I6475" s="6"/>
    </row>
    <row r="6476" spans="8:9" x14ac:dyDescent="0.2">
      <c r="H6476" s="6"/>
      <c r="I6476" s="6"/>
    </row>
    <row r="6477" spans="8:9" x14ac:dyDescent="0.2">
      <c r="H6477" s="6"/>
      <c r="I6477" s="6"/>
    </row>
    <row r="6478" spans="8:9" x14ac:dyDescent="0.2">
      <c r="H6478" s="6"/>
      <c r="I6478" s="6"/>
    </row>
    <row r="6479" spans="8:9" x14ac:dyDescent="0.2">
      <c r="H6479" s="6"/>
      <c r="I6479" s="6"/>
    </row>
    <row r="6480" spans="8:9" x14ac:dyDescent="0.2">
      <c r="H6480" s="6"/>
      <c r="I6480" s="6"/>
    </row>
    <row r="6481" spans="8:9" x14ac:dyDescent="0.2">
      <c r="H6481" s="6"/>
      <c r="I6481" s="6"/>
    </row>
    <row r="6482" spans="8:9" x14ac:dyDescent="0.2">
      <c r="H6482" s="6"/>
      <c r="I6482" s="6"/>
    </row>
    <row r="6483" spans="8:9" x14ac:dyDescent="0.2">
      <c r="H6483" s="6"/>
      <c r="I6483" s="6"/>
    </row>
    <row r="6484" spans="8:9" x14ac:dyDescent="0.2">
      <c r="H6484" s="6"/>
      <c r="I6484" s="6"/>
    </row>
    <row r="6485" spans="8:9" x14ac:dyDescent="0.2">
      <c r="H6485" s="6"/>
      <c r="I6485" s="6"/>
    </row>
    <row r="6486" spans="8:9" x14ac:dyDescent="0.2">
      <c r="H6486" s="6"/>
      <c r="I6486" s="6"/>
    </row>
    <row r="6487" spans="8:9" x14ac:dyDescent="0.2">
      <c r="H6487" s="6"/>
      <c r="I6487" s="6"/>
    </row>
    <row r="6488" spans="8:9" x14ac:dyDescent="0.2">
      <c r="H6488" s="6"/>
      <c r="I6488" s="6"/>
    </row>
    <row r="6489" spans="8:9" x14ac:dyDescent="0.2">
      <c r="H6489" s="6"/>
      <c r="I6489" s="6"/>
    </row>
    <row r="6490" spans="8:9" x14ac:dyDescent="0.2">
      <c r="H6490" s="6"/>
      <c r="I6490" s="6"/>
    </row>
    <row r="6491" spans="8:9" x14ac:dyDescent="0.2">
      <c r="H6491" s="6"/>
      <c r="I6491" s="6"/>
    </row>
    <row r="6492" spans="8:9" x14ac:dyDescent="0.2">
      <c r="H6492" s="6"/>
      <c r="I6492" s="6"/>
    </row>
    <row r="6493" spans="8:9" x14ac:dyDescent="0.2">
      <c r="H6493" s="6"/>
      <c r="I6493" s="6"/>
    </row>
    <row r="6494" spans="8:9" x14ac:dyDescent="0.2">
      <c r="H6494" s="6"/>
      <c r="I6494" s="6"/>
    </row>
    <row r="6495" spans="8:9" x14ac:dyDescent="0.2">
      <c r="H6495" s="6"/>
      <c r="I6495" s="6"/>
    </row>
    <row r="6496" spans="8:9" x14ac:dyDescent="0.2">
      <c r="H6496" s="6"/>
      <c r="I6496" s="6"/>
    </row>
    <row r="6497" spans="8:9" x14ac:dyDescent="0.2">
      <c r="H6497" s="6"/>
      <c r="I6497" s="6"/>
    </row>
    <row r="6498" spans="8:9" x14ac:dyDescent="0.2">
      <c r="H6498" s="6"/>
      <c r="I6498" s="6"/>
    </row>
    <row r="6499" spans="8:9" x14ac:dyDescent="0.2">
      <c r="H6499" s="6"/>
      <c r="I6499" s="6"/>
    </row>
    <row r="6500" spans="8:9" x14ac:dyDescent="0.2">
      <c r="H6500" s="6"/>
      <c r="I6500" s="6"/>
    </row>
    <row r="6501" spans="8:9" x14ac:dyDescent="0.2">
      <c r="H6501" s="6"/>
      <c r="I6501" s="6"/>
    </row>
    <row r="6502" spans="8:9" x14ac:dyDescent="0.2">
      <c r="H6502" s="6"/>
      <c r="I6502" s="6"/>
    </row>
    <row r="6503" spans="8:9" x14ac:dyDescent="0.2">
      <c r="H6503" s="6"/>
      <c r="I6503" s="6"/>
    </row>
    <row r="6504" spans="8:9" x14ac:dyDescent="0.2">
      <c r="H6504" s="6"/>
      <c r="I6504" s="6"/>
    </row>
    <row r="6505" spans="8:9" x14ac:dyDescent="0.2">
      <c r="H6505" s="6"/>
      <c r="I6505" s="6"/>
    </row>
    <row r="6506" spans="8:9" x14ac:dyDescent="0.2">
      <c r="H6506" s="6"/>
      <c r="I6506" s="6"/>
    </row>
    <row r="6507" spans="8:9" x14ac:dyDescent="0.2">
      <c r="H6507" s="6"/>
      <c r="I6507" s="6"/>
    </row>
    <row r="6508" spans="8:9" x14ac:dyDescent="0.2">
      <c r="H6508" s="6"/>
      <c r="I6508" s="6"/>
    </row>
    <row r="6509" spans="8:9" x14ac:dyDescent="0.2">
      <c r="H6509" s="6"/>
      <c r="I6509" s="6"/>
    </row>
    <row r="6510" spans="8:9" x14ac:dyDescent="0.2">
      <c r="H6510" s="6"/>
      <c r="I6510" s="6"/>
    </row>
    <row r="6511" spans="8:9" x14ac:dyDescent="0.2">
      <c r="H6511" s="6"/>
      <c r="I6511" s="6"/>
    </row>
    <row r="6512" spans="8:9" x14ac:dyDescent="0.2">
      <c r="H6512" s="6"/>
      <c r="I6512" s="6"/>
    </row>
    <row r="6513" spans="8:9" x14ac:dyDescent="0.2">
      <c r="H6513" s="6"/>
      <c r="I6513" s="6"/>
    </row>
    <row r="6514" spans="8:9" x14ac:dyDescent="0.2">
      <c r="H6514" s="6"/>
      <c r="I6514" s="6"/>
    </row>
    <row r="6515" spans="8:9" x14ac:dyDescent="0.2">
      <c r="H6515" s="6"/>
      <c r="I6515" s="6"/>
    </row>
    <row r="6516" spans="8:9" x14ac:dyDescent="0.2">
      <c r="H6516" s="6"/>
      <c r="I6516" s="6"/>
    </row>
    <row r="6517" spans="8:9" x14ac:dyDescent="0.2">
      <c r="H6517" s="6"/>
      <c r="I6517" s="6"/>
    </row>
    <row r="6518" spans="8:9" x14ac:dyDescent="0.2">
      <c r="H6518" s="6"/>
      <c r="I6518" s="6"/>
    </row>
    <row r="6519" spans="8:9" x14ac:dyDescent="0.2">
      <c r="H6519" s="6"/>
      <c r="I6519" s="6"/>
    </row>
    <row r="6520" spans="8:9" x14ac:dyDescent="0.2">
      <c r="H6520" s="6"/>
      <c r="I6520" s="6"/>
    </row>
    <row r="6521" spans="8:9" x14ac:dyDescent="0.2">
      <c r="H6521" s="6"/>
      <c r="I6521" s="6"/>
    </row>
    <row r="6522" spans="8:9" x14ac:dyDescent="0.2">
      <c r="H6522" s="6"/>
      <c r="I6522" s="6"/>
    </row>
    <row r="6523" spans="8:9" x14ac:dyDescent="0.2">
      <c r="H6523" s="6"/>
      <c r="I6523" s="6"/>
    </row>
    <row r="6524" spans="8:9" x14ac:dyDescent="0.2">
      <c r="H6524" s="6"/>
      <c r="I6524" s="6"/>
    </row>
    <row r="6525" spans="8:9" x14ac:dyDescent="0.2">
      <c r="H6525" s="6"/>
      <c r="I6525" s="6"/>
    </row>
    <row r="6526" spans="8:9" x14ac:dyDescent="0.2">
      <c r="H6526" s="6"/>
      <c r="I6526" s="6"/>
    </row>
    <row r="6527" spans="8:9" x14ac:dyDescent="0.2">
      <c r="H6527" s="6"/>
      <c r="I6527" s="6"/>
    </row>
    <row r="6528" spans="8:9" x14ac:dyDescent="0.2">
      <c r="H6528" s="6"/>
      <c r="I6528" s="6"/>
    </row>
    <row r="6529" spans="8:9" x14ac:dyDescent="0.2">
      <c r="H6529" s="6"/>
      <c r="I6529" s="6"/>
    </row>
    <row r="6530" spans="8:9" x14ac:dyDescent="0.2">
      <c r="H6530" s="6"/>
      <c r="I6530" s="6"/>
    </row>
    <row r="6531" spans="8:9" x14ac:dyDescent="0.2">
      <c r="H6531" s="6"/>
      <c r="I6531" s="6"/>
    </row>
    <row r="6532" spans="8:9" x14ac:dyDescent="0.2">
      <c r="H6532" s="6"/>
      <c r="I6532" s="6"/>
    </row>
    <row r="6533" spans="8:9" x14ac:dyDescent="0.2">
      <c r="H6533" s="6"/>
      <c r="I6533" s="6"/>
    </row>
    <row r="6534" spans="8:9" x14ac:dyDescent="0.2">
      <c r="H6534" s="6"/>
      <c r="I6534" s="6"/>
    </row>
    <row r="6535" spans="8:9" x14ac:dyDescent="0.2">
      <c r="H6535" s="6"/>
      <c r="I6535" s="6"/>
    </row>
    <row r="6536" spans="8:9" x14ac:dyDescent="0.2">
      <c r="H6536" s="6"/>
      <c r="I6536" s="6"/>
    </row>
    <row r="6537" spans="8:9" x14ac:dyDescent="0.2">
      <c r="H6537" s="6"/>
      <c r="I6537" s="6"/>
    </row>
    <row r="6538" spans="8:9" x14ac:dyDescent="0.2">
      <c r="H6538" s="6"/>
      <c r="I6538" s="6"/>
    </row>
    <row r="6539" spans="8:9" x14ac:dyDescent="0.2">
      <c r="H6539" s="6"/>
      <c r="I6539" s="6"/>
    </row>
    <row r="6540" spans="8:9" x14ac:dyDescent="0.2">
      <c r="H6540" s="6"/>
      <c r="I6540" s="6"/>
    </row>
    <row r="6541" spans="8:9" x14ac:dyDescent="0.2">
      <c r="H6541" s="6"/>
      <c r="I6541" s="6"/>
    </row>
    <row r="6542" spans="8:9" x14ac:dyDescent="0.2">
      <c r="H6542" s="6"/>
      <c r="I6542" s="6"/>
    </row>
    <row r="6543" spans="8:9" x14ac:dyDescent="0.2">
      <c r="H6543" s="6"/>
      <c r="I6543" s="6"/>
    </row>
    <row r="6544" spans="8:9" x14ac:dyDescent="0.2">
      <c r="H6544" s="6"/>
      <c r="I6544" s="6"/>
    </row>
    <row r="6545" spans="8:9" x14ac:dyDescent="0.2">
      <c r="H6545" s="6"/>
      <c r="I6545" s="6"/>
    </row>
    <row r="6546" spans="8:9" x14ac:dyDescent="0.2">
      <c r="H6546" s="6"/>
      <c r="I6546" s="6"/>
    </row>
    <row r="6547" spans="8:9" x14ac:dyDescent="0.2">
      <c r="H6547" s="6"/>
      <c r="I6547" s="6"/>
    </row>
    <row r="6548" spans="8:9" x14ac:dyDescent="0.2">
      <c r="H6548" s="6"/>
      <c r="I6548" s="6"/>
    </row>
    <row r="6549" spans="8:9" x14ac:dyDescent="0.2">
      <c r="H6549" s="6"/>
      <c r="I6549" s="6"/>
    </row>
    <row r="6550" spans="8:9" x14ac:dyDescent="0.2">
      <c r="H6550" s="6"/>
      <c r="I6550" s="6"/>
    </row>
    <row r="6551" spans="8:9" x14ac:dyDescent="0.2">
      <c r="H6551" s="6"/>
      <c r="I6551" s="6"/>
    </row>
    <row r="6552" spans="8:9" x14ac:dyDescent="0.2">
      <c r="H6552" s="6"/>
      <c r="I6552" s="6"/>
    </row>
    <row r="6553" spans="8:9" x14ac:dyDescent="0.2">
      <c r="H6553" s="6"/>
      <c r="I6553" s="6"/>
    </row>
    <row r="6554" spans="8:9" x14ac:dyDescent="0.2">
      <c r="H6554" s="6"/>
      <c r="I6554" s="6"/>
    </row>
    <row r="6555" spans="8:9" x14ac:dyDescent="0.2">
      <c r="H6555" s="6"/>
      <c r="I6555" s="6"/>
    </row>
    <row r="6556" spans="8:9" x14ac:dyDescent="0.2">
      <c r="H6556" s="6"/>
      <c r="I6556" s="6"/>
    </row>
    <row r="6557" spans="8:9" x14ac:dyDescent="0.2">
      <c r="H6557" s="6"/>
      <c r="I6557" s="6"/>
    </row>
    <row r="6558" spans="8:9" x14ac:dyDescent="0.2">
      <c r="H6558" s="6"/>
      <c r="I6558" s="6"/>
    </row>
    <row r="6559" spans="8:9" x14ac:dyDescent="0.2">
      <c r="H6559" s="6"/>
      <c r="I6559" s="6"/>
    </row>
    <row r="6560" spans="8:9" x14ac:dyDescent="0.2">
      <c r="H6560" s="6"/>
      <c r="I6560" s="6"/>
    </row>
    <row r="6561" spans="8:9" x14ac:dyDescent="0.2">
      <c r="H6561" s="6"/>
      <c r="I6561" s="6"/>
    </row>
    <row r="6562" spans="8:9" x14ac:dyDescent="0.2">
      <c r="H6562" s="6"/>
      <c r="I6562" s="6"/>
    </row>
    <row r="6563" spans="8:9" x14ac:dyDescent="0.2">
      <c r="H6563" s="6"/>
      <c r="I6563" s="6"/>
    </row>
    <row r="6564" spans="8:9" x14ac:dyDescent="0.2">
      <c r="H6564" s="6"/>
      <c r="I6564" s="6"/>
    </row>
    <row r="6565" spans="8:9" x14ac:dyDescent="0.2">
      <c r="H6565" s="6"/>
      <c r="I6565" s="6"/>
    </row>
    <row r="6566" spans="8:9" x14ac:dyDescent="0.2">
      <c r="H6566" s="6"/>
      <c r="I6566" s="6"/>
    </row>
    <row r="6567" spans="8:9" x14ac:dyDescent="0.2">
      <c r="H6567" s="6"/>
      <c r="I6567" s="6"/>
    </row>
    <row r="6568" spans="8:9" x14ac:dyDescent="0.2">
      <c r="H6568" s="6"/>
      <c r="I6568" s="6"/>
    </row>
    <row r="6569" spans="8:9" x14ac:dyDescent="0.2">
      <c r="H6569" s="6"/>
      <c r="I6569" s="6"/>
    </row>
    <row r="6570" spans="8:9" x14ac:dyDescent="0.2">
      <c r="H6570" s="6"/>
      <c r="I6570" s="6"/>
    </row>
    <row r="6571" spans="8:9" x14ac:dyDescent="0.2">
      <c r="H6571" s="6"/>
      <c r="I6571" s="6"/>
    </row>
    <row r="6572" spans="8:9" x14ac:dyDescent="0.2">
      <c r="H6572" s="6"/>
      <c r="I6572" s="6"/>
    </row>
    <row r="6573" spans="8:9" x14ac:dyDescent="0.2">
      <c r="H6573" s="6"/>
      <c r="I6573" s="6"/>
    </row>
    <row r="6574" spans="8:9" x14ac:dyDescent="0.2">
      <c r="H6574" s="6"/>
      <c r="I6574" s="6"/>
    </row>
    <row r="6575" spans="8:9" x14ac:dyDescent="0.2">
      <c r="H6575" s="6"/>
      <c r="I6575" s="6"/>
    </row>
    <row r="6576" spans="8:9" x14ac:dyDescent="0.2">
      <c r="H6576" s="6"/>
      <c r="I6576" s="6"/>
    </row>
    <row r="6577" spans="8:9" x14ac:dyDescent="0.2">
      <c r="H6577" s="6"/>
      <c r="I6577" s="6"/>
    </row>
    <row r="6578" spans="8:9" x14ac:dyDescent="0.2">
      <c r="H6578" s="6"/>
      <c r="I6578" s="6"/>
    </row>
    <row r="6579" spans="8:9" x14ac:dyDescent="0.2">
      <c r="H6579" s="6"/>
      <c r="I6579" s="6"/>
    </row>
    <row r="6580" spans="8:9" x14ac:dyDescent="0.2">
      <c r="H6580" s="6"/>
      <c r="I6580" s="6"/>
    </row>
    <row r="6581" spans="8:9" x14ac:dyDescent="0.2">
      <c r="H6581" s="6"/>
      <c r="I6581" s="6"/>
    </row>
    <row r="6582" spans="8:9" x14ac:dyDescent="0.2">
      <c r="H6582" s="6"/>
      <c r="I6582" s="6"/>
    </row>
    <row r="6583" spans="8:9" x14ac:dyDescent="0.2">
      <c r="H6583" s="6"/>
      <c r="I6583" s="6"/>
    </row>
    <row r="6584" spans="8:9" x14ac:dyDescent="0.2">
      <c r="H6584" s="6"/>
      <c r="I6584" s="6"/>
    </row>
    <row r="6585" spans="8:9" x14ac:dyDescent="0.2">
      <c r="H6585" s="6"/>
      <c r="I6585" s="6"/>
    </row>
    <row r="6586" spans="8:9" x14ac:dyDescent="0.2">
      <c r="H6586" s="6"/>
      <c r="I6586" s="6"/>
    </row>
    <row r="6587" spans="8:9" x14ac:dyDescent="0.2">
      <c r="H6587" s="6"/>
      <c r="I6587" s="6"/>
    </row>
    <row r="6588" spans="8:9" x14ac:dyDescent="0.2">
      <c r="H6588" s="6"/>
      <c r="I6588" s="6"/>
    </row>
    <row r="6589" spans="8:9" x14ac:dyDescent="0.2">
      <c r="H6589" s="6"/>
      <c r="I6589" s="6"/>
    </row>
    <row r="6590" spans="8:9" x14ac:dyDescent="0.2">
      <c r="H6590" s="6"/>
      <c r="I6590" s="6"/>
    </row>
    <row r="6591" spans="8:9" x14ac:dyDescent="0.2">
      <c r="H6591" s="6"/>
      <c r="I6591" s="6"/>
    </row>
    <row r="6592" spans="8:9" x14ac:dyDescent="0.2">
      <c r="H6592" s="6"/>
      <c r="I6592" s="6"/>
    </row>
    <row r="6593" spans="8:9" x14ac:dyDescent="0.2">
      <c r="H6593" s="6"/>
      <c r="I6593" s="6"/>
    </row>
    <row r="6594" spans="8:9" x14ac:dyDescent="0.2">
      <c r="H6594" s="6"/>
      <c r="I6594" s="6"/>
    </row>
    <row r="6595" spans="8:9" x14ac:dyDescent="0.2">
      <c r="H6595" s="6"/>
      <c r="I6595" s="6"/>
    </row>
    <row r="6596" spans="8:9" x14ac:dyDescent="0.2">
      <c r="H6596" s="6"/>
      <c r="I6596" s="6"/>
    </row>
    <row r="6597" spans="8:9" x14ac:dyDescent="0.2">
      <c r="H6597" s="6"/>
      <c r="I6597" s="6"/>
    </row>
    <row r="6598" spans="8:9" x14ac:dyDescent="0.2">
      <c r="H6598" s="6"/>
      <c r="I6598" s="6"/>
    </row>
    <row r="6599" spans="8:9" x14ac:dyDescent="0.2">
      <c r="H6599" s="6"/>
      <c r="I6599" s="6"/>
    </row>
    <row r="6600" spans="8:9" x14ac:dyDescent="0.2">
      <c r="H6600" s="6"/>
      <c r="I6600" s="6"/>
    </row>
    <row r="6601" spans="8:9" x14ac:dyDescent="0.2">
      <c r="H6601" s="6"/>
      <c r="I6601" s="6"/>
    </row>
    <row r="6602" spans="8:9" x14ac:dyDescent="0.2">
      <c r="H6602" s="6"/>
      <c r="I6602" s="6"/>
    </row>
    <row r="6603" spans="8:9" x14ac:dyDescent="0.2">
      <c r="H6603" s="6"/>
      <c r="I6603" s="6"/>
    </row>
    <row r="6604" spans="8:9" x14ac:dyDescent="0.2">
      <c r="H6604" s="6"/>
      <c r="I6604" s="6"/>
    </row>
    <row r="6605" spans="8:9" x14ac:dyDescent="0.2">
      <c r="H6605" s="6"/>
      <c r="I6605" s="6"/>
    </row>
    <row r="6606" spans="8:9" x14ac:dyDescent="0.2">
      <c r="H6606" s="6"/>
      <c r="I6606" s="6"/>
    </row>
    <row r="6607" spans="8:9" x14ac:dyDescent="0.2">
      <c r="H6607" s="6"/>
      <c r="I6607" s="6"/>
    </row>
    <row r="6608" spans="8:9" x14ac:dyDescent="0.2">
      <c r="H6608" s="6"/>
      <c r="I6608" s="6"/>
    </row>
    <row r="6609" spans="8:9" x14ac:dyDescent="0.2">
      <c r="H6609" s="6"/>
      <c r="I6609" s="6"/>
    </row>
    <row r="6610" spans="8:9" x14ac:dyDescent="0.2">
      <c r="H6610" s="6"/>
      <c r="I6610" s="6"/>
    </row>
    <row r="6611" spans="8:9" x14ac:dyDescent="0.2">
      <c r="H6611" s="6"/>
      <c r="I6611" s="6"/>
    </row>
    <row r="6612" spans="8:9" x14ac:dyDescent="0.2">
      <c r="H6612" s="6"/>
      <c r="I6612" s="6"/>
    </row>
    <row r="6613" spans="8:9" x14ac:dyDescent="0.2">
      <c r="H6613" s="6"/>
      <c r="I6613" s="6"/>
    </row>
    <row r="6614" spans="8:9" x14ac:dyDescent="0.2">
      <c r="H6614" s="6"/>
      <c r="I6614" s="6"/>
    </row>
    <row r="6615" spans="8:9" x14ac:dyDescent="0.2">
      <c r="H6615" s="6"/>
      <c r="I6615" s="6"/>
    </row>
    <row r="6616" spans="8:9" x14ac:dyDescent="0.2">
      <c r="H6616" s="6"/>
      <c r="I6616" s="6"/>
    </row>
    <row r="6617" spans="8:9" x14ac:dyDescent="0.2">
      <c r="H6617" s="6"/>
      <c r="I6617" s="6"/>
    </row>
    <row r="6618" spans="8:9" x14ac:dyDescent="0.2">
      <c r="H6618" s="6"/>
      <c r="I6618" s="6"/>
    </row>
    <row r="6619" spans="8:9" x14ac:dyDescent="0.2">
      <c r="H6619" s="6"/>
      <c r="I6619" s="6"/>
    </row>
    <row r="6620" spans="8:9" x14ac:dyDescent="0.2">
      <c r="H6620" s="6"/>
      <c r="I6620" s="6"/>
    </row>
    <row r="6621" spans="8:9" x14ac:dyDescent="0.2">
      <c r="H6621" s="6"/>
      <c r="I6621" s="6"/>
    </row>
    <row r="6622" spans="8:9" x14ac:dyDescent="0.2">
      <c r="H6622" s="6"/>
      <c r="I6622" s="6"/>
    </row>
    <row r="6623" spans="8:9" x14ac:dyDescent="0.2">
      <c r="H6623" s="6"/>
      <c r="I6623" s="6"/>
    </row>
    <row r="6624" spans="8:9" x14ac:dyDescent="0.2">
      <c r="H6624" s="6"/>
      <c r="I6624" s="6"/>
    </row>
    <row r="6625" spans="8:9" x14ac:dyDescent="0.2">
      <c r="H6625" s="6"/>
      <c r="I6625" s="6"/>
    </row>
    <row r="6626" spans="8:9" x14ac:dyDescent="0.2">
      <c r="H6626" s="6"/>
      <c r="I6626" s="6"/>
    </row>
    <row r="6627" spans="8:9" x14ac:dyDescent="0.2">
      <c r="H6627" s="6"/>
      <c r="I6627" s="6"/>
    </row>
    <row r="6628" spans="8:9" x14ac:dyDescent="0.2">
      <c r="H6628" s="6"/>
      <c r="I6628" s="6"/>
    </row>
    <row r="6629" spans="8:9" x14ac:dyDescent="0.2">
      <c r="H6629" s="6"/>
      <c r="I6629" s="6"/>
    </row>
    <row r="6630" spans="8:9" x14ac:dyDescent="0.2">
      <c r="H6630" s="6"/>
      <c r="I6630" s="6"/>
    </row>
    <row r="6631" spans="8:9" x14ac:dyDescent="0.2">
      <c r="H6631" s="6"/>
      <c r="I6631" s="6"/>
    </row>
    <row r="6632" spans="8:9" x14ac:dyDescent="0.2">
      <c r="H6632" s="6"/>
      <c r="I6632" s="6"/>
    </row>
    <row r="6633" spans="8:9" x14ac:dyDescent="0.2">
      <c r="H6633" s="6"/>
      <c r="I6633" s="6"/>
    </row>
    <row r="6634" spans="8:9" x14ac:dyDescent="0.2">
      <c r="H6634" s="6"/>
      <c r="I6634" s="6"/>
    </row>
    <row r="6635" spans="8:9" x14ac:dyDescent="0.2">
      <c r="H6635" s="6"/>
      <c r="I6635" s="6"/>
    </row>
    <row r="6636" spans="8:9" x14ac:dyDescent="0.2">
      <c r="H6636" s="6"/>
      <c r="I6636" s="6"/>
    </row>
    <row r="6637" spans="8:9" x14ac:dyDescent="0.2">
      <c r="H6637" s="6"/>
      <c r="I6637" s="6"/>
    </row>
    <row r="6638" spans="8:9" x14ac:dyDescent="0.2">
      <c r="H6638" s="6"/>
      <c r="I6638" s="6"/>
    </row>
    <row r="6639" spans="8:9" x14ac:dyDescent="0.2">
      <c r="H6639" s="6"/>
      <c r="I6639" s="6"/>
    </row>
    <row r="6640" spans="8:9" x14ac:dyDescent="0.2">
      <c r="H6640" s="6"/>
      <c r="I6640" s="6"/>
    </row>
    <row r="6641" spans="8:9" x14ac:dyDescent="0.2">
      <c r="H6641" s="6"/>
      <c r="I6641" s="6"/>
    </row>
    <row r="6642" spans="8:9" x14ac:dyDescent="0.2">
      <c r="H6642" s="6"/>
      <c r="I6642" s="6"/>
    </row>
    <row r="6643" spans="8:9" x14ac:dyDescent="0.2">
      <c r="H6643" s="6"/>
      <c r="I6643" s="6"/>
    </row>
    <row r="6644" spans="8:9" x14ac:dyDescent="0.2">
      <c r="H6644" s="6"/>
      <c r="I6644" s="6"/>
    </row>
    <row r="6645" spans="8:9" x14ac:dyDescent="0.2">
      <c r="H6645" s="6"/>
      <c r="I6645" s="6"/>
    </row>
    <row r="6646" spans="8:9" x14ac:dyDescent="0.2">
      <c r="H6646" s="6"/>
      <c r="I6646" s="6"/>
    </row>
    <row r="6647" spans="8:9" x14ac:dyDescent="0.2">
      <c r="H6647" s="6"/>
      <c r="I6647" s="6"/>
    </row>
    <row r="6648" spans="8:9" x14ac:dyDescent="0.2">
      <c r="H6648" s="6"/>
      <c r="I6648" s="6"/>
    </row>
    <row r="6649" spans="8:9" x14ac:dyDescent="0.2">
      <c r="H6649" s="6"/>
      <c r="I6649" s="6"/>
    </row>
    <row r="6650" spans="8:9" x14ac:dyDescent="0.2">
      <c r="H6650" s="6"/>
      <c r="I6650" s="6"/>
    </row>
    <row r="6651" spans="8:9" x14ac:dyDescent="0.2">
      <c r="H6651" s="6"/>
      <c r="I6651" s="6"/>
    </row>
    <row r="6652" spans="8:9" x14ac:dyDescent="0.2">
      <c r="H6652" s="6"/>
      <c r="I6652" s="6"/>
    </row>
    <row r="6653" spans="8:9" x14ac:dyDescent="0.2">
      <c r="H6653" s="6"/>
      <c r="I6653" s="6"/>
    </row>
    <row r="6654" spans="8:9" x14ac:dyDescent="0.2">
      <c r="H6654" s="6"/>
      <c r="I6654" s="6"/>
    </row>
    <row r="6655" spans="8:9" x14ac:dyDescent="0.2">
      <c r="H6655" s="6"/>
      <c r="I6655" s="6"/>
    </row>
    <row r="6656" spans="8:9" x14ac:dyDescent="0.2">
      <c r="H6656" s="6"/>
      <c r="I6656" s="6"/>
    </row>
    <row r="6657" spans="8:9" x14ac:dyDescent="0.2">
      <c r="H6657" s="6"/>
      <c r="I6657" s="6"/>
    </row>
    <row r="6658" spans="8:9" x14ac:dyDescent="0.2">
      <c r="H6658" s="6"/>
      <c r="I6658" s="6"/>
    </row>
    <row r="6659" spans="8:9" x14ac:dyDescent="0.2">
      <c r="H6659" s="6"/>
      <c r="I6659" s="6"/>
    </row>
    <row r="6660" spans="8:9" x14ac:dyDescent="0.2">
      <c r="H6660" s="6"/>
      <c r="I6660" s="6"/>
    </row>
    <row r="6661" spans="8:9" x14ac:dyDescent="0.2">
      <c r="H6661" s="6"/>
      <c r="I6661" s="6"/>
    </row>
    <row r="6662" spans="8:9" x14ac:dyDescent="0.2">
      <c r="H6662" s="6"/>
      <c r="I6662" s="6"/>
    </row>
    <row r="6663" spans="8:9" x14ac:dyDescent="0.2">
      <c r="H6663" s="6"/>
      <c r="I6663" s="6"/>
    </row>
    <row r="6664" spans="8:9" x14ac:dyDescent="0.2">
      <c r="H6664" s="6"/>
      <c r="I6664" s="6"/>
    </row>
    <row r="6665" spans="8:9" x14ac:dyDescent="0.2">
      <c r="H6665" s="6"/>
      <c r="I6665" s="6"/>
    </row>
    <row r="6666" spans="8:9" x14ac:dyDescent="0.2">
      <c r="H6666" s="6"/>
      <c r="I6666" s="6"/>
    </row>
    <row r="6667" spans="8:9" x14ac:dyDescent="0.2">
      <c r="H6667" s="6"/>
      <c r="I6667" s="6"/>
    </row>
    <row r="6668" spans="8:9" x14ac:dyDescent="0.2">
      <c r="H6668" s="6"/>
      <c r="I6668" s="6"/>
    </row>
    <row r="6669" spans="8:9" x14ac:dyDescent="0.2">
      <c r="H6669" s="6"/>
      <c r="I6669" s="6"/>
    </row>
    <row r="6670" spans="8:9" x14ac:dyDescent="0.2">
      <c r="H6670" s="6"/>
      <c r="I6670" s="6"/>
    </row>
    <row r="6671" spans="8:9" x14ac:dyDescent="0.2">
      <c r="H6671" s="6"/>
      <c r="I6671" s="6"/>
    </row>
    <row r="6672" spans="8:9" x14ac:dyDescent="0.2">
      <c r="H6672" s="6"/>
      <c r="I6672" s="6"/>
    </row>
    <row r="6673" spans="8:9" x14ac:dyDescent="0.2">
      <c r="H6673" s="6"/>
      <c r="I6673" s="6"/>
    </row>
    <row r="6674" spans="8:9" x14ac:dyDescent="0.2">
      <c r="H6674" s="6"/>
      <c r="I6674" s="6"/>
    </row>
    <row r="6675" spans="8:9" x14ac:dyDescent="0.2">
      <c r="H6675" s="6"/>
      <c r="I6675" s="6"/>
    </row>
    <row r="6676" spans="8:9" x14ac:dyDescent="0.2">
      <c r="H6676" s="6"/>
      <c r="I6676" s="6"/>
    </row>
    <row r="6677" spans="8:9" x14ac:dyDescent="0.2">
      <c r="H6677" s="6"/>
      <c r="I6677" s="6"/>
    </row>
    <row r="6678" spans="8:9" x14ac:dyDescent="0.2">
      <c r="H6678" s="6"/>
      <c r="I6678" s="6"/>
    </row>
    <row r="6679" spans="8:9" x14ac:dyDescent="0.2">
      <c r="H6679" s="6"/>
      <c r="I6679" s="6"/>
    </row>
    <row r="6680" spans="8:9" x14ac:dyDescent="0.2">
      <c r="H6680" s="6"/>
      <c r="I6680" s="6"/>
    </row>
    <row r="6681" spans="8:9" x14ac:dyDescent="0.2">
      <c r="H6681" s="6"/>
      <c r="I6681" s="6"/>
    </row>
    <row r="6682" spans="8:9" x14ac:dyDescent="0.2">
      <c r="H6682" s="6"/>
      <c r="I6682" s="6"/>
    </row>
    <row r="6683" spans="8:9" x14ac:dyDescent="0.2">
      <c r="H6683" s="6"/>
      <c r="I6683" s="6"/>
    </row>
    <row r="6684" spans="8:9" x14ac:dyDescent="0.2">
      <c r="H6684" s="6"/>
      <c r="I6684" s="6"/>
    </row>
    <row r="6685" spans="8:9" x14ac:dyDescent="0.2">
      <c r="H6685" s="6"/>
      <c r="I6685" s="6"/>
    </row>
    <row r="6686" spans="8:9" x14ac:dyDescent="0.2">
      <c r="H6686" s="6"/>
      <c r="I6686" s="6"/>
    </row>
    <row r="6687" spans="8:9" x14ac:dyDescent="0.2">
      <c r="H6687" s="6"/>
      <c r="I6687" s="6"/>
    </row>
    <row r="6688" spans="8:9" x14ac:dyDescent="0.2">
      <c r="H6688" s="6"/>
      <c r="I6688" s="6"/>
    </row>
    <row r="6689" spans="8:9" x14ac:dyDescent="0.2">
      <c r="H6689" s="6"/>
      <c r="I6689" s="6"/>
    </row>
    <row r="6690" spans="8:9" x14ac:dyDescent="0.2">
      <c r="H6690" s="6"/>
      <c r="I6690" s="6"/>
    </row>
    <row r="6691" spans="8:9" x14ac:dyDescent="0.2">
      <c r="H6691" s="6"/>
      <c r="I6691" s="6"/>
    </row>
    <row r="6692" spans="8:9" x14ac:dyDescent="0.2">
      <c r="H6692" s="6"/>
      <c r="I6692" s="6"/>
    </row>
    <row r="6693" spans="8:9" x14ac:dyDescent="0.2">
      <c r="H6693" s="6"/>
      <c r="I6693" s="6"/>
    </row>
    <row r="6694" spans="8:9" x14ac:dyDescent="0.2">
      <c r="H6694" s="6"/>
      <c r="I6694" s="6"/>
    </row>
    <row r="6695" spans="8:9" x14ac:dyDescent="0.2">
      <c r="H6695" s="6"/>
      <c r="I6695" s="6"/>
    </row>
    <row r="6696" spans="8:9" x14ac:dyDescent="0.2">
      <c r="H6696" s="6"/>
      <c r="I6696" s="6"/>
    </row>
    <row r="6697" spans="8:9" x14ac:dyDescent="0.2">
      <c r="H6697" s="6"/>
      <c r="I6697" s="6"/>
    </row>
    <row r="6698" spans="8:9" x14ac:dyDescent="0.2">
      <c r="H6698" s="6"/>
      <c r="I6698" s="6"/>
    </row>
    <row r="6699" spans="8:9" x14ac:dyDescent="0.2">
      <c r="H6699" s="6"/>
      <c r="I6699" s="6"/>
    </row>
    <row r="6700" spans="8:9" x14ac:dyDescent="0.2">
      <c r="H6700" s="6"/>
      <c r="I6700" s="6"/>
    </row>
    <row r="6701" spans="8:9" x14ac:dyDescent="0.2">
      <c r="H6701" s="6"/>
      <c r="I6701" s="6"/>
    </row>
    <row r="6702" spans="8:9" x14ac:dyDescent="0.2">
      <c r="H6702" s="6"/>
      <c r="I6702" s="6"/>
    </row>
    <row r="6703" spans="8:9" x14ac:dyDescent="0.2">
      <c r="H6703" s="6"/>
      <c r="I6703" s="6"/>
    </row>
    <row r="6704" spans="8:9" x14ac:dyDescent="0.2">
      <c r="H6704" s="6"/>
      <c r="I6704" s="6"/>
    </row>
    <row r="6705" spans="8:9" x14ac:dyDescent="0.2">
      <c r="H6705" s="6"/>
      <c r="I6705" s="6"/>
    </row>
    <row r="6706" spans="8:9" x14ac:dyDescent="0.2">
      <c r="H6706" s="6"/>
      <c r="I6706" s="6"/>
    </row>
    <row r="6707" spans="8:9" x14ac:dyDescent="0.2">
      <c r="H6707" s="6"/>
      <c r="I6707" s="6"/>
    </row>
    <row r="6708" spans="8:9" x14ac:dyDescent="0.2">
      <c r="H6708" s="6"/>
      <c r="I6708" s="6"/>
    </row>
    <row r="6709" spans="8:9" x14ac:dyDescent="0.2">
      <c r="H6709" s="6"/>
      <c r="I6709" s="6"/>
    </row>
    <row r="6710" spans="8:9" x14ac:dyDescent="0.2">
      <c r="H6710" s="6"/>
      <c r="I6710" s="6"/>
    </row>
    <row r="6711" spans="8:9" x14ac:dyDescent="0.2">
      <c r="H6711" s="6"/>
      <c r="I6711" s="6"/>
    </row>
    <row r="6712" spans="8:9" x14ac:dyDescent="0.2">
      <c r="H6712" s="6"/>
      <c r="I6712" s="6"/>
    </row>
    <row r="6713" spans="8:9" x14ac:dyDescent="0.2">
      <c r="H6713" s="6"/>
      <c r="I6713" s="6"/>
    </row>
    <row r="6714" spans="8:9" x14ac:dyDescent="0.2">
      <c r="H6714" s="6"/>
      <c r="I6714" s="6"/>
    </row>
    <row r="6715" spans="8:9" x14ac:dyDescent="0.2">
      <c r="H6715" s="6"/>
      <c r="I6715" s="6"/>
    </row>
    <row r="6716" spans="8:9" x14ac:dyDescent="0.2">
      <c r="H6716" s="6"/>
      <c r="I6716" s="6"/>
    </row>
    <row r="6717" spans="8:9" x14ac:dyDescent="0.2">
      <c r="H6717" s="6"/>
      <c r="I6717" s="6"/>
    </row>
    <row r="6718" spans="8:9" x14ac:dyDescent="0.2">
      <c r="H6718" s="6"/>
      <c r="I6718" s="6"/>
    </row>
    <row r="6719" spans="8:9" x14ac:dyDescent="0.2">
      <c r="H6719" s="6"/>
      <c r="I6719" s="6"/>
    </row>
    <row r="6720" spans="8:9" x14ac:dyDescent="0.2">
      <c r="H6720" s="6"/>
      <c r="I6720" s="6"/>
    </row>
    <row r="6721" spans="8:9" x14ac:dyDescent="0.2">
      <c r="H6721" s="6"/>
      <c r="I6721" s="6"/>
    </row>
    <row r="6722" spans="8:9" x14ac:dyDescent="0.2">
      <c r="H6722" s="6"/>
      <c r="I6722" s="6"/>
    </row>
    <row r="6723" spans="8:9" x14ac:dyDescent="0.2">
      <c r="H6723" s="6"/>
      <c r="I6723" s="6"/>
    </row>
    <row r="6724" spans="8:9" x14ac:dyDescent="0.2">
      <c r="H6724" s="6"/>
      <c r="I6724" s="6"/>
    </row>
    <row r="6725" spans="8:9" x14ac:dyDescent="0.2">
      <c r="H6725" s="6"/>
      <c r="I6725" s="6"/>
    </row>
    <row r="6726" spans="8:9" x14ac:dyDescent="0.2">
      <c r="H6726" s="6"/>
      <c r="I6726" s="6"/>
    </row>
    <row r="6727" spans="8:9" x14ac:dyDescent="0.2">
      <c r="H6727" s="6"/>
      <c r="I6727" s="6"/>
    </row>
    <row r="6728" spans="8:9" x14ac:dyDescent="0.2">
      <c r="H6728" s="6"/>
      <c r="I6728" s="6"/>
    </row>
    <row r="6729" spans="8:9" x14ac:dyDescent="0.2">
      <c r="H6729" s="6"/>
      <c r="I6729" s="6"/>
    </row>
    <row r="6730" spans="8:9" x14ac:dyDescent="0.2">
      <c r="H6730" s="6"/>
      <c r="I6730" s="6"/>
    </row>
    <row r="6731" spans="8:9" x14ac:dyDescent="0.2">
      <c r="H6731" s="6"/>
      <c r="I6731" s="6"/>
    </row>
    <row r="6732" spans="8:9" x14ac:dyDescent="0.2">
      <c r="H6732" s="6"/>
      <c r="I6732" s="6"/>
    </row>
    <row r="6733" spans="8:9" x14ac:dyDescent="0.2">
      <c r="H6733" s="6"/>
      <c r="I6733" s="6"/>
    </row>
    <row r="6734" spans="8:9" x14ac:dyDescent="0.2">
      <c r="H6734" s="6"/>
      <c r="I6734" s="6"/>
    </row>
    <row r="6735" spans="8:9" x14ac:dyDescent="0.2">
      <c r="H6735" s="6"/>
      <c r="I6735" s="6"/>
    </row>
    <row r="6736" spans="8:9" x14ac:dyDescent="0.2">
      <c r="H6736" s="6"/>
      <c r="I6736" s="6"/>
    </row>
    <row r="6737" spans="8:9" x14ac:dyDescent="0.2">
      <c r="H6737" s="6"/>
      <c r="I6737" s="6"/>
    </row>
    <row r="6738" spans="8:9" x14ac:dyDescent="0.2">
      <c r="H6738" s="6"/>
      <c r="I6738" s="6"/>
    </row>
    <row r="6739" spans="8:9" x14ac:dyDescent="0.2">
      <c r="H6739" s="6"/>
      <c r="I6739" s="6"/>
    </row>
    <row r="6740" spans="8:9" x14ac:dyDescent="0.2">
      <c r="H6740" s="6"/>
      <c r="I6740" s="6"/>
    </row>
    <row r="6741" spans="8:9" x14ac:dyDescent="0.2">
      <c r="H6741" s="6"/>
      <c r="I6741" s="6"/>
    </row>
    <row r="6742" spans="8:9" x14ac:dyDescent="0.2">
      <c r="H6742" s="6"/>
      <c r="I6742" s="6"/>
    </row>
    <row r="6743" spans="8:9" x14ac:dyDescent="0.2">
      <c r="H6743" s="6"/>
      <c r="I6743" s="6"/>
    </row>
    <row r="6744" spans="8:9" x14ac:dyDescent="0.2">
      <c r="H6744" s="6"/>
      <c r="I6744" s="6"/>
    </row>
    <row r="6745" spans="8:9" x14ac:dyDescent="0.2">
      <c r="H6745" s="6"/>
      <c r="I6745" s="6"/>
    </row>
    <row r="6746" spans="8:9" x14ac:dyDescent="0.2">
      <c r="H6746" s="6"/>
      <c r="I6746" s="6"/>
    </row>
    <row r="6747" spans="8:9" x14ac:dyDescent="0.2">
      <c r="H6747" s="6"/>
      <c r="I6747" s="6"/>
    </row>
    <row r="6748" spans="8:9" x14ac:dyDescent="0.2">
      <c r="H6748" s="6"/>
      <c r="I6748" s="6"/>
    </row>
    <row r="6749" spans="8:9" x14ac:dyDescent="0.2">
      <c r="H6749" s="6"/>
      <c r="I6749" s="6"/>
    </row>
    <row r="6750" spans="8:9" x14ac:dyDescent="0.2">
      <c r="H6750" s="6"/>
      <c r="I6750" s="6"/>
    </row>
    <row r="6751" spans="8:9" x14ac:dyDescent="0.2">
      <c r="H6751" s="6"/>
      <c r="I6751" s="6"/>
    </row>
    <row r="6752" spans="8:9" x14ac:dyDescent="0.2">
      <c r="H6752" s="6"/>
      <c r="I6752" s="6"/>
    </row>
    <row r="6753" spans="8:9" x14ac:dyDescent="0.2">
      <c r="H6753" s="6"/>
      <c r="I6753" s="6"/>
    </row>
    <row r="6754" spans="8:9" x14ac:dyDescent="0.2">
      <c r="H6754" s="6"/>
      <c r="I6754" s="6"/>
    </row>
    <row r="6755" spans="8:9" x14ac:dyDescent="0.2">
      <c r="H6755" s="6"/>
      <c r="I6755" s="6"/>
    </row>
    <row r="6756" spans="8:9" x14ac:dyDescent="0.2">
      <c r="H6756" s="6"/>
      <c r="I6756" s="6"/>
    </row>
    <row r="6757" spans="8:9" x14ac:dyDescent="0.2">
      <c r="H6757" s="6"/>
      <c r="I6757" s="6"/>
    </row>
    <row r="6758" spans="8:9" x14ac:dyDescent="0.2">
      <c r="H6758" s="6"/>
      <c r="I6758" s="6"/>
    </row>
    <row r="6759" spans="8:9" x14ac:dyDescent="0.2">
      <c r="H6759" s="6"/>
      <c r="I6759" s="6"/>
    </row>
    <row r="6760" spans="8:9" x14ac:dyDescent="0.2">
      <c r="H6760" s="6"/>
      <c r="I6760" s="6"/>
    </row>
    <row r="6761" spans="8:9" x14ac:dyDescent="0.2">
      <c r="H6761" s="6"/>
      <c r="I6761" s="6"/>
    </row>
    <row r="6762" spans="8:9" x14ac:dyDescent="0.2">
      <c r="H6762" s="6"/>
      <c r="I6762" s="6"/>
    </row>
    <row r="6763" spans="8:9" x14ac:dyDescent="0.2">
      <c r="H6763" s="6"/>
      <c r="I6763" s="6"/>
    </row>
    <row r="6764" spans="8:9" x14ac:dyDescent="0.2">
      <c r="H6764" s="6"/>
      <c r="I6764" s="6"/>
    </row>
    <row r="6765" spans="8:9" x14ac:dyDescent="0.2">
      <c r="H6765" s="6"/>
      <c r="I6765" s="6"/>
    </row>
    <row r="6766" spans="8:9" x14ac:dyDescent="0.2">
      <c r="H6766" s="6"/>
      <c r="I6766" s="6"/>
    </row>
    <row r="6767" spans="8:9" x14ac:dyDescent="0.2">
      <c r="H6767" s="6"/>
      <c r="I6767" s="6"/>
    </row>
    <row r="6768" spans="8:9" x14ac:dyDescent="0.2">
      <c r="H6768" s="6"/>
      <c r="I6768" s="6"/>
    </row>
    <row r="6769" spans="8:9" x14ac:dyDescent="0.2">
      <c r="H6769" s="6"/>
      <c r="I6769" s="6"/>
    </row>
    <row r="6770" spans="8:9" x14ac:dyDescent="0.2">
      <c r="H6770" s="6"/>
      <c r="I6770" s="6"/>
    </row>
    <row r="6771" spans="8:9" x14ac:dyDescent="0.2">
      <c r="H6771" s="6"/>
      <c r="I6771" s="6"/>
    </row>
    <row r="6772" spans="8:9" x14ac:dyDescent="0.2">
      <c r="H6772" s="6"/>
      <c r="I6772" s="6"/>
    </row>
    <row r="6773" spans="8:9" x14ac:dyDescent="0.2">
      <c r="H6773" s="6"/>
      <c r="I6773" s="6"/>
    </row>
    <row r="6774" spans="8:9" x14ac:dyDescent="0.2">
      <c r="H6774" s="6"/>
      <c r="I6774" s="6"/>
    </row>
    <row r="6775" spans="8:9" x14ac:dyDescent="0.2">
      <c r="H6775" s="6"/>
      <c r="I6775" s="6"/>
    </row>
    <row r="6776" spans="8:9" x14ac:dyDescent="0.2">
      <c r="H6776" s="6"/>
      <c r="I6776" s="6"/>
    </row>
    <row r="6777" spans="8:9" x14ac:dyDescent="0.2">
      <c r="H6777" s="6"/>
      <c r="I6777" s="6"/>
    </row>
    <row r="6778" spans="8:9" x14ac:dyDescent="0.2">
      <c r="H6778" s="6"/>
      <c r="I6778" s="6"/>
    </row>
    <row r="6779" spans="8:9" x14ac:dyDescent="0.2">
      <c r="H6779" s="6"/>
      <c r="I6779" s="6"/>
    </row>
    <row r="6780" spans="8:9" x14ac:dyDescent="0.2">
      <c r="H6780" s="6"/>
      <c r="I6780" s="6"/>
    </row>
    <row r="6781" spans="8:9" x14ac:dyDescent="0.2">
      <c r="H6781" s="6"/>
      <c r="I6781" s="6"/>
    </row>
    <row r="6782" spans="8:9" x14ac:dyDescent="0.2">
      <c r="H6782" s="6"/>
      <c r="I6782" s="6"/>
    </row>
    <row r="6783" spans="8:9" x14ac:dyDescent="0.2">
      <c r="H6783" s="6"/>
      <c r="I6783" s="6"/>
    </row>
    <row r="6784" spans="8:9" x14ac:dyDescent="0.2">
      <c r="H6784" s="6"/>
      <c r="I6784" s="6"/>
    </row>
    <row r="6785" spans="8:9" x14ac:dyDescent="0.2">
      <c r="H6785" s="6"/>
      <c r="I6785" s="6"/>
    </row>
    <row r="6786" spans="8:9" x14ac:dyDescent="0.2">
      <c r="H6786" s="6"/>
      <c r="I6786" s="6"/>
    </row>
    <row r="6787" spans="8:9" x14ac:dyDescent="0.2">
      <c r="H6787" s="6"/>
      <c r="I6787" s="6"/>
    </row>
    <row r="6788" spans="8:9" x14ac:dyDescent="0.2">
      <c r="H6788" s="6"/>
      <c r="I6788" s="6"/>
    </row>
    <row r="6789" spans="8:9" x14ac:dyDescent="0.2">
      <c r="H6789" s="6"/>
      <c r="I6789" s="6"/>
    </row>
    <row r="6790" spans="8:9" x14ac:dyDescent="0.2">
      <c r="H6790" s="6"/>
      <c r="I6790" s="6"/>
    </row>
    <row r="6791" spans="8:9" x14ac:dyDescent="0.2">
      <c r="H6791" s="6"/>
      <c r="I6791" s="6"/>
    </row>
    <row r="6792" spans="8:9" x14ac:dyDescent="0.2">
      <c r="H6792" s="6"/>
      <c r="I6792" s="6"/>
    </row>
    <row r="6793" spans="8:9" x14ac:dyDescent="0.2">
      <c r="H6793" s="6"/>
      <c r="I6793" s="6"/>
    </row>
    <row r="6794" spans="8:9" x14ac:dyDescent="0.2">
      <c r="H6794" s="6"/>
      <c r="I6794" s="6"/>
    </row>
    <row r="6795" spans="8:9" x14ac:dyDescent="0.2">
      <c r="H6795" s="6"/>
      <c r="I6795" s="6"/>
    </row>
    <row r="6796" spans="8:9" x14ac:dyDescent="0.2">
      <c r="H6796" s="6"/>
      <c r="I6796" s="6"/>
    </row>
    <row r="6797" spans="8:9" x14ac:dyDescent="0.2">
      <c r="H6797" s="6"/>
      <c r="I6797" s="6"/>
    </row>
    <row r="6798" spans="8:9" x14ac:dyDescent="0.2">
      <c r="H6798" s="6"/>
      <c r="I6798" s="6"/>
    </row>
    <row r="6799" spans="8:9" x14ac:dyDescent="0.2">
      <c r="H6799" s="6"/>
      <c r="I6799" s="6"/>
    </row>
    <row r="6800" spans="8:9" x14ac:dyDescent="0.2">
      <c r="H6800" s="6"/>
      <c r="I6800" s="6"/>
    </row>
    <row r="6801" spans="8:9" x14ac:dyDescent="0.2">
      <c r="H6801" s="6"/>
      <c r="I6801" s="6"/>
    </row>
    <row r="6802" spans="8:9" x14ac:dyDescent="0.2">
      <c r="H6802" s="6"/>
      <c r="I6802" s="6"/>
    </row>
    <row r="6803" spans="8:9" x14ac:dyDescent="0.2">
      <c r="H6803" s="6"/>
      <c r="I6803" s="6"/>
    </row>
    <row r="6804" spans="8:9" x14ac:dyDescent="0.2">
      <c r="H6804" s="6"/>
      <c r="I6804" s="6"/>
    </row>
    <row r="6805" spans="8:9" x14ac:dyDescent="0.2">
      <c r="H6805" s="6"/>
      <c r="I6805" s="6"/>
    </row>
    <row r="6806" spans="8:9" x14ac:dyDescent="0.2">
      <c r="H6806" s="6"/>
      <c r="I6806" s="6"/>
    </row>
    <row r="6807" spans="8:9" x14ac:dyDescent="0.2">
      <c r="H6807" s="6"/>
      <c r="I6807" s="6"/>
    </row>
    <row r="6808" spans="8:9" x14ac:dyDescent="0.2">
      <c r="H6808" s="6"/>
      <c r="I6808" s="6"/>
    </row>
    <row r="6809" spans="8:9" x14ac:dyDescent="0.2">
      <c r="H6809" s="6"/>
      <c r="I6809" s="6"/>
    </row>
    <row r="6810" spans="8:9" x14ac:dyDescent="0.2">
      <c r="H6810" s="6"/>
      <c r="I6810" s="6"/>
    </row>
    <row r="6811" spans="8:9" x14ac:dyDescent="0.2">
      <c r="H6811" s="6"/>
      <c r="I6811" s="6"/>
    </row>
    <row r="6812" spans="8:9" x14ac:dyDescent="0.2">
      <c r="H6812" s="6"/>
      <c r="I6812" s="6"/>
    </row>
    <row r="6813" spans="8:9" x14ac:dyDescent="0.2">
      <c r="H6813" s="6"/>
      <c r="I6813" s="6"/>
    </row>
    <row r="6814" spans="8:9" x14ac:dyDescent="0.2">
      <c r="H6814" s="6"/>
      <c r="I6814" s="6"/>
    </row>
    <row r="6815" spans="8:9" x14ac:dyDescent="0.2">
      <c r="H6815" s="6"/>
      <c r="I6815" s="6"/>
    </row>
    <row r="6816" spans="8:9" x14ac:dyDescent="0.2">
      <c r="H6816" s="6"/>
      <c r="I6816" s="6"/>
    </row>
    <row r="6817" spans="8:9" x14ac:dyDescent="0.2">
      <c r="H6817" s="6"/>
      <c r="I6817" s="6"/>
    </row>
    <row r="6818" spans="8:9" x14ac:dyDescent="0.2">
      <c r="H6818" s="6"/>
      <c r="I6818" s="6"/>
    </row>
    <row r="6819" spans="8:9" x14ac:dyDescent="0.2">
      <c r="H6819" s="6"/>
      <c r="I6819" s="6"/>
    </row>
    <row r="6820" spans="8:9" x14ac:dyDescent="0.2">
      <c r="H6820" s="6"/>
      <c r="I6820" s="6"/>
    </row>
    <row r="6821" spans="8:9" x14ac:dyDescent="0.2">
      <c r="H6821" s="6"/>
      <c r="I6821" s="6"/>
    </row>
    <row r="6822" spans="8:9" x14ac:dyDescent="0.2">
      <c r="H6822" s="6"/>
      <c r="I6822" s="6"/>
    </row>
    <row r="6823" spans="8:9" x14ac:dyDescent="0.2">
      <c r="H6823" s="6"/>
      <c r="I6823" s="6"/>
    </row>
    <row r="6824" spans="8:9" x14ac:dyDescent="0.2">
      <c r="H6824" s="6"/>
      <c r="I6824" s="6"/>
    </row>
    <row r="6825" spans="8:9" x14ac:dyDescent="0.2">
      <c r="H6825" s="6"/>
      <c r="I6825" s="6"/>
    </row>
    <row r="6826" spans="8:9" x14ac:dyDescent="0.2">
      <c r="H6826" s="6"/>
      <c r="I6826" s="6"/>
    </row>
    <row r="6827" spans="8:9" x14ac:dyDescent="0.2">
      <c r="H6827" s="6"/>
      <c r="I6827" s="6"/>
    </row>
    <row r="6828" spans="8:9" x14ac:dyDescent="0.2">
      <c r="H6828" s="6"/>
      <c r="I6828" s="6"/>
    </row>
    <row r="6829" spans="8:9" x14ac:dyDescent="0.2">
      <c r="H6829" s="6"/>
      <c r="I6829" s="6"/>
    </row>
    <row r="6830" spans="8:9" x14ac:dyDescent="0.2">
      <c r="H6830" s="6"/>
      <c r="I6830" s="6"/>
    </row>
    <row r="6831" spans="8:9" x14ac:dyDescent="0.2">
      <c r="H6831" s="6"/>
      <c r="I6831" s="6"/>
    </row>
    <row r="6832" spans="8:9" x14ac:dyDescent="0.2">
      <c r="H6832" s="6"/>
      <c r="I6832" s="6"/>
    </row>
    <row r="6833" spans="8:9" x14ac:dyDescent="0.2">
      <c r="H6833" s="6"/>
      <c r="I6833" s="6"/>
    </row>
    <row r="6834" spans="8:9" x14ac:dyDescent="0.2">
      <c r="H6834" s="6"/>
      <c r="I6834" s="6"/>
    </row>
    <row r="6835" spans="8:9" x14ac:dyDescent="0.2">
      <c r="H6835" s="6"/>
      <c r="I6835" s="6"/>
    </row>
    <row r="6836" spans="8:9" x14ac:dyDescent="0.2">
      <c r="H6836" s="6"/>
      <c r="I6836" s="6"/>
    </row>
    <row r="6837" spans="8:9" x14ac:dyDescent="0.2">
      <c r="H6837" s="6"/>
      <c r="I6837" s="6"/>
    </row>
    <row r="6838" spans="8:9" x14ac:dyDescent="0.2">
      <c r="H6838" s="6"/>
      <c r="I6838" s="6"/>
    </row>
    <row r="6839" spans="8:9" x14ac:dyDescent="0.2">
      <c r="H6839" s="6"/>
      <c r="I6839" s="6"/>
    </row>
    <row r="6840" spans="8:9" x14ac:dyDescent="0.2">
      <c r="H6840" s="6"/>
      <c r="I6840" s="6"/>
    </row>
    <row r="6841" spans="8:9" x14ac:dyDescent="0.2">
      <c r="H6841" s="6"/>
      <c r="I6841" s="6"/>
    </row>
    <row r="6842" spans="8:9" x14ac:dyDescent="0.2">
      <c r="H6842" s="6"/>
      <c r="I6842" s="6"/>
    </row>
    <row r="6843" spans="8:9" x14ac:dyDescent="0.2">
      <c r="H6843" s="6"/>
      <c r="I6843" s="6"/>
    </row>
    <row r="6844" spans="8:9" x14ac:dyDescent="0.2">
      <c r="H6844" s="6"/>
      <c r="I6844" s="6"/>
    </row>
    <row r="6845" spans="8:9" x14ac:dyDescent="0.2">
      <c r="H6845" s="6"/>
      <c r="I6845" s="6"/>
    </row>
    <row r="6846" spans="8:9" x14ac:dyDescent="0.2">
      <c r="H6846" s="6"/>
      <c r="I6846" s="6"/>
    </row>
    <row r="6847" spans="8:9" x14ac:dyDescent="0.2">
      <c r="H6847" s="6"/>
      <c r="I6847" s="6"/>
    </row>
    <row r="6848" spans="8:9" x14ac:dyDescent="0.2">
      <c r="H6848" s="6"/>
      <c r="I6848" s="6"/>
    </row>
    <row r="6849" spans="8:9" x14ac:dyDescent="0.2">
      <c r="H6849" s="6"/>
      <c r="I6849" s="6"/>
    </row>
    <row r="6850" spans="8:9" x14ac:dyDescent="0.2">
      <c r="H6850" s="6"/>
      <c r="I6850" s="6"/>
    </row>
    <row r="6851" spans="8:9" x14ac:dyDescent="0.2">
      <c r="H6851" s="6"/>
      <c r="I6851" s="6"/>
    </row>
    <row r="6852" spans="8:9" x14ac:dyDescent="0.2">
      <c r="H6852" s="6"/>
      <c r="I6852" s="6"/>
    </row>
    <row r="6853" spans="8:9" x14ac:dyDescent="0.2">
      <c r="H6853" s="6"/>
      <c r="I6853" s="6"/>
    </row>
    <row r="6854" spans="8:9" x14ac:dyDescent="0.2">
      <c r="H6854" s="6"/>
      <c r="I6854" s="6"/>
    </row>
    <row r="6855" spans="8:9" x14ac:dyDescent="0.2">
      <c r="H6855" s="6"/>
      <c r="I6855" s="6"/>
    </row>
    <row r="6856" spans="8:9" x14ac:dyDescent="0.2">
      <c r="H6856" s="6"/>
      <c r="I6856" s="6"/>
    </row>
    <row r="6857" spans="8:9" x14ac:dyDescent="0.2">
      <c r="H6857" s="6"/>
      <c r="I6857" s="6"/>
    </row>
    <row r="6858" spans="8:9" x14ac:dyDescent="0.2">
      <c r="H6858" s="6"/>
      <c r="I6858" s="6"/>
    </row>
    <row r="6859" spans="8:9" x14ac:dyDescent="0.2">
      <c r="H6859" s="6"/>
      <c r="I6859" s="6"/>
    </row>
    <row r="6860" spans="8:9" x14ac:dyDescent="0.2">
      <c r="H6860" s="6"/>
      <c r="I6860" s="6"/>
    </row>
    <row r="6861" spans="8:9" x14ac:dyDescent="0.2">
      <c r="H6861" s="6"/>
      <c r="I6861" s="6"/>
    </row>
    <row r="6862" spans="8:9" x14ac:dyDescent="0.2">
      <c r="H6862" s="6"/>
      <c r="I6862" s="6"/>
    </row>
    <row r="6863" spans="8:9" x14ac:dyDescent="0.2">
      <c r="H6863" s="6"/>
      <c r="I6863" s="6"/>
    </row>
    <row r="6864" spans="8:9" x14ac:dyDescent="0.2">
      <c r="H6864" s="6"/>
      <c r="I6864" s="6"/>
    </row>
    <row r="6865" spans="8:9" x14ac:dyDescent="0.2">
      <c r="H6865" s="6"/>
      <c r="I6865" s="6"/>
    </row>
    <row r="6866" spans="8:9" x14ac:dyDescent="0.2">
      <c r="H6866" s="6"/>
      <c r="I6866" s="6"/>
    </row>
    <row r="6867" spans="8:9" x14ac:dyDescent="0.2">
      <c r="H6867" s="6"/>
      <c r="I6867" s="6"/>
    </row>
    <row r="6868" spans="8:9" x14ac:dyDescent="0.2">
      <c r="H6868" s="6"/>
      <c r="I6868" s="6"/>
    </row>
    <row r="6869" spans="8:9" x14ac:dyDescent="0.2">
      <c r="H6869" s="6"/>
      <c r="I6869" s="6"/>
    </row>
    <row r="6870" spans="8:9" x14ac:dyDescent="0.2">
      <c r="H6870" s="6"/>
      <c r="I6870" s="6"/>
    </row>
    <row r="6871" spans="8:9" x14ac:dyDescent="0.2">
      <c r="H6871" s="6"/>
      <c r="I6871" s="6"/>
    </row>
    <row r="6872" spans="8:9" x14ac:dyDescent="0.2">
      <c r="H6872" s="6"/>
      <c r="I6872" s="6"/>
    </row>
    <row r="6873" spans="8:9" x14ac:dyDescent="0.2">
      <c r="H6873" s="6"/>
      <c r="I6873" s="6"/>
    </row>
    <row r="6874" spans="8:9" x14ac:dyDescent="0.2">
      <c r="H6874" s="6"/>
      <c r="I6874" s="6"/>
    </row>
    <row r="6875" spans="8:9" x14ac:dyDescent="0.2">
      <c r="H6875" s="6"/>
      <c r="I6875" s="6"/>
    </row>
    <row r="6876" spans="8:9" x14ac:dyDescent="0.2">
      <c r="H6876" s="6"/>
      <c r="I6876" s="6"/>
    </row>
    <row r="6877" spans="8:9" x14ac:dyDescent="0.2">
      <c r="H6877" s="6"/>
      <c r="I6877" s="6"/>
    </row>
    <row r="6878" spans="8:9" x14ac:dyDescent="0.2">
      <c r="H6878" s="6"/>
      <c r="I6878" s="6"/>
    </row>
    <row r="6879" spans="8:9" x14ac:dyDescent="0.2">
      <c r="H6879" s="6"/>
      <c r="I6879" s="6"/>
    </row>
    <row r="6880" spans="8:9" x14ac:dyDescent="0.2">
      <c r="H6880" s="6"/>
      <c r="I6880" s="6"/>
    </row>
    <row r="6881" spans="8:9" x14ac:dyDescent="0.2">
      <c r="H6881" s="6"/>
      <c r="I6881" s="6"/>
    </row>
    <row r="6882" spans="8:9" x14ac:dyDescent="0.2">
      <c r="H6882" s="6"/>
      <c r="I6882" s="6"/>
    </row>
    <row r="6883" spans="8:9" x14ac:dyDescent="0.2">
      <c r="H6883" s="6"/>
      <c r="I6883" s="6"/>
    </row>
    <row r="6884" spans="8:9" x14ac:dyDescent="0.2">
      <c r="H6884" s="6"/>
      <c r="I6884" s="6"/>
    </row>
    <row r="6885" spans="8:9" x14ac:dyDescent="0.2">
      <c r="H6885" s="6"/>
      <c r="I6885" s="6"/>
    </row>
    <row r="6886" spans="8:9" x14ac:dyDescent="0.2">
      <c r="H6886" s="6"/>
      <c r="I6886" s="6"/>
    </row>
    <row r="6887" spans="8:9" x14ac:dyDescent="0.2">
      <c r="H6887" s="6"/>
      <c r="I6887" s="6"/>
    </row>
    <row r="6888" spans="8:9" x14ac:dyDescent="0.2">
      <c r="H6888" s="6"/>
      <c r="I6888" s="6"/>
    </row>
    <row r="6889" spans="8:9" x14ac:dyDescent="0.2">
      <c r="H6889" s="6"/>
      <c r="I6889" s="6"/>
    </row>
    <row r="6890" spans="8:9" x14ac:dyDescent="0.2">
      <c r="H6890" s="6"/>
      <c r="I6890" s="6"/>
    </row>
    <row r="6891" spans="8:9" x14ac:dyDescent="0.2">
      <c r="H6891" s="6"/>
      <c r="I6891" s="6"/>
    </row>
    <row r="6892" spans="8:9" x14ac:dyDescent="0.2">
      <c r="H6892" s="6"/>
      <c r="I6892" s="6"/>
    </row>
    <row r="6893" spans="8:9" x14ac:dyDescent="0.2">
      <c r="H6893" s="6"/>
      <c r="I6893" s="6"/>
    </row>
    <row r="6894" spans="8:9" x14ac:dyDescent="0.2">
      <c r="H6894" s="6"/>
      <c r="I6894" s="6"/>
    </row>
    <row r="6895" spans="8:9" x14ac:dyDescent="0.2">
      <c r="H6895" s="6"/>
      <c r="I6895" s="6"/>
    </row>
    <row r="6896" spans="8:9" x14ac:dyDescent="0.2">
      <c r="H6896" s="6"/>
      <c r="I6896" s="6"/>
    </row>
    <row r="6897" spans="8:9" x14ac:dyDescent="0.2">
      <c r="H6897" s="6"/>
      <c r="I6897" s="6"/>
    </row>
    <row r="6898" spans="8:9" x14ac:dyDescent="0.2">
      <c r="H6898" s="6"/>
      <c r="I6898" s="6"/>
    </row>
    <row r="6899" spans="8:9" x14ac:dyDescent="0.2">
      <c r="H6899" s="6"/>
      <c r="I6899" s="6"/>
    </row>
    <row r="6900" spans="8:9" x14ac:dyDescent="0.2">
      <c r="H6900" s="6"/>
      <c r="I6900" s="6"/>
    </row>
    <row r="6901" spans="8:9" x14ac:dyDescent="0.2">
      <c r="H6901" s="6"/>
      <c r="I6901" s="6"/>
    </row>
    <row r="6902" spans="8:9" x14ac:dyDescent="0.2">
      <c r="H6902" s="6"/>
      <c r="I6902" s="6"/>
    </row>
    <row r="6903" spans="8:9" x14ac:dyDescent="0.2">
      <c r="H6903" s="6"/>
      <c r="I6903" s="6"/>
    </row>
    <row r="6904" spans="8:9" x14ac:dyDescent="0.2">
      <c r="H6904" s="6"/>
      <c r="I6904" s="6"/>
    </row>
    <row r="6905" spans="8:9" x14ac:dyDescent="0.2">
      <c r="H6905" s="6"/>
      <c r="I6905" s="6"/>
    </row>
    <row r="6906" spans="8:9" x14ac:dyDescent="0.2">
      <c r="H6906" s="6"/>
      <c r="I6906" s="6"/>
    </row>
    <row r="6907" spans="8:9" x14ac:dyDescent="0.2">
      <c r="H6907" s="6"/>
      <c r="I6907" s="6"/>
    </row>
    <row r="6908" spans="8:9" x14ac:dyDescent="0.2">
      <c r="H6908" s="6"/>
      <c r="I6908" s="6"/>
    </row>
    <row r="6909" spans="8:9" x14ac:dyDescent="0.2">
      <c r="H6909" s="6"/>
      <c r="I6909" s="6"/>
    </row>
    <row r="6910" spans="8:9" x14ac:dyDescent="0.2">
      <c r="H6910" s="6"/>
      <c r="I6910" s="6"/>
    </row>
    <row r="6911" spans="8:9" x14ac:dyDescent="0.2">
      <c r="H6911" s="6"/>
      <c r="I6911" s="6"/>
    </row>
    <row r="6912" spans="8:9" x14ac:dyDescent="0.2">
      <c r="H6912" s="6"/>
      <c r="I6912" s="6"/>
    </row>
    <row r="6913" spans="8:9" x14ac:dyDescent="0.2">
      <c r="H6913" s="6"/>
      <c r="I6913" s="6"/>
    </row>
    <row r="6914" spans="8:9" x14ac:dyDescent="0.2">
      <c r="H6914" s="6"/>
      <c r="I6914" s="6"/>
    </row>
    <row r="6915" spans="8:9" x14ac:dyDescent="0.2">
      <c r="H6915" s="6"/>
      <c r="I6915" s="6"/>
    </row>
    <row r="6916" spans="8:9" x14ac:dyDescent="0.2">
      <c r="H6916" s="6"/>
      <c r="I6916" s="6"/>
    </row>
    <row r="6917" spans="8:9" x14ac:dyDescent="0.2">
      <c r="H6917" s="6"/>
      <c r="I6917" s="6"/>
    </row>
    <row r="6918" spans="8:9" x14ac:dyDescent="0.2">
      <c r="H6918" s="6"/>
      <c r="I6918" s="6"/>
    </row>
    <row r="6919" spans="8:9" x14ac:dyDescent="0.2">
      <c r="H6919" s="6"/>
      <c r="I6919" s="6"/>
    </row>
    <row r="6920" spans="8:9" x14ac:dyDescent="0.2">
      <c r="H6920" s="6"/>
      <c r="I6920" s="6"/>
    </row>
    <row r="6921" spans="8:9" x14ac:dyDescent="0.2">
      <c r="H6921" s="6"/>
      <c r="I6921" s="6"/>
    </row>
    <row r="6922" spans="8:9" x14ac:dyDescent="0.2">
      <c r="H6922" s="6"/>
      <c r="I6922" s="6"/>
    </row>
    <row r="6923" spans="8:9" x14ac:dyDescent="0.2">
      <c r="H6923" s="6"/>
      <c r="I6923" s="6"/>
    </row>
    <row r="6924" spans="8:9" x14ac:dyDescent="0.2">
      <c r="H6924" s="6"/>
      <c r="I6924" s="6"/>
    </row>
    <row r="6925" spans="8:9" x14ac:dyDescent="0.2">
      <c r="H6925" s="6"/>
      <c r="I6925" s="6"/>
    </row>
    <row r="6926" spans="8:9" x14ac:dyDescent="0.2">
      <c r="H6926" s="6"/>
      <c r="I6926" s="6"/>
    </row>
    <row r="6927" spans="8:9" x14ac:dyDescent="0.2">
      <c r="H6927" s="6"/>
      <c r="I6927" s="6"/>
    </row>
    <row r="6928" spans="8:9" x14ac:dyDescent="0.2">
      <c r="H6928" s="6"/>
      <c r="I6928" s="6"/>
    </row>
    <row r="6929" spans="8:9" x14ac:dyDescent="0.2">
      <c r="H6929" s="6"/>
      <c r="I6929" s="6"/>
    </row>
    <row r="6930" spans="8:9" x14ac:dyDescent="0.2">
      <c r="H6930" s="6"/>
      <c r="I6930" s="6"/>
    </row>
    <row r="6931" spans="8:9" x14ac:dyDescent="0.2">
      <c r="H6931" s="6"/>
      <c r="I6931" s="6"/>
    </row>
    <row r="6932" spans="8:9" x14ac:dyDescent="0.2">
      <c r="H6932" s="6"/>
      <c r="I6932" s="6"/>
    </row>
    <row r="6933" spans="8:9" x14ac:dyDescent="0.2">
      <c r="H6933" s="6"/>
      <c r="I6933" s="6"/>
    </row>
    <row r="6934" spans="8:9" x14ac:dyDescent="0.2">
      <c r="H6934" s="6"/>
      <c r="I6934" s="6"/>
    </row>
    <row r="6935" spans="8:9" x14ac:dyDescent="0.2">
      <c r="H6935" s="6"/>
      <c r="I6935" s="6"/>
    </row>
    <row r="6936" spans="8:9" x14ac:dyDescent="0.2">
      <c r="H6936" s="6"/>
      <c r="I6936" s="6"/>
    </row>
    <row r="6937" spans="8:9" x14ac:dyDescent="0.2">
      <c r="H6937" s="6"/>
      <c r="I6937" s="6"/>
    </row>
    <row r="6938" spans="8:9" x14ac:dyDescent="0.2">
      <c r="H6938" s="6"/>
      <c r="I6938" s="6"/>
    </row>
    <row r="6939" spans="8:9" x14ac:dyDescent="0.2">
      <c r="H6939" s="6"/>
      <c r="I6939" s="6"/>
    </row>
    <row r="6940" spans="8:9" x14ac:dyDescent="0.2">
      <c r="H6940" s="6"/>
      <c r="I6940" s="6"/>
    </row>
    <row r="6941" spans="8:9" x14ac:dyDescent="0.2">
      <c r="H6941" s="6"/>
      <c r="I6941" s="6"/>
    </row>
    <row r="6942" spans="8:9" x14ac:dyDescent="0.2">
      <c r="H6942" s="6"/>
      <c r="I6942" s="6"/>
    </row>
    <row r="6943" spans="8:9" x14ac:dyDescent="0.2">
      <c r="H6943" s="6"/>
      <c r="I6943" s="6"/>
    </row>
    <row r="6944" spans="8:9" x14ac:dyDescent="0.2">
      <c r="H6944" s="6"/>
      <c r="I6944" s="6"/>
    </row>
    <row r="6945" spans="8:9" x14ac:dyDescent="0.2">
      <c r="H6945" s="6"/>
      <c r="I6945" s="6"/>
    </row>
    <row r="6946" spans="8:9" x14ac:dyDescent="0.2">
      <c r="H6946" s="6"/>
      <c r="I6946" s="6"/>
    </row>
    <row r="6947" spans="8:9" x14ac:dyDescent="0.2">
      <c r="H6947" s="6"/>
      <c r="I6947" s="6"/>
    </row>
    <row r="6948" spans="8:9" x14ac:dyDescent="0.2">
      <c r="H6948" s="6"/>
      <c r="I6948" s="6"/>
    </row>
    <row r="6949" spans="8:9" x14ac:dyDescent="0.2">
      <c r="H6949" s="6"/>
      <c r="I6949" s="6"/>
    </row>
    <row r="6950" spans="8:9" x14ac:dyDescent="0.2">
      <c r="H6950" s="6"/>
      <c r="I6950" s="6"/>
    </row>
    <row r="6951" spans="8:9" x14ac:dyDescent="0.2">
      <c r="H6951" s="6"/>
      <c r="I6951" s="6"/>
    </row>
    <row r="6952" spans="8:9" x14ac:dyDescent="0.2">
      <c r="H6952" s="6"/>
      <c r="I6952" s="6"/>
    </row>
    <row r="6953" spans="8:9" x14ac:dyDescent="0.2">
      <c r="H6953" s="6"/>
      <c r="I6953" s="6"/>
    </row>
    <row r="6954" spans="8:9" x14ac:dyDescent="0.2">
      <c r="H6954" s="6"/>
      <c r="I6954" s="6"/>
    </row>
    <row r="6955" spans="8:9" x14ac:dyDescent="0.2">
      <c r="H6955" s="6"/>
      <c r="I6955" s="6"/>
    </row>
    <row r="6956" spans="8:9" x14ac:dyDescent="0.2">
      <c r="H6956" s="6"/>
      <c r="I6956" s="6"/>
    </row>
    <row r="6957" spans="8:9" x14ac:dyDescent="0.2">
      <c r="H6957" s="6"/>
      <c r="I6957" s="6"/>
    </row>
    <row r="6958" spans="8:9" x14ac:dyDescent="0.2">
      <c r="H6958" s="6"/>
      <c r="I6958" s="6"/>
    </row>
    <row r="6959" spans="8:9" x14ac:dyDescent="0.2">
      <c r="H6959" s="6"/>
      <c r="I6959" s="6"/>
    </row>
    <row r="6960" spans="8:9" x14ac:dyDescent="0.2">
      <c r="H6960" s="6"/>
      <c r="I6960" s="6"/>
    </row>
    <row r="6961" spans="8:9" x14ac:dyDescent="0.2">
      <c r="H6961" s="6"/>
      <c r="I6961" s="6"/>
    </row>
    <row r="6962" spans="8:9" x14ac:dyDescent="0.2">
      <c r="H6962" s="6"/>
      <c r="I6962" s="6"/>
    </row>
    <row r="6963" spans="8:9" x14ac:dyDescent="0.2">
      <c r="H6963" s="6"/>
      <c r="I6963" s="6"/>
    </row>
    <row r="6964" spans="8:9" x14ac:dyDescent="0.2">
      <c r="H6964" s="6"/>
      <c r="I6964" s="6"/>
    </row>
    <row r="6965" spans="8:9" x14ac:dyDescent="0.2">
      <c r="H6965" s="6"/>
      <c r="I6965" s="6"/>
    </row>
    <row r="6966" spans="8:9" x14ac:dyDescent="0.2">
      <c r="H6966" s="6"/>
      <c r="I6966" s="6"/>
    </row>
    <row r="6967" spans="8:9" x14ac:dyDescent="0.2">
      <c r="H6967" s="6"/>
      <c r="I6967" s="6"/>
    </row>
    <row r="6968" spans="8:9" x14ac:dyDescent="0.2">
      <c r="H6968" s="6"/>
      <c r="I6968" s="6"/>
    </row>
    <row r="6969" spans="8:9" x14ac:dyDescent="0.2">
      <c r="H6969" s="6"/>
      <c r="I6969" s="6"/>
    </row>
    <row r="6970" spans="8:9" x14ac:dyDescent="0.2">
      <c r="H6970" s="6"/>
      <c r="I6970" s="6"/>
    </row>
    <row r="6971" spans="8:9" x14ac:dyDescent="0.2">
      <c r="H6971" s="6"/>
      <c r="I6971" s="6"/>
    </row>
    <row r="6972" spans="8:9" x14ac:dyDescent="0.2">
      <c r="H6972" s="6"/>
      <c r="I6972" s="6"/>
    </row>
    <row r="6973" spans="8:9" x14ac:dyDescent="0.2">
      <c r="H6973" s="6"/>
      <c r="I6973" s="6"/>
    </row>
    <row r="6974" spans="8:9" x14ac:dyDescent="0.2">
      <c r="H6974" s="6"/>
      <c r="I6974" s="6"/>
    </row>
    <row r="6975" spans="8:9" x14ac:dyDescent="0.2">
      <c r="H6975" s="6"/>
      <c r="I6975" s="6"/>
    </row>
    <row r="6976" spans="8:9" x14ac:dyDescent="0.2">
      <c r="H6976" s="6"/>
      <c r="I6976" s="6"/>
    </row>
    <row r="6977" spans="8:9" x14ac:dyDescent="0.2">
      <c r="H6977" s="6"/>
      <c r="I6977" s="6"/>
    </row>
    <row r="6978" spans="8:9" x14ac:dyDescent="0.2">
      <c r="H6978" s="6"/>
      <c r="I6978" s="6"/>
    </row>
    <row r="6979" spans="8:9" x14ac:dyDescent="0.2">
      <c r="H6979" s="6"/>
      <c r="I6979" s="6"/>
    </row>
    <row r="6980" spans="8:9" x14ac:dyDescent="0.2">
      <c r="H6980" s="6"/>
      <c r="I6980" s="6"/>
    </row>
    <row r="6981" spans="8:9" x14ac:dyDescent="0.2">
      <c r="H6981" s="6"/>
      <c r="I6981" s="6"/>
    </row>
    <row r="6982" spans="8:9" x14ac:dyDescent="0.2">
      <c r="H6982" s="6"/>
      <c r="I6982" s="6"/>
    </row>
    <row r="6983" spans="8:9" x14ac:dyDescent="0.2">
      <c r="H6983" s="6"/>
      <c r="I6983" s="6"/>
    </row>
    <row r="6984" spans="8:9" x14ac:dyDescent="0.2">
      <c r="H6984" s="6"/>
      <c r="I6984" s="6"/>
    </row>
    <row r="6985" spans="8:9" x14ac:dyDescent="0.2">
      <c r="H6985" s="6"/>
      <c r="I6985" s="6"/>
    </row>
    <row r="6986" spans="8:9" x14ac:dyDescent="0.2">
      <c r="H6986" s="6"/>
      <c r="I6986" s="6"/>
    </row>
    <row r="6987" spans="8:9" x14ac:dyDescent="0.2">
      <c r="H6987" s="6"/>
      <c r="I6987" s="6"/>
    </row>
    <row r="6988" spans="8:9" x14ac:dyDescent="0.2">
      <c r="H6988" s="6"/>
      <c r="I6988" s="6"/>
    </row>
    <row r="6989" spans="8:9" x14ac:dyDescent="0.2">
      <c r="H6989" s="6"/>
      <c r="I6989" s="6"/>
    </row>
    <row r="6990" spans="8:9" x14ac:dyDescent="0.2">
      <c r="H6990" s="6"/>
      <c r="I6990" s="6"/>
    </row>
    <row r="6991" spans="8:9" x14ac:dyDescent="0.2">
      <c r="H6991" s="6"/>
      <c r="I6991" s="6"/>
    </row>
    <row r="6992" spans="8:9" x14ac:dyDescent="0.2">
      <c r="H6992" s="6"/>
      <c r="I6992" s="6"/>
    </row>
    <row r="6993" spans="8:9" x14ac:dyDescent="0.2">
      <c r="H6993" s="6"/>
      <c r="I6993" s="6"/>
    </row>
    <row r="6994" spans="8:9" x14ac:dyDescent="0.2">
      <c r="H6994" s="6"/>
      <c r="I6994" s="6"/>
    </row>
    <row r="6995" spans="8:9" x14ac:dyDescent="0.2">
      <c r="H6995" s="6"/>
      <c r="I6995" s="6"/>
    </row>
    <row r="6996" spans="8:9" x14ac:dyDescent="0.2">
      <c r="H6996" s="6"/>
      <c r="I6996" s="6"/>
    </row>
    <row r="6997" spans="8:9" x14ac:dyDescent="0.2">
      <c r="H6997" s="6"/>
      <c r="I6997" s="6"/>
    </row>
    <row r="6998" spans="8:9" x14ac:dyDescent="0.2">
      <c r="H6998" s="6"/>
      <c r="I6998" s="6"/>
    </row>
    <row r="6999" spans="8:9" x14ac:dyDescent="0.2">
      <c r="H6999" s="6"/>
      <c r="I6999" s="6"/>
    </row>
    <row r="7000" spans="8:9" x14ac:dyDescent="0.2">
      <c r="H7000" s="6"/>
      <c r="I7000" s="6"/>
    </row>
    <row r="7001" spans="8:9" x14ac:dyDescent="0.2">
      <c r="H7001" s="6"/>
      <c r="I7001" s="6"/>
    </row>
    <row r="7002" spans="8:9" x14ac:dyDescent="0.2">
      <c r="H7002" s="6"/>
      <c r="I7002" s="6"/>
    </row>
    <row r="7003" spans="8:9" x14ac:dyDescent="0.2">
      <c r="H7003" s="6"/>
      <c r="I7003" s="6"/>
    </row>
    <row r="7004" spans="8:9" x14ac:dyDescent="0.2">
      <c r="H7004" s="6"/>
      <c r="I7004" s="6"/>
    </row>
    <row r="7005" spans="8:9" x14ac:dyDescent="0.2">
      <c r="H7005" s="6"/>
      <c r="I7005" s="6"/>
    </row>
    <row r="7006" spans="8:9" x14ac:dyDescent="0.2">
      <c r="H7006" s="6"/>
      <c r="I7006" s="6"/>
    </row>
    <row r="7007" spans="8:9" x14ac:dyDescent="0.2">
      <c r="H7007" s="6"/>
      <c r="I7007" s="6"/>
    </row>
    <row r="7008" spans="8:9" x14ac:dyDescent="0.2">
      <c r="H7008" s="6"/>
      <c r="I7008" s="6"/>
    </row>
    <row r="7009" spans="8:9" x14ac:dyDescent="0.2">
      <c r="H7009" s="6"/>
      <c r="I7009" s="6"/>
    </row>
    <row r="7010" spans="8:9" x14ac:dyDescent="0.2">
      <c r="H7010" s="6"/>
      <c r="I7010" s="6"/>
    </row>
    <row r="7011" spans="8:9" x14ac:dyDescent="0.2">
      <c r="H7011" s="6"/>
      <c r="I7011" s="6"/>
    </row>
    <row r="7012" spans="8:9" x14ac:dyDescent="0.2">
      <c r="H7012" s="6"/>
      <c r="I7012" s="6"/>
    </row>
    <row r="7013" spans="8:9" x14ac:dyDescent="0.2">
      <c r="H7013" s="6"/>
      <c r="I7013" s="6"/>
    </row>
    <row r="7014" spans="8:9" x14ac:dyDescent="0.2">
      <c r="H7014" s="6"/>
      <c r="I7014" s="6"/>
    </row>
    <row r="7015" spans="8:9" x14ac:dyDescent="0.2">
      <c r="H7015" s="6"/>
      <c r="I7015" s="6"/>
    </row>
    <row r="7016" spans="8:9" x14ac:dyDescent="0.2">
      <c r="H7016" s="6"/>
      <c r="I7016" s="6"/>
    </row>
    <row r="7017" spans="8:9" x14ac:dyDescent="0.2">
      <c r="H7017" s="6"/>
      <c r="I7017" s="6"/>
    </row>
    <row r="7018" spans="8:9" x14ac:dyDescent="0.2">
      <c r="H7018" s="6"/>
      <c r="I7018" s="6"/>
    </row>
    <row r="7019" spans="8:9" x14ac:dyDescent="0.2">
      <c r="H7019" s="6"/>
      <c r="I7019" s="6"/>
    </row>
    <row r="7020" spans="8:9" x14ac:dyDescent="0.2">
      <c r="H7020" s="6"/>
      <c r="I7020" s="6"/>
    </row>
    <row r="7021" spans="8:9" x14ac:dyDescent="0.2">
      <c r="H7021" s="6"/>
      <c r="I7021" s="6"/>
    </row>
    <row r="7022" spans="8:9" x14ac:dyDescent="0.2">
      <c r="H7022" s="6"/>
      <c r="I7022" s="6"/>
    </row>
    <row r="7023" spans="8:9" x14ac:dyDescent="0.2">
      <c r="H7023" s="6"/>
      <c r="I7023" s="6"/>
    </row>
    <row r="7024" spans="8:9" x14ac:dyDescent="0.2">
      <c r="H7024" s="6"/>
      <c r="I7024" s="6"/>
    </row>
    <row r="7025" spans="8:9" x14ac:dyDescent="0.2">
      <c r="H7025" s="6"/>
      <c r="I7025" s="6"/>
    </row>
    <row r="7026" spans="8:9" x14ac:dyDescent="0.2">
      <c r="H7026" s="6"/>
      <c r="I7026" s="6"/>
    </row>
    <row r="7027" spans="8:9" x14ac:dyDescent="0.2">
      <c r="H7027" s="6"/>
      <c r="I7027" s="6"/>
    </row>
    <row r="7028" spans="8:9" x14ac:dyDescent="0.2">
      <c r="H7028" s="6"/>
      <c r="I7028" s="6"/>
    </row>
    <row r="7029" spans="8:9" x14ac:dyDescent="0.2">
      <c r="H7029" s="6"/>
      <c r="I7029" s="6"/>
    </row>
    <row r="7030" spans="8:9" x14ac:dyDescent="0.2">
      <c r="H7030" s="6"/>
      <c r="I7030" s="6"/>
    </row>
    <row r="7031" spans="8:9" x14ac:dyDescent="0.2">
      <c r="H7031" s="6"/>
      <c r="I7031" s="6"/>
    </row>
    <row r="7032" spans="8:9" x14ac:dyDescent="0.2">
      <c r="H7032" s="6"/>
      <c r="I7032" s="6"/>
    </row>
    <row r="7033" spans="8:9" x14ac:dyDescent="0.2">
      <c r="H7033" s="6"/>
      <c r="I7033" s="6"/>
    </row>
    <row r="7034" spans="8:9" x14ac:dyDescent="0.2">
      <c r="H7034" s="6"/>
      <c r="I7034" s="6"/>
    </row>
    <row r="7035" spans="8:9" x14ac:dyDescent="0.2">
      <c r="H7035" s="6"/>
      <c r="I7035" s="6"/>
    </row>
    <row r="7036" spans="8:9" x14ac:dyDescent="0.2">
      <c r="H7036" s="6"/>
      <c r="I7036" s="6"/>
    </row>
    <row r="7037" spans="8:9" x14ac:dyDescent="0.2">
      <c r="H7037" s="6"/>
      <c r="I7037" s="6"/>
    </row>
    <row r="7038" spans="8:9" x14ac:dyDescent="0.2">
      <c r="H7038" s="6"/>
      <c r="I7038" s="6"/>
    </row>
    <row r="7039" spans="8:9" x14ac:dyDescent="0.2">
      <c r="H7039" s="6"/>
      <c r="I7039" s="6"/>
    </row>
    <row r="7040" spans="8:9" x14ac:dyDescent="0.2">
      <c r="H7040" s="6"/>
      <c r="I7040" s="6"/>
    </row>
    <row r="7041" spans="8:9" x14ac:dyDescent="0.2">
      <c r="H7041" s="6"/>
      <c r="I7041" s="6"/>
    </row>
    <row r="7042" spans="8:9" x14ac:dyDescent="0.2">
      <c r="H7042" s="6"/>
      <c r="I7042" s="6"/>
    </row>
    <row r="7043" spans="8:9" x14ac:dyDescent="0.2">
      <c r="H7043" s="6"/>
      <c r="I7043" s="6"/>
    </row>
    <row r="7044" spans="8:9" x14ac:dyDescent="0.2">
      <c r="H7044" s="6"/>
      <c r="I7044" s="6"/>
    </row>
    <row r="7045" spans="8:9" x14ac:dyDescent="0.2">
      <c r="H7045" s="6"/>
      <c r="I7045" s="6"/>
    </row>
    <row r="7046" spans="8:9" x14ac:dyDescent="0.2">
      <c r="H7046" s="6"/>
      <c r="I7046" s="6"/>
    </row>
    <row r="7047" spans="8:9" x14ac:dyDescent="0.2">
      <c r="H7047" s="6"/>
      <c r="I7047" s="6"/>
    </row>
    <row r="7048" spans="8:9" x14ac:dyDescent="0.2">
      <c r="H7048" s="6"/>
      <c r="I7048" s="6"/>
    </row>
    <row r="7049" spans="8:9" x14ac:dyDescent="0.2">
      <c r="H7049" s="6"/>
      <c r="I7049" s="6"/>
    </row>
    <row r="7050" spans="8:9" x14ac:dyDescent="0.2">
      <c r="H7050" s="6"/>
      <c r="I7050" s="6"/>
    </row>
    <row r="7051" spans="8:9" x14ac:dyDescent="0.2">
      <c r="H7051" s="6"/>
      <c r="I7051" s="6"/>
    </row>
    <row r="7052" spans="8:9" x14ac:dyDescent="0.2">
      <c r="H7052" s="6"/>
      <c r="I7052" s="6"/>
    </row>
    <row r="7053" spans="8:9" x14ac:dyDescent="0.2">
      <c r="H7053" s="6"/>
      <c r="I7053" s="6"/>
    </row>
    <row r="7054" spans="8:9" x14ac:dyDescent="0.2">
      <c r="H7054" s="6"/>
      <c r="I7054" s="6"/>
    </row>
    <row r="7055" spans="8:9" x14ac:dyDescent="0.2">
      <c r="H7055" s="6"/>
      <c r="I7055" s="6"/>
    </row>
    <row r="7056" spans="8:9" x14ac:dyDescent="0.2">
      <c r="H7056" s="6"/>
      <c r="I7056" s="6"/>
    </row>
    <row r="7057" spans="8:9" x14ac:dyDescent="0.2">
      <c r="H7057" s="6"/>
      <c r="I7057" s="6"/>
    </row>
    <row r="7058" spans="8:9" x14ac:dyDescent="0.2">
      <c r="H7058" s="6"/>
      <c r="I7058" s="6"/>
    </row>
    <row r="7059" spans="8:9" x14ac:dyDescent="0.2">
      <c r="H7059" s="6"/>
      <c r="I7059" s="6"/>
    </row>
    <row r="7060" spans="8:9" x14ac:dyDescent="0.2">
      <c r="H7060" s="6"/>
      <c r="I7060" s="6"/>
    </row>
    <row r="7061" spans="8:9" x14ac:dyDescent="0.2">
      <c r="H7061" s="6"/>
      <c r="I7061" s="6"/>
    </row>
    <row r="7062" spans="8:9" x14ac:dyDescent="0.2">
      <c r="H7062" s="6"/>
      <c r="I7062" s="6"/>
    </row>
    <row r="7063" spans="8:9" x14ac:dyDescent="0.2">
      <c r="H7063" s="6"/>
      <c r="I7063" s="6"/>
    </row>
    <row r="7064" spans="8:9" x14ac:dyDescent="0.2">
      <c r="H7064" s="6"/>
      <c r="I7064" s="6"/>
    </row>
    <row r="7065" spans="8:9" x14ac:dyDescent="0.2">
      <c r="H7065" s="6"/>
      <c r="I7065" s="6"/>
    </row>
    <row r="7066" spans="8:9" x14ac:dyDescent="0.2">
      <c r="H7066" s="6"/>
      <c r="I7066" s="6"/>
    </row>
    <row r="7067" spans="8:9" x14ac:dyDescent="0.2">
      <c r="H7067" s="6"/>
      <c r="I7067" s="6"/>
    </row>
    <row r="7068" spans="8:9" x14ac:dyDescent="0.2">
      <c r="H7068" s="6"/>
      <c r="I7068" s="6"/>
    </row>
    <row r="7069" spans="8:9" x14ac:dyDescent="0.2">
      <c r="H7069" s="6"/>
      <c r="I7069" s="6"/>
    </row>
    <row r="7070" spans="8:9" x14ac:dyDescent="0.2">
      <c r="H7070" s="6"/>
      <c r="I7070" s="6"/>
    </row>
    <row r="7071" spans="8:9" x14ac:dyDescent="0.2">
      <c r="H7071" s="6"/>
      <c r="I7071" s="6"/>
    </row>
    <row r="7072" spans="8:9" x14ac:dyDescent="0.2">
      <c r="H7072" s="6"/>
      <c r="I7072" s="6"/>
    </row>
    <row r="7073" spans="8:9" x14ac:dyDescent="0.2">
      <c r="H7073" s="6"/>
      <c r="I7073" s="6"/>
    </row>
    <row r="7074" spans="8:9" x14ac:dyDescent="0.2">
      <c r="H7074" s="6"/>
      <c r="I7074" s="6"/>
    </row>
    <row r="7075" spans="8:9" x14ac:dyDescent="0.2">
      <c r="H7075" s="6"/>
      <c r="I7075" s="6"/>
    </row>
    <row r="7076" spans="8:9" x14ac:dyDescent="0.2">
      <c r="H7076" s="6"/>
      <c r="I7076" s="6"/>
    </row>
    <row r="7077" spans="8:9" x14ac:dyDescent="0.2">
      <c r="H7077" s="6"/>
      <c r="I7077" s="6"/>
    </row>
    <row r="7078" spans="8:9" x14ac:dyDescent="0.2">
      <c r="H7078" s="6"/>
      <c r="I7078" s="6"/>
    </row>
    <row r="7079" spans="8:9" x14ac:dyDescent="0.2">
      <c r="H7079" s="6"/>
      <c r="I7079" s="6"/>
    </row>
    <row r="7080" spans="8:9" x14ac:dyDescent="0.2">
      <c r="H7080" s="6"/>
      <c r="I7080" s="6"/>
    </row>
    <row r="7081" spans="8:9" x14ac:dyDescent="0.2">
      <c r="H7081" s="6"/>
      <c r="I7081" s="6"/>
    </row>
    <row r="7082" spans="8:9" x14ac:dyDescent="0.2">
      <c r="H7082" s="6"/>
      <c r="I7082" s="6"/>
    </row>
    <row r="7083" spans="8:9" x14ac:dyDescent="0.2">
      <c r="H7083" s="6"/>
      <c r="I7083" s="6"/>
    </row>
    <row r="7084" spans="8:9" x14ac:dyDescent="0.2">
      <c r="H7084" s="6"/>
      <c r="I7084" s="6"/>
    </row>
    <row r="7085" spans="8:9" x14ac:dyDescent="0.2">
      <c r="H7085" s="6"/>
      <c r="I7085" s="6"/>
    </row>
    <row r="7086" spans="8:9" x14ac:dyDescent="0.2">
      <c r="H7086" s="6"/>
      <c r="I7086" s="6"/>
    </row>
    <row r="7087" spans="8:9" x14ac:dyDescent="0.2">
      <c r="H7087" s="6"/>
      <c r="I7087" s="6"/>
    </row>
    <row r="7088" spans="8:9" x14ac:dyDescent="0.2">
      <c r="H7088" s="6"/>
      <c r="I7088" s="6"/>
    </row>
    <row r="7089" spans="8:9" x14ac:dyDescent="0.2">
      <c r="H7089" s="6"/>
      <c r="I7089" s="6"/>
    </row>
    <row r="7090" spans="8:9" x14ac:dyDescent="0.2">
      <c r="H7090" s="6"/>
      <c r="I7090" s="6"/>
    </row>
    <row r="7091" spans="8:9" x14ac:dyDescent="0.2">
      <c r="H7091" s="6"/>
      <c r="I7091" s="6"/>
    </row>
    <row r="7092" spans="8:9" x14ac:dyDescent="0.2">
      <c r="H7092" s="6"/>
      <c r="I7092" s="6"/>
    </row>
    <row r="7093" spans="8:9" x14ac:dyDescent="0.2">
      <c r="H7093" s="6"/>
      <c r="I7093" s="6"/>
    </row>
    <row r="7094" spans="8:9" x14ac:dyDescent="0.2">
      <c r="H7094" s="6"/>
      <c r="I7094" s="6"/>
    </row>
    <row r="7095" spans="8:9" x14ac:dyDescent="0.2">
      <c r="H7095" s="6"/>
      <c r="I7095" s="6"/>
    </row>
    <row r="7096" spans="8:9" x14ac:dyDescent="0.2">
      <c r="H7096" s="6"/>
      <c r="I7096" s="6"/>
    </row>
    <row r="7097" spans="8:9" x14ac:dyDescent="0.2">
      <c r="H7097" s="6"/>
      <c r="I7097" s="6"/>
    </row>
    <row r="7098" spans="8:9" x14ac:dyDescent="0.2">
      <c r="H7098" s="6"/>
      <c r="I7098" s="6"/>
    </row>
    <row r="7099" spans="8:9" x14ac:dyDescent="0.2">
      <c r="H7099" s="6"/>
      <c r="I7099" s="6"/>
    </row>
    <row r="7100" spans="8:9" x14ac:dyDescent="0.2">
      <c r="H7100" s="6"/>
      <c r="I7100" s="6"/>
    </row>
    <row r="7101" spans="8:9" x14ac:dyDescent="0.2">
      <c r="H7101" s="6"/>
      <c r="I7101" s="6"/>
    </row>
    <row r="7102" spans="8:9" x14ac:dyDescent="0.2">
      <c r="H7102" s="6"/>
      <c r="I7102" s="6"/>
    </row>
    <row r="7103" spans="8:9" x14ac:dyDescent="0.2">
      <c r="H7103" s="6"/>
      <c r="I7103" s="6"/>
    </row>
    <row r="7104" spans="8:9" x14ac:dyDescent="0.2">
      <c r="H7104" s="6"/>
      <c r="I7104" s="6"/>
    </row>
    <row r="7105" spans="8:9" x14ac:dyDescent="0.2">
      <c r="H7105" s="6"/>
      <c r="I7105" s="6"/>
    </row>
    <row r="7106" spans="8:9" x14ac:dyDescent="0.2">
      <c r="H7106" s="6"/>
      <c r="I7106" s="6"/>
    </row>
    <row r="7107" spans="8:9" x14ac:dyDescent="0.2">
      <c r="H7107" s="6"/>
      <c r="I7107" s="6"/>
    </row>
    <row r="7108" spans="8:9" x14ac:dyDescent="0.2">
      <c r="H7108" s="6"/>
      <c r="I7108" s="6"/>
    </row>
    <row r="7109" spans="8:9" x14ac:dyDescent="0.2">
      <c r="H7109" s="6"/>
      <c r="I7109" s="6"/>
    </row>
    <row r="7110" spans="8:9" x14ac:dyDescent="0.2">
      <c r="H7110" s="6"/>
      <c r="I7110" s="6"/>
    </row>
    <row r="7111" spans="8:9" x14ac:dyDescent="0.2">
      <c r="H7111" s="6"/>
      <c r="I7111" s="6"/>
    </row>
    <row r="7112" spans="8:9" x14ac:dyDescent="0.2">
      <c r="H7112" s="6"/>
      <c r="I7112" s="6"/>
    </row>
    <row r="7113" spans="8:9" x14ac:dyDescent="0.2">
      <c r="H7113" s="6"/>
      <c r="I7113" s="6"/>
    </row>
    <row r="7114" spans="8:9" x14ac:dyDescent="0.2">
      <c r="H7114" s="6"/>
      <c r="I7114" s="6"/>
    </row>
    <row r="7115" spans="8:9" x14ac:dyDescent="0.2">
      <c r="H7115" s="6"/>
      <c r="I7115" s="6"/>
    </row>
    <row r="7116" spans="8:9" x14ac:dyDescent="0.2">
      <c r="H7116" s="6"/>
      <c r="I7116" s="6"/>
    </row>
    <row r="7117" spans="8:9" x14ac:dyDescent="0.2">
      <c r="H7117" s="6"/>
      <c r="I7117" s="6"/>
    </row>
    <row r="7118" spans="8:9" x14ac:dyDescent="0.2">
      <c r="H7118" s="6"/>
      <c r="I7118" s="6"/>
    </row>
    <row r="7119" spans="8:9" x14ac:dyDescent="0.2">
      <c r="H7119" s="6"/>
      <c r="I7119" s="6"/>
    </row>
    <row r="7120" spans="8:9" x14ac:dyDescent="0.2">
      <c r="H7120" s="6"/>
      <c r="I7120" s="6"/>
    </row>
    <row r="7121" spans="8:9" x14ac:dyDescent="0.2">
      <c r="H7121" s="6"/>
      <c r="I7121" s="6"/>
    </row>
    <row r="7122" spans="8:9" x14ac:dyDescent="0.2">
      <c r="H7122" s="6"/>
      <c r="I7122" s="6"/>
    </row>
    <row r="7123" spans="8:9" x14ac:dyDescent="0.2">
      <c r="H7123" s="6"/>
      <c r="I7123" s="6"/>
    </row>
    <row r="7124" spans="8:9" x14ac:dyDescent="0.2">
      <c r="H7124" s="6"/>
      <c r="I7124" s="6"/>
    </row>
    <row r="7125" spans="8:9" x14ac:dyDescent="0.2">
      <c r="H7125" s="6"/>
      <c r="I7125" s="6"/>
    </row>
    <row r="7126" spans="8:9" x14ac:dyDescent="0.2">
      <c r="H7126" s="6"/>
      <c r="I7126" s="6"/>
    </row>
    <row r="7127" spans="8:9" x14ac:dyDescent="0.2">
      <c r="H7127" s="6"/>
      <c r="I7127" s="6"/>
    </row>
    <row r="7128" spans="8:9" x14ac:dyDescent="0.2">
      <c r="H7128" s="6"/>
      <c r="I7128" s="6"/>
    </row>
    <row r="7129" spans="8:9" x14ac:dyDescent="0.2">
      <c r="H7129" s="6"/>
      <c r="I7129" s="6"/>
    </row>
    <row r="7130" spans="8:9" x14ac:dyDescent="0.2">
      <c r="H7130" s="6"/>
      <c r="I7130" s="6"/>
    </row>
    <row r="7131" spans="8:9" x14ac:dyDescent="0.2">
      <c r="H7131" s="6"/>
      <c r="I7131" s="6"/>
    </row>
    <row r="7132" spans="8:9" x14ac:dyDescent="0.2">
      <c r="H7132" s="6"/>
      <c r="I7132" s="6"/>
    </row>
    <row r="7133" spans="8:9" x14ac:dyDescent="0.2">
      <c r="H7133" s="6"/>
      <c r="I7133" s="6"/>
    </row>
    <row r="7134" spans="8:9" x14ac:dyDescent="0.2">
      <c r="H7134" s="6"/>
      <c r="I7134" s="6"/>
    </row>
    <row r="7135" spans="8:9" x14ac:dyDescent="0.2">
      <c r="H7135" s="6"/>
      <c r="I7135" s="6"/>
    </row>
    <row r="7136" spans="8:9" x14ac:dyDescent="0.2">
      <c r="H7136" s="6"/>
      <c r="I7136" s="6"/>
    </row>
    <row r="7137" spans="8:9" x14ac:dyDescent="0.2">
      <c r="H7137" s="6"/>
      <c r="I7137" s="6"/>
    </row>
    <row r="7138" spans="8:9" x14ac:dyDescent="0.2">
      <c r="H7138" s="6"/>
      <c r="I7138" s="6"/>
    </row>
    <row r="7139" spans="8:9" x14ac:dyDescent="0.2">
      <c r="H7139" s="6"/>
      <c r="I7139" s="6"/>
    </row>
    <row r="7140" spans="8:9" x14ac:dyDescent="0.2">
      <c r="H7140" s="6"/>
      <c r="I7140" s="6"/>
    </row>
    <row r="7141" spans="8:9" x14ac:dyDescent="0.2">
      <c r="H7141" s="6"/>
      <c r="I7141" s="6"/>
    </row>
    <row r="7142" spans="8:9" x14ac:dyDescent="0.2">
      <c r="H7142" s="6"/>
      <c r="I7142" s="6"/>
    </row>
    <row r="7143" spans="8:9" x14ac:dyDescent="0.2">
      <c r="H7143" s="6"/>
      <c r="I7143" s="6"/>
    </row>
    <row r="7144" spans="8:9" x14ac:dyDescent="0.2">
      <c r="H7144" s="6"/>
      <c r="I7144" s="6"/>
    </row>
    <row r="7145" spans="8:9" x14ac:dyDescent="0.2">
      <c r="H7145" s="6"/>
      <c r="I7145" s="6"/>
    </row>
    <row r="7146" spans="8:9" x14ac:dyDescent="0.2">
      <c r="H7146" s="6"/>
      <c r="I7146" s="6"/>
    </row>
    <row r="7147" spans="8:9" x14ac:dyDescent="0.2">
      <c r="H7147" s="6"/>
      <c r="I7147" s="6"/>
    </row>
    <row r="7148" spans="8:9" x14ac:dyDescent="0.2">
      <c r="H7148" s="6"/>
      <c r="I7148" s="6"/>
    </row>
    <row r="7149" spans="8:9" x14ac:dyDescent="0.2">
      <c r="H7149" s="6"/>
      <c r="I7149" s="6"/>
    </row>
    <row r="7150" spans="8:9" x14ac:dyDescent="0.2">
      <c r="H7150" s="6"/>
      <c r="I7150" s="6"/>
    </row>
    <row r="7151" spans="8:9" x14ac:dyDescent="0.2">
      <c r="H7151" s="6"/>
      <c r="I7151" s="6"/>
    </row>
    <row r="7152" spans="8:9" x14ac:dyDescent="0.2">
      <c r="H7152" s="6"/>
      <c r="I7152" s="6"/>
    </row>
    <row r="7153" spans="8:9" x14ac:dyDescent="0.2">
      <c r="H7153" s="6"/>
      <c r="I7153" s="6"/>
    </row>
    <row r="7154" spans="8:9" x14ac:dyDescent="0.2">
      <c r="H7154" s="6"/>
      <c r="I7154" s="6"/>
    </row>
    <row r="7155" spans="8:9" x14ac:dyDescent="0.2">
      <c r="H7155" s="6"/>
      <c r="I7155" s="6"/>
    </row>
    <row r="7156" spans="8:9" x14ac:dyDescent="0.2">
      <c r="H7156" s="6"/>
      <c r="I7156" s="6"/>
    </row>
    <row r="7157" spans="8:9" x14ac:dyDescent="0.2">
      <c r="H7157" s="6"/>
      <c r="I7157" s="6"/>
    </row>
    <row r="7158" spans="8:9" x14ac:dyDescent="0.2">
      <c r="H7158" s="6"/>
      <c r="I7158" s="6"/>
    </row>
    <row r="7159" spans="8:9" x14ac:dyDescent="0.2">
      <c r="H7159" s="6"/>
      <c r="I7159" s="6"/>
    </row>
    <row r="7160" spans="8:9" x14ac:dyDescent="0.2">
      <c r="H7160" s="6"/>
      <c r="I7160" s="6"/>
    </row>
    <row r="7161" spans="8:9" x14ac:dyDescent="0.2">
      <c r="H7161" s="6"/>
      <c r="I7161" s="6"/>
    </row>
    <row r="7162" spans="8:9" x14ac:dyDescent="0.2">
      <c r="H7162" s="6"/>
      <c r="I7162" s="6"/>
    </row>
    <row r="7163" spans="8:9" x14ac:dyDescent="0.2">
      <c r="H7163" s="6"/>
      <c r="I7163" s="6"/>
    </row>
    <row r="7164" spans="8:9" x14ac:dyDescent="0.2">
      <c r="H7164" s="6"/>
      <c r="I7164" s="6"/>
    </row>
    <row r="7165" spans="8:9" x14ac:dyDescent="0.2">
      <c r="H7165" s="6"/>
      <c r="I7165" s="6"/>
    </row>
    <row r="7166" spans="8:9" x14ac:dyDescent="0.2">
      <c r="H7166" s="6"/>
      <c r="I7166" s="6"/>
    </row>
    <row r="7167" spans="8:9" x14ac:dyDescent="0.2">
      <c r="H7167" s="6"/>
      <c r="I7167" s="6"/>
    </row>
    <row r="7168" spans="8:9" x14ac:dyDescent="0.2">
      <c r="H7168" s="6"/>
      <c r="I7168" s="6"/>
    </row>
    <row r="7169" spans="8:9" x14ac:dyDescent="0.2">
      <c r="H7169" s="6"/>
      <c r="I7169" s="6"/>
    </row>
    <row r="7170" spans="8:9" x14ac:dyDescent="0.2">
      <c r="H7170" s="6"/>
      <c r="I7170" s="6"/>
    </row>
    <row r="7171" spans="8:9" x14ac:dyDescent="0.2">
      <c r="H7171" s="6"/>
      <c r="I7171" s="6"/>
    </row>
    <row r="7172" spans="8:9" x14ac:dyDescent="0.2">
      <c r="H7172" s="6"/>
      <c r="I7172" s="6"/>
    </row>
    <row r="7173" spans="8:9" x14ac:dyDescent="0.2">
      <c r="H7173" s="6"/>
      <c r="I7173" s="6"/>
    </row>
    <row r="7174" spans="8:9" x14ac:dyDescent="0.2">
      <c r="H7174" s="6"/>
      <c r="I7174" s="6"/>
    </row>
    <row r="7175" spans="8:9" x14ac:dyDescent="0.2">
      <c r="H7175" s="6"/>
      <c r="I7175" s="6"/>
    </row>
    <row r="7176" spans="8:9" x14ac:dyDescent="0.2">
      <c r="H7176" s="6"/>
      <c r="I7176" s="6"/>
    </row>
    <row r="7177" spans="8:9" x14ac:dyDescent="0.2">
      <c r="H7177" s="6"/>
      <c r="I7177" s="6"/>
    </row>
    <row r="7178" spans="8:9" x14ac:dyDescent="0.2">
      <c r="H7178" s="6"/>
      <c r="I7178" s="6"/>
    </row>
    <row r="7179" spans="8:9" x14ac:dyDescent="0.2">
      <c r="H7179" s="6"/>
      <c r="I7179" s="6"/>
    </row>
    <row r="7180" spans="8:9" x14ac:dyDescent="0.2">
      <c r="H7180" s="6"/>
      <c r="I7180" s="6"/>
    </row>
    <row r="7181" spans="8:9" x14ac:dyDescent="0.2">
      <c r="H7181" s="6"/>
      <c r="I7181" s="6"/>
    </row>
    <row r="7182" spans="8:9" x14ac:dyDescent="0.2">
      <c r="H7182" s="6"/>
      <c r="I7182" s="6"/>
    </row>
    <row r="7183" spans="8:9" x14ac:dyDescent="0.2">
      <c r="H7183" s="6"/>
      <c r="I7183" s="6"/>
    </row>
    <row r="7184" spans="8:9" x14ac:dyDescent="0.2">
      <c r="H7184" s="6"/>
      <c r="I7184" s="6"/>
    </row>
    <row r="7185" spans="8:9" x14ac:dyDescent="0.2">
      <c r="H7185" s="6"/>
      <c r="I7185" s="6"/>
    </row>
    <row r="7186" spans="8:9" x14ac:dyDescent="0.2">
      <c r="H7186" s="6"/>
      <c r="I7186" s="6"/>
    </row>
    <row r="7187" spans="8:9" x14ac:dyDescent="0.2">
      <c r="H7187" s="6"/>
      <c r="I7187" s="6"/>
    </row>
    <row r="7188" spans="8:9" x14ac:dyDescent="0.2">
      <c r="H7188" s="6"/>
      <c r="I7188" s="6"/>
    </row>
    <row r="7189" spans="8:9" x14ac:dyDescent="0.2">
      <c r="H7189" s="6"/>
      <c r="I7189" s="6"/>
    </row>
    <row r="7190" spans="8:9" x14ac:dyDescent="0.2">
      <c r="H7190" s="6"/>
      <c r="I7190" s="6"/>
    </row>
    <row r="7191" spans="8:9" x14ac:dyDescent="0.2">
      <c r="H7191" s="6"/>
      <c r="I7191" s="6"/>
    </row>
    <row r="7192" spans="8:9" x14ac:dyDescent="0.2">
      <c r="H7192" s="6"/>
      <c r="I7192" s="6"/>
    </row>
    <row r="7193" spans="8:9" x14ac:dyDescent="0.2">
      <c r="H7193" s="6"/>
      <c r="I7193" s="6"/>
    </row>
    <row r="7194" spans="8:9" x14ac:dyDescent="0.2">
      <c r="H7194" s="6"/>
      <c r="I7194" s="6"/>
    </row>
    <row r="7195" spans="8:9" x14ac:dyDescent="0.2">
      <c r="H7195" s="6"/>
      <c r="I7195" s="6"/>
    </row>
    <row r="7196" spans="8:9" x14ac:dyDescent="0.2">
      <c r="H7196" s="6"/>
      <c r="I7196" s="6"/>
    </row>
    <row r="7197" spans="8:9" x14ac:dyDescent="0.2">
      <c r="H7197" s="6"/>
      <c r="I7197" s="6"/>
    </row>
    <row r="7198" spans="8:9" x14ac:dyDescent="0.2">
      <c r="H7198" s="6"/>
    </row>
    <row r="7199" spans="8:9" x14ac:dyDescent="0.2">
      <c r="H7199" s="6"/>
      <c r="I7199" s="6"/>
    </row>
    <row r="7200" spans="8:9" x14ac:dyDescent="0.2">
      <c r="H7200" s="6"/>
      <c r="I7200" s="6"/>
    </row>
    <row r="7201" spans="8:9" x14ac:dyDescent="0.2">
      <c r="H7201" s="6"/>
      <c r="I7201" s="6"/>
    </row>
    <row r="7202" spans="8:9" x14ac:dyDescent="0.2">
      <c r="H7202" s="6"/>
      <c r="I7202" s="6"/>
    </row>
    <row r="7203" spans="8:9" x14ac:dyDescent="0.2">
      <c r="H7203" s="6"/>
      <c r="I7203" s="6"/>
    </row>
    <row r="7204" spans="8:9" x14ac:dyDescent="0.2">
      <c r="H7204" s="6"/>
      <c r="I7204" s="6"/>
    </row>
    <row r="7205" spans="8:9" x14ac:dyDescent="0.2">
      <c r="H7205" s="6"/>
      <c r="I7205" s="6"/>
    </row>
    <row r="7206" spans="8:9" x14ac:dyDescent="0.2">
      <c r="H7206" s="6"/>
      <c r="I7206" s="6"/>
    </row>
    <row r="7207" spans="8:9" x14ac:dyDescent="0.2">
      <c r="H7207" s="6"/>
      <c r="I7207" s="6"/>
    </row>
    <row r="7208" spans="8:9" x14ac:dyDescent="0.2">
      <c r="H7208" s="6"/>
      <c r="I7208" s="6"/>
    </row>
    <row r="7209" spans="8:9" x14ac:dyDescent="0.2">
      <c r="H7209" s="6"/>
      <c r="I7209" s="6"/>
    </row>
    <row r="7210" spans="8:9" x14ac:dyDescent="0.2">
      <c r="H7210" s="6"/>
      <c r="I7210" s="6"/>
    </row>
    <row r="7211" spans="8:9" x14ac:dyDescent="0.2">
      <c r="H7211" s="6"/>
      <c r="I7211" s="6"/>
    </row>
    <row r="7212" spans="8:9" x14ac:dyDescent="0.2">
      <c r="H7212" s="6"/>
      <c r="I7212" s="6"/>
    </row>
    <row r="7213" spans="8:9" x14ac:dyDescent="0.2">
      <c r="H7213" s="6"/>
      <c r="I7213" s="6"/>
    </row>
    <row r="7214" spans="8:9" x14ac:dyDescent="0.2">
      <c r="H7214" s="6"/>
      <c r="I7214" s="6"/>
    </row>
    <row r="7215" spans="8:9" x14ac:dyDescent="0.2">
      <c r="H7215" s="6"/>
      <c r="I7215" s="6"/>
    </row>
    <row r="7216" spans="8:9" x14ac:dyDescent="0.2">
      <c r="H7216" s="6"/>
      <c r="I7216" s="6"/>
    </row>
    <row r="7217" spans="8:9" x14ac:dyDescent="0.2">
      <c r="H7217" s="6"/>
      <c r="I7217" s="6"/>
    </row>
    <row r="7218" spans="8:9" x14ac:dyDescent="0.2">
      <c r="H7218" s="6"/>
      <c r="I7218" s="6"/>
    </row>
    <row r="7219" spans="8:9" x14ac:dyDescent="0.2">
      <c r="H7219" s="6"/>
      <c r="I7219" s="6"/>
    </row>
    <row r="7220" spans="8:9" x14ac:dyDescent="0.2">
      <c r="H7220" s="6"/>
      <c r="I7220" s="6"/>
    </row>
    <row r="7221" spans="8:9" x14ac:dyDescent="0.2">
      <c r="H7221" s="6"/>
      <c r="I7221" s="6"/>
    </row>
    <row r="7222" spans="8:9" x14ac:dyDescent="0.2">
      <c r="H7222" s="6"/>
      <c r="I7222" s="6"/>
    </row>
    <row r="7223" spans="8:9" x14ac:dyDescent="0.2">
      <c r="H7223" s="6"/>
      <c r="I7223" s="6"/>
    </row>
    <row r="7224" spans="8:9" x14ac:dyDescent="0.2">
      <c r="H7224" s="6"/>
      <c r="I7224" s="6"/>
    </row>
    <row r="7225" spans="8:9" x14ac:dyDescent="0.2">
      <c r="H7225" s="6"/>
      <c r="I7225" s="6"/>
    </row>
    <row r="7226" spans="8:9" x14ac:dyDescent="0.2">
      <c r="H7226" s="6"/>
      <c r="I7226" s="6"/>
    </row>
    <row r="7227" spans="8:9" x14ac:dyDescent="0.2">
      <c r="H7227" s="6"/>
      <c r="I7227" s="6"/>
    </row>
    <row r="7228" spans="8:9" x14ac:dyDescent="0.2">
      <c r="H7228" s="6"/>
      <c r="I7228" s="6"/>
    </row>
    <row r="7229" spans="8:9" x14ac:dyDescent="0.2">
      <c r="H7229" s="6"/>
      <c r="I7229" s="6"/>
    </row>
    <row r="7230" spans="8:9" x14ac:dyDescent="0.2">
      <c r="H7230" s="6"/>
      <c r="I7230" s="6"/>
    </row>
    <row r="7231" spans="8:9" x14ac:dyDescent="0.2">
      <c r="H7231" s="6"/>
      <c r="I7231" s="6"/>
    </row>
    <row r="7232" spans="8:9" x14ac:dyDescent="0.2">
      <c r="H7232" s="6"/>
      <c r="I7232" s="6"/>
    </row>
    <row r="7233" spans="8:9" x14ac:dyDescent="0.2">
      <c r="H7233" s="6"/>
      <c r="I7233" s="6"/>
    </row>
    <row r="7234" spans="8:9" x14ac:dyDescent="0.2">
      <c r="H7234" s="6"/>
      <c r="I7234" s="6"/>
    </row>
    <row r="7235" spans="8:9" x14ac:dyDescent="0.2">
      <c r="H7235" s="6"/>
      <c r="I7235" s="6"/>
    </row>
    <row r="7236" spans="8:9" x14ac:dyDescent="0.2">
      <c r="H7236" s="6"/>
      <c r="I7236" s="6"/>
    </row>
    <row r="7237" spans="8:9" x14ac:dyDescent="0.2">
      <c r="H7237" s="6"/>
      <c r="I7237" s="6"/>
    </row>
    <row r="7238" spans="8:9" x14ac:dyDescent="0.2">
      <c r="H7238" s="6"/>
      <c r="I7238" s="6"/>
    </row>
    <row r="7239" spans="8:9" x14ac:dyDescent="0.2">
      <c r="H7239" s="6"/>
      <c r="I7239" s="6"/>
    </row>
    <row r="7240" spans="8:9" x14ac:dyDescent="0.2">
      <c r="H7240" s="6"/>
      <c r="I7240" s="6"/>
    </row>
    <row r="7241" spans="8:9" x14ac:dyDescent="0.2">
      <c r="H7241" s="6"/>
      <c r="I7241" s="6"/>
    </row>
    <row r="7242" spans="8:9" x14ac:dyDescent="0.2">
      <c r="H7242" s="6"/>
      <c r="I7242" s="6"/>
    </row>
    <row r="7243" spans="8:9" x14ac:dyDescent="0.2">
      <c r="H7243" s="6"/>
      <c r="I7243" s="6"/>
    </row>
    <row r="7244" spans="8:9" x14ac:dyDescent="0.2">
      <c r="H7244" s="6"/>
      <c r="I7244" s="6"/>
    </row>
    <row r="7245" spans="8:9" x14ac:dyDescent="0.2">
      <c r="H7245" s="6"/>
      <c r="I7245" s="6"/>
    </row>
    <row r="7246" spans="8:9" x14ac:dyDescent="0.2">
      <c r="H7246" s="6"/>
      <c r="I7246" s="6"/>
    </row>
    <row r="7247" spans="8:9" x14ac:dyDescent="0.2">
      <c r="H7247" s="6"/>
      <c r="I7247" s="6"/>
    </row>
    <row r="7248" spans="8:9" x14ac:dyDescent="0.2">
      <c r="H7248" s="6"/>
      <c r="I7248" s="6"/>
    </row>
    <row r="7249" spans="8:9" x14ac:dyDescent="0.2">
      <c r="H7249" s="6"/>
      <c r="I7249" s="6"/>
    </row>
    <row r="7250" spans="8:9" x14ac:dyDescent="0.2">
      <c r="H7250" s="6"/>
      <c r="I7250" s="6"/>
    </row>
    <row r="7251" spans="8:9" x14ac:dyDescent="0.2">
      <c r="H7251" s="6"/>
      <c r="I7251" s="6"/>
    </row>
    <row r="7252" spans="8:9" x14ac:dyDescent="0.2">
      <c r="H7252" s="6"/>
      <c r="I7252" s="6"/>
    </row>
    <row r="7253" spans="8:9" x14ac:dyDescent="0.2">
      <c r="H7253" s="6"/>
      <c r="I7253" s="6"/>
    </row>
    <row r="7254" spans="8:9" x14ac:dyDescent="0.2">
      <c r="H7254" s="6"/>
      <c r="I7254" s="6"/>
    </row>
    <row r="7255" spans="8:9" x14ac:dyDescent="0.2">
      <c r="H7255" s="6"/>
      <c r="I7255" s="6"/>
    </row>
    <row r="7256" spans="8:9" x14ac:dyDescent="0.2">
      <c r="H7256" s="6"/>
      <c r="I7256" s="6"/>
    </row>
    <row r="7257" spans="8:9" x14ac:dyDescent="0.2">
      <c r="H7257" s="6"/>
      <c r="I7257" s="6"/>
    </row>
    <row r="7258" spans="8:9" x14ac:dyDescent="0.2">
      <c r="H7258" s="6"/>
      <c r="I7258" s="6"/>
    </row>
    <row r="7259" spans="8:9" x14ac:dyDescent="0.2">
      <c r="H7259" s="6"/>
      <c r="I7259" s="6"/>
    </row>
    <row r="7260" spans="8:9" x14ac:dyDescent="0.2">
      <c r="H7260" s="6"/>
      <c r="I7260" s="6"/>
    </row>
    <row r="7261" spans="8:9" x14ac:dyDescent="0.2">
      <c r="H7261" s="6"/>
      <c r="I7261" s="6"/>
    </row>
    <row r="7262" spans="8:9" x14ac:dyDescent="0.2">
      <c r="H7262" s="6"/>
      <c r="I7262" s="6"/>
    </row>
    <row r="7263" spans="8:9" x14ac:dyDescent="0.2">
      <c r="H7263" s="6"/>
      <c r="I7263" s="6"/>
    </row>
    <row r="7264" spans="8:9" x14ac:dyDescent="0.2">
      <c r="H7264" s="6"/>
      <c r="I7264" s="6"/>
    </row>
    <row r="7265" spans="8:9" x14ac:dyDescent="0.2">
      <c r="H7265" s="6"/>
      <c r="I7265" s="6"/>
    </row>
    <row r="7266" spans="8:9" x14ac:dyDescent="0.2">
      <c r="H7266" s="6"/>
      <c r="I7266" s="6"/>
    </row>
    <row r="7267" spans="8:9" x14ac:dyDescent="0.2">
      <c r="H7267" s="6"/>
      <c r="I7267" s="6"/>
    </row>
    <row r="7268" spans="8:9" x14ac:dyDescent="0.2">
      <c r="H7268" s="6"/>
      <c r="I7268" s="6"/>
    </row>
    <row r="7269" spans="8:9" x14ac:dyDescent="0.2">
      <c r="H7269" s="6"/>
      <c r="I7269" s="6"/>
    </row>
    <row r="7270" spans="8:9" x14ac:dyDescent="0.2">
      <c r="H7270" s="6"/>
      <c r="I7270" s="6"/>
    </row>
    <row r="7271" spans="8:9" x14ac:dyDescent="0.2">
      <c r="H7271" s="6"/>
      <c r="I7271" s="6"/>
    </row>
    <row r="7272" spans="8:9" x14ac:dyDescent="0.2">
      <c r="H7272" s="6"/>
      <c r="I7272" s="6"/>
    </row>
    <row r="7273" spans="8:9" x14ac:dyDescent="0.2">
      <c r="H7273" s="6"/>
      <c r="I7273" s="6"/>
    </row>
    <row r="7274" spans="8:9" x14ac:dyDescent="0.2">
      <c r="H7274" s="6"/>
      <c r="I7274" s="6"/>
    </row>
    <row r="7275" spans="8:9" x14ac:dyDescent="0.2">
      <c r="H7275" s="6"/>
      <c r="I7275" s="6"/>
    </row>
    <row r="7276" spans="8:9" x14ac:dyDescent="0.2">
      <c r="H7276" s="6"/>
      <c r="I7276" s="6"/>
    </row>
    <row r="7277" spans="8:9" x14ac:dyDescent="0.2">
      <c r="H7277" s="6"/>
      <c r="I7277" s="6"/>
    </row>
    <row r="7278" spans="8:9" x14ac:dyDescent="0.2">
      <c r="H7278" s="6"/>
      <c r="I7278" s="6"/>
    </row>
    <row r="7279" spans="8:9" x14ac:dyDescent="0.2">
      <c r="H7279" s="6"/>
      <c r="I7279" s="6"/>
    </row>
    <row r="7280" spans="8:9" x14ac:dyDescent="0.2">
      <c r="H7280" s="6"/>
      <c r="I7280" s="6"/>
    </row>
    <row r="7281" spans="8:9" x14ac:dyDescent="0.2">
      <c r="H7281" s="6"/>
      <c r="I7281" s="6"/>
    </row>
    <row r="7282" spans="8:9" x14ac:dyDescent="0.2">
      <c r="H7282" s="6"/>
      <c r="I7282" s="6"/>
    </row>
    <row r="7283" spans="8:9" x14ac:dyDescent="0.2">
      <c r="H7283" s="6"/>
      <c r="I7283" s="6"/>
    </row>
    <row r="7284" spans="8:9" x14ac:dyDescent="0.2">
      <c r="H7284" s="6"/>
      <c r="I7284" s="6"/>
    </row>
    <row r="7285" spans="8:9" x14ac:dyDescent="0.2">
      <c r="H7285" s="6"/>
      <c r="I7285" s="6"/>
    </row>
    <row r="7286" spans="8:9" x14ac:dyDescent="0.2">
      <c r="H7286" s="6"/>
      <c r="I7286" s="6"/>
    </row>
    <row r="7287" spans="8:9" x14ac:dyDescent="0.2">
      <c r="H7287" s="6"/>
      <c r="I7287" s="6"/>
    </row>
    <row r="7288" spans="8:9" x14ac:dyDescent="0.2">
      <c r="H7288" s="6"/>
      <c r="I7288" s="6"/>
    </row>
    <row r="7289" spans="8:9" x14ac:dyDescent="0.2">
      <c r="H7289" s="6"/>
      <c r="I7289" s="6"/>
    </row>
    <row r="7290" spans="8:9" x14ac:dyDescent="0.2">
      <c r="H7290" s="6"/>
      <c r="I7290" s="6"/>
    </row>
    <row r="7291" spans="8:9" x14ac:dyDescent="0.2">
      <c r="H7291" s="6"/>
      <c r="I7291" s="6"/>
    </row>
    <row r="7292" spans="8:9" x14ac:dyDescent="0.2">
      <c r="H7292" s="6"/>
      <c r="I7292" s="6"/>
    </row>
    <row r="7293" spans="8:9" x14ac:dyDescent="0.2">
      <c r="H7293" s="6"/>
      <c r="I7293" s="6"/>
    </row>
    <row r="7294" spans="8:9" x14ac:dyDescent="0.2">
      <c r="H7294" s="6"/>
      <c r="I7294" s="6"/>
    </row>
    <row r="7295" spans="8:9" x14ac:dyDescent="0.2">
      <c r="H7295" s="6"/>
      <c r="I7295" s="6"/>
    </row>
    <row r="7296" spans="8:9" x14ac:dyDescent="0.2">
      <c r="H7296" s="6"/>
      <c r="I7296" s="6"/>
    </row>
    <row r="7297" spans="8:9" x14ac:dyDescent="0.2">
      <c r="H7297" s="6"/>
      <c r="I7297" s="6"/>
    </row>
    <row r="7298" spans="8:9" x14ac:dyDescent="0.2">
      <c r="H7298" s="6"/>
      <c r="I7298" s="6"/>
    </row>
    <row r="7299" spans="8:9" x14ac:dyDescent="0.2">
      <c r="H7299" s="6"/>
      <c r="I7299" s="6"/>
    </row>
    <row r="7300" spans="8:9" x14ac:dyDescent="0.2">
      <c r="H7300" s="6"/>
      <c r="I7300" s="6"/>
    </row>
    <row r="7301" spans="8:9" x14ac:dyDescent="0.2">
      <c r="H7301" s="6"/>
      <c r="I7301" s="6"/>
    </row>
    <row r="7302" spans="8:9" x14ac:dyDescent="0.2">
      <c r="H7302" s="6"/>
      <c r="I7302" s="6"/>
    </row>
    <row r="7303" spans="8:9" x14ac:dyDescent="0.2">
      <c r="H7303" s="6"/>
      <c r="I7303" s="6"/>
    </row>
    <row r="7304" spans="8:9" x14ac:dyDescent="0.2">
      <c r="H7304" s="6"/>
      <c r="I7304" s="6"/>
    </row>
    <row r="7305" spans="8:9" x14ac:dyDescent="0.2">
      <c r="H7305" s="6"/>
      <c r="I7305" s="6"/>
    </row>
    <row r="7306" spans="8:9" x14ac:dyDescent="0.2">
      <c r="H7306" s="6"/>
      <c r="I7306" s="6"/>
    </row>
    <row r="7307" spans="8:9" x14ac:dyDescent="0.2">
      <c r="H7307" s="6"/>
      <c r="I7307" s="6"/>
    </row>
    <row r="7308" spans="8:9" x14ac:dyDescent="0.2">
      <c r="H7308" s="6"/>
      <c r="I7308" s="6"/>
    </row>
    <row r="7309" spans="8:9" x14ac:dyDescent="0.2">
      <c r="H7309" s="6"/>
      <c r="I7309" s="6"/>
    </row>
    <row r="7310" spans="8:9" x14ac:dyDescent="0.2">
      <c r="H7310" s="6"/>
      <c r="I7310" s="6"/>
    </row>
    <row r="7311" spans="8:9" x14ac:dyDescent="0.2">
      <c r="H7311" s="6"/>
      <c r="I7311" s="6"/>
    </row>
    <row r="7312" spans="8:9" x14ac:dyDescent="0.2">
      <c r="H7312" s="6"/>
      <c r="I7312" s="6"/>
    </row>
    <row r="7313" spans="8:9" x14ac:dyDescent="0.2">
      <c r="H7313" s="6"/>
      <c r="I7313" s="6"/>
    </row>
    <row r="7314" spans="8:9" x14ac:dyDescent="0.2">
      <c r="H7314" s="6"/>
      <c r="I7314" s="6"/>
    </row>
    <row r="7315" spans="8:9" x14ac:dyDescent="0.2">
      <c r="H7315" s="6"/>
      <c r="I7315" s="6"/>
    </row>
    <row r="7316" spans="8:9" x14ac:dyDescent="0.2">
      <c r="H7316" s="6"/>
      <c r="I7316" s="6"/>
    </row>
    <row r="7317" spans="8:9" x14ac:dyDescent="0.2">
      <c r="H7317" s="6"/>
      <c r="I7317" s="6"/>
    </row>
    <row r="7318" spans="8:9" x14ac:dyDescent="0.2">
      <c r="H7318" s="6"/>
      <c r="I7318" s="6"/>
    </row>
    <row r="7319" spans="8:9" x14ac:dyDescent="0.2">
      <c r="H7319" s="6"/>
      <c r="I7319" s="6"/>
    </row>
    <row r="7320" spans="8:9" x14ac:dyDescent="0.2">
      <c r="H7320" s="6"/>
      <c r="I7320" s="6"/>
    </row>
    <row r="7321" spans="8:9" x14ac:dyDescent="0.2">
      <c r="H7321" s="6"/>
      <c r="I7321" s="6"/>
    </row>
    <row r="7322" spans="8:9" x14ac:dyDescent="0.2">
      <c r="H7322" s="6"/>
      <c r="I7322" s="6"/>
    </row>
    <row r="7323" spans="8:9" x14ac:dyDescent="0.2">
      <c r="H7323" s="6"/>
      <c r="I7323" s="6"/>
    </row>
    <row r="7324" spans="8:9" x14ac:dyDescent="0.2">
      <c r="H7324" s="6"/>
      <c r="I7324" s="6"/>
    </row>
    <row r="7325" spans="8:9" x14ac:dyDescent="0.2">
      <c r="H7325" s="6"/>
      <c r="I7325" s="6"/>
    </row>
    <row r="7326" spans="8:9" x14ac:dyDescent="0.2">
      <c r="H7326" s="6"/>
      <c r="I7326" s="6"/>
    </row>
    <row r="7327" spans="8:9" x14ac:dyDescent="0.2">
      <c r="H7327" s="6"/>
      <c r="I7327" s="6"/>
    </row>
    <row r="7328" spans="8:9" x14ac:dyDescent="0.2">
      <c r="H7328" s="6"/>
      <c r="I7328" s="6"/>
    </row>
    <row r="7329" spans="8:9" x14ac:dyDescent="0.2">
      <c r="H7329" s="6"/>
      <c r="I7329" s="6"/>
    </row>
    <row r="7330" spans="8:9" x14ac:dyDescent="0.2">
      <c r="H7330" s="6"/>
      <c r="I7330" s="6"/>
    </row>
    <row r="7331" spans="8:9" x14ac:dyDescent="0.2">
      <c r="H7331" s="6"/>
      <c r="I7331" s="6"/>
    </row>
    <row r="7332" spans="8:9" x14ac:dyDescent="0.2">
      <c r="H7332" s="6"/>
      <c r="I7332" s="6"/>
    </row>
    <row r="7333" spans="8:9" x14ac:dyDescent="0.2">
      <c r="H7333" s="6"/>
      <c r="I7333" s="6"/>
    </row>
    <row r="7334" spans="8:9" x14ac:dyDescent="0.2">
      <c r="H7334" s="6"/>
      <c r="I7334" s="6"/>
    </row>
    <row r="7335" spans="8:9" x14ac:dyDescent="0.2">
      <c r="H7335" s="6"/>
      <c r="I7335" s="6"/>
    </row>
    <row r="7336" spans="8:9" x14ac:dyDescent="0.2">
      <c r="H7336" s="6"/>
      <c r="I7336" s="6"/>
    </row>
    <row r="7337" spans="8:9" x14ac:dyDescent="0.2">
      <c r="H7337" s="6"/>
      <c r="I7337" s="6"/>
    </row>
    <row r="7338" spans="8:9" x14ac:dyDescent="0.2">
      <c r="H7338" s="6"/>
      <c r="I7338" s="6"/>
    </row>
    <row r="7339" spans="8:9" x14ac:dyDescent="0.2">
      <c r="H7339" s="6"/>
      <c r="I7339" s="6"/>
    </row>
    <row r="7340" spans="8:9" x14ac:dyDescent="0.2">
      <c r="H7340" s="6"/>
      <c r="I7340" s="6"/>
    </row>
    <row r="7341" spans="8:9" x14ac:dyDescent="0.2">
      <c r="H7341" s="6"/>
      <c r="I7341" s="6"/>
    </row>
    <row r="7342" spans="8:9" x14ac:dyDescent="0.2">
      <c r="H7342" s="6"/>
      <c r="I7342" s="6"/>
    </row>
    <row r="7343" spans="8:9" x14ac:dyDescent="0.2">
      <c r="H7343" s="6"/>
      <c r="I7343" s="6"/>
    </row>
    <row r="7344" spans="8:9" x14ac:dyDescent="0.2">
      <c r="H7344" s="6"/>
      <c r="I7344" s="6"/>
    </row>
    <row r="7345" spans="8:9" x14ac:dyDescent="0.2">
      <c r="H7345" s="6"/>
      <c r="I7345" s="6"/>
    </row>
    <row r="7346" spans="8:9" x14ac:dyDescent="0.2">
      <c r="H7346" s="6"/>
      <c r="I7346" s="6"/>
    </row>
    <row r="7347" spans="8:9" x14ac:dyDescent="0.2">
      <c r="H7347" s="6"/>
      <c r="I7347" s="6"/>
    </row>
    <row r="7348" spans="8:9" x14ac:dyDescent="0.2">
      <c r="H7348" s="6"/>
      <c r="I7348" s="6"/>
    </row>
    <row r="7349" spans="8:9" x14ac:dyDescent="0.2">
      <c r="H7349" s="6"/>
      <c r="I7349" s="6"/>
    </row>
    <row r="7350" spans="8:9" x14ac:dyDescent="0.2">
      <c r="H7350" s="6"/>
      <c r="I7350" s="6"/>
    </row>
    <row r="7351" spans="8:9" x14ac:dyDescent="0.2">
      <c r="H7351" s="6"/>
      <c r="I7351" s="6"/>
    </row>
    <row r="7352" spans="8:9" x14ac:dyDescent="0.2">
      <c r="H7352" s="6"/>
      <c r="I7352" s="6"/>
    </row>
    <row r="7353" spans="8:9" x14ac:dyDescent="0.2">
      <c r="H7353" s="6"/>
      <c r="I7353" s="6"/>
    </row>
    <row r="7354" spans="8:9" x14ac:dyDescent="0.2">
      <c r="H7354" s="6"/>
      <c r="I7354" s="6"/>
    </row>
    <row r="7355" spans="8:9" x14ac:dyDescent="0.2">
      <c r="H7355" s="6"/>
      <c r="I7355" s="6"/>
    </row>
    <row r="7356" spans="8:9" x14ac:dyDescent="0.2">
      <c r="H7356" s="6"/>
      <c r="I7356" s="6"/>
    </row>
    <row r="7357" spans="8:9" x14ac:dyDescent="0.2">
      <c r="H7357" s="6"/>
      <c r="I7357" s="6"/>
    </row>
    <row r="7358" spans="8:9" x14ac:dyDescent="0.2">
      <c r="H7358" s="6"/>
      <c r="I7358" s="6"/>
    </row>
    <row r="7359" spans="8:9" x14ac:dyDescent="0.2">
      <c r="H7359" s="6"/>
      <c r="I7359" s="6"/>
    </row>
    <row r="7360" spans="8:9" x14ac:dyDescent="0.2">
      <c r="H7360" s="6"/>
      <c r="I7360" s="6"/>
    </row>
    <row r="7361" spans="8:9" x14ac:dyDescent="0.2">
      <c r="H7361" s="6"/>
      <c r="I7361" s="6"/>
    </row>
    <row r="7362" spans="8:9" x14ac:dyDescent="0.2">
      <c r="H7362" s="6"/>
      <c r="I7362" s="6"/>
    </row>
    <row r="7363" spans="8:9" x14ac:dyDescent="0.2">
      <c r="H7363" s="6"/>
      <c r="I7363" s="6"/>
    </row>
    <row r="7364" spans="8:9" x14ac:dyDescent="0.2">
      <c r="H7364" s="6"/>
      <c r="I7364" s="6"/>
    </row>
    <row r="7365" spans="8:9" x14ac:dyDescent="0.2">
      <c r="H7365" s="6"/>
      <c r="I7365" s="6"/>
    </row>
    <row r="7366" spans="8:9" x14ac:dyDescent="0.2">
      <c r="H7366" s="6"/>
      <c r="I7366" s="6"/>
    </row>
    <row r="7367" spans="8:9" x14ac:dyDescent="0.2">
      <c r="H7367" s="6"/>
      <c r="I7367" s="6"/>
    </row>
    <row r="7368" spans="8:9" x14ac:dyDescent="0.2">
      <c r="H7368" s="6"/>
      <c r="I7368" s="6"/>
    </row>
    <row r="7369" spans="8:9" x14ac:dyDescent="0.2">
      <c r="H7369" s="6"/>
      <c r="I7369" s="6"/>
    </row>
    <row r="7370" spans="8:9" x14ac:dyDescent="0.2">
      <c r="H7370" s="6"/>
      <c r="I7370" s="6"/>
    </row>
    <row r="7371" spans="8:9" x14ac:dyDescent="0.2">
      <c r="H7371" s="6"/>
      <c r="I7371" s="6"/>
    </row>
    <row r="7372" spans="8:9" x14ac:dyDescent="0.2">
      <c r="H7372" s="6"/>
      <c r="I7372" s="6"/>
    </row>
    <row r="7373" spans="8:9" x14ac:dyDescent="0.2">
      <c r="H7373" s="6"/>
      <c r="I7373" s="6"/>
    </row>
    <row r="7374" spans="8:9" x14ac:dyDescent="0.2">
      <c r="H7374" s="6"/>
      <c r="I7374" s="6"/>
    </row>
    <row r="7375" spans="8:9" x14ac:dyDescent="0.2">
      <c r="H7375" s="6"/>
      <c r="I7375" s="6"/>
    </row>
    <row r="7376" spans="8:9" x14ac:dyDescent="0.2">
      <c r="H7376" s="6"/>
      <c r="I7376" s="6"/>
    </row>
    <row r="7377" spans="8:9" x14ac:dyDescent="0.2">
      <c r="H7377" s="6"/>
      <c r="I7377" s="6"/>
    </row>
    <row r="7378" spans="8:9" x14ac:dyDescent="0.2">
      <c r="H7378" s="6"/>
      <c r="I7378" s="6"/>
    </row>
    <row r="7379" spans="8:9" x14ac:dyDescent="0.2">
      <c r="H7379" s="6"/>
      <c r="I7379" s="6"/>
    </row>
    <row r="7380" spans="8:9" x14ac:dyDescent="0.2">
      <c r="H7380" s="6"/>
      <c r="I7380" s="6"/>
    </row>
    <row r="7381" spans="8:9" x14ac:dyDescent="0.2">
      <c r="H7381" s="6"/>
      <c r="I7381" s="6"/>
    </row>
    <row r="7382" spans="8:9" x14ac:dyDescent="0.2">
      <c r="H7382" s="6"/>
      <c r="I7382" s="6"/>
    </row>
    <row r="7383" spans="8:9" x14ac:dyDescent="0.2">
      <c r="H7383" s="6"/>
      <c r="I7383" s="6"/>
    </row>
    <row r="7384" spans="8:9" x14ac:dyDescent="0.2">
      <c r="H7384" s="6"/>
      <c r="I7384" s="6"/>
    </row>
    <row r="7385" spans="8:9" x14ac:dyDescent="0.2">
      <c r="H7385" s="6"/>
      <c r="I7385" s="6"/>
    </row>
    <row r="7386" spans="8:9" x14ac:dyDescent="0.2">
      <c r="H7386" s="6"/>
      <c r="I7386" s="6"/>
    </row>
    <row r="7387" spans="8:9" x14ac:dyDescent="0.2">
      <c r="H7387" s="6"/>
      <c r="I7387" s="6"/>
    </row>
    <row r="7388" spans="8:9" x14ac:dyDescent="0.2">
      <c r="H7388" s="6"/>
      <c r="I7388" s="6"/>
    </row>
    <row r="7389" spans="8:9" x14ac:dyDescent="0.2">
      <c r="H7389" s="6"/>
      <c r="I7389" s="6"/>
    </row>
    <row r="7390" spans="8:9" x14ac:dyDescent="0.2">
      <c r="H7390" s="6"/>
      <c r="I7390" s="6"/>
    </row>
    <row r="7391" spans="8:9" x14ac:dyDescent="0.2">
      <c r="H7391" s="6"/>
      <c r="I7391" s="6"/>
    </row>
    <row r="7392" spans="8:9" x14ac:dyDescent="0.2">
      <c r="H7392" s="6"/>
      <c r="I7392" s="6"/>
    </row>
    <row r="7393" spans="8:9" x14ac:dyDescent="0.2">
      <c r="H7393" s="6"/>
      <c r="I7393" s="6"/>
    </row>
    <row r="7394" spans="8:9" x14ac:dyDescent="0.2">
      <c r="H7394" s="6"/>
      <c r="I7394" s="6"/>
    </row>
    <row r="7395" spans="8:9" x14ac:dyDescent="0.2">
      <c r="H7395" s="6"/>
      <c r="I7395" s="6"/>
    </row>
    <row r="7396" spans="8:9" x14ac:dyDescent="0.2">
      <c r="H7396" s="6"/>
      <c r="I7396" s="6"/>
    </row>
    <row r="7397" spans="8:9" x14ac:dyDescent="0.2">
      <c r="H7397" s="6"/>
      <c r="I7397" s="6"/>
    </row>
    <row r="7398" spans="8:9" x14ac:dyDescent="0.2">
      <c r="H7398" s="6"/>
      <c r="I7398" s="6"/>
    </row>
    <row r="7399" spans="8:9" x14ac:dyDescent="0.2">
      <c r="H7399" s="6"/>
      <c r="I7399" s="6"/>
    </row>
    <row r="7400" spans="8:9" x14ac:dyDescent="0.2">
      <c r="H7400" s="6"/>
      <c r="I7400" s="6"/>
    </row>
    <row r="7401" spans="8:9" x14ac:dyDescent="0.2">
      <c r="H7401" s="6"/>
      <c r="I7401" s="6"/>
    </row>
    <row r="7402" spans="8:9" x14ac:dyDescent="0.2">
      <c r="H7402" s="6"/>
      <c r="I7402" s="6"/>
    </row>
    <row r="7403" spans="8:9" x14ac:dyDescent="0.2">
      <c r="H7403" s="6"/>
      <c r="I7403" s="6"/>
    </row>
    <row r="7404" spans="8:9" x14ac:dyDescent="0.2">
      <c r="H7404" s="6"/>
      <c r="I7404" s="6"/>
    </row>
    <row r="7405" spans="8:9" x14ac:dyDescent="0.2">
      <c r="H7405" s="6"/>
      <c r="I7405" s="6"/>
    </row>
    <row r="7406" spans="8:9" x14ac:dyDescent="0.2">
      <c r="H7406" s="6"/>
      <c r="I7406" s="6"/>
    </row>
    <row r="7407" spans="8:9" x14ac:dyDescent="0.2">
      <c r="H7407" s="6"/>
    </row>
    <row r="7408" spans="8:9" x14ac:dyDescent="0.2">
      <c r="H7408" s="6"/>
      <c r="I7408" s="6"/>
    </row>
    <row r="7409" spans="8:9" x14ac:dyDescent="0.2">
      <c r="H7409" s="6"/>
      <c r="I7409" s="6"/>
    </row>
    <row r="7410" spans="8:9" x14ac:dyDescent="0.2">
      <c r="H7410" s="6"/>
      <c r="I7410" s="6"/>
    </row>
    <row r="7411" spans="8:9" x14ac:dyDescent="0.2">
      <c r="H7411" s="6"/>
      <c r="I7411" s="6"/>
    </row>
    <row r="7412" spans="8:9" x14ac:dyDescent="0.2">
      <c r="H7412" s="6"/>
      <c r="I7412" s="6"/>
    </row>
    <row r="7413" spans="8:9" x14ac:dyDescent="0.2">
      <c r="H7413" s="6"/>
      <c r="I7413" s="6"/>
    </row>
    <row r="7414" spans="8:9" x14ac:dyDescent="0.2">
      <c r="H7414" s="6"/>
      <c r="I7414" s="6"/>
    </row>
    <row r="7415" spans="8:9" x14ac:dyDescent="0.2">
      <c r="H7415" s="6"/>
      <c r="I7415" s="6"/>
    </row>
    <row r="7416" spans="8:9" x14ac:dyDescent="0.2">
      <c r="H7416" s="6"/>
      <c r="I7416" s="6"/>
    </row>
    <row r="7417" spans="8:9" x14ac:dyDescent="0.2">
      <c r="H7417" s="6"/>
      <c r="I7417" s="6"/>
    </row>
    <row r="7418" spans="8:9" x14ac:dyDescent="0.2">
      <c r="H7418" s="6"/>
      <c r="I7418" s="6"/>
    </row>
    <row r="7419" spans="8:9" x14ac:dyDescent="0.2">
      <c r="H7419" s="6"/>
      <c r="I7419" s="6"/>
    </row>
    <row r="7420" spans="8:9" x14ac:dyDescent="0.2">
      <c r="H7420" s="6"/>
      <c r="I7420" s="6"/>
    </row>
    <row r="7421" spans="8:9" x14ac:dyDescent="0.2">
      <c r="H7421" s="6"/>
      <c r="I7421" s="6"/>
    </row>
    <row r="7422" spans="8:9" x14ac:dyDescent="0.2">
      <c r="H7422" s="6"/>
      <c r="I7422" s="6"/>
    </row>
    <row r="7423" spans="8:9" x14ac:dyDescent="0.2">
      <c r="H7423" s="6"/>
      <c r="I7423" s="6"/>
    </row>
    <row r="7424" spans="8:9" x14ac:dyDescent="0.2">
      <c r="H7424" s="6"/>
      <c r="I7424" s="6"/>
    </row>
    <row r="7425" spans="8:9" x14ac:dyDescent="0.2">
      <c r="H7425" s="6"/>
      <c r="I7425" s="6"/>
    </row>
    <row r="7426" spans="8:9" x14ac:dyDescent="0.2">
      <c r="H7426" s="6"/>
      <c r="I7426" s="6"/>
    </row>
    <row r="7427" spans="8:9" x14ac:dyDescent="0.2">
      <c r="H7427" s="6"/>
      <c r="I7427" s="6"/>
    </row>
    <row r="7428" spans="8:9" x14ac:dyDescent="0.2">
      <c r="H7428" s="6"/>
      <c r="I7428" s="6"/>
    </row>
    <row r="7429" spans="8:9" x14ac:dyDescent="0.2">
      <c r="H7429" s="6"/>
      <c r="I7429" s="6"/>
    </row>
    <row r="7430" spans="8:9" x14ac:dyDescent="0.2">
      <c r="H7430" s="6"/>
      <c r="I7430" s="6"/>
    </row>
    <row r="7431" spans="8:9" x14ac:dyDescent="0.2">
      <c r="H7431" s="6"/>
      <c r="I7431" s="6"/>
    </row>
    <row r="7432" spans="8:9" x14ac:dyDescent="0.2">
      <c r="H7432" s="6"/>
      <c r="I7432" s="6"/>
    </row>
    <row r="7433" spans="8:9" x14ac:dyDescent="0.2">
      <c r="H7433" s="6"/>
      <c r="I7433" s="6"/>
    </row>
    <row r="7434" spans="8:9" x14ac:dyDescent="0.2">
      <c r="H7434" s="6"/>
      <c r="I7434" s="6"/>
    </row>
    <row r="7435" spans="8:9" x14ac:dyDescent="0.2">
      <c r="H7435" s="6"/>
      <c r="I7435" s="6"/>
    </row>
    <row r="7436" spans="8:9" x14ac:dyDescent="0.2">
      <c r="H7436" s="6"/>
      <c r="I7436" s="6"/>
    </row>
    <row r="7437" spans="8:9" x14ac:dyDescent="0.2">
      <c r="H7437" s="6"/>
      <c r="I7437" s="6"/>
    </row>
    <row r="7438" spans="8:9" x14ac:dyDescent="0.2">
      <c r="H7438" s="6"/>
      <c r="I7438" s="6"/>
    </row>
    <row r="7439" spans="8:9" x14ac:dyDescent="0.2">
      <c r="H7439" s="6"/>
      <c r="I7439" s="6"/>
    </row>
    <row r="7440" spans="8:9" x14ac:dyDescent="0.2">
      <c r="H7440" s="6"/>
      <c r="I7440" s="6"/>
    </row>
    <row r="7441" spans="8:9" x14ac:dyDescent="0.2">
      <c r="H7441" s="6"/>
      <c r="I7441" s="6"/>
    </row>
    <row r="7442" spans="8:9" x14ac:dyDescent="0.2">
      <c r="H7442" s="6"/>
      <c r="I7442" s="6"/>
    </row>
    <row r="7443" spans="8:9" x14ac:dyDescent="0.2">
      <c r="H7443" s="6"/>
      <c r="I7443" s="6"/>
    </row>
    <row r="7444" spans="8:9" x14ac:dyDescent="0.2">
      <c r="H7444" s="6"/>
      <c r="I7444" s="6"/>
    </row>
    <row r="7445" spans="8:9" x14ac:dyDescent="0.2">
      <c r="H7445" s="6"/>
      <c r="I7445" s="6"/>
    </row>
    <row r="7446" spans="8:9" x14ac:dyDescent="0.2">
      <c r="H7446" s="6"/>
      <c r="I7446" s="6"/>
    </row>
    <row r="7447" spans="8:9" x14ac:dyDescent="0.2">
      <c r="H7447" s="6"/>
      <c r="I7447" s="6"/>
    </row>
    <row r="7448" spans="8:9" x14ac:dyDescent="0.2">
      <c r="H7448" s="6"/>
      <c r="I7448" s="6"/>
    </row>
    <row r="7449" spans="8:9" x14ac:dyDescent="0.2">
      <c r="H7449" s="6"/>
      <c r="I7449" s="6"/>
    </row>
    <row r="7450" spans="8:9" x14ac:dyDescent="0.2">
      <c r="H7450" s="6"/>
      <c r="I7450" s="6"/>
    </row>
    <row r="7451" spans="8:9" x14ac:dyDescent="0.2">
      <c r="H7451" s="6"/>
      <c r="I7451" s="6"/>
    </row>
    <row r="7452" spans="8:9" x14ac:dyDescent="0.2">
      <c r="H7452" s="6"/>
      <c r="I7452" s="6"/>
    </row>
    <row r="7453" spans="8:9" x14ac:dyDescent="0.2">
      <c r="H7453" s="6"/>
      <c r="I7453" s="6"/>
    </row>
    <row r="7454" spans="8:9" x14ac:dyDescent="0.2">
      <c r="H7454" s="6"/>
      <c r="I7454" s="6"/>
    </row>
    <row r="7455" spans="8:9" x14ac:dyDescent="0.2">
      <c r="H7455" s="6"/>
      <c r="I7455" s="6"/>
    </row>
    <row r="7456" spans="8:9" x14ac:dyDescent="0.2">
      <c r="H7456" s="6"/>
      <c r="I7456" s="6"/>
    </row>
    <row r="7457" spans="8:9" x14ac:dyDescent="0.2">
      <c r="H7457" s="6"/>
      <c r="I7457" s="6"/>
    </row>
    <row r="7458" spans="8:9" x14ac:dyDescent="0.2">
      <c r="H7458" s="6"/>
      <c r="I7458" s="6"/>
    </row>
    <row r="7459" spans="8:9" x14ac:dyDescent="0.2">
      <c r="H7459" s="6"/>
      <c r="I7459" s="6"/>
    </row>
    <row r="7460" spans="8:9" x14ac:dyDescent="0.2">
      <c r="H7460" s="6"/>
      <c r="I7460" s="6"/>
    </row>
    <row r="7461" spans="8:9" x14ac:dyDescent="0.2">
      <c r="H7461" s="6"/>
      <c r="I7461" s="6"/>
    </row>
    <row r="7462" spans="8:9" x14ac:dyDescent="0.2">
      <c r="H7462" s="6"/>
      <c r="I7462" s="6"/>
    </row>
    <row r="7463" spans="8:9" x14ac:dyDescent="0.2">
      <c r="H7463" s="6"/>
      <c r="I7463" s="6"/>
    </row>
    <row r="7464" spans="8:9" x14ac:dyDescent="0.2">
      <c r="H7464" s="6"/>
      <c r="I7464" s="6"/>
    </row>
    <row r="7465" spans="8:9" x14ac:dyDescent="0.2">
      <c r="H7465" s="6"/>
      <c r="I7465" s="6"/>
    </row>
    <row r="7466" spans="8:9" x14ac:dyDescent="0.2">
      <c r="H7466" s="6"/>
      <c r="I7466" s="6"/>
    </row>
    <row r="7467" spans="8:9" x14ac:dyDescent="0.2">
      <c r="H7467" s="6"/>
      <c r="I7467" s="6"/>
    </row>
    <row r="7468" spans="8:9" x14ac:dyDescent="0.2">
      <c r="H7468" s="6"/>
      <c r="I7468" s="6"/>
    </row>
    <row r="7469" spans="8:9" x14ac:dyDescent="0.2">
      <c r="H7469" s="6"/>
      <c r="I7469" s="6"/>
    </row>
    <row r="7470" spans="8:9" x14ac:dyDescent="0.2">
      <c r="H7470" s="6"/>
      <c r="I7470" s="6"/>
    </row>
    <row r="7471" spans="8:9" x14ac:dyDescent="0.2">
      <c r="H7471" s="6"/>
      <c r="I7471" s="6"/>
    </row>
    <row r="7472" spans="8:9" x14ac:dyDescent="0.2">
      <c r="H7472" s="6"/>
      <c r="I7472" s="6"/>
    </row>
    <row r="7473" spans="8:9" x14ac:dyDescent="0.2">
      <c r="H7473" s="6"/>
      <c r="I7473" s="6"/>
    </row>
    <row r="7474" spans="8:9" x14ac:dyDescent="0.2">
      <c r="H7474" s="6"/>
      <c r="I7474" s="6"/>
    </row>
    <row r="7475" spans="8:9" x14ac:dyDescent="0.2">
      <c r="H7475" s="6"/>
      <c r="I7475" s="6"/>
    </row>
    <row r="7476" spans="8:9" x14ac:dyDescent="0.2">
      <c r="H7476" s="6"/>
      <c r="I7476" s="6"/>
    </row>
    <row r="7477" spans="8:9" x14ac:dyDescent="0.2">
      <c r="H7477" s="6"/>
      <c r="I7477" s="6"/>
    </row>
    <row r="7478" spans="8:9" x14ac:dyDescent="0.2">
      <c r="H7478" s="6"/>
      <c r="I7478" s="6"/>
    </row>
    <row r="7479" spans="8:9" x14ac:dyDescent="0.2">
      <c r="H7479" s="6"/>
      <c r="I7479" s="6"/>
    </row>
    <row r="7480" spans="8:9" x14ac:dyDescent="0.2">
      <c r="H7480" s="6"/>
      <c r="I7480" s="6"/>
    </row>
    <row r="7481" spans="8:9" x14ac:dyDescent="0.2">
      <c r="H7481" s="6"/>
      <c r="I7481" s="6"/>
    </row>
    <row r="7482" spans="8:9" x14ac:dyDescent="0.2">
      <c r="H7482" s="6"/>
      <c r="I7482" s="6"/>
    </row>
    <row r="7483" spans="8:9" x14ac:dyDescent="0.2">
      <c r="H7483" s="6"/>
      <c r="I7483" s="6"/>
    </row>
    <row r="7484" spans="8:9" x14ac:dyDescent="0.2">
      <c r="H7484" s="6"/>
      <c r="I7484" s="6"/>
    </row>
    <row r="7485" spans="8:9" x14ac:dyDescent="0.2">
      <c r="H7485" s="6"/>
      <c r="I7485" s="6"/>
    </row>
    <row r="7486" spans="8:9" x14ac:dyDescent="0.2">
      <c r="H7486" s="6"/>
      <c r="I7486" s="6"/>
    </row>
    <row r="7487" spans="8:9" x14ac:dyDescent="0.2">
      <c r="H7487" s="6"/>
      <c r="I7487" s="6"/>
    </row>
    <row r="7488" spans="8:9" x14ac:dyDescent="0.2">
      <c r="H7488" s="6"/>
      <c r="I7488" s="6"/>
    </row>
    <row r="7489" spans="8:9" x14ac:dyDescent="0.2">
      <c r="H7489" s="6"/>
      <c r="I7489" s="6"/>
    </row>
    <row r="7490" spans="8:9" x14ac:dyDescent="0.2">
      <c r="H7490" s="6"/>
      <c r="I7490" s="6"/>
    </row>
    <row r="7491" spans="8:9" x14ac:dyDescent="0.2">
      <c r="H7491" s="6"/>
      <c r="I7491" s="6"/>
    </row>
    <row r="7492" spans="8:9" x14ac:dyDescent="0.2">
      <c r="H7492" s="6"/>
      <c r="I7492" s="6"/>
    </row>
    <row r="7493" spans="8:9" x14ac:dyDescent="0.2">
      <c r="H7493" s="6"/>
      <c r="I7493" s="6"/>
    </row>
    <row r="7494" spans="8:9" x14ac:dyDescent="0.2">
      <c r="H7494" s="6"/>
      <c r="I7494" s="6"/>
    </row>
    <row r="7495" spans="8:9" x14ac:dyDescent="0.2">
      <c r="H7495" s="6"/>
      <c r="I7495" s="6"/>
    </row>
    <row r="7496" spans="8:9" x14ac:dyDescent="0.2">
      <c r="H7496" s="6"/>
      <c r="I7496" s="6"/>
    </row>
    <row r="7497" spans="8:9" x14ac:dyDescent="0.2">
      <c r="H7497" s="6"/>
      <c r="I7497" s="6"/>
    </row>
    <row r="7498" spans="8:9" x14ac:dyDescent="0.2">
      <c r="H7498" s="6"/>
      <c r="I7498" s="6"/>
    </row>
    <row r="7499" spans="8:9" x14ac:dyDescent="0.2">
      <c r="H7499" s="6"/>
      <c r="I7499" s="6"/>
    </row>
    <row r="7500" spans="8:9" x14ac:dyDescent="0.2">
      <c r="H7500" s="6"/>
      <c r="I7500" s="6"/>
    </row>
    <row r="7501" spans="8:9" x14ac:dyDescent="0.2">
      <c r="H7501" s="6"/>
      <c r="I7501" s="6"/>
    </row>
    <row r="7502" spans="8:9" x14ac:dyDescent="0.2">
      <c r="H7502" s="6"/>
      <c r="I7502" s="6"/>
    </row>
    <row r="7503" spans="8:9" x14ac:dyDescent="0.2">
      <c r="H7503" s="6"/>
      <c r="I7503" s="6"/>
    </row>
    <row r="7504" spans="8:9" x14ac:dyDescent="0.2">
      <c r="H7504" s="6"/>
      <c r="I7504" s="6"/>
    </row>
    <row r="7505" spans="8:9" x14ac:dyDescent="0.2">
      <c r="H7505" s="6"/>
      <c r="I7505" s="6"/>
    </row>
    <row r="7506" spans="8:9" x14ac:dyDescent="0.2">
      <c r="H7506" s="6"/>
      <c r="I7506" s="6"/>
    </row>
    <row r="7507" spans="8:9" x14ac:dyDescent="0.2">
      <c r="H7507" s="6"/>
      <c r="I7507" s="6"/>
    </row>
    <row r="7508" spans="8:9" x14ac:dyDescent="0.2">
      <c r="H7508" s="6"/>
      <c r="I7508" s="6"/>
    </row>
    <row r="7509" spans="8:9" x14ac:dyDescent="0.2">
      <c r="H7509" s="6"/>
      <c r="I7509" s="6"/>
    </row>
    <row r="7510" spans="8:9" x14ac:dyDescent="0.2">
      <c r="H7510" s="6"/>
      <c r="I7510" s="6"/>
    </row>
    <row r="7511" spans="8:9" x14ac:dyDescent="0.2">
      <c r="H7511" s="6"/>
      <c r="I7511" s="6"/>
    </row>
    <row r="7512" spans="8:9" x14ac:dyDescent="0.2">
      <c r="H7512" s="6"/>
      <c r="I7512" s="6"/>
    </row>
    <row r="7513" spans="8:9" x14ac:dyDescent="0.2">
      <c r="H7513" s="6"/>
      <c r="I7513" s="6"/>
    </row>
    <row r="7514" spans="8:9" x14ac:dyDescent="0.2">
      <c r="H7514" s="6"/>
      <c r="I7514" s="6"/>
    </row>
    <row r="7515" spans="8:9" x14ac:dyDescent="0.2">
      <c r="H7515" s="6"/>
      <c r="I7515" s="6"/>
    </row>
    <row r="7516" spans="8:9" x14ac:dyDescent="0.2">
      <c r="H7516" s="6"/>
      <c r="I7516" s="6"/>
    </row>
    <row r="7517" spans="8:9" x14ac:dyDescent="0.2">
      <c r="H7517" s="6"/>
      <c r="I7517" s="6"/>
    </row>
    <row r="7518" spans="8:9" x14ac:dyDescent="0.2">
      <c r="H7518" s="6"/>
      <c r="I7518" s="6"/>
    </row>
    <row r="7519" spans="8:9" x14ac:dyDescent="0.2">
      <c r="H7519" s="6"/>
      <c r="I7519" s="6"/>
    </row>
    <row r="7520" spans="8:9" x14ac:dyDescent="0.2">
      <c r="H7520" s="6"/>
      <c r="I7520" s="6"/>
    </row>
    <row r="7521" spans="8:9" x14ac:dyDescent="0.2">
      <c r="H7521" s="6"/>
      <c r="I7521" s="6"/>
    </row>
    <row r="7522" spans="8:9" x14ac:dyDescent="0.2">
      <c r="H7522" s="6"/>
      <c r="I7522" s="6"/>
    </row>
    <row r="7523" spans="8:9" x14ac:dyDescent="0.2">
      <c r="H7523" s="6"/>
      <c r="I7523" s="6"/>
    </row>
    <row r="7524" spans="8:9" x14ac:dyDescent="0.2">
      <c r="H7524" s="6"/>
      <c r="I7524" s="6"/>
    </row>
    <row r="7525" spans="8:9" x14ac:dyDescent="0.2">
      <c r="H7525" s="6"/>
      <c r="I7525" s="6"/>
    </row>
    <row r="7526" spans="8:9" x14ac:dyDescent="0.2">
      <c r="H7526" s="6"/>
      <c r="I7526" s="6"/>
    </row>
    <row r="7527" spans="8:9" x14ac:dyDescent="0.2">
      <c r="H7527" s="6"/>
      <c r="I7527" s="6"/>
    </row>
    <row r="7528" spans="8:9" x14ac:dyDescent="0.2">
      <c r="H7528" s="6"/>
      <c r="I7528" s="6"/>
    </row>
    <row r="7529" spans="8:9" x14ac:dyDescent="0.2">
      <c r="H7529" s="6"/>
      <c r="I7529" s="6"/>
    </row>
    <row r="7530" spans="8:9" x14ac:dyDescent="0.2">
      <c r="H7530" s="6"/>
      <c r="I7530" s="6"/>
    </row>
    <row r="7531" spans="8:9" x14ac:dyDescent="0.2">
      <c r="H7531" s="6"/>
      <c r="I7531" s="6"/>
    </row>
    <row r="7532" spans="8:9" x14ac:dyDescent="0.2">
      <c r="H7532" s="6"/>
      <c r="I7532" s="6"/>
    </row>
    <row r="7533" spans="8:9" x14ac:dyDescent="0.2">
      <c r="H7533" s="6"/>
      <c r="I7533" s="6"/>
    </row>
    <row r="7534" spans="8:9" x14ac:dyDescent="0.2">
      <c r="H7534" s="6"/>
      <c r="I7534" s="6"/>
    </row>
    <row r="7535" spans="8:9" x14ac:dyDescent="0.2">
      <c r="H7535" s="6"/>
      <c r="I7535" s="6"/>
    </row>
    <row r="7536" spans="8:9" x14ac:dyDescent="0.2">
      <c r="H7536" s="6"/>
      <c r="I7536" s="6"/>
    </row>
    <row r="7537" spans="8:9" x14ac:dyDescent="0.2">
      <c r="H7537" s="6"/>
      <c r="I7537" s="6"/>
    </row>
    <row r="7538" spans="8:9" x14ac:dyDescent="0.2">
      <c r="H7538" s="6"/>
      <c r="I7538" s="6"/>
    </row>
    <row r="7539" spans="8:9" x14ac:dyDescent="0.2">
      <c r="H7539" s="6"/>
      <c r="I7539" s="6"/>
    </row>
    <row r="7540" spans="8:9" x14ac:dyDescent="0.2">
      <c r="H7540" s="6"/>
      <c r="I7540" s="6"/>
    </row>
    <row r="7541" spans="8:9" x14ac:dyDescent="0.2">
      <c r="H7541" s="6"/>
      <c r="I7541" s="6"/>
    </row>
    <row r="7542" spans="8:9" x14ac:dyDescent="0.2">
      <c r="H7542" s="6"/>
      <c r="I7542" s="6"/>
    </row>
    <row r="7543" spans="8:9" x14ac:dyDescent="0.2">
      <c r="H7543" s="6"/>
      <c r="I7543" s="6"/>
    </row>
    <row r="7544" spans="8:9" x14ac:dyDescent="0.2">
      <c r="H7544" s="6"/>
      <c r="I7544" s="6"/>
    </row>
    <row r="7545" spans="8:9" x14ac:dyDescent="0.2">
      <c r="H7545" s="6"/>
      <c r="I7545" s="6"/>
    </row>
    <row r="7546" spans="8:9" x14ac:dyDescent="0.2">
      <c r="H7546" s="6"/>
      <c r="I7546" s="6"/>
    </row>
    <row r="7547" spans="8:9" x14ac:dyDescent="0.2">
      <c r="H7547" s="6"/>
      <c r="I7547" s="6"/>
    </row>
    <row r="7548" spans="8:9" x14ac:dyDescent="0.2">
      <c r="H7548" s="6"/>
      <c r="I7548" s="6"/>
    </row>
    <row r="7549" spans="8:9" x14ac:dyDescent="0.2">
      <c r="H7549" s="6"/>
      <c r="I7549" s="6"/>
    </row>
    <row r="7550" spans="8:9" x14ac:dyDescent="0.2">
      <c r="H7550" s="6"/>
      <c r="I7550" s="6"/>
    </row>
    <row r="7551" spans="8:9" x14ac:dyDescent="0.2">
      <c r="H7551" s="6"/>
      <c r="I7551" s="6"/>
    </row>
    <row r="7552" spans="8:9" x14ac:dyDescent="0.2">
      <c r="H7552" s="6"/>
      <c r="I7552" s="6"/>
    </row>
    <row r="7553" spans="8:9" x14ac:dyDescent="0.2">
      <c r="H7553" s="6"/>
      <c r="I7553" s="6"/>
    </row>
    <row r="7554" spans="8:9" x14ac:dyDescent="0.2">
      <c r="H7554" s="6"/>
      <c r="I7554" s="6"/>
    </row>
    <row r="7555" spans="8:9" x14ac:dyDescent="0.2">
      <c r="H7555" s="6"/>
      <c r="I7555" s="6"/>
    </row>
    <row r="7556" spans="8:9" x14ac:dyDescent="0.2">
      <c r="H7556" s="6"/>
      <c r="I7556" s="6"/>
    </row>
    <row r="7557" spans="8:9" x14ac:dyDescent="0.2">
      <c r="H7557" s="6"/>
      <c r="I7557" s="6"/>
    </row>
    <row r="7558" spans="8:9" x14ac:dyDescent="0.2">
      <c r="H7558" s="6"/>
      <c r="I7558" s="6"/>
    </row>
    <row r="7559" spans="8:9" x14ac:dyDescent="0.2">
      <c r="H7559" s="6"/>
      <c r="I7559" s="6"/>
    </row>
    <row r="7560" spans="8:9" x14ac:dyDescent="0.2">
      <c r="H7560" s="6"/>
      <c r="I7560" s="6"/>
    </row>
    <row r="7561" spans="8:9" x14ac:dyDescent="0.2">
      <c r="H7561" s="6"/>
      <c r="I7561" s="6"/>
    </row>
    <row r="7562" spans="8:9" x14ac:dyDescent="0.2">
      <c r="H7562" s="6"/>
      <c r="I7562" s="6"/>
    </row>
    <row r="7563" spans="8:9" x14ac:dyDescent="0.2">
      <c r="H7563" s="6"/>
      <c r="I7563" s="6"/>
    </row>
    <row r="7564" spans="8:9" x14ac:dyDescent="0.2">
      <c r="H7564" s="6"/>
      <c r="I7564" s="6"/>
    </row>
    <row r="7565" spans="8:9" x14ac:dyDescent="0.2">
      <c r="H7565" s="6"/>
      <c r="I7565" s="6"/>
    </row>
    <row r="7566" spans="8:9" x14ac:dyDescent="0.2">
      <c r="H7566" s="6"/>
      <c r="I7566" s="6"/>
    </row>
    <row r="7567" spans="8:9" x14ac:dyDescent="0.2">
      <c r="H7567" s="6"/>
      <c r="I7567" s="6"/>
    </row>
    <row r="7568" spans="8:9" x14ac:dyDescent="0.2">
      <c r="H7568" s="6"/>
      <c r="I7568" s="6"/>
    </row>
    <row r="7569" spans="8:9" x14ac:dyDescent="0.2">
      <c r="H7569" s="6"/>
      <c r="I7569" s="6"/>
    </row>
    <row r="7570" spans="8:9" x14ac:dyDescent="0.2">
      <c r="H7570" s="6"/>
      <c r="I7570" s="6"/>
    </row>
    <row r="7571" spans="8:9" x14ac:dyDescent="0.2">
      <c r="H7571" s="6"/>
      <c r="I7571" s="6"/>
    </row>
    <row r="7572" spans="8:9" x14ac:dyDescent="0.2">
      <c r="H7572" s="6"/>
      <c r="I7572" s="6"/>
    </row>
    <row r="7573" spans="8:9" x14ac:dyDescent="0.2">
      <c r="H7573" s="6"/>
      <c r="I7573" s="6"/>
    </row>
    <row r="7574" spans="8:9" x14ac:dyDescent="0.2">
      <c r="H7574" s="6"/>
      <c r="I7574" s="6"/>
    </row>
    <row r="7575" spans="8:9" x14ac:dyDescent="0.2">
      <c r="H7575" s="6"/>
      <c r="I7575" s="6"/>
    </row>
    <row r="7576" spans="8:9" x14ac:dyDescent="0.2">
      <c r="H7576" s="6"/>
      <c r="I7576" s="6"/>
    </row>
    <row r="7577" spans="8:9" x14ac:dyDescent="0.2">
      <c r="H7577" s="6"/>
      <c r="I7577" s="6"/>
    </row>
    <row r="7578" spans="8:9" x14ac:dyDescent="0.2">
      <c r="H7578" s="6"/>
      <c r="I7578" s="6"/>
    </row>
    <row r="7579" spans="8:9" x14ac:dyDescent="0.2">
      <c r="H7579" s="6"/>
      <c r="I7579" s="6"/>
    </row>
    <row r="7580" spans="8:9" x14ac:dyDescent="0.2">
      <c r="H7580" s="6"/>
      <c r="I7580" s="6"/>
    </row>
    <row r="7581" spans="8:9" x14ac:dyDescent="0.2">
      <c r="H7581" s="6"/>
      <c r="I7581" s="6"/>
    </row>
    <row r="7582" spans="8:9" x14ac:dyDescent="0.2">
      <c r="H7582" s="6"/>
      <c r="I7582" s="6"/>
    </row>
    <row r="7583" spans="8:9" x14ac:dyDescent="0.2">
      <c r="H7583" s="6"/>
      <c r="I7583" s="6"/>
    </row>
    <row r="7584" spans="8:9" x14ac:dyDescent="0.2">
      <c r="H7584" s="6"/>
      <c r="I7584" s="6"/>
    </row>
    <row r="7585" spans="8:9" x14ac:dyDescent="0.2">
      <c r="H7585" s="6"/>
      <c r="I7585" s="6"/>
    </row>
    <row r="7586" spans="8:9" x14ac:dyDescent="0.2">
      <c r="H7586" s="6"/>
      <c r="I7586" s="6"/>
    </row>
    <row r="7587" spans="8:9" x14ac:dyDescent="0.2">
      <c r="H7587" s="6"/>
      <c r="I7587" s="6"/>
    </row>
    <row r="7588" spans="8:9" x14ac:dyDescent="0.2">
      <c r="H7588" s="6"/>
      <c r="I7588" s="6"/>
    </row>
    <row r="7589" spans="8:9" x14ac:dyDescent="0.2">
      <c r="H7589" s="6"/>
      <c r="I7589" s="6"/>
    </row>
    <row r="7590" spans="8:9" x14ac:dyDescent="0.2">
      <c r="H7590" s="6"/>
      <c r="I7590" s="6"/>
    </row>
    <row r="7591" spans="8:9" x14ac:dyDescent="0.2">
      <c r="H7591" s="6"/>
      <c r="I7591" s="6"/>
    </row>
    <row r="7592" spans="8:9" x14ac:dyDescent="0.2">
      <c r="H7592" s="6"/>
      <c r="I7592" s="6"/>
    </row>
    <row r="7593" spans="8:9" x14ac:dyDescent="0.2">
      <c r="H7593" s="6"/>
      <c r="I7593" s="6"/>
    </row>
    <row r="7594" spans="8:9" x14ac:dyDescent="0.2">
      <c r="H7594" s="6"/>
      <c r="I7594" s="6"/>
    </row>
    <row r="7595" spans="8:9" x14ac:dyDescent="0.2">
      <c r="H7595" s="6"/>
      <c r="I7595" s="6"/>
    </row>
    <row r="7596" spans="8:9" x14ac:dyDescent="0.2">
      <c r="H7596" s="6"/>
      <c r="I7596" s="6"/>
    </row>
    <row r="7597" spans="8:9" x14ac:dyDescent="0.2">
      <c r="H7597" s="6"/>
      <c r="I7597" s="6"/>
    </row>
    <row r="7598" spans="8:9" x14ac:dyDescent="0.2">
      <c r="H7598" s="6"/>
      <c r="I7598" s="6"/>
    </row>
    <row r="7599" spans="8:9" x14ac:dyDescent="0.2">
      <c r="H7599" s="6"/>
      <c r="I7599" s="6"/>
    </row>
    <row r="7600" spans="8:9" x14ac:dyDescent="0.2">
      <c r="H7600" s="6"/>
      <c r="I7600" s="6"/>
    </row>
    <row r="7601" spans="8:9" x14ac:dyDescent="0.2">
      <c r="H7601" s="6"/>
      <c r="I7601" s="6"/>
    </row>
    <row r="7602" spans="8:9" x14ac:dyDescent="0.2">
      <c r="H7602" s="6"/>
      <c r="I7602" s="6"/>
    </row>
    <row r="7603" spans="8:9" x14ac:dyDescent="0.2">
      <c r="H7603" s="6"/>
      <c r="I7603" s="6"/>
    </row>
    <row r="7604" spans="8:9" x14ac:dyDescent="0.2">
      <c r="H7604" s="6"/>
      <c r="I7604" s="6"/>
    </row>
    <row r="7605" spans="8:9" x14ac:dyDescent="0.2">
      <c r="H7605" s="6"/>
      <c r="I7605" s="6"/>
    </row>
    <row r="7606" spans="8:9" x14ac:dyDescent="0.2">
      <c r="H7606" s="6"/>
      <c r="I7606" s="6"/>
    </row>
    <row r="7607" spans="8:9" x14ac:dyDescent="0.2">
      <c r="H7607" s="6"/>
      <c r="I7607" s="6"/>
    </row>
    <row r="7608" spans="8:9" x14ac:dyDescent="0.2">
      <c r="H7608" s="6"/>
      <c r="I7608" s="6"/>
    </row>
    <row r="7609" spans="8:9" x14ac:dyDescent="0.2">
      <c r="H7609" s="6"/>
      <c r="I7609" s="6"/>
    </row>
    <row r="7610" spans="8:9" x14ac:dyDescent="0.2">
      <c r="H7610" s="6"/>
      <c r="I7610" s="6"/>
    </row>
    <row r="7611" spans="8:9" x14ac:dyDescent="0.2">
      <c r="H7611" s="6"/>
      <c r="I7611" s="6"/>
    </row>
    <row r="7612" spans="8:9" x14ac:dyDescent="0.2">
      <c r="H7612" s="6"/>
      <c r="I7612" s="6"/>
    </row>
    <row r="7613" spans="8:9" x14ac:dyDescent="0.2">
      <c r="H7613" s="6"/>
      <c r="I7613" s="6"/>
    </row>
    <row r="7614" spans="8:9" x14ac:dyDescent="0.2">
      <c r="H7614" s="6"/>
      <c r="I7614" s="6"/>
    </row>
    <row r="7615" spans="8:9" x14ac:dyDescent="0.2">
      <c r="H7615" s="6"/>
      <c r="I7615" s="6"/>
    </row>
    <row r="7616" spans="8:9" x14ac:dyDescent="0.2">
      <c r="H7616" s="6"/>
      <c r="I7616" s="6"/>
    </row>
    <row r="7617" spans="8:9" x14ac:dyDescent="0.2">
      <c r="H7617" s="6"/>
      <c r="I7617" s="6"/>
    </row>
    <row r="7618" spans="8:9" x14ac:dyDescent="0.2">
      <c r="H7618" s="6"/>
      <c r="I7618" s="6"/>
    </row>
    <row r="7619" spans="8:9" x14ac:dyDescent="0.2">
      <c r="H7619" s="6"/>
      <c r="I7619" s="6"/>
    </row>
    <row r="7620" spans="8:9" x14ac:dyDescent="0.2">
      <c r="H7620" s="6"/>
      <c r="I7620" s="6"/>
    </row>
    <row r="7621" spans="8:9" x14ac:dyDescent="0.2">
      <c r="H7621" s="6"/>
      <c r="I7621" s="6"/>
    </row>
    <row r="7622" spans="8:9" x14ac:dyDescent="0.2">
      <c r="H7622" s="6"/>
      <c r="I7622" s="6"/>
    </row>
    <row r="7623" spans="8:9" x14ac:dyDescent="0.2">
      <c r="H7623" s="6"/>
      <c r="I7623" s="6"/>
    </row>
    <row r="7624" spans="8:9" x14ac:dyDescent="0.2">
      <c r="H7624" s="6"/>
      <c r="I7624" s="6"/>
    </row>
    <row r="7625" spans="8:9" x14ac:dyDescent="0.2">
      <c r="H7625" s="6"/>
      <c r="I7625" s="6"/>
    </row>
    <row r="7626" spans="8:9" x14ac:dyDescent="0.2">
      <c r="H7626" s="6"/>
      <c r="I7626" s="6"/>
    </row>
    <row r="7627" spans="8:9" x14ac:dyDescent="0.2">
      <c r="H7627" s="6"/>
      <c r="I7627" s="6"/>
    </row>
    <row r="7628" spans="8:9" x14ac:dyDescent="0.2">
      <c r="H7628" s="6"/>
      <c r="I7628" s="6"/>
    </row>
    <row r="7629" spans="8:9" x14ac:dyDescent="0.2">
      <c r="H7629" s="6"/>
      <c r="I7629" s="6"/>
    </row>
    <row r="7630" spans="8:9" x14ac:dyDescent="0.2">
      <c r="H7630" s="6"/>
      <c r="I7630" s="6"/>
    </row>
    <row r="7631" spans="8:9" x14ac:dyDescent="0.2">
      <c r="H7631" s="6"/>
      <c r="I7631" s="6"/>
    </row>
    <row r="7632" spans="8:9" x14ac:dyDescent="0.2">
      <c r="H7632" s="6"/>
      <c r="I7632" s="6"/>
    </row>
    <row r="7633" spans="8:9" x14ac:dyDescent="0.2">
      <c r="H7633" s="6"/>
      <c r="I7633" s="6"/>
    </row>
    <row r="7634" spans="8:9" x14ac:dyDescent="0.2">
      <c r="H7634" s="6"/>
      <c r="I7634" s="6"/>
    </row>
    <row r="7635" spans="8:9" x14ac:dyDescent="0.2">
      <c r="H7635" s="6"/>
      <c r="I7635" s="6"/>
    </row>
    <row r="7636" spans="8:9" x14ac:dyDescent="0.2">
      <c r="H7636" s="6"/>
      <c r="I7636" s="6"/>
    </row>
    <row r="7637" spans="8:9" x14ac:dyDescent="0.2">
      <c r="H7637" s="6"/>
      <c r="I7637" s="6"/>
    </row>
    <row r="7638" spans="8:9" x14ac:dyDescent="0.2">
      <c r="H7638" s="6"/>
      <c r="I7638" s="6"/>
    </row>
    <row r="7639" spans="8:9" x14ac:dyDescent="0.2">
      <c r="H7639" s="6"/>
      <c r="I7639" s="6"/>
    </row>
    <row r="7640" spans="8:9" x14ac:dyDescent="0.2">
      <c r="H7640" s="6"/>
      <c r="I7640" s="6"/>
    </row>
    <row r="7641" spans="8:9" x14ac:dyDescent="0.2">
      <c r="H7641" s="6"/>
      <c r="I7641" s="6"/>
    </row>
    <row r="7642" spans="8:9" x14ac:dyDescent="0.2">
      <c r="H7642" s="6"/>
      <c r="I7642" s="6"/>
    </row>
    <row r="7643" spans="8:9" x14ac:dyDescent="0.2">
      <c r="H7643" s="6"/>
      <c r="I7643" s="6"/>
    </row>
    <row r="7644" spans="8:9" x14ac:dyDescent="0.2">
      <c r="H7644" s="6"/>
      <c r="I7644" s="6"/>
    </row>
    <row r="7645" spans="8:9" x14ac:dyDescent="0.2">
      <c r="H7645" s="6"/>
      <c r="I7645" s="6"/>
    </row>
    <row r="7646" spans="8:9" x14ac:dyDescent="0.2">
      <c r="H7646" s="6"/>
      <c r="I7646" s="6"/>
    </row>
    <row r="7647" spans="8:9" x14ac:dyDescent="0.2">
      <c r="H7647" s="6"/>
      <c r="I7647" s="6"/>
    </row>
    <row r="7648" spans="8:9" x14ac:dyDescent="0.2">
      <c r="H7648" s="6"/>
      <c r="I7648" s="6"/>
    </row>
    <row r="7649" spans="8:9" x14ac:dyDescent="0.2">
      <c r="H7649" s="6"/>
      <c r="I7649" s="6"/>
    </row>
    <row r="7650" spans="8:9" x14ac:dyDescent="0.2">
      <c r="H7650" s="6"/>
      <c r="I7650" s="6"/>
    </row>
    <row r="7651" spans="8:9" x14ac:dyDescent="0.2">
      <c r="H7651" s="6"/>
      <c r="I7651" s="6"/>
    </row>
    <row r="7652" spans="8:9" x14ac:dyDescent="0.2">
      <c r="H7652" s="6"/>
      <c r="I7652" s="6"/>
    </row>
    <row r="7653" spans="8:9" x14ac:dyDescent="0.2">
      <c r="H7653" s="6"/>
      <c r="I7653" s="6"/>
    </row>
    <row r="7654" spans="8:9" x14ac:dyDescent="0.2">
      <c r="H7654" s="6"/>
      <c r="I7654" s="6"/>
    </row>
    <row r="7655" spans="8:9" x14ac:dyDescent="0.2">
      <c r="H7655" s="6"/>
      <c r="I7655" s="6"/>
    </row>
    <row r="7656" spans="8:9" x14ac:dyDescent="0.2">
      <c r="H7656" s="6"/>
      <c r="I7656" s="6"/>
    </row>
    <row r="7657" spans="8:9" x14ac:dyDescent="0.2">
      <c r="H7657" s="6"/>
      <c r="I7657" s="6"/>
    </row>
    <row r="7658" spans="8:9" x14ac:dyDescent="0.2">
      <c r="H7658" s="6"/>
      <c r="I7658" s="6"/>
    </row>
    <row r="7659" spans="8:9" x14ac:dyDescent="0.2">
      <c r="H7659" s="6"/>
      <c r="I7659" s="6"/>
    </row>
    <row r="7660" spans="8:9" x14ac:dyDescent="0.2">
      <c r="H7660" s="6"/>
      <c r="I7660" s="6"/>
    </row>
    <row r="7661" spans="8:9" x14ac:dyDescent="0.2">
      <c r="H7661" s="6"/>
      <c r="I7661" s="6"/>
    </row>
    <row r="7662" spans="8:9" x14ac:dyDescent="0.2">
      <c r="H7662" s="6"/>
      <c r="I7662" s="6"/>
    </row>
    <row r="7663" spans="8:9" x14ac:dyDescent="0.2">
      <c r="H7663" s="6"/>
      <c r="I7663" s="6"/>
    </row>
    <row r="7664" spans="8:9" x14ac:dyDescent="0.2">
      <c r="H7664" s="6"/>
      <c r="I7664" s="6"/>
    </row>
    <row r="7665" spans="8:9" x14ac:dyDescent="0.2">
      <c r="H7665" s="6"/>
      <c r="I7665" s="6"/>
    </row>
    <row r="7666" spans="8:9" x14ac:dyDescent="0.2">
      <c r="H7666" s="6"/>
      <c r="I7666" s="6"/>
    </row>
    <row r="7667" spans="8:9" x14ac:dyDescent="0.2">
      <c r="H7667" s="6"/>
      <c r="I7667" s="6"/>
    </row>
    <row r="7668" spans="8:9" x14ac:dyDescent="0.2">
      <c r="H7668" s="6"/>
      <c r="I7668" s="6"/>
    </row>
    <row r="7669" spans="8:9" x14ac:dyDescent="0.2">
      <c r="H7669" s="6"/>
      <c r="I7669" s="6"/>
    </row>
    <row r="7670" spans="8:9" x14ac:dyDescent="0.2">
      <c r="H7670" s="6"/>
      <c r="I7670" s="6"/>
    </row>
    <row r="7671" spans="8:9" x14ac:dyDescent="0.2">
      <c r="H7671" s="6"/>
      <c r="I7671" s="6"/>
    </row>
    <row r="7672" spans="8:9" x14ac:dyDescent="0.2">
      <c r="H7672" s="6"/>
      <c r="I7672" s="6"/>
    </row>
    <row r="7673" spans="8:9" x14ac:dyDescent="0.2">
      <c r="H7673" s="6"/>
      <c r="I7673" s="6"/>
    </row>
    <row r="7674" spans="8:9" x14ac:dyDescent="0.2">
      <c r="H7674" s="6"/>
      <c r="I7674" s="6"/>
    </row>
    <row r="7675" spans="8:9" x14ac:dyDescent="0.2">
      <c r="H7675" s="6"/>
      <c r="I7675" s="6"/>
    </row>
    <row r="7676" spans="8:9" x14ac:dyDescent="0.2">
      <c r="H7676" s="6"/>
      <c r="I7676" s="6"/>
    </row>
    <row r="7677" spans="8:9" x14ac:dyDescent="0.2">
      <c r="H7677" s="6"/>
      <c r="I7677" s="6"/>
    </row>
    <row r="7678" spans="8:9" x14ac:dyDescent="0.2">
      <c r="H7678" s="6"/>
      <c r="I7678" s="6"/>
    </row>
    <row r="7679" spans="8:9" x14ac:dyDescent="0.2">
      <c r="H7679" s="6"/>
      <c r="I7679" s="6"/>
    </row>
    <row r="7680" spans="8:9" x14ac:dyDescent="0.2">
      <c r="H7680" s="6"/>
      <c r="I7680" s="6"/>
    </row>
    <row r="7681" spans="8:9" x14ac:dyDescent="0.2">
      <c r="H7681" s="6"/>
      <c r="I7681" s="6"/>
    </row>
    <row r="7682" spans="8:9" x14ac:dyDescent="0.2">
      <c r="H7682" s="6"/>
      <c r="I7682" s="6"/>
    </row>
    <row r="7683" spans="8:9" x14ac:dyDescent="0.2">
      <c r="H7683" s="6"/>
      <c r="I7683" s="6"/>
    </row>
    <row r="7684" spans="8:9" x14ac:dyDescent="0.2">
      <c r="H7684" s="6"/>
      <c r="I7684" s="6"/>
    </row>
    <row r="7685" spans="8:9" x14ac:dyDescent="0.2">
      <c r="H7685" s="6"/>
      <c r="I7685" s="6"/>
    </row>
    <row r="7686" spans="8:9" x14ac:dyDescent="0.2">
      <c r="H7686" s="6"/>
      <c r="I7686" s="6"/>
    </row>
    <row r="7687" spans="8:9" x14ac:dyDescent="0.2">
      <c r="H7687" s="6"/>
      <c r="I7687" s="6"/>
    </row>
    <row r="7688" spans="8:9" x14ac:dyDescent="0.2">
      <c r="H7688" s="6"/>
      <c r="I7688" s="6"/>
    </row>
    <row r="7689" spans="8:9" x14ac:dyDescent="0.2">
      <c r="H7689" s="6"/>
      <c r="I7689" s="6"/>
    </row>
    <row r="7690" spans="8:9" x14ac:dyDescent="0.2">
      <c r="H7690" s="6"/>
      <c r="I7690" s="6"/>
    </row>
    <row r="7691" spans="8:9" x14ac:dyDescent="0.2">
      <c r="H7691" s="6"/>
      <c r="I7691" s="6"/>
    </row>
    <row r="7692" spans="8:9" x14ac:dyDescent="0.2">
      <c r="H7692" s="6"/>
      <c r="I7692" s="6"/>
    </row>
    <row r="7693" spans="8:9" x14ac:dyDescent="0.2">
      <c r="H7693" s="6"/>
      <c r="I7693" s="6"/>
    </row>
    <row r="7694" spans="8:9" x14ac:dyDescent="0.2">
      <c r="H7694" s="6"/>
      <c r="I7694" s="6"/>
    </row>
    <row r="7695" spans="8:9" x14ac:dyDescent="0.2">
      <c r="H7695" s="6"/>
      <c r="I7695" s="6"/>
    </row>
    <row r="7696" spans="8:9" x14ac:dyDescent="0.2">
      <c r="H7696" s="6"/>
      <c r="I7696" s="6"/>
    </row>
    <row r="7697" spans="8:9" x14ac:dyDescent="0.2">
      <c r="H7697" s="6"/>
      <c r="I7697" s="6"/>
    </row>
    <row r="7698" spans="8:9" x14ac:dyDescent="0.2">
      <c r="H7698" s="6"/>
      <c r="I7698" s="6"/>
    </row>
    <row r="7699" spans="8:9" x14ac:dyDescent="0.2">
      <c r="H7699" s="6"/>
      <c r="I7699" s="6"/>
    </row>
    <row r="7700" spans="8:9" x14ac:dyDescent="0.2">
      <c r="H7700" s="6"/>
      <c r="I7700" s="6"/>
    </row>
    <row r="7701" spans="8:9" x14ac:dyDescent="0.2">
      <c r="H7701" s="6"/>
      <c r="I7701" s="6"/>
    </row>
    <row r="7702" spans="8:9" x14ac:dyDescent="0.2">
      <c r="H7702" s="6"/>
      <c r="I7702" s="6"/>
    </row>
    <row r="7703" spans="8:9" x14ac:dyDescent="0.2">
      <c r="H7703" s="6"/>
      <c r="I7703" s="6"/>
    </row>
    <row r="7704" spans="8:9" x14ac:dyDescent="0.2">
      <c r="H7704" s="6"/>
      <c r="I7704" s="6"/>
    </row>
    <row r="7705" spans="8:9" x14ac:dyDescent="0.2">
      <c r="H7705" s="6"/>
      <c r="I7705" s="6"/>
    </row>
    <row r="7706" spans="8:9" x14ac:dyDescent="0.2">
      <c r="H7706" s="6"/>
      <c r="I7706" s="6"/>
    </row>
    <row r="7707" spans="8:9" x14ac:dyDescent="0.2">
      <c r="H7707" s="6"/>
      <c r="I7707" s="6"/>
    </row>
    <row r="7708" spans="8:9" x14ac:dyDescent="0.2">
      <c r="H7708" s="6"/>
      <c r="I7708" s="6"/>
    </row>
    <row r="7709" spans="8:9" x14ac:dyDescent="0.2">
      <c r="H7709" s="6"/>
      <c r="I7709" s="6"/>
    </row>
    <row r="7710" spans="8:9" x14ac:dyDescent="0.2">
      <c r="H7710" s="6"/>
      <c r="I7710" s="6"/>
    </row>
    <row r="7711" spans="8:9" x14ac:dyDescent="0.2">
      <c r="H7711" s="6"/>
      <c r="I7711" s="6"/>
    </row>
    <row r="7712" spans="8:9" x14ac:dyDescent="0.2">
      <c r="H7712" s="6"/>
      <c r="I7712" s="6"/>
    </row>
    <row r="7713" spans="8:9" x14ac:dyDescent="0.2">
      <c r="H7713" s="6"/>
      <c r="I7713" s="6"/>
    </row>
    <row r="7714" spans="8:9" x14ac:dyDescent="0.2">
      <c r="H7714" s="6"/>
      <c r="I7714" s="6"/>
    </row>
    <row r="7715" spans="8:9" x14ac:dyDescent="0.2">
      <c r="H7715" s="6"/>
      <c r="I7715" s="6"/>
    </row>
    <row r="7716" spans="8:9" x14ac:dyDescent="0.2">
      <c r="H7716" s="6"/>
      <c r="I7716" s="6"/>
    </row>
    <row r="7717" spans="8:9" x14ac:dyDescent="0.2">
      <c r="H7717" s="6"/>
      <c r="I7717" s="6"/>
    </row>
    <row r="7718" spans="8:9" x14ac:dyDescent="0.2">
      <c r="H7718" s="6"/>
      <c r="I7718" s="6"/>
    </row>
    <row r="7719" spans="8:9" x14ac:dyDescent="0.2">
      <c r="H7719" s="6"/>
      <c r="I7719" s="6"/>
    </row>
    <row r="7720" spans="8:9" x14ac:dyDescent="0.2">
      <c r="H7720" s="6"/>
      <c r="I7720" s="6"/>
    </row>
    <row r="7721" spans="8:9" x14ac:dyDescent="0.2">
      <c r="H7721" s="6"/>
      <c r="I7721" s="6"/>
    </row>
    <row r="7722" spans="8:9" x14ac:dyDescent="0.2">
      <c r="H7722" s="6"/>
    </row>
    <row r="7723" spans="8:9" x14ac:dyDescent="0.2">
      <c r="H7723" s="6"/>
      <c r="I7723" s="6"/>
    </row>
    <row r="7724" spans="8:9" x14ac:dyDescent="0.2">
      <c r="H7724" s="6"/>
      <c r="I7724" s="6"/>
    </row>
    <row r="7725" spans="8:9" x14ac:dyDescent="0.2">
      <c r="H7725" s="6"/>
      <c r="I7725" s="6"/>
    </row>
    <row r="7726" spans="8:9" x14ac:dyDescent="0.2">
      <c r="H7726" s="6"/>
      <c r="I7726" s="6"/>
    </row>
    <row r="7727" spans="8:9" x14ac:dyDescent="0.2">
      <c r="H7727" s="6"/>
      <c r="I7727" s="6"/>
    </row>
    <row r="7728" spans="8:9" x14ac:dyDescent="0.2">
      <c r="H7728" s="6"/>
      <c r="I7728" s="6"/>
    </row>
    <row r="7729" spans="8:9" x14ac:dyDescent="0.2">
      <c r="H7729" s="6"/>
      <c r="I7729" s="6"/>
    </row>
    <row r="7730" spans="8:9" x14ac:dyDescent="0.2">
      <c r="H7730" s="6"/>
      <c r="I7730" s="6"/>
    </row>
    <row r="7731" spans="8:9" x14ac:dyDescent="0.2">
      <c r="H7731" s="6"/>
      <c r="I7731" s="6"/>
    </row>
    <row r="7732" spans="8:9" x14ac:dyDescent="0.2">
      <c r="H7732" s="6"/>
      <c r="I7732" s="6"/>
    </row>
    <row r="7733" spans="8:9" x14ac:dyDescent="0.2">
      <c r="H7733" s="6"/>
      <c r="I7733" s="6"/>
    </row>
    <row r="7734" spans="8:9" x14ac:dyDescent="0.2">
      <c r="H7734" s="6"/>
      <c r="I7734" s="6"/>
    </row>
    <row r="7735" spans="8:9" x14ac:dyDescent="0.2">
      <c r="H7735" s="6"/>
      <c r="I7735" s="6"/>
    </row>
    <row r="7736" spans="8:9" x14ac:dyDescent="0.2">
      <c r="H7736" s="6"/>
      <c r="I7736" s="6"/>
    </row>
    <row r="7737" spans="8:9" x14ac:dyDescent="0.2">
      <c r="H7737" s="6"/>
      <c r="I7737" s="6"/>
    </row>
    <row r="7738" spans="8:9" x14ac:dyDescent="0.2">
      <c r="H7738" s="6"/>
      <c r="I7738" s="6"/>
    </row>
    <row r="7739" spans="8:9" x14ac:dyDescent="0.2">
      <c r="H7739" s="6"/>
      <c r="I7739" s="6"/>
    </row>
    <row r="7740" spans="8:9" x14ac:dyDescent="0.2">
      <c r="H7740" s="6"/>
      <c r="I7740" s="6"/>
    </row>
    <row r="7741" spans="8:9" x14ac:dyDescent="0.2">
      <c r="H7741" s="6"/>
      <c r="I7741" s="6"/>
    </row>
    <row r="7742" spans="8:9" x14ac:dyDescent="0.2">
      <c r="H7742" s="6"/>
      <c r="I7742" s="6"/>
    </row>
    <row r="7743" spans="8:9" x14ac:dyDescent="0.2">
      <c r="H7743" s="6"/>
      <c r="I7743" s="6"/>
    </row>
    <row r="7744" spans="8:9" x14ac:dyDescent="0.2">
      <c r="H7744" s="6"/>
      <c r="I7744" s="6"/>
    </row>
    <row r="7745" spans="8:9" x14ac:dyDescent="0.2">
      <c r="H7745" s="6"/>
      <c r="I7745" s="6"/>
    </row>
    <row r="7746" spans="8:9" x14ac:dyDescent="0.2">
      <c r="H7746" s="6"/>
      <c r="I7746" s="6"/>
    </row>
    <row r="7747" spans="8:9" x14ac:dyDescent="0.2">
      <c r="H7747" s="6"/>
      <c r="I7747" s="6"/>
    </row>
    <row r="7748" spans="8:9" x14ac:dyDescent="0.2">
      <c r="H7748" s="6"/>
      <c r="I7748" s="6"/>
    </row>
    <row r="7749" spans="8:9" x14ac:dyDescent="0.2">
      <c r="H7749" s="6"/>
      <c r="I7749" s="6"/>
    </row>
    <row r="7750" spans="8:9" x14ac:dyDescent="0.2">
      <c r="H7750" s="6"/>
      <c r="I7750" s="6"/>
    </row>
    <row r="7751" spans="8:9" x14ac:dyDescent="0.2">
      <c r="H7751" s="6"/>
      <c r="I7751" s="6"/>
    </row>
    <row r="7752" spans="8:9" x14ac:dyDescent="0.2">
      <c r="H7752" s="6"/>
      <c r="I7752" s="6"/>
    </row>
    <row r="7753" spans="8:9" x14ac:dyDescent="0.2">
      <c r="H7753" s="6"/>
      <c r="I7753" s="6"/>
    </row>
    <row r="7754" spans="8:9" x14ac:dyDescent="0.2">
      <c r="H7754" s="6"/>
      <c r="I7754" s="6"/>
    </row>
    <row r="7755" spans="8:9" x14ac:dyDescent="0.2">
      <c r="H7755" s="6"/>
      <c r="I7755" s="6"/>
    </row>
    <row r="7756" spans="8:9" x14ac:dyDescent="0.2">
      <c r="H7756" s="6"/>
      <c r="I7756" s="6"/>
    </row>
    <row r="7757" spans="8:9" x14ac:dyDescent="0.2">
      <c r="H7757" s="6"/>
      <c r="I7757" s="6"/>
    </row>
    <row r="7758" spans="8:9" x14ac:dyDescent="0.2">
      <c r="H7758" s="6"/>
      <c r="I7758" s="6"/>
    </row>
    <row r="7759" spans="8:9" x14ac:dyDescent="0.2">
      <c r="H7759" s="6"/>
      <c r="I7759" s="6"/>
    </row>
    <row r="7760" spans="8:9" x14ac:dyDescent="0.2">
      <c r="H7760" s="6"/>
      <c r="I7760" s="6"/>
    </row>
    <row r="7761" spans="8:9" x14ac:dyDescent="0.2">
      <c r="H7761" s="6"/>
      <c r="I7761" s="6"/>
    </row>
    <row r="7762" spans="8:9" x14ac:dyDescent="0.2">
      <c r="H7762" s="6"/>
      <c r="I7762" s="6"/>
    </row>
    <row r="7763" spans="8:9" x14ac:dyDescent="0.2">
      <c r="H7763" s="6"/>
      <c r="I7763" s="6"/>
    </row>
    <row r="7764" spans="8:9" x14ac:dyDescent="0.2">
      <c r="H7764" s="6"/>
      <c r="I7764" s="6"/>
    </row>
    <row r="7765" spans="8:9" x14ac:dyDescent="0.2">
      <c r="H7765" s="6"/>
      <c r="I7765" s="6"/>
    </row>
    <row r="7766" spans="8:9" x14ac:dyDescent="0.2">
      <c r="H7766" s="6"/>
      <c r="I7766" s="6"/>
    </row>
    <row r="7767" spans="8:9" x14ac:dyDescent="0.2">
      <c r="H7767" s="6"/>
      <c r="I7767" s="6"/>
    </row>
    <row r="7768" spans="8:9" x14ac:dyDescent="0.2">
      <c r="H7768" s="6"/>
      <c r="I7768" s="6"/>
    </row>
    <row r="7769" spans="8:9" x14ac:dyDescent="0.2">
      <c r="H7769" s="6"/>
      <c r="I7769" s="6"/>
    </row>
    <row r="7770" spans="8:9" x14ac:dyDescent="0.2">
      <c r="H7770" s="6"/>
      <c r="I7770" s="6"/>
    </row>
    <row r="7771" spans="8:9" x14ac:dyDescent="0.2">
      <c r="H7771" s="6"/>
      <c r="I7771" s="6"/>
    </row>
    <row r="7772" spans="8:9" x14ac:dyDescent="0.2">
      <c r="H7772" s="6"/>
      <c r="I7772" s="6"/>
    </row>
    <row r="7773" spans="8:9" x14ac:dyDescent="0.2">
      <c r="H7773" s="6"/>
      <c r="I7773" s="6"/>
    </row>
    <row r="7774" spans="8:9" x14ac:dyDescent="0.2">
      <c r="H7774" s="6"/>
      <c r="I7774" s="6"/>
    </row>
    <row r="7775" spans="8:9" x14ac:dyDescent="0.2">
      <c r="H7775" s="6"/>
      <c r="I7775" s="6"/>
    </row>
    <row r="7776" spans="8:9" x14ac:dyDescent="0.2">
      <c r="H7776" s="6"/>
      <c r="I7776" s="6"/>
    </row>
    <row r="7777" spans="8:9" x14ac:dyDescent="0.2">
      <c r="H7777" s="6"/>
      <c r="I7777" s="6"/>
    </row>
    <row r="7778" spans="8:9" x14ac:dyDescent="0.2">
      <c r="H7778" s="6"/>
      <c r="I7778" s="6"/>
    </row>
    <row r="7779" spans="8:9" x14ac:dyDescent="0.2">
      <c r="H7779" s="6"/>
      <c r="I7779" s="6"/>
    </row>
    <row r="7780" spans="8:9" x14ac:dyDescent="0.2">
      <c r="H7780" s="6"/>
      <c r="I7780" s="6"/>
    </row>
    <row r="7781" spans="8:9" x14ac:dyDescent="0.2">
      <c r="H7781" s="6"/>
      <c r="I7781" s="6"/>
    </row>
    <row r="7782" spans="8:9" x14ac:dyDescent="0.2">
      <c r="H7782" s="6"/>
      <c r="I7782" s="6"/>
    </row>
    <row r="7783" spans="8:9" x14ac:dyDescent="0.2">
      <c r="H7783" s="6"/>
      <c r="I7783" s="6"/>
    </row>
    <row r="7784" spans="8:9" x14ac:dyDescent="0.2">
      <c r="H7784" s="6"/>
      <c r="I7784" s="6"/>
    </row>
    <row r="7785" spans="8:9" x14ac:dyDescent="0.2">
      <c r="H7785" s="6"/>
      <c r="I7785" s="6"/>
    </row>
    <row r="7786" spans="8:9" x14ac:dyDescent="0.2">
      <c r="H7786" s="6"/>
      <c r="I7786" s="6"/>
    </row>
    <row r="7787" spans="8:9" x14ac:dyDescent="0.2">
      <c r="H7787" s="6"/>
      <c r="I7787" s="6"/>
    </row>
    <row r="7788" spans="8:9" x14ac:dyDescent="0.2">
      <c r="H7788" s="6"/>
      <c r="I7788" s="6"/>
    </row>
    <row r="7789" spans="8:9" x14ac:dyDescent="0.2">
      <c r="H7789" s="6"/>
      <c r="I7789" s="6"/>
    </row>
    <row r="7790" spans="8:9" x14ac:dyDescent="0.2">
      <c r="H7790" s="6"/>
      <c r="I7790" s="6"/>
    </row>
    <row r="7791" spans="8:9" x14ac:dyDescent="0.2">
      <c r="H7791" s="6"/>
      <c r="I7791" s="6"/>
    </row>
    <row r="7792" spans="8:9" x14ac:dyDescent="0.2">
      <c r="H7792" s="6"/>
      <c r="I7792" s="6"/>
    </row>
    <row r="7793" spans="8:9" x14ac:dyDescent="0.2">
      <c r="H7793" s="6"/>
      <c r="I7793" s="6"/>
    </row>
    <row r="7794" spans="8:9" x14ac:dyDescent="0.2">
      <c r="H7794" s="6"/>
      <c r="I7794" s="6"/>
    </row>
    <row r="7795" spans="8:9" x14ac:dyDescent="0.2">
      <c r="H7795" s="6"/>
      <c r="I7795" s="6"/>
    </row>
    <row r="7796" spans="8:9" x14ac:dyDescent="0.2">
      <c r="H7796" s="6"/>
      <c r="I7796" s="6"/>
    </row>
    <row r="7797" spans="8:9" x14ac:dyDescent="0.2">
      <c r="H7797" s="6"/>
      <c r="I7797" s="6"/>
    </row>
    <row r="7798" spans="8:9" x14ac:dyDescent="0.2">
      <c r="H7798" s="6"/>
      <c r="I7798" s="6"/>
    </row>
    <row r="7799" spans="8:9" x14ac:dyDescent="0.2">
      <c r="H7799" s="6"/>
      <c r="I7799" s="6"/>
    </row>
    <row r="7800" spans="8:9" x14ac:dyDescent="0.2">
      <c r="H7800" s="6"/>
      <c r="I7800" s="6"/>
    </row>
    <row r="7801" spans="8:9" x14ac:dyDescent="0.2">
      <c r="H7801" s="6"/>
      <c r="I7801" s="6"/>
    </row>
    <row r="7802" spans="8:9" x14ac:dyDescent="0.2">
      <c r="H7802" s="6"/>
      <c r="I7802" s="6"/>
    </row>
    <row r="7803" spans="8:9" x14ac:dyDescent="0.2">
      <c r="H7803" s="6"/>
      <c r="I7803" s="6"/>
    </row>
    <row r="7804" spans="8:9" x14ac:dyDescent="0.2">
      <c r="H7804" s="6"/>
      <c r="I7804" s="6"/>
    </row>
    <row r="7805" spans="8:9" x14ac:dyDescent="0.2">
      <c r="H7805" s="6"/>
      <c r="I7805" s="6"/>
    </row>
    <row r="7806" spans="8:9" x14ac:dyDescent="0.2">
      <c r="H7806" s="6"/>
      <c r="I7806" s="6"/>
    </row>
    <row r="7807" spans="8:9" x14ac:dyDescent="0.2">
      <c r="H7807" s="6"/>
      <c r="I7807" s="6"/>
    </row>
    <row r="7808" spans="8:9" x14ac:dyDescent="0.2">
      <c r="H7808" s="6"/>
      <c r="I7808" s="6"/>
    </row>
    <row r="7809" spans="8:9" x14ac:dyDescent="0.2">
      <c r="H7809" s="6"/>
      <c r="I7809" s="6"/>
    </row>
    <row r="7810" spans="8:9" x14ac:dyDescent="0.2">
      <c r="H7810" s="6"/>
      <c r="I7810" s="6"/>
    </row>
    <row r="7811" spans="8:9" x14ac:dyDescent="0.2">
      <c r="H7811" s="6"/>
      <c r="I7811" s="6"/>
    </row>
    <row r="7812" spans="8:9" x14ac:dyDescent="0.2">
      <c r="H7812" s="6"/>
      <c r="I7812" s="6"/>
    </row>
    <row r="7813" spans="8:9" x14ac:dyDescent="0.2">
      <c r="H7813" s="6"/>
      <c r="I7813" s="6"/>
    </row>
    <row r="7814" spans="8:9" x14ac:dyDescent="0.2">
      <c r="H7814" s="6"/>
      <c r="I7814" s="6"/>
    </row>
    <row r="7815" spans="8:9" x14ac:dyDescent="0.2">
      <c r="H7815" s="6"/>
      <c r="I7815" s="6"/>
    </row>
    <row r="7816" spans="8:9" x14ac:dyDescent="0.2">
      <c r="H7816" s="6"/>
      <c r="I7816" s="6"/>
    </row>
    <row r="7817" spans="8:9" x14ac:dyDescent="0.2">
      <c r="H7817" s="6"/>
      <c r="I7817" s="6"/>
    </row>
    <row r="7818" spans="8:9" x14ac:dyDescent="0.2">
      <c r="H7818" s="6"/>
      <c r="I7818" s="6"/>
    </row>
    <row r="7819" spans="8:9" x14ac:dyDescent="0.2">
      <c r="H7819" s="6"/>
      <c r="I7819" s="6"/>
    </row>
    <row r="7820" spans="8:9" x14ac:dyDescent="0.2">
      <c r="H7820" s="6"/>
      <c r="I7820" s="6"/>
    </row>
    <row r="7821" spans="8:9" x14ac:dyDescent="0.2">
      <c r="H7821" s="6"/>
      <c r="I7821" s="6"/>
    </row>
    <row r="7822" spans="8:9" x14ac:dyDescent="0.2">
      <c r="H7822" s="6"/>
      <c r="I7822" s="6"/>
    </row>
    <row r="7823" spans="8:9" x14ac:dyDescent="0.2">
      <c r="H7823" s="6"/>
      <c r="I7823" s="6"/>
    </row>
    <row r="7824" spans="8:9" x14ac:dyDescent="0.2">
      <c r="H7824" s="6"/>
      <c r="I7824" s="6"/>
    </row>
    <row r="7825" spans="8:9" x14ac:dyDescent="0.2">
      <c r="H7825" s="6"/>
      <c r="I7825" s="6"/>
    </row>
    <row r="7826" spans="8:9" x14ac:dyDescent="0.2">
      <c r="H7826" s="6"/>
      <c r="I7826" s="6"/>
    </row>
    <row r="7827" spans="8:9" x14ac:dyDescent="0.2">
      <c r="H7827" s="6"/>
      <c r="I7827" s="6"/>
    </row>
    <row r="7828" spans="8:9" x14ac:dyDescent="0.2">
      <c r="H7828" s="6"/>
      <c r="I7828" s="6"/>
    </row>
    <row r="7829" spans="8:9" x14ac:dyDescent="0.2">
      <c r="H7829" s="6"/>
      <c r="I7829" s="6"/>
    </row>
    <row r="7830" spans="8:9" x14ac:dyDescent="0.2">
      <c r="H7830" s="6"/>
      <c r="I7830" s="6"/>
    </row>
    <row r="7831" spans="8:9" x14ac:dyDescent="0.2">
      <c r="H7831" s="6"/>
      <c r="I7831" s="6"/>
    </row>
    <row r="7832" spans="8:9" x14ac:dyDescent="0.2">
      <c r="H7832" s="6"/>
      <c r="I7832" s="6"/>
    </row>
    <row r="7833" spans="8:9" x14ac:dyDescent="0.2">
      <c r="H7833" s="6"/>
      <c r="I7833" s="6"/>
    </row>
    <row r="7834" spans="8:9" x14ac:dyDescent="0.2">
      <c r="H7834" s="6"/>
      <c r="I7834" s="6"/>
    </row>
    <row r="7835" spans="8:9" x14ac:dyDescent="0.2">
      <c r="H7835" s="6"/>
      <c r="I7835" s="6"/>
    </row>
    <row r="7836" spans="8:9" x14ac:dyDescent="0.2">
      <c r="H7836" s="6"/>
      <c r="I7836" s="6"/>
    </row>
    <row r="7837" spans="8:9" x14ac:dyDescent="0.2">
      <c r="H7837" s="6"/>
      <c r="I7837" s="6"/>
    </row>
    <row r="7838" spans="8:9" x14ac:dyDescent="0.2">
      <c r="H7838" s="6"/>
      <c r="I7838" s="6"/>
    </row>
    <row r="7839" spans="8:9" x14ac:dyDescent="0.2">
      <c r="H7839" s="6"/>
      <c r="I7839" s="6"/>
    </row>
    <row r="7840" spans="8:9" x14ac:dyDescent="0.2">
      <c r="H7840" s="6"/>
      <c r="I7840" s="6"/>
    </row>
    <row r="7841" spans="8:9" x14ac:dyDescent="0.2">
      <c r="H7841" s="6"/>
      <c r="I7841" s="6"/>
    </row>
    <row r="7842" spans="8:9" x14ac:dyDescent="0.2">
      <c r="H7842" s="6"/>
      <c r="I7842" s="6"/>
    </row>
    <row r="7843" spans="8:9" x14ac:dyDescent="0.2">
      <c r="H7843" s="6"/>
      <c r="I7843" s="6"/>
    </row>
    <row r="7844" spans="8:9" x14ac:dyDescent="0.2">
      <c r="H7844" s="6"/>
      <c r="I7844" s="6"/>
    </row>
    <row r="7845" spans="8:9" x14ac:dyDescent="0.2">
      <c r="H7845" s="6"/>
      <c r="I7845" s="6"/>
    </row>
    <row r="7846" spans="8:9" x14ac:dyDescent="0.2">
      <c r="H7846" s="6"/>
      <c r="I7846" s="6"/>
    </row>
    <row r="7847" spans="8:9" x14ac:dyDescent="0.2">
      <c r="H7847" s="6"/>
      <c r="I7847" s="6"/>
    </row>
    <row r="7848" spans="8:9" x14ac:dyDescent="0.2">
      <c r="H7848" s="6"/>
      <c r="I7848" s="6"/>
    </row>
    <row r="7849" spans="8:9" x14ac:dyDescent="0.2">
      <c r="H7849" s="6"/>
      <c r="I7849" s="6"/>
    </row>
    <row r="7850" spans="8:9" x14ac:dyDescent="0.2">
      <c r="H7850" s="6"/>
      <c r="I7850" s="6"/>
    </row>
    <row r="7851" spans="8:9" x14ac:dyDescent="0.2">
      <c r="H7851" s="6"/>
      <c r="I7851" s="6"/>
    </row>
    <row r="7852" spans="8:9" x14ac:dyDescent="0.2">
      <c r="H7852" s="6"/>
      <c r="I7852" s="6"/>
    </row>
    <row r="7853" spans="8:9" x14ac:dyDescent="0.2">
      <c r="H7853" s="6"/>
      <c r="I7853" s="6"/>
    </row>
    <row r="7854" spans="8:9" x14ac:dyDescent="0.2">
      <c r="H7854" s="6"/>
      <c r="I7854" s="6"/>
    </row>
    <row r="7855" spans="8:9" x14ac:dyDescent="0.2">
      <c r="H7855" s="6"/>
      <c r="I7855" s="6"/>
    </row>
    <row r="7856" spans="8:9" x14ac:dyDescent="0.2">
      <c r="H7856" s="6"/>
      <c r="I7856" s="6"/>
    </row>
    <row r="7857" spans="8:9" x14ac:dyDescent="0.2">
      <c r="H7857" s="6"/>
      <c r="I7857" s="6"/>
    </row>
    <row r="7858" spans="8:9" x14ac:dyDescent="0.2">
      <c r="H7858" s="6"/>
      <c r="I7858" s="6"/>
    </row>
    <row r="7859" spans="8:9" x14ac:dyDescent="0.2">
      <c r="H7859" s="6"/>
      <c r="I7859" s="6"/>
    </row>
    <row r="7860" spans="8:9" x14ac:dyDescent="0.2">
      <c r="H7860" s="6"/>
      <c r="I7860" s="6"/>
    </row>
    <row r="7861" spans="8:9" x14ac:dyDescent="0.2">
      <c r="H7861" s="6"/>
      <c r="I7861" s="6"/>
    </row>
    <row r="7862" spans="8:9" x14ac:dyDescent="0.2">
      <c r="H7862" s="6"/>
      <c r="I7862" s="6"/>
    </row>
    <row r="7863" spans="8:9" x14ac:dyDescent="0.2">
      <c r="H7863" s="6"/>
      <c r="I7863" s="6"/>
    </row>
    <row r="7864" spans="8:9" x14ac:dyDescent="0.2">
      <c r="H7864" s="6"/>
      <c r="I7864" s="6"/>
    </row>
    <row r="7865" spans="8:9" x14ac:dyDescent="0.2">
      <c r="H7865" s="6"/>
      <c r="I7865" s="6"/>
    </row>
    <row r="7866" spans="8:9" x14ac:dyDescent="0.2">
      <c r="H7866" s="6"/>
      <c r="I7866" s="6"/>
    </row>
    <row r="7867" spans="8:9" x14ac:dyDescent="0.2">
      <c r="H7867" s="6"/>
      <c r="I7867" s="6"/>
    </row>
    <row r="7868" spans="8:9" x14ac:dyDescent="0.2">
      <c r="H7868" s="6"/>
      <c r="I7868" s="6"/>
    </row>
    <row r="7869" spans="8:9" x14ac:dyDescent="0.2">
      <c r="H7869" s="6"/>
      <c r="I7869" s="6"/>
    </row>
    <row r="7870" spans="8:9" x14ac:dyDescent="0.2">
      <c r="H7870" s="6"/>
      <c r="I7870" s="6"/>
    </row>
    <row r="7871" spans="8:9" x14ac:dyDescent="0.2">
      <c r="H7871" s="6"/>
      <c r="I7871" s="6"/>
    </row>
    <row r="7872" spans="8:9" x14ac:dyDescent="0.2">
      <c r="H7872" s="6"/>
      <c r="I7872" s="6"/>
    </row>
    <row r="7873" spans="8:9" x14ac:dyDescent="0.2">
      <c r="H7873" s="6"/>
      <c r="I7873" s="6"/>
    </row>
    <row r="7874" spans="8:9" x14ac:dyDescent="0.2">
      <c r="H7874" s="6"/>
      <c r="I7874" s="6"/>
    </row>
    <row r="7875" spans="8:9" x14ac:dyDescent="0.2">
      <c r="H7875" s="6"/>
      <c r="I7875" s="6"/>
    </row>
    <row r="7876" spans="8:9" x14ac:dyDescent="0.2">
      <c r="H7876" s="6"/>
      <c r="I7876" s="6"/>
    </row>
    <row r="7877" spans="8:9" x14ac:dyDescent="0.2">
      <c r="H7877" s="6"/>
      <c r="I7877" s="6"/>
    </row>
    <row r="7878" spans="8:9" x14ac:dyDescent="0.2">
      <c r="H7878" s="6"/>
      <c r="I7878" s="6"/>
    </row>
    <row r="7879" spans="8:9" x14ac:dyDescent="0.2">
      <c r="H7879" s="6"/>
      <c r="I7879" s="6"/>
    </row>
    <row r="7880" spans="8:9" x14ac:dyDescent="0.2">
      <c r="H7880" s="6"/>
      <c r="I7880" s="6"/>
    </row>
    <row r="7881" spans="8:9" x14ac:dyDescent="0.2">
      <c r="H7881" s="6"/>
      <c r="I7881" s="6"/>
    </row>
    <row r="7882" spans="8:9" x14ac:dyDescent="0.2">
      <c r="H7882" s="6"/>
      <c r="I7882" s="6"/>
    </row>
    <row r="7883" spans="8:9" x14ac:dyDescent="0.2">
      <c r="H7883" s="6"/>
      <c r="I7883" s="6"/>
    </row>
    <row r="7884" spans="8:9" x14ac:dyDescent="0.2">
      <c r="H7884" s="6"/>
      <c r="I7884" s="6"/>
    </row>
    <row r="7885" spans="8:9" x14ac:dyDescent="0.2">
      <c r="H7885" s="6"/>
      <c r="I7885" s="6"/>
    </row>
    <row r="7886" spans="8:9" x14ac:dyDescent="0.2">
      <c r="H7886" s="6"/>
      <c r="I7886" s="6"/>
    </row>
    <row r="7887" spans="8:9" x14ac:dyDescent="0.2">
      <c r="H7887" s="6"/>
      <c r="I7887" s="6"/>
    </row>
    <row r="7888" spans="8:9" x14ac:dyDescent="0.2">
      <c r="H7888" s="6"/>
      <c r="I7888" s="6"/>
    </row>
    <row r="7889" spans="8:9" x14ac:dyDescent="0.2">
      <c r="H7889" s="6"/>
      <c r="I7889" s="6"/>
    </row>
    <row r="7890" spans="8:9" x14ac:dyDescent="0.2">
      <c r="H7890" s="6"/>
      <c r="I7890" s="6"/>
    </row>
    <row r="7891" spans="8:9" x14ac:dyDescent="0.2">
      <c r="H7891" s="6"/>
      <c r="I7891" s="6"/>
    </row>
    <row r="7892" spans="8:9" x14ac:dyDescent="0.2">
      <c r="H7892" s="6"/>
      <c r="I7892" s="6"/>
    </row>
    <row r="7893" spans="8:9" x14ac:dyDescent="0.2">
      <c r="H7893" s="6"/>
      <c r="I7893" s="6"/>
    </row>
    <row r="7894" spans="8:9" x14ac:dyDescent="0.2">
      <c r="H7894" s="6"/>
      <c r="I7894" s="6"/>
    </row>
    <row r="7895" spans="8:9" x14ac:dyDescent="0.2">
      <c r="H7895" s="6"/>
      <c r="I7895" s="6"/>
    </row>
    <row r="7896" spans="8:9" x14ac:dyDescent="0.2">
      <c r="H7896" s="6"/>
      <c r="I7896" s="6"/>
    </row>
    <row r="7897" spans="8:9" x14ac:dyDescent="0.2">
      <c r="H7897" s="6"/>
      <c r="I7897" s="6"/>
    </row>
    <row r="7898" spans="8:9" x14ac:dyDescent="0.2">
      <c r="H7898" s="6"/>
      <c r="I7898" s="6"/>
    </row>
    <row r="7899" spans="8:9" x14ac:dyDescent="0.2">
      <c r="H7899" s="6"/>
      <c r="I7899" s="6"/>
    </row>
    <row r="7900" spans="8:9" x14ac:dyDescent="0.2">
      <c r="H7900" s="6"/>
      <c r="I7900" s="6"/>
    </row>
    <row r="7901" spans="8:9" x14ac:dyDescent="0.2">
      <c r="H7901" s="6"/>
      <c r="I7901" s="6"/>
    </row>
    <row r="7902" spans="8:9" x14ac:dyDescent="0.2">
      <c r="H7902" s="6"/>
      <c r="I7902" s="6"/>
    </row>
    <row r="7903" spans="8:9" x14ac:dyDescent="0.2">
      <c r="H7903" s="6"/>
      <c r="I7903" s="6"/>
    </row>
    <row r="7904" spans="8:9" x14ac:dyDescent="0.2">
      <c r="H7904" s="6"/>
      <c r="I7904" s="6"/>
    </row>
    <row r="7905" spans="8:9" x14ac:dyDescent="0.2">
      <c r="H7905" s="6"/>
      <c r="I7905" s="6"/>
    </row>
    <row r="7906" spans="8:9" x14ac:dyDescent="0.2">
      <c r="H7906" s="6"/>
      <c r="I7906" s="6"/>
    </row>
    <row r="7907" spans="8:9" x14ac:dyDescent="0.2">
      <c r="H7907" s="6"/>
      <c r="I7907" s="6"/>
    </row>
    <row r="7908" spans="8:9" x14ac:dyDescent="0.2">
      <c r="H7908" s="6"/>
      <c r="I7908" s="6"/>
    </row>
    <row r="7909" spans="8:9" x14ac:dyDescent="0.2">
      <c r="H7909" s="6"/>
      <c r="I7909" s="6"/>
    </row>
    <row r="7910" spans="8:9" x14ac:dyDescent="0.2">
      <c r="H7910" s="6"/>
      <c r="I7910" s="6"/>
    </row>
    <row r="7911" spans="8:9" x14ac:dyDescent="0.2">
      <c r="H7911" s="6"/>
      <c r="I7911" s="6"/>
    </row>
    <row r="7912" spans="8:9" x14ac:dyDescent="0.2">
      <c r="H7912" s="6"/>
      <c r="I7912" s="6"/>
    </row>
    <row r="7913" spans="8:9" x14ac:dyDescent="0.2">
      <c r="H7913" s="6"/>
      <c r="I7913" s="6"/>
    </row>
    <row r="7914" spans="8:9" x14ac:dyDescent="0.2">
      <c r="H7914" s="6"/>
      <c r="I7914" s="6"/>
    </row>
    <row r="7915" spans="8:9" x14ac:dyDescent="0.2">
      <c r="H7915" s="6"/>
      <c r="I7915" s="6"/>
    </row>
    <row r="7916" spans="8:9" x14ac:dyDescent="0.2">
      <c r="H7916" s="6"/>
      <c r="I7916" s="6"/>
    </row>
    <row r="7917" spans="8:9" x14ac:dyDescent="0.2">
      <c r="H7917" s="6"/>
      <c r="I7917" s="6"/>
    </row>
    <row r="7918" spans="8:9" x14ac:dyDescent="0.2">
      <c r="H7918" s="6"/>
      <c r="I7918" s="6"/>
    </row>
    <row r="7919" spans="8:9" x14ac:dyDescent="0.2">
      <c r="H7919" s="6"/>
      <c r="I7919" s="6"/>
    </row>
    <row r="7920" spans="8:9" x14ac:dyDescent="0.2">
      <c r="H7920" s="6"/>
      <c r="I7920" s="6"/>
    </row>
    <row r="7921" spans="8:9" x14ac:dyDescent="0.2">
      <c r="H7921" s="6"/>
      <c r="I7921" s="6"/>
    </row>
    <row r="7922" spans="8:9" x14ac:dyDescent="0.2">
      <c r="H7922" s="6"/>
      <c r="I7922" s="6"/>
    </row>
    <row r="7923" spans="8:9" x14ac:dyDescent="0.2">
      <c r="H7923" s="6"/>
      <c r="I7923" s="6"/>
    </row>
    <row r="7924" spans="8:9" x14ac:dyDescent="0.2">
      <c r="H7924" s="6"/>
      <c r="I7924" s="6"/>
    </row>
    <row r="7925" spans="8:9" x14ac:dyDescent="0.2">
      <c r="H7925" s="6"/>
      <c r="I7925" s="6"/>
    </row>
    <row r="7926" spans="8:9" x14ac:dyDescent="0.2">
      <c r="H7926" s="6"/>
      <c r="I7926" s="6"/>
    </row>
    <row r="7927" spans="8:9" x14ac:dyDescent="0.2">
      <c r="H7927" s="6"/>
      <c r="I7927" s="6"/>
    </row>
    <row r="7928" spans="8:9" x14ac:dyDescent="0.2">
      <c r="H7928" s="6"/>
      <c r="I7928" s="6"/>
    </row>
    <row r="7929" spans="8:9" x14ac:dyDescent="0.2">
      <c r="H7929" s="6"/>
      <c r="I7929" s="6"/>
    </row>
    <row r="7930" spans="8:9" x14ac:dyDescent="0.2">
      <c r="H7930" s="6"/>
      <c r="I7930" s="6"/>
    </row>
    <row r="7931" spans="8:9" x14ac:dyDescent="0.2">
      <c r="H7931" s="6"/>
      <c r="I7931" s="6"/>
    </row>
    <row r="7932" spans="8:9" x14ac:dyDescent="0.2">
      <c r="H7932" s="6"/>
      <c r="I7932" s="6"/>
    </row>
    <row r="7933" spans="8:9" x14ac:dyDescent="0.2">
      <c r="H7933" s="6"/>
      <c r="I7933" s="6"/>
    </row>
    <row r="7934" spans="8:9" x14ac:dyDescent="0.2">
      <c r="H7934" s="6"/>
      <c r="I7934" s="6"/>
    </row>
    <row r="7935" spans="8:9" x14ac:dyDescent="0.2">
      <c r="H7935" s="6"/>
      <c r="I7935" s="6"/>
    </row>
    <row r="7936" spans="8:9" x14ac:dyDescent="0.2">
      <c r="H7936" s="6"/>
      <c r="I7936" s="6"/>
    </row>
    <row r="7937" spans="8:9" x14ac:dyDescent="0.2">
      <c r="H7937" s="6"/>
      <c r="I7937" s="6"/>
    </row>
    <row r="7938" spans="8:9" x14ac:dyDescent="0.2">
      <c r="H7938" s="6"/>
      <c r="I7938" s="6"/>
    </row>
    <row r="7939" spans="8:9" x14ac:dyDescent="0.2">
      <c r="H7939" s="6"/>
      <c r="I7939" s="6"/>
    </row>
    <row r="7940" spans="8:9" x14ac:dyDescent="0.2">
      <c r="H7940" s="6"/>
      <c r="I7940" s="6"/>
    </row>
    <row r="7941" spans="8:9" x14ac:dyDescent="0.2">
      <c r="H7941" s="6"/>
      <c r="I7941" s="6"/>
    </row>
    <row r="7942" spans="8:9" x14ac:dyDescent="0.2">
      <c r="H7942" s="6"/>
      <c r="I7942" s="6"/>
    </row>
    <row r="7943" spans="8:9" x14ac:dyDescent="0.2">
      <c r="H7943" s="6"/>
      <c r="I7943" s="6"/>
    </row>
    <row r="7944" spans="8:9" x14ac:dyDescent="0.2">
      <c r="H7944" s="6"/>
      <c r="I7944" s="6"/>
    </row>
    <row r="7945" spans="8:9" x14ac:dyDescent="0.2">
      <c r="H7945" s="6"/>
      <c r="I7945" s="6"/>
    </row>
    <row r="7946" spans="8:9" x14ac:dyDescent="0.2">
      <c r="H7946" s="6"/>
      <c r="I7946" s="6"/>
    </row>
    <row r="7947" spans="8:9" x14ac:dyDescent="0.2">
      <c r="H7947" s="6"/>
      <c r="I7947" s="6"/>
    </row>
    <row r="7948" spans="8:9" x14ac:dyDescent="0.2">
      <c r="H7948" s="6"/>
      <c r="I7948" s="6"/>
    </row>
    <row r="7949" spans="8:9" x14ac:dyDescent="0.2">
      <c r="H7949" s="6"/>
      <c r="I7949" s="6"/>
    </row>
    <row r="7950" spans="8:9" x14ac:dyDescent="0.2">
      <c r="H7950" s="6"/>
      <c r="I7950" s="6"/>
    </row>
    <row r="7951" spans="8:9" x14ac:dyDescent="0.2">
      <c r="H7951" s="6"/>
      <c r="I7951" s="6"/>
    </row>
    <row r="7952" spans="8:9" x14ac:dyDescent="0.2">
      <c r="H7952" s="6"/>
      <c r="I7952" s="6"/>
    </row>
    <row r="7953" spans="8:9" x14ac:dyDescent="0.2">
      <c r="H7953" s="6"/>
      <c r="I7953" s="6"/>
    </row>
    <row r="7954" spans="8:9" x14ac:dyDescent="0.2">
      <c r="H7954" s="6"/>
      <c r="I7954" s="6"/>
    </row>
    <row r="7955" spans="8:9" x14ac:dyDescent="0.2">
      <c r="H7955" s="6"/>
      <c r="I7955" s="6"/>
    </row>
    <row r="7956" spans="8:9" x14ac:dyDescent="0.2">
      <c r="H7956" s="6"/>
      <c r="I7956" s="6"/>
    </row>
    <row r="7957" spans="8:9" x14ac:dyDescent="0.2">
      <c r="H7957" s="6"/>
      <c r="I7957" s="6"/>
    </row>
    <row r="7958" spans="8:9" x14ac:dyDescent="0.2">
      <c r="H7958" s="6"/>
      <c r="I7958" s="6"/>
    </row>
    <row r="7959" spans="8:9" x14ac:dyDescent="0.2">
      <c r="H7959" s="6"/>
      <c r="I7959" s="6"/>
    </row>
    <row r="7960" spans="8:9" x14ac:dyDescent="0.2">
      <c r="H7960" s="6"/>
      <c r="I7960" s="6"/>
    </row>
    <row r="7961" spans="8:9" x14ac:dyDescent="0.2">
      <c r="H7961" s="6"/>
      <c r="I7961" s="6"/>
    </row>
    <row r="7962" spans="8:9" x14ac:dyDescent="0.2">
      <c r="H7962" s="6"/>
      <c r="I7962" s="6"/>
    </row>
    <row r="7963" spans="8:9" x14ac:dyDescent="0.2">
      <c r="H7963" s="6"/>
      <c r="I7963" s="6"/>
    </row>
    <row r="7964" spans="8:9" x14ac:dyDescent="0.2">
      <c r="H7964" s="6"/>
      <c r="I7964" s="6"/>
    </row>
    <row r="7965" spans="8:9" x14ac:dyDescent="0.2">
      <c r="H7965" s="6"/>
      <c r="I7965" s="6"/>
    </row>
    <row r="7966" spans="8:9" x14ac:dyDescent="0.2">
      <c r="H7966" s="6"/>
      <c r="I7966" s="6"/>
    </row>
    <row r="7967" spans="8:9" x14ac:dyDescent="0.2">
      <c r="H7967" s="6"/>
      <c r="I7967" s="6"/>
    </row>
    <row r="7968" spans="8:9" x14ac:dyDescent="0.2">
      <c r="H7968" s="6"/>
      <c r="I7968" s="6"/>
    </row>
    <row r="7969" spans="8:9" x14ac:dyDescent="0.2">
      <c r="H7969" s="6"/>
      <c r="I7969" s="6"/>
    </row>
    <row r="7970" spans="8:9" x14ac:dyDescent="0.2">
      <c r="H7970" s="6"/>
      <c r="I7970" s="6"/>
    </row>
    <row r="7971" spans="8:9" x14ac:dyDescent="0.2">
      <c r="H7971" s="6"/>
      <c r="I7971" s="6"/>
    </row>
    <row r="7972" spans="8:9" x14ac:dyDescent="0.2">
      <c r="H7972" s="6"/>
      <c r="I7972" s="6"/>
    </row>
    <row r="7973" spans="8:9" x14ac:dyDescent="0.2">
      <c r="H7973" s="6"/>
      <c r="I7973" s="6"/>
    </row>
    <row r="7974" spans="8:9" x14ac:dyDescent="0.2">
      <c r="H7974" s="6"/>
      <c r="I7974" s="6"/>
    </row>
    <row r="7975" spans="8:9" x14ac:dyDescent="0.2">
      <c r="H7975" s="6"/>
      <c r="I7975" s="6"/>
    </row>
    <row r="7976" spans="8:9" x14ac:dyDescent="0.2">
      <c r="H7976" s="6"/>
      <c r="I7976" s="6"/>
    </row>
    <row r="7977" spans="8:9" x14ac:dyDescent="0.2">
      <c r="H7977" s="6"/>
      <c r="I7977" s="6"/>
    </row>
    <row r="7978" spans="8:9" x14ac:dyDescent="0.2">
      <c r="H7978" s="6"/>
      <c r="I7978" s="6"/>
    </row>
    <row r="7979" spans="8:9" x14ac:dyDescent="0.2">
      <c r="H7979" s="6"/>
      <c r="I7979" s="6"/>
    </row>
    <row r="7980" spans="8:9" x14ac:dyDescent="0.2">
      <c r="H7980" s="6"/>
      <c r="I7980" s="6"/>
    </row>
    <row r="7981" spans="8:9" x14ac:dyDescent="0.2">
      <c r="H7981" s="6"/>
      <c r="I7981" s="6"/>
    </row>
    <row r="7982" spans="8:9" x14ac:dyDescent="0.2">
      <c r="H7982" s="6"/>
      <c r="I7982" s="6"/>
    </row>
    <row r="7983" spans="8:9" x14ac:dyDescent="0.2">
      <c r="H7983" s="6"/>
      <c r="I7983" s="6"/>
    </row>
    <row r="7984" spans="8:9" x14ac:dyDescent="0.2">
      <c r="H7984" s="6"/>
      <c r="I7984" s="6"/>
    </row>
    <row r="7985" spans="8:9" x14ac:dyDescent="0.2">
      <c r="H7985" s="6"/>
      <c r="I7985" s="6"/>
    </row>
    <row r="7986" spans="8:9" x14ac:dyDescent="0.2">
      <c r="H7986" s="6"/>
      <c r="I7986" s="6"/>
    </row>
    <row r="7987" spans="8:9" x14ac:dyDescent="0.2">
      <c r="H7987" s="6"/>
      <c r="I7987" s="6"/>
    </row>
    <row r="7988" spans="8:9" x14ac:dyDescent="0.2">
      <c r="H7988" s="6"/>
      <c r="I7988" s="6"/>
    </row>
    <row r="7989" spans="8:9" x14ac:dyDescent="0.2">
      <c r="H7989" s="6"/>
      <c r="I7989" s="6"/>
    </row>
    <row r="7990" spans="8:9" x14ac:dyDescent="0.2">
      <c r="H7990" s="6"/>
      <c r="I7990" s="6"/>
    </row>
    <row r="7991" spans="8:9" x14ac:dyDescent="0.2">
      <c r="H7991" s="6"/>
      <c r="I7991" s="6"/>
    </row>
    <row r="7992" spans="8:9" x14ac:dyDescent="0.2">
      <c r="H7992" s="6"/>
      <c r="I7992" s="6"/>
    </row>
    <row r="7993" spans="8:9" x14ac:dyDescent="0.2">
      <c r="H7993" s="6"/>
      <c r="I7993" s="6"/>
    </row>
    <row r="7994" spans="8:9" x14ac:dyDescent="0.2">
      <c r="H7994" s="6"/>
      <c r="I7994" s="6"/>
    </row>
    <row r="7995" spans="8:9" x14ac:dyDescent="0.2">
      <c r="H7995" s="6"/>
      <c r="I7995" s="6"/>
    </row>
    <row r="7996" spans="8:9" x14ac:dyDescent="0.2">
      <c r="H7996" s="6"/>
      <c r="I7996" s="6"/>
    </row>
    <row r="7997" spans="8:9" x14ac:dyDescent="0.2">
      <c r="H7997" s="6"/>
      <c r="I7997" s="6"/>
    </row>
    <row r="7998" spans="8:9" x14ac:dyDescent="0.2">
      <c r="H7998" s="6"/>
      <c r="I7998" s="6"/>
    </row>
    <row r="7999" spans="8:9" x14ac:dyDescent="0.2">
      <c r="H7999" s="6"/>
      <c r="I7999" s="6"/>
    </row>
    <row r="8000" spans="8:9" x14ac:dyDescent="0.2">
      <c r="H8000" s="6"/>
      <c r="I8000" s="6"/>
    </row>
    <row r="8001" spans="8:9" x14ac:dyDescent="0.2">
      <c r="H8001" s="6"/>
      <c r="I8001" s="6"/>
    </row>
    <row r="8002" spans="8:9" x14ac:dyDescent="0.2">
      <c r="H8002" s="6"/>
      <c r="I8002" s="6"/>
    </row>
    <row r="8003" spans="8:9" x14ac:dyDescent="0.2">
      <c r="H8003" s="6"/>
      <c r="I8003" s="6"/>
    </row>
    <row r="8004" spans="8:9" x14ac:dyDescent="0.2">
      <c r="H8004" s="6"/>
      <c r="I8004" s="6"/>
    </row>
    <row r="8005" spans="8:9" x14ac:dyDescent="0.2">
      <c r="H8005" s="6"/>
      <c r="I8005" s="6"/>
    </row>
    <row r="8006" spans="8:9" x14ac:dyDescent="0.2">
      <c r="H8006" s="6"/>
      <c r="I8006" s="6"/>
    </row>
    <row r="8007" spans="8:9" x14ac:dyDescent="0.2">
      <c r="H8007" s="6"/>
      <c r="I8007" s="6"/>
    </row>
    <row r="8008" spans="8:9" x14ac:dyDescent="0.2">
      <c r="H8008" s="6"/>
      <c r="I8008" s="6"/>
    </row>
    <row r="8009" spans="8:9" x14ac:dyDescent="0.2">
      <c r="H8009" s="6"/>
      <c r="I8009" s="6"/>
    </row>
    <row r="8010" spans="8:9" x14ac:dyDescent="0.2">
      <c r="H8010" s="6"/>
      <c r="I8010" s="6"/>
    </row>
    <row r="8011" spans="8:9" x14ac:dyDescent="0.2">
      <c r="H8011" s="6"/>
      <c r="I8011" s="6"/>
    </row>
    <row r="8012" spans="8:9" x14ac:dyDescent="0.2">
      <c r="H8012" s="6"/>
      <c r="I8012" s="6"/>
    </row>
    <row r="8013" spans="8:9" x14ac:dyDescent="0.2">
      <c r="H8013" s="6"/>
      <c r="I8013" s="6"/>
    </row>
    <row r="8014" spans="8:9" x14ac:dyDescent="0.2">
      <c r="H8014" s="6"/>
      <c r="I8014" s="6"/>
    </row>
    <row r="8015" spans="8:9" x14ac:dyDescent="0.2">
      <c r="H8015" s="6"/>
      <c r="I8015" s="6"/>
    </row>
    <row r="8016" spans="8:9" x14ac:dyDescent="0.2">
      <c r="H8016" s="6"/>
      <c r="I8016" s="6"/>
    </row>
    <row r="8017" spans="8:9" x14ac:dyDescent="0.2">
      <c r="H8017" s="6"/>
      <c r="I8017" s="6"/>
    </row>
    <row r="8018" spans="8:9" x14ac:dyDescent="0.2">
      <c r="H8018" s="6"/>
      <c r="I8018" s="6"/>
    </row>
    <row r="8019" spans="8:9" x14ac:dyDescent="0.2">
      <c r="H8019" s="6"/>
      <c r="I8019" s="6"/>
    </row>
    <row r="8020" spans="8:9" x14ac:dyDescent="0.2">
      <c r="H8020" s="6"/>
      <c r="I8020" s="6"/>
    </row>
    <row r="8021" spans="8:9" x14ac:dyDescent="0.2">
      <c r="H8021" s="6"/>
      <c r="I8021" s="6"/>
    </row>
    <row r="8022" spans="8:9" x14ac:dyDescent="0.2">
      <c r="H8022" s="6"/>
      <c r="I8022" s="6"/>
    </row>
    <row r="8023" spans="8:9" x14ac:dyDescent="0.2">
      <c r="H8023" s="6"/>
      <c r="I8023" s="6"/>
    </row>
    <row r="8024" spans="8:9" x14ac:dyDescent="0.2">
      <c r="H8024" s="6"/>
      <c r="I8024" s="6"/>
    </row>
    <row r="8025" spans="8:9" x14ac:dyDescent="0.2">
      <c r="H8025" s="6"/>
      <c r="I8025" s="6"/>
    </row>
    <row r="8026" spans="8:9" x14ac:dyDescent="0.2">
      <c r="H8026" s="6"/>
      <c r="I8026" s="6"/>
    </row>
    <row r="8027" spans="8:9" x14ac:dyDescent="0.2">
      <c r="H8027" s="6"/>
      <c r="I8027" s="6"/>
    </row>
    <row r="8028" spans="8:9" x14ac:dyDescent="0.2">
      <c r="H8028" s="6"/>
      <c r="I8028" s="6"/>
    </row>
    <row r="8029" spans="8:9" x14ac:dyDescent="0.2">
      <c r="H8029" s="6"/>
      <c r="I8029" s="6"/>
    </row>
    <row r="8030" spans="8:9" x14ac:dyDescent="0.2">
      <c r="H8030" s="6"/>
      <c r="I8030" s="6"/>
    </row>
    <row r="8031" spans="8:9" x14ac:dyDescent="0.2">
      <c r="H8031" s="6"/>
      <c r="I8031" s="6"/>
    </row>
    <row r="8032" spans="8:9" x14ac:dyDescent="0.2">
      <c r="H8032" s="6"/>
      <c r="I8032" s="6"/>
    </row>
    <row r="8033" spans="8:9" x14ac:dyDescent="0.2">
      <c r="H8033" s="6"/>
      <c r="I8033" s="6"/>
    </row>
    <row r="8034" spans="8:9" x14ac:dyDescent="0.2">
      <c r="H8034" s="6"/>
      <c r="I8034" s="6"/>
    </row>
    <row r="8035" spans="8:9" x14ac:dyDescent="0.2">
      <c r="H8035" s="6"/>
      <c r="I8035" s="6"/>
    </row>
    <row r="8036" spans="8:9" x14ac:dyDescent="0.2">
      <c r="H8036" s="6"/>
      <c r="I8036" s="6"/>
    </row>
    <row r="8037" spans="8:9" x14ac:dyDescent="0.2">
      <c r="H8037" s="6"/>
      <c r="I8037" s="6"/>
    </row>
    <row r="8038" spans="8:9" x14ac:dyDescent="0.2">
      <c r="H8038" s="6"/>
      <c r="I8038" s="6"/>
    </row>
    <row r="8039" spans="8:9" x14ac:dyDescent="0.2">
      <c r="H8039" s="6"/>
      <c r="I8039" s="6"/>
    </row>
    <row r="8040" spans="8:9" x14ac:dyDescent="0.2">
      <c r="H8040" s="6"/>
      <c r="I8040" s="6"/>
    </row>
    <row r="8041" spans="8:9" x14ac:dyDescent="0.2">
      <c r="H8041" s="6"/>
      <c r="I8041" s="6"/>
    </row>
    <row r="8042" spans="8:9" x14ac:dyDescent="0.2">
      <c r="H8042" s="6"/>
      <c r="I8042" s="6"/>
    </row>
    <row r="8043" spans="8:9" x14ac:dyDescent="0.2">
      <c r="H8043" s="6"/>
      <c r="I8043" s="6"/>
    </row>
    <row r="8044" spans="8:9" x14ac:dyDescent="0.2">
      <c r="H8044" s="6"/>
      <c r="I8044" s="6"/>
    </row>
    <row r="8045" spans="8:9" x14ac:dyDescent="0.2">
      <c r="H8045" s="6"/>
      <c r="I8045" s="6"/>
    </row>
    <row r="8046" spans="8:9" x14ac:dyDescent="0.2">
      <c r="H8046" s="6"/>
      <c r="I8046" s="6"/>
    </row>
    <row r="8047" spans="8:9" x14ac:dyDescent="0.2">
      <c r="H8047" s="6"/>
      <c r="I8047" s="6"/>
    </row>
    <row r="8048" spans="8:9" x14ac:dyDescent="0.2">
      <c r="H8048" s="6"/>
      <c r="I8048" s="6"/>
    </row>
    <row r="8049" spans="8:9" x14ac:dyDescent="0.2">
      <c r="H8049" s="6"/>
      <c r="I8049" s="6"/>
    </row>
    <row r="8050" spans="8:9" x14ac:dyDescent="0.2">
      <c r="H8050" s="6"/>
      <c r="I8050" s="6"/>
    </row>
    <row r="8051" spans="8:9" x14ac:dyDescent="0.2">
      <c r="H8051" s="6"/>
      <c r="I8051" s="6"/>
    </row>
    <row r="8052" spans="8:9" x14ac:dyDescent="0.2">
      <c r="H8052" s="6"/>
      <c r="I8052" s="6"/>
    </row>
    <row r="8053" spans="8:9" x14ac:dyDescent="0.2">
      <c r="H8053" s="6"/>
      <c r="I8053" s="6"/>
    </row>
    <row r="8054" spans="8:9" x14ac:dyDescent="0.2">
      <c r="H8054" s="6"/>
      <c r="I8054" s="6"/>
    </row>
    <row r="8055" spans="8:9" x14ac:dyDescent="0.2">
      <c r="H8055" s="6"/>
      <c r="I8055" s="6"/>
    </row>
    <row r="8056" spans="8:9" x14ac:dyDescent="0.2">
      <c r="H8056" s="6"/>
      <c r="I8056" s="6"/>
    </row>
    <row r="8057" spans="8:9" x14ac:dyDescent="0.2">
      <c r="H8057" s="6"/>
      <c r="I8057" s="6"/>
    </row>
    <row r="8058" spans="8:9" x14ac:dyDescent="0.2">
      <c r="H8058" s="6"/>
      <c r="I8058" s="6"/>
    </row>
    <row r="8059" spans="8:9" x14ac:dyDescent="0.2">
      <c r="H8059" s="6"/>
      <c r="I8059" s="6"/>
    </row>
    <row r="8060" spans="8:9" x14ac:dyDescent="0.2">
      <c r="H8060" s="6"/>
      <c r="I8060" s="6"/>
    </row>
    <row r="8061" spans="8:9" x14ac:dyDescent="0.2">
      <c r="H8061" s="6"/>
      <c r="I8061" s="6"/>
    </row>
    <row r="8062" spans="8:9" x14ac:dyDescent="0.2">
      <c r="H8062" s="6"/>
      <c r="I8062" s="6"/>
    </row>
    <row r="8063" spans="8:9" x14ac:dyDescent="0.2">
      <c r="H8063" s="6"/>
      <c r="I8063" s="6"/>
    </row>
    <row r="8064" spans="8:9" x14ac:dyDescent="0.2">
      <c r="H8064" s="6"/>
      <c r="I8064" s="6"/>
    </row>
    <row r="8065" spans="8:9" x14ac:dyDescent="0.2">
      <c r="H8065" s="6"/>
      <c r="I8065" s="6"/>
    </row>
    <row r="8066" spans="8:9" x14ac:dyDescent="0.2">
      <c r="H8066" s="6"/>
      <c r="I8066" s="6"/>
    </row>
    <row r="8067" spans="8:9" x14ac:dyDescent="0.2">
      <c r="H8067" s="6"/>
      <c r="I8067" s="6"/>
    </row>
    <row r="8068" spans="8:9" x14ac:dyDescent="0.2">
      <c r="H8068" s="6"/>
      <c r="I8068" s="6"/>
    </row>
    <row r="8069" spans="8:9" x14ac:dyDescent="0.2">
      <c r="H8069" s="6"/>
      <c r="I8069" s="6"/>
    </row>
    <row r="8070" spans="8:9" x14ac:dyDescent="0.2">
      <c r="H8070" s="6"/>
      <c r="I8070" s="6"/>
    </row>
    <row r="8071" spans="8:9" x14ac:dyDescent="0.2">
      <c r="H8071" s="6"/>
      <c r="I8071" s="6"/>
    </row>
    <row r="8072" spans="8:9" x14ac:dyDescent="0.2">
      <c r="H8072" s="6"/>
      <c r="I8072" s="6"/>
    </row>
    <row r="8073" spans="8:9" x14ac:dyDescent="0.2">
      <c r="H8073" s="6"/>
      <c r="I8073" s="6"/>
    </row>
    <row r="8074" spans="8:9" x14ac:dyDescent="0.2">
      <c r="H8074" s="6"/>
      <c r="I8074" s="6"/>
    </row>
    <row r="8075" spans="8:9" x14ac:dyDescent="0.2">
      <c r="H8075" s="6"/>
      <c r="I8075" s="6"/>
    </row>
    <row r="8076" spans="8:9" x14ac:dyDescent="0.2">
      <c r="H8076" s="6"/>
      <c r="I8076" s="6"/>
    </row>
    <row r="8077" spans="8:9" x14ac:dyDescent="0.2">
      <c r="H8077" s="6"/>
      <c r="I8077" s="6"/>
    </row>
    <row r="8078" spans="8:9" x14ac:dyDescent="0.2">
      <c r="H8078" s="6"/>
      <c r="I8078" s="6"/>
    </row>
    <row r="8079" spans="8:9" x14ac:dyDescent="0.2">
      <c r="H8079" s="6"/>
      <c r="I8079" s="6"/>
    </row>
    <row r="8080" spans="8:9" x14ac:dyDescent="0.2">
      <c r="H8080" s="6"/>
      <c r="I8080" s="6"/>
    </row>
    <row r="8081" spans="8:9" x14ac:dyDescent="0.2">
      <c r="H8081" s="6"/>
      <c r="I8081" s="6"/>
    </row>
    <row r="8082" spans="8:9" x14ac:dyDescent="0.2">
      <c r="H8082" s="6"/>
      <c r="I8082" s="6"/>
    </row>
    <row r="8083" spans="8:9" x14ac:dyDescent="0.2">
      <c r="H8083" s="6"/>
      <c r="I8083" s="6"/>
    </row>
    <row r="8084" spans="8:9" x14ac:dyDescent="0.2">
      <c r="H8084" s="6"/>
      <c r="I8084" s="6"/>
    </row>
    <row r="8085" spans="8:9" x14ac:dyDescent="0.2">
      <c r="H8085" s="6"/>
      <c r="I8085" s="6"/>
    </row>
    <row r="8086" spans="8:9" x14ac:dyDescent="0.2">
      <c r="H8086" s="6"/>
      <c r="I8086" s="6"/>
    </row>
    <row r="8087" spans="8:9" x14ac:dyDescent="0.2">
      <c r="H8087" s="6"/>
    </row>
    <row r="8088" spans="8:9" x14ac:dyDescent="0.2">
      <c r="H8088" s="6"/>
      <c r="I8088" s="6"/>
    </row>
    <row r="8089" spans="8:9" x14ac:dyDescent="0.2">
      <c r="H8089" s="6"/>
      <c r="I8089" s="6"/>
    </row>
    <row r="8090" spans="8:9" x14ac:dyDescent="0.2">
      <c r="H8090" s="6"/>
      <c r="I8090" s="6"/>
    </row>
    <row r="8091" spans="8:9" x14ac:dyDescent="0.2">
      <c r="H8091" s="6"/>
      <c r="I8091" s="6"/>
    </row>
    <row r="8092" spans="8:9" x14ac:dyDescent="0.2">
      <c r="H8092" s="6"/>
      <c r="I8092" s="6"/>
    </row>
    <row r="8093" spans="8:9" x14ac:dyDescent="0.2">
      <c r="H8093" s="6"/>
      <c r="I8093" s="6"/>
    </row>
    <row r="8094" spans="8:9" x14ac:dyDescent="0.2">
      <c r="H8094" s="6"/>
      <c r="I8094" s="6"/>
    </row>
    <row r="8095" spans="8:9" x14ac:dyDescent="0.2">
      <c r="H8095" s="6"/>
      <c r="I8095" s="6"/>
    </row>
    <row r="8096" spans="8:9" x14ac:dyDescent="0.2">
      <c r="H8096" s="6"/>
      <c r="I8096" s="6"/>
    </row>
    <row r="8097" spans="8:9" x14ac:dyDescent="0.2">
      <c r="H8097" s="6"/>
      <c r="I8097" s="6"/>
    </row>
    <row r="8098" spans="8:9" x14ac:dyDescent="0.2">
      <c r="H8098" s="6"/>
      <c r="I8098" s="6"/>
    </row>
    <row r="8099" spans="8:9" x14ac:dyDescent="0.2">
      <c r="H8099" s="6"/>
      <c r="I8099" s="6"/>
    </row>
    <row r="8100" spans="8:9" x14ac:dyDescent="0.2">
      <c r="H8100" s="6"/>
      <c r="I8100" s="6"/>
    </row>
    <row r="8101" spans="8:9" x14ac:dyDescent="0.2">
      <c r="H8101" s="6"/>
      <c r="I8101" s="6"/>
    </row>
    <row r="8102" spans="8:9" x14ac:dyDescent="0.2">
      <c r="H8102" s="6"/>
      <c r="I8102" s="6"/>
    </row>
    <row r="8103" spans="8:9" x14ac:dyDescent="0.2">
      <c r="H8103" s="6"/>
      <c r="I8103" s="6"/>
    </row>
    <row r="8104" spans="8:9" x14ac:dyDescent="0.2">
      <c r="H8104" s="6"/>
      <c r="I8104" s="6"/>
    </row>
    <row r="8105" spans="8:9" x14ac:dyDescent="0.2">
      <c r="H8105" s="6"/>
      <c r="I8105" s="6"/>
    </row>
    <row r="8106" spans="8:9" x14ac:dyDescent="0.2">
      <c r="H8106" s="6"/>
      <c r="I8106" s="6"/>
    </row>
    <row r="8107" spans="8:9" x14ac:dyDescent="0.2">
      <c r="H8107" s="6"/>
      <c r="I8107" s="6"/>
    </row>
    <row r="8108" spans="8:9" x14ac:dyDescent="0.2">
      <c r="H8108" s="6"/>
      <c r="I8108" s="6"/>
    </row>
    <row r="8109" spans="8:9" x14ac:dyDescent="0.2">
      <c r="H8109" s="6"/>
      <c r="I8109" s="6"/>
    </row>
    <row r="8110" spans="8:9" x14ac:dyDescent="0.2">
      <c r="H8110" s="6"/>
      <c r="I8110" s="6"/>
    </row>
    <row r="8111" spans="8:9" x14ac:dyDescent="0.2">
      <c r="H8111" s="6"/>
      <c r="I8111" s="6"/>
    </row>
    <row r="8112" spans="8:9" x14ac:dyDescent="0.2">
      <c r="H8112" s="6"/>
      <c r="I8112" s="6"/>
    </row>
    <row r="8113" spans="8:9" x14ac:dyDescent="0.2">
      <c r="H8113" s="6"/>
      <c r="I8113" s="6"/>
    </row>
    <row r="8114" spans="8:9" x14ac:dyDescent="0.2">
      <c r="H8114" s="6"/>
      <c r="I8114" s="6"/>
    </row>
    <row r="8115" spans="8:9" x14ac:dyDescent="0.2">
      <c r="H8115" s="6"/>
      <c r="I8115" s="6"/>
    </row>
    <row r="8116" spans="8:9" x14ac:dyDescent="0.2">
      <c r="H8116" s="6"/>
      <c r="I8116" s="6"/>
    </row>
    <row r="8117" spans="8:9" x14ac:dyDescent="0.2">
      <c r="H8117" s="6"/>
      <c r="I8117" s="6"/>
    </row>
    <row r="8118" spans="8:9" x14ac:dyDescent="0.2">
      <c r="H8118" s="6"/>
      <c r="I8118" s="6"/>
    </row>
    <row r="8119" spans="8:9" x14ac:dyDescent="0.2">
      <c r="H8119" s="6"/>
      <c r="I8119" s="6"/>
    </row>
    <row r="8120" spans="8:9" x14ac:dyDescent="0.2">
      <c r="H8120" s="6"/>
      <c r="I8120" s="6"/>
    </row>
    <row r="8121" spans="8:9" x14ac:dyDescent="0.2">
      <c r="H8121" s="6"/>
      <c r="I8121" s="6"/>
    </row>
    <row r="8122" spans="8:9" x14ac:dyDescent="0.2">
      <c r="H8122" s="6"/>
      <c r="I8122" s="6"/>
    </row>
    <row r="8123" spans="8:9" x14ac:dyDescent="0.2">
      <c r="H8123" s="6"/>
      <c r="I8123" s="6"/>
    </row>
    <row r="8124" spans="8:9" x14ac:dyDescent="0.2">
      <c r="H8124" s="6"/>
      <c r="I8124" s="6"/>
    </row>
    <row r="8125" spans="8:9" x14ac:dyDescent="0.2">
      <c r="H8125" s="6"/>
      <c r="I8125" s="6"/>
    </row>
    <row r="8126" spans="8:9" x14ac:dyDescent="0.2">
      <c r="H8126" s="6"/>
      <c r="I8126" s="6"/>
    </row>
    <row r="8127" spans="8:9" x14ac:dyDescent="0.2">
      <c r="H8127" s="6"/>
      <c r="I8127" s="6"/>
    </row>
    <row r="8128" spans="8:9" x14ac:dyDescent="0.2">
      <c r="H8128" s="6"/>
      <c r="I8128" s="6"/>
    </row>
    <row r="8129" spans="8:9" x14ac:dyDescent="0.2">
      <c r="H8129" s="6"/>
      <c r="I8129" s="6"/>
    </row>
    <row r="8130" spans="8:9" x14ac:dyDescent="0.2">
      <c r="H8130" s="6"/>
      <c r="I8130" s="6"/>
    </row>
    <row r="8131" spans="8:9" x14ac:dyDescent="0.2">
      <c r="H8131" s="6"/>
      <c r="I8131" s="6"/>
    </row>
    <row r="8132" spans="8:9" x14ac:dyDescent="0.2">
      <c r="H8132" s="6"/>
      <c r="I8132" s="6"/>
    </row>
    <row r="8133" spans="8:9" x14ac:dyDescent="0.2">
      <c r="H8133" s="6"/>
      <c r="I8133" s="6"/>
    </row>
    <row r="8134" spans="8:9" x14ac:dyDescent="0.2">
      <c r="H8134" s="6"/>
      <c r="I8134" s="6"/>
    </row>
    <row r="8135" spans="8:9" x14ac:dyDescent="0.2">
      <c r="H8135" s="6"/>
      <c r="I8135" s="6"/>
    </row>
    <row r="8136" spans="8:9" x14ac:dyDescent="0.2">
      <c r="H8136" s="6"/>
      <c r="I8136" s="6"/>
    </row>
    <row r="8137" spans="8:9" x14ac:dyDescent="0.2">
      <c r="H8137" s="6"/>
      <c r="I8137" s="6"/>
    </row>
    <row r="8138" spans="8:9" x14ac:dyDescent="0.2">
      <c r="H8138" s="6"/>
      <c r="I8138" s="6"/>
    </row>
    <row r="8139" spans="8:9" x14ac:dyDescent="0.2">
      <c r="H8139" s="6"/>
      <c r="I8139" s="6"/>
    </row>
    <row r="8140" spans="8:9" x14ac:dyDescent="0.2">
      <c r="H8140" s="6"/>
      <c r="I8140" s="6"/>
    </row>
    <row r="8141" spans="8:9" x14ac:dyDescent="0.2">
      <c r="H8141" s="6"/>
      <c r="I8141" s="6"/>
    </row>
    <row r="8142" spans="8:9" x14ac:dyDescent="0.2">
      <c r="H8142" s="6"/>
      <c r="I8142" s="6"/>
    </row>
    <row r="8143" spans="8:9" x14ac:dyDescent="0.2">
      <c r="H8143" s="6"/>
      <c r="I8143" s="6"/>
    </row>
    <row r="8144" spans="8:9" x14ac:dyDescent="0.2">
      <c r="H8144" s="6"/>
      <c r="I8144" s="6"/>
    </row>
    <row r="8145" spans="8:9" x14ac:dyDescent="0.2">
      <c r="H8145" s="6"/>
      <c r="I8145" s="6"/>
    </row>
    <row r="8146" spans="8:9" x14ac:dyDescent="0.2">
      <c r="H8146" s="6"/>
      <c r="I8146" s="6"/>
    </row>
    <row r="8147" spans="8:9" x14ac:dyDescent="0.2">
      <c r="H8147" s="6"/>
      <c r="I8147" s="6"/>
    </row>
    <row r="8148" spans="8:9" x14ac:dyDescent="0.2">
      <c r="H8148" s="6"/>
      <c r="I8148" s="6"/>
    </row>
    <row r="8149" spans="8:9" x14ac:dyDescent="0.2">
      <c r="H8149" s="6"/>
      <c r="I8149" s="6"/>
    </row>
    <row r="8150" spans="8:9" x14ac:dyDescent="0.2">
      <c r="H8150" s="6"/>
      <c r="I8150" s="6"/>
    </row>
    <row r="8151" spans="8:9" x14ac:dyDescent="0.2">
      <c r="H8151" s="6"/>
      <c r="I8151" s="6"/>
    </row>
    <row r="8152" spans="8:9" x14ac:dyDescent="0.2">
      <c r="H8152" s="6"/>
      <c r="I8152" s="6"/>
    </row>
    <row r="8153" spans="8:9" x14ac:dyDescent="0.2">
      <c r="H8153" s="6"/>
      <c r="I8153" s="6"/>
    </row>
    <row r="8154" spans="8:9" x14ac:dyDescent="0.2">
      <c r="H8154" s="6"/>
      <c r="I8154" s="6"/>
    </row>
    <row r="8155" spans="8:9" x14ac:dyDescent="0.2">
      <c r="H8155" s="6"/>
      <c r="I8155" s="6"/>
    </row>
    <row r="8156" spans="8:9" x14ac:dyDescent="0.2">
      <c r="H8156" s="6"/>
      <c r="I8156" s="6"/>
    </row>
    <row r="8157" spans="8:9" x14ac:dyDescent="0.2">
      <c r="H8157" s="6"/>
      <c r="I8157" s="6"/>
    </row>
    <row r="8158" spans="8:9" x14ac:dyDescent="0.2">
      <c r="H8158" s="6"/>
      <c r="I8158" s="6"/>
    </row>
    <row r="8159" spans="8:9" x14ac:dyDescent="0.2">
      <c r="H8159" s="6"/>
      <c r="I8159" s="6"/>
    </row>
    <row r="8160" spans="8:9" x14ac:dyDescent="0.2">
      <c r="H8160" s="6"/>
      <c r="I8160" s="6"/>
    </row>
    <row r="8161" spans="8:9" x14ac:dyDescent="0.2">
      <c r="H8161" s="6"/>
      <c r="I8161" s="6"/>
    </row>
    <row r="8162" spans="8:9" x14ac:dyDescent="0.2">
      <c r="H8162" s="6"/>
      <c r="I8162" s="6"/>
    </row>
    <row r="8163" spans="8:9" x14ac:dyDescent="0.2">
      <c r="H8163" s="6"/>
      <c r="I8163" s="6"/>
    </row>
    <row r="8164" spans="8:9" x14ac:dyDescent="0.2">
      <c r="H8164" s="6"/>
      <c r="I8164" s="6"/>
    </row>
    <row r="8165" spans="8:9" x14ac:dyDescent="0.2">
      <c r="H8165" s="6"/>
      <c r="I8165" s="6"/>
    </row>
    <row r="8166" spans="8:9" x14ac:dyDescent="0.2">
      <c r="H8166" s="6"/>
      <c r="I8166" s="6"/>
    </row>
    <row r="8167" spans="8:9" x14ac:dyDescent="0.2">
      <c r="H8167" s="6"/>
      <c r="I8167" s="6"/>
    </row>
    <row r="8168" spans="8:9" x14ac:dyDescent="0.2">
      <c r="H8168" s="6"/>
      <c r="I8168" s="6"/>
    </row>
    <row r="8169" spans="8:9" x14ac:dyDescent="0.2">
      <c r="H8169" s="6"/>
      <c r="I8169" s="6"/>
    </row>
    <row r="8170" spans="8:9" x14ac:dyDescent="0.2">
      <c r="H8170" s="6"/>
      <c r="I8170" s="6"/>
    </row>
    <row r="8171" spans="8:9" x14ac:dyDescent="0.2">
      <c r="H8171" s="6"/>
      <c r="I8171" s="6"/>
    </row>
    <row r="8172" spans="8:9" x14ac:dyDescent="0.2">
      <c r="H8172" s="6"/>
      <c r="I8172" s="6"/>
    </row>
    <row r="8173" spans="8:9" x14ac:dyDescent="0.2">
      <c r="H8173" s="6"/>
      <c r="I8173" s="6"/>
    </row>
    <row r="8174" spans="8:9" x14ac:dyDescent="0.2">
      <c r="H8174" s="6"/>
      <c r="I8174" s="6"/>
    </row>
    <row r="8175" spans="8:9" x14ac:dyDescent="0.2">
      <c r="H8175" s="6"/>
      <c r="I8175" s="6"/>
    </row>
    <row r="8176" spans="8:9" x14ac:dyDescent="0.2">
      <c r="H8176" s="6"/>
      <c r="I8176" s="6"/>
    </row>
    <row r="8177" spans="8:9" x14ac:dyDescent="0.2">
      <c r="H8177" s="6"/>
      <c r="I8177" s="6"/>
    </row>
    <row r="8178" spans="8:9" x14ac:dyDescent="0.2">
      <c r="H8178" s="6"/>
      <c r="I8178" s="6"/>
    </row>
    <row r="8179" spans="8:9" x14ac:dyDescent="0.2">
      <c r="H8179" s="6"/>
      <c r="I8179" s="6"/>
    </row>
    <row r="8180" spans="8:9" x14ac:dyDescent="0.2">
      <c r="H8180" s="6"/>
      <c r="I8180" s="6"/>
    </row>
    <row r="8181" spans="8:9" x14ac:dyDescent="0.2">
      <c r="H8181" s="6"/>
      <c r="I8181" s="6"/>
    </row>
    <row r="8182" spans="8:9" x14ac:dyDescent="0.2">
      <c r="H8182" s="6"/>
      <c r="I8182" s="6"/>
    </row>
    <row r="8183" spans="8:9" x14ac:dyDescent="0.2">
      <c r="H8183" s="6"/>
      <c r="I8183" s="6"/>
    </row>
    <row r="8184" spans="8:9" x14ac:dyDescent="0.2">
      <c r="H8184" s="6"/>
      <c r="I8184" s="6"/>
    </row>
    <row r="8185" spans="8:9" x14ac:dyDescent="0.2">
      <c r="H8185" s="6"/>
      <c r="I8185" s="6"/>
    </row>
    <row r="8186" spans="8:9" x14ac:dyDescent="0.2">
      <c r="H8186" s="6"/>
      <c r="I8186" s="6"/>
    </row>
    <row r="8187" spans="8:9" x14ac:dyDescent="0.2">
      <c r="H8187" s="6"/>
      <c r="I8187" s="6"/>
    </row>
    <row r="8188" spans="8:9" x14ac:dyDescent="0.2">
      <c r="H8188" s="6"/>
      <c r="I8188" s="6"/>
    </row>
    <row r="8189" spans="8:9" x14ac:dyDescent="0.2">
      <c r="H8189" s="6"/>
      <c r="I8189" s="6"/>
    </row>
    <row r="8190" spans="8:9" x14ac:dyDescent="0.2">
      <c r="H8190" s="6"/>
      <c r="I8190" s="6"/>
    </row>
    <row r="8191" spans="8:9" x14ac:dyDescent="0.2">
      <c r="H8191" s="6"/>
      <c r="I8191" s="6"/>
    </row>
    <row r="8192" spans="8:9" x14ac:dyDescent="0.2">
      <c r="H8192" s="6"/>
      <c r="I8192" s="6"/>
    </row>
    <row r="8193" spans="8:9" x14ac:dyDescent="0.2">
      <c r="H8193" s="6"/>
      <c r="I8193" s="6"/>
    </row>
    <row r="8194" spans="8:9" x14ac:dyDescent="0.2">
      <c r="H8194" s="6"/>
      <c r="I8194" s="6"/>
    </row>
    <row r="8195" spans="8:9" x14ac:dyDescent="0.2">
      <c r="H8195" s="6"/>
      <c r="I8195" s="6"/>
    </row>
    <row r="8196" spans="8:9" x14ac:dyDescent="0.2">
      <c r="H8196" s="6"/>
      <c r="I8196" s="6"/>
    </row>
    <row r="8197" spans="8:9" x14ac:dyDescent="0.2">
      <c r="H8197" s="6"/>
      <c r="I8197" s="6"/>
    </row>
    <row r="8198" spans="8:9" x14ac:dyDescent="0.2">
      <c r="H8198" s="6"/>
      <c r="I8198" s="6"/>
    </row>
    <row r="8199" spans="8:9" x14ac:dyDescent="0.2">
      <c r="H8199" s="6"/>
      <c r="I8199" s="6"/>
    </row>
    <row r="8200" spans="8:9" x14ac:dyDescent="0.2">
      <c r="H8200" s="6"/>
      <c r="I8200" s="6"/>
    </row>
    <row r="8201" spans="8:9" x14ac:dyDescent="0.2">
      <c r="H8201" s="6"/>
      <c r="I8201" s="6"/>
    </row>
    <row r="8202" spans="8:9" x14ac:dyDescent="0.2">
      <c r="H8202" s="6"/>
      <c r="I8202" s="6"/>
    </row>
    <row r="8203" spans="8:9" x14ac:dyDescent="0.2">
      <c r="H8203" s="6"/>
      <c r="I8203" s="6"/>
    </row>
    <row r="8204" spans="8:9" x14ac:dyDescent="0.2">
      <c r="H8204" s="6"/>
      <c r="I8204" s="6"/>
    </row>
    <row r="8205" spans="8:9" x14ac:dyDescent="0.2">
      <c r="H8205" s="6"/>
      <c r="I8205" s="6"/>
    </row>
    <row r="8206" spans="8:9" x14ac:dyDescent="0.2">
      <c r="H8206" s="6"/>
      <c r="I8206" s="6"/>
    </row>
    <row r="8207" spans="8:9" x14ac:dyDescent="0.2">
      <c r="H8207" s="6"/>
      <c r="I8207" s="6"/>
    </row>
    <row r="8208" spans="8:9" x14ac:dyDescent="0.2">
      <c r="H8208" s="6"/>
      <c r="I8208" s="6"/>
    </row>
    <row r="8209" spans="8:9" x14ac:dyDescent="0.2">
      <c r="H8209" s="6"/>
      <c r="I8209" s="6"/>
    </row>
    <row r="8210" spans="8:9" x14ac:dyDescent="0.2">
      <c r="H8210" s="6"/>
      <c r="I8210" s="6"/>
    </row>
    <row r="8211" spans="8:9" x14ac:dyDescent="0.2">
      <c r="H8211" s="6"/>
      <c r="I8211" s="6"/>
    </row>
    <row r="8212" spans="8:9" x14ac:dyDescent="0.2">
      <c r="H8212" s="6"/>
      <c r="I8212" s="6"/>
    </row>
    <row r="8213" spans="8:9" x14ac:dyDescent="0.2">
      <c r="H8213" s="6"/>
      <c r="I8213" s="6"/>
    </row>
    <row r="8214" spans="8:9" x14ac:dyDescent="0.2">
      <c r="H8214" s="6"/>
      <c r="I8214" s="6"/>
    </row>
    <row r="8215" spans="8:9" x14ac:dyDescent="0.2">
      <c r="H8215" s="6"/>
      <c r="I8215" s="6"/>
    </row>
    <row r="8216" spans="8:9" x14ac:dyDescent="0.2">
      <c r="H8216" s="6"/>
      <c r="I8216" s="6"/>
    </row>
    <row r="8217" spans="8:9" x14ac:dyDescent="0.2">
      <c r="H8217" s="6"/>
      <c r="I8217" s="6"/>
    </row>
    <row r="8218" spans="8:9" x14ac:dyDescent="0.2">
      <c r="H8218" s="6"/>
      <c r="I8218" s="6"/>
    </row>
    <row r="8219" spans="8:9" x14ac:dyDescent="0.2">
      <c r="H8219" s="6"/>
      <c r="I8219" s="6"/>
    </row>
    <row r="8220" spans="8:9" x14ac:dyDescent="0.2">
      <c r="H8220" s="6"/>
      <c r="I8220" s="6"/>
    </row>
    <row r="8221" spans="8:9" x14ac:dyDescent="0.2">
      <c r="H8221" s="6"/>
      <c r="I8221" s="6"/>
    </row>
    <row r="8222" spans="8:9" x14ac:dyDescent="0.2">
      <c r="H8222" s="6"/>
      <c r="I8222" s="6"/>
    </row>
    <row r="8223" spans="8:9" x14ac:dyDescent="0.2">
      <c r="H8223" s="6"/>
      <c r="I8223" s="6"/>
    </row>
    <row r="8224" spans="8:9" x14ac:dyDescent="0.2">
      <c r="H8224" s="6"/>
      <c r="I8224" s="6"/>
    </row>
    <row r="8225" spans="8:9" x14ac:dyDescent="0.2">
      <c r="H8225" s="6"/>
      <c r="I8225" s="6"/>
    </row>
    <row r="8226" spans="8:9" x14ac:dyDescent="0.2">
      <c r="H8226" s="6"/>
      <c r="I8226" s="6"/>
    </row>
    <row r="8227" spans="8:9" x14ac:dyDescent="0.2">
      <c r="H8227" s="6"/>
      <c r="I8227" s="6"/>
    </row>
    <row r="8228" spans="8:9" x14ac:dyDescent="0.2">
      <c r="H8228" s="6"/>
      <c r="I8228" s="6"/>
    </row>
    <row r="8229" spans="8:9" x14ac:dyDescent="0.2">
      <c r="H8229" s="6"/>
      <c r="I8229" s="6"/>
    </row>
    <row r="8230" spans="8:9" x14ac:dyDescent="0.2">
      <c r="H8230" s="6"/>
      <c r="I8230" s="6"/>
    </row>
    <row r="8231" spans="8:9" x14ac:dyDescent="0.2">
      <c r="H8231" s="6"/>
      <c r="I8231" s="6"/>
    </row>
    <row r="8232" spans="8:9" x14ac:dyDescent="0.2">
      <c r="H8232" s="6"/>
      <c r="I8232" s="6"/>
    </row>
    <row r="8233" spans="8:9" x14ac:dyDescent="0.2">
      <c r="H8233" s="6"/>
      <c r="I8233" s="6"/>
    </row>
    <row r="8234" spans="8:9" x14ac:dyDescent="0.2">
      <c r="H8234" s="6"/>
      <c r="I8234" s="6"/>
    </row>
    <row r="8235" spans="8:9" x14ac:dyDescent="0.2">
      <c r="H8235" s="6"/>
      <c r="I8235" s="6"/>
    </row>
    <row r="8236" spans="8:9" x14ac:dyDescent="0.2">
      <c r="H8236" s="6"/>
      <c r="I8236" s="6"/>
    </row>
    <row r="8237" spans="8:9" x14ac:dyDescent="0.2">
      <c r="H8237" s="6"/>
      <c r="I8237" s="6"/>
    </row>
    <row r="8238" spans="8:9" x14ac:dyDescent="0.2">
      <c r="H8238" s="6"/>
      <c r="I8238" s="6"/>
    </row>
    <row r="8239" spans="8:9" x14ac:dyDescent="0.2">
      <c r="H8239" s="6"/>
      <c r="I8239" s="6"/>
    </row>
    <row r="8240" spans="8:9" x14ac:dyDescent="0.2">
      <c r="H8240" s="6"/>
      <c r="I8240" s="6"/>
    </row>
    <row r="8241" spans="8:9" x14ac:dyDescent="0.2">
      <c r="H8241" s="6"/>
      <c r="I8241" s="6"/>
    </row>
    <row r="8242" spans="8:9" x14ac:dyDescent="0.2">
      <c r="H8242" s="6"/>
      <c r="I8242" s="6"/>
    </row>
    <row r="8243" spans="8:9" x14ac:dyDescent="0.2">
      <c r="H8243" s="6"/>
      <c r="I8243" s="6"/>
    </row>
    <row r="8244" spans="8:9" x14ac:dyDescent="0.2">
      <c r="H8244" s="6"/>
      <c r="I8244" s="6"/>
    </row>
    <row r="8245" spans="8:9" x14ac:dyDescent="0.2">
      <c r="H8245" s="6"/>
      <c r="I8245" s="6"/>
    </row>
    <row r="8246" spans="8:9" x14ac:dyDescent="0.2">
      <c r="H8246" s="6"/>
      <c r="I8246" s="6"/>
    </row>
    <row r="8247" spans="8:9" x14ac:dyDescent="0.2">
      <c r="H8247" s="6"/>
      <c r="I8247" s="6"/>
    </row>
    <row r="8248" spans="8:9" x14ac:dyDescent="0.2">
      <c r="H8248" s="6"/>
      <c r="I8248" s="6"/>
    </row>
    <row r="8249" spans="8:9" x14ac:dyDescent="0.2">
      <c r="H8249" s="6"/>
      <c r="I8249" s="6"/>
    </row>
    <row r="8250" spans="8:9" x14ac:dyDescent="0.2">
      <c r="H8250" s="6"/>
      <c r="I8250" s="6"/>
    </row>
    <row r="8251" spans="8:9" x14ac:dyDescent="0.2">
      <c r="H8251" s="6"/>
      <c r="I8251" s="6"/>
    </row>
    <row r="8252" spans="8:9" x14ac:dyDescent="0.2">
      <c r="H8252" s="6"/>
      <c r="I8252" s="6"/>
    </row>
    <row r="8253" spans="8:9" x14ac:dyDescent="0.2">
      <c r="H8253" s="6"/>
      <c r="I8253" s="6"/>
    </row>
    <row r="8254" spans="8:9" x14ac:dyDescent="0.2">
      <c r="H8254" s="6"/>
      <c r="I8254" s="6"/>
    </row>
    <row r="8255" spans="8:9" x14ac:dyDescent="0.2">
      <c r="H8255" s="6"/>
      <c r="I8255" s="6"/>
    </row>
    <row r="8256" spans="8:9" x14ac:dyDescent="0.2">
      <c r="H8256" s="6"/>
      <c r="I8256" s="6"/>
    </row>
    <row r="8257" spans="8:9" x14ac:dyDescent="0.2">
      <c r="H8257" s="6"/>
      <c r="I8257" s="6"/>
    </row>
    <row r="8258" spans="8:9" x14ac:dyDescent="0.2">
      <c r="H8258" s="6"/>
      <c r="I8258" s="6"/>
    </row>
    <row r="8259" spans="8:9" x14ac:dyDescent="0.2">
      <c r="H8259" s="6"/>
      <c r="I8259" s="6"/>
    </row>
    <row r="8260" spans="8:9" x14ac:dyDescent="0.2">
      <c r="H8260" s="6"/>
      <c r="I8260" s="6"/>
    </row>
    <row r="8261" spans="8:9" x14ac:dyDescent="0.2">
      <c r="H8261" s="6"/>
      <c r="I8261" s="6"/>
    </row>
    <row r="8262" spans="8:9" x14ac:dyDescent="0.2">
      <c r="H8262" s="6"/>
      <c r="I8262" s="6"/>
    </row>
    <row r="8263" spans="8:9" x14ac:dyDescent="0.2">
      <c r="H8263" s="6"/>
      <c r="I8263" s="6"/>
    </row>
    <row r="8264" spans="8:9" x14ac:dyDescent="0.2">
      <c r="H8264" s="6"/>
      <c r="I8264" s="6"/>
    </row>
    <row r="8265" spans="8:9" x14ac:dyDescent="0.2">
      <c r="H8265" s="6"/>
      <c r="I8265" s="6"/>
    </row>
    <row r="8266" spans="8:9" x14ac:dyDescent="0.2">
      <c r="H8266" s="6"/>
      <c r="I8266" s="6"/>
    </row>
    <row r="8267" spans="8:9" x14ac:dyDescent="0.2">
      <c r="H8267" s="6"/>
      <c r="I8267" s="6"/>
    </row>
    <row r="8268" spans="8:9" x14ac:dyDescent="0.2">
      <c r="H8268" s="6"/>
      <c r="I8268" s="6"/>
    </row>
    <row r="8269" spans="8:9" x14ac:dyDescent="0.2">
      <c r="H8269" s="6"/>
      <c r="I8269" s="6"/>
    </row>
    <row r="8270" spans="8:9" x14ac:dyDescent="0.2">
      <c r="H8270" s="6"/>
      <c r="I8270" s="6"/>
    </row>
    <row r="8271" spans="8:9" x14ac:dyDescent="0.2">
      <c r="H8271" s="6"/>
      <c r="I8271" s="6"/>
    </row>
    <row r="8272" spans="8:9" x14ac:dyDescent="0.2">
      <c r="H8272" s="6"/>
      <c r="I8272" s="6"/>
    </row>
    <row r="8273" spans="8:9" x14ac:dyDescent="0.2">
      <c r="H8273" s="6"/>
      <c r="I8273" s="6"/>
    </row>
    <row r="8274" spans="8:9" x14ac:dyDescent="0.2">
      <c r="H8274" s="6"/>
      <c r="I8274" s="6"/>
    </row>
    <row r="8275" spans="8:9" x14ac:dyDescent="0.2">
      <c r="H8275" s="6"/>
      <c r="I8275" s="6"/>
    </row>
    <row r="8276" spans="8:9" x14ac:dyDescent="0.2">
      <c r="H8276" s="6"/>
      <c r="I8276" s="6"/>
    </row>
    <row r="8277" spans="8:9" x14ac:dyDescent="0.2">
      <c r="H8277" s="6"/>
      <c r="I8277" s="6"/>
    </row>
    <row r="8278" spans="8:9" x14ac:dyDescent="0.2">
      <c r="H8278" s="6"/>
      <c r="I8278" s="6"/>
    </row>
    <row r="8279" spans="8:9" x14ac:dyDescent="0.2">
      <c r="H8279" s="6"/>
      <c r="I8279" s="6"/>
    </row>
    <row r="8280" spans="8:9" x14ac:dyDescent="0.2">
      <c r="H8280" s="6"/>
      <c r="I8280" s="6"/>
    </row>
    <row r="8281" spans="8:9" x14ac:dyDescent="0.2">
      <c r="H8281" s="6"/>
      <c r="I8281" s="6"/>
    </row>
    <row r="8282" spans="8:9" x14ac:dyDescent="0.2">
      <c r="H8282" s="6"/>
      <c r="I8282" s="6"/>
    </row>
    <row r="8283" spans="8:9" x14ac:dyDescent="0.2">
      <c r="H8283" s="6"/>
      <c r="I8283" s="6"/>
    </row>
    <row r="8284" spans="8:9" x14ac:dyDescent="0.2">
      <c r="H8284" s="6"/>
      <c r="I8284" s="6"/>
    </row>
    <row r="8285" spans="8:9" x14ac:dyDescent="0.2">
      <c r="H8285" s="6"/>
      <c r="I8285" s="6"/>
    </row>
    <row r="8286" spans="8:9" x14ac:dyDescent="0.2">
      <c r="H8286" s="6"/>
      <c r="I8286" s="6"/>
    </row>
    <row r="8287" spans="8:9" x14ac:dyDescent="0.2">
      <c r="H8287" s="6"/>
      <c r="I8287" s="6"/>
    </row>
    <row r="8288" spans="8:9" x14ac:dyDescent="0.2">
      <c r="H8288" s="6"/>
      <c r="I8288" s="6"/>
    </row>
    <row r="8289" spans="8:9" x14ac:dyDescent="0.2">
      <c r="H8289" s="6"/>
      <c r="I8289" s="6"/>
    </row>
    <row r="8290" spans="8:9" x14ac:dyDescent="0.2">
      <c r="H8290" s="6"/>
      <c r="I8290" s="6"/>
    </row>
    <row r="8291" spans="8:9" x14ac:dyDescent="0.2">
      <c r="H8291" s="6"/>
      <c r="I8291" s="6"/>
    </row>
    <row r="8292" spans="8:9" x14ac:dyDescent="0.2">
      <c r="H8292" s="6"/>
      <c r="I8292" s="6"/>
    </row>
    <row r="8293" spans="8:9" x14ac:dyDescent="0.2">
      <c r="H8293" s="6"/>
      <c r="I8293" s="6"/>
    </row>
    <row r="8294" spans="8:9" x14ac:dyDescent="0.2">
      <c r="H8294" s="6"/>
      <c r="I8294" s="6"/>
    </row>
    <row r="8295" spans="8:9" x14ac:dyDescent="0.2">
      <c r="H8295" s="6"/>
      <c r="I8295" s="6"/>
    </row>
    <row r="8296" spans="8:9" x14ac:dyDescent="0.2">
      <c r="H8296" s="6"/>
      <c r="I8296" s="6"/>
    </row>
    <row r="8297" spans="8:9" x14ac:dyDescent="0.2">
      <c r="H8297" s="6"/>
      <c r="I8297" s="6"/>
    </row>
    <row r="8298" spans="8:9" x14ac:dyDescent="0.2">
      <c r="H8298" s="6"/>
      <c r="I8298" s="6"/>
    </row>
    <row r="8299" spans="8:9" x14ac:dyDescent="0.2">
      <c r="H8299" s="6"/>
      <c r="I8299" s="6"/>
    </row>
    <row r="8300" spans="8:9" x14ac:dyDescent="0.2">
      <c r="H8300" s="6"/>
      <c r="I8300" s="6"/>
    </row>
    <row r="8301" spans="8:9" x14ac:dyDescent="0.2">
      <c r="H8301" s="6"/>
      <c r="I8301" s="6"/>
    </row>
    <row r="8302" spans="8:9" x14ac:dyDescent="0.2">
      <c r="H8302" s="6"/>
      <c r="I8302" s="6"/>
    </row>
    <row r="8303" spans="8:9" x14ac:dyDescent="0.2">
      <c r="H8303" s="6"/>
      <c r="I8303" s="6"/>
    </row>
    <row r="8304" spans="8:9" x14ac:dyDescent="0.2">
      <c r="H8304" s="6"/>
      <c r="I8304" s="6"/>
    </row>
    <row r="8305" spans="8:9" x14ac:dyDescent="0.2">
      <c r="H8305" s="6"/>
      <c r="I8305" s="6"/>
    </row>
    <row r="8306" spans="8:9" x14ac:dyDescent="0.2">
      <c r="H8306" s="6"/>
      <c r="I8306" s="6"/>
    </row>
    <row r="8307" spans="8:9" x14ac:dyDescent="0.2">
      <c r="H8307" s="6"/>
      <c r="I8307" s="6"/>
    </row>
    <row r="8308" spans="8:9" x14ac:dyDescent="0.2">
      <c r="H8308" s="6"/>
      <c r="I8308" s="6"/>
    </row>
    <row r="8309" spans="8:9" x14ac:dyDescent="0.2">
      <c r="H8309" s="6"/>
      <c r="I8309" s="6"/>
    </row>
    <row r="8310" spans="8:9" x14ac:dyDescent="0.2">
      <c r="H8310" s="6"/>
      <c r="I8310" s="6"/>
    </row>
    <row r="8311" spans="8:9" x14ac:dyDescent="0.2">
      <c r="H8311" s="6"/>
      <c r="I8311" s="6"/>
    </row>
    <row r="8312" spans="8:9" x14ac:dyDescent="0.2">
      <c r="H8312" s="6"/>
      <c r="I8312" s="6"/>
    </row>
    <row r="8313" spans="8:9" x14ac:dyDescent="0.2">
      <c r="H8313" s="6"/>
      <c r="I8313" s="6"/>
    </row>
    <row r="8314" spans="8:9" x14ac:dyDescent="0.2">
      <c r="H8314" s="6"/>
      <c r="I8314" s="6"/>
    </row>
    <row r="8315" spans="8:9" x14ac:dyDescent="0.2">
      <c r="H8315" s="6"/>
      <c r="I8315" s="6"/>
    </row>
    <row r="8316" spans="8:9" x14ac:dyDescent="0.2">
      <c r="H8316" s="6"/>
      <c r="I8316" s="6"/>
    </row>
    <row r="8317" spans="8:9" x14ac:dyDescent="0.2">
      <c r="H8317" s="6"/>
      <c r="I8317" s="6"/>
    </row>
    <row r="8318" spans="8:9" x14ac:dyDescent="0.2">
      <c r="H8318" s="6"/>
      <c r="I8318" s="6"/>
    </row>
    <row r="8319" spans="8:9" x14ac:dyDescent="0.2">
      <c r="H8319" s="6"/>
      <c r="I8319" s="6"/>
    </row>
    <row r="8320" spans="8:9" x14ac:dyDescent="0.2">
      <c r="H8320" s="6"/>
      <c r="I8320" s="6"/>
    </row>
    <row r="8321" spans="8:9" x14ac:dyDescent="0.2">
      <c r="H8321" s="6"/>
      <c r="I8321" s="6"/>
    </row>
    <row r="8322" spans="8:9" x14ac:dyDescent="0.2">
      <c r="H8322" s="6"/>
      <c r="I8322" s="6"/>
    </row>
    <row r="8323" spans="8:9" x14ac:dyDescent="0.2">
      <c r="H8323" s="6"/>
      <c r="I8323" s="6"/>
    </row>
    <row r="8324" spans="8:9" x14ac:dyDescent="0.2">
      <c r="H8324" s="6"/>
      <c r="I8324" s="6"/>
    </row>
    <row r="8325" spans="8:9" x14ac:dyDescent="0.2">
      <c r="H8325" s="6"/>
      <c r="I8325" s="6"/>
    </row>
    <row r="8326" spans="8:9" x14ac:dyDescent="0.2">
      <c r="H8326" s="6"/>
      <c r="I8326" s="6"/>
    </row>
    <row r="8327" spans="8:9" x14ac:dyDescent="0.2">
      <c r="H8327" s="6"/>
      <c r="I8327" s="6"/>
    </row>
    <row r="8328" spans="8:9" x14ac:dyDescent="0.2">
      <c r="H8328" s="6"/>
      <c r="I8328" s="6"/>
    </row>
    <row r="8329" spans="8:9" x14ac:dyDescent="0.2">
      <c r="H8329" s="6"/>
      <c r="I8329" s="6"/>
    </row>
    <row r="8330" spans="8:9" x14ac:dyDescent="0.2">
      <c r="H8330" s="6"/>
      <c r="I8330" s="6"/>
    </row>
    <row r="8331" spans="8:9" x14ac:dyDescent="0.2">
      <c r="H8331" s="6"/>
      <c r="I8331" s="6"/>
    </row>
    <row r="8332" spans="8:9" x14ac:dyDescent="0.2">
      <c r="H8332" s="6"/>
      <c r="I8332" s="6"/>
    </row>
    <row r="8333" spans="8:9" x14ac:dyDescent="0.2">
      <c r="H8333" s="6"/>
      <c r="I8333" s="6"/>
    </row>
    <row r="8334" spans="8:9" x14ac:dyDescent="0.2">
      <c r="H8334" s="6"/>
      <c r="I8334" s="6"/>
    </row>
    <row r="8335" spans="8:9" x14ac:dyDescent="0.2">
      <c r="H8335" s="6"/>
      <c r="I8335" s="6"/>
    </row>
    <row r="8336" spans="8:9" x14ac:dyDescent="0.2">
      <c r="H8336" s="6"/>
      <c r="I8336" s="6"/>
    </row>
    <row r="8337" spans="8:9" x14ac:dyDescent="0.2">
      <c r="H8337" s="6"/>
      <c r="I8337" s="6"/>
    </row>
    <row r="8338" spans="8:9" x14ac:dyDescent="0.2">
      <c r="H8338" s="6"/>
      <c r="I8338" s="6"/>
    </row>
    <row r="8339" spans="8:9" x14ac:dyDescent="0.2">
      <c r="H8339" s="6"/>
      <c r="I8339" s="6"/>
    </row>
    <row r="8340" spans="8:9" x14ac:dyDescent="0.2">
      <c r="H8340" s="6"/>
      <c r="I8340" s="6"/>
    </row>
    <row r="8341" spans="8:9" x14ac:dyDescent="0.2">
      <c r="H8341" s="6"/>
      <c r="I8341" s="6"/>
    </row>
    <row r="8342" spans="8:9" x14ac:dyDescent="0.2">
      <c r="H8342" s="6"/>
      <c r="I8342" s="6"/>
    </row>
    <row r="8343" spans="8:9" x14ac:dyDescent="0.2">
      <c r="H8343" s="6"/>
      <c r="I8343" s="6"/>
    </row>
    <row r="8344" spans="8:9" x14ac:dyDescent="0.2">
      <c r="H8344" s="6"/>
      <c r="I8344" s="6"/>
    </row>
    <row r="8345" spans="8:9" x14ac:dyDescent="0.2">
      <c r="H8345" s="6"/>
      <c r="I8345" s="6"/>
    </row>
    <row r="8346" spans="8:9" x14ac:dyDescent="0.2">
      <c r="H8346" s="6"/>
      <c r="I8346" s="6"/>
    </row>
    <row r="8347" spans="8:9" x14ac:dyDescent="0.2">
      <c r="H8347" s="6"/>
      <c r="I8347" s="6"/>
    </row>
    <row r="8348" spans="8:9" x14ac:dyDescent="0.2">
      <c r="H8348" s="6"/>
      <c r="I8348" s="6"/>
    </row>
    <row r="8349" spans="8:9" x14ac:dyDescent="0.2">
      <c r="H8349" s="6"/>
      <c r="I8349" s="6"/>
    </row>
    <row r="8350" spans="8:9" x14ac:dyDescent="0.2">
      <c r="H8350" s="6"/>
      <c r="I8350" s="6"/>
    </row>
    <row r="8351" spans="8:9" x14ac:dyDescent="0.2">
      <c r="H8351" s="6"/>
      <c r="I8351" s="6"/>
    </row>
    <row r="8352" spans="8:9" x14ac:dyDescent="0.2">
      <c r="H8352" s="6"/>
      <c r="I8352" s="6"/>
    </row>
    <row r="8353" spans="8:9" x14ac:dyDescent="0.2">
      <c r="H8353" s="6"/>
      <c r="I8353" s="6"/>
    </row>
    <row r="8354" spans="8:9" x14ac:dyDescent="0.2">
      <c r="H8354" s="6"/>
      <c r="I8354" s="6"/>
    </row>
    <row r="8355" spans="8:9" x14ac:dyDescent="0.2">
      <c r="H8355" s="6"/>
      <c r="I8355" s="6"/>
    </row>
    <row r="8356" spans="8:9" x14ac:dyDescent="0.2">
      <c r="H8356" s="6"/>
      <c r="I8356" s="6"/>
    </row>
    <row r="8357" spans="8:9" x14ac:dyDescent="0.2">
      <c r="H8357" s="6"/>
      <c r="I8357" s="6"/>
    </row>
    <row r="8358" spans="8:9" x14ac:dyDescent="0.2">
      <c r="H8358" s="6"/>
      <c r="I8358" s="6"/>
    </row>
    <row r="8359" spans="8:9" x14ac:dyDescent="0.2">
      <c r="H8359" s="6"/>
      <c r="I8359" s="6"/>
    </row>
    <row r="8360" spans="8:9" x14ac:dyDescent="0.2">
      <c r="H8360" s="6"/>
      <c r="I8360" s="6"/>
    </row>
    <row r="8361" spans="8:9" x14ac:dyDescent="0.2">
      <c r="H8361" s="6"/>
      <c r="I8361" s="6"/>
    </row>
    <row r="8362" spans="8:9" x14ac:dyDescent="0.2">
      <c r="H8362" s="6"/>
      <c r="I8362" s="6"/>
    </row>
    <row r="8363" spans="8:9" x14ac:dyDescent="0.2">
      <c r="H8363" s="6"/>
      <c r="I8363" s="6"/>
    </row>
    <row r="8364" spans="8:9" x14ac:dyDescent="0.2">
      <c r="H8364" s="6"/>
      <c r="I8364" s="6"/>
    </row>
    <row r="8365" spans="8:9" x14ac:dyDescent="0.2">
      <c r="H8365" s="6"/>
      <c r="I8365" s="6"/>
    </row>
    <row r="8366" spans="8:9" x14ac:dyDescent="0.2">
      <c r="H8366" s="6"/>
      <c r="I8366" s="6"/>
    </row>
    <row r="8367" spans="8:9" x14ac:dyDescent="0.2">
      <c r="H8367" s="6"/>
      <c r="I8367" s="6"/>
    </row>
    <row r="8368" spans="8:9" x14ac:dyDescent="0.2">
      <c r="H8368" s="6"/>
      <c r="I8368" s="6"/>
    </row>
    <row r="8369" spans="8:9" x14ac:dyDescent="0.2">
      <c r="H8369" s="6"/>
      <c r="I8369" s="6"/>
    </row>
    <row r="8370" spans="8:9" x14ac:dyDescent="0.2">
      <c r="H8370" s="6"/>
      <c r="I8370" s="6"/>
    </row>
    <row r="8371" spans="8:9" x14ac:dyDescent="0.2">
      <c r="H8371" s="6"/>
      <c r="I8371" s="6"/>
    </row>
    <row r="8372" spans="8:9" x14ac:dyDescent="0.2">
      <c r="H8372" s="6"/>
      <c r="I8372" s="6"/>
    </row>
    <row r="8373" spans="8:9" x14ac:dyDescent="0.2">
      <c r="H8373" s="6"/>
      <c r="I8373" s="6"/>
    </row>
    <row r="8374" spans="8:9" x14ac:dyDescent="0.2">
      <c r="H8374" s="6"/>
      <c r="I8374" s="6"/>
    </row>
    <row r="8375" spans="8:9" x14ac:dyDescent="0.2">
      <c r="H8375" s="6"/>
      <c r="I8375" s="6"/>
    </row>
    <row r="8376" spans="8:9" x14ac:dyDescent="0.2">
      <c r="H8376" s="6"/>
      <c r="I8376" s="6"/>
    </row>
    <row r="8377" spans="8:9" x14ac:dyDescent="0.2">
      <c r="H8377" s="6"/>
      <c r="I8377" s="6"/>
    </row>
    <row r="8378" spans="8:9" x14ac:dyDescent="0.2">
      <c r="H8378" s="6"/>
      <c r="I8378" s="6"/>
    </row>
    <row r="8379" spans="8:9" x14ac:dyDescent="0.2">
      <c r="H8379" s="6"/>
      <c r="I8379" s="6"/>
    </row>
    <row r="8380" spans="8:9" x14ac:dyDescent="0.2">
      <c r="H8380" s="6"/>
      <c r="I8380" s="6"/>
    </row>
    <row r="8381" spans="8:9" x14ac:dyDescent="0.2">
      <c r="H8381" s="6"/>
      <c r="I8381" s="6"/>
    </row>
    <row r="8382" spans="8:9" x14ac:dyDescent="0.2">
      <c r="H8382" s="6"/>
      <c r="I8382" s="6"/>
    </row>
    <row r="8383" spans="8:9" x14ac:dyDescent="0.2">
      <c r="H8383" s="6"/>
      <c r="I8383" s="6"/>
    </row>
    <row r="8384" spans="8:9" x14ac:dyDescent="0.2">
      <c r="H8384" s="6"/>
      <c r="I8384" s="6"/>
    </row>
    <row r="8385" spans="8:9" x14ac:dyDescent="0.2">
      <c r="H8385" s="6"/>
      <c r="I8385" s="6"/>
    </row>
    <row r="8386" spans="8:9" x14ac:dyDescent="0.2">
      <c r="H8386" s="6"/>
      <c r="I8386" s="6"/>
    </row>
    <row r="8387" spans="8:9" x14ac:dyDescent="0.2">
      <c r="H8387" s="6"/>
      <c r="I8387" s="6"/>
    </row>
    <row r="8388" spans="8:9" x14ac:dyDescent="0.2">
      <c r="H8388" s="6"/>
      <c r="I8388" s="6"/>
    </row>
    <row r="8389" spans="8:9" x14ac:dyDescent="0.2">
      <c r="H8389" s="6"/>
      <c r="I8389" s="6"/>
    </row>
    <row r="8390" spans="8:9" x14ac:dyDescent="0.2">
      <c r="H8390" s="6"/>
      <c r="I8390" s="6"/>
    </row>
    <row r="8391" spans="8:9" x14ac:dyDescent="0.2">
      <c r="H8391" s="6"/>
      <c r="I8391" s="6"/>
    </row>
    <row r="8392" spans="8:9" x14ac:dyDescent="0.2">
      <c r="H8392" s="6"/>
      <c r="I8392" s="6"/>
    </row>
    <row r="8393" spans="8:9" x14ac:dyDescent="0.2">
      <c r="H8393" s="6"/>
      <c r="I8393" s="6"/>
    </row>
    <row r="8394" spans="8:9" x14ac:dyDescent="0.2">
      <c r="H8394" s="6"/>
      <c r="I8394" s="6"/>
    </row>
    <row r="8395" spans="8:9" x14ac:dyDescent="0.2">
      <c r="H8395" s="6"/>
      <c r="I8395" s="6"/>
    </row>
    <row r="8396" spans="8:9" x14ac:dyDescent="0.2">
      <c r="H8396" s="6"/>
      <c r="I8396" s="6"/>
    </row>
    <row r="8397" spans="8:9" x14ac:dyDescent="0.2">
      <c r="H8397" s="6"/>
      <c r="I8397" s="6"/>
    </row>
    <row r="8398" spans="8:9" x14ac:dyDescent="0.2">
      <c r="H8398" s="6"/>
      <c r="I8398" s="6"/>
    </row>
    <row r="8399" spans="8:9" x14ac:dyDescent="0.2">
      <c r="H8399" s="6"/>
      <c r="I8399" s="6"/>
    </row>
    <row r="8400" spans="8:9" x14ac:dyDescent="0.2">
      <c r="H8400" s="6"/>
      <c r="I8400" s="6"/>
    </row>
    <row r="8401" spans="8:9" x14ac:dyDescent="0.2">
      <c r="H8401" s="6"/>
      <c r="I8401" s="6"/>
    </row>
    <row r="8402" spans="8:9" x14ac:dyDescent="0.2">
      <c r="H8402" s="6"/>
      <c r="I8402" s="6"/>
    </row>
    <row r="8403" spans="8:9" x14ac:dyDescent="0.2">
      <c r="H8403" s="6"/>
      <c r="I8403" s="6"/>
    </row>
    <row r="8404" spans="8:9" x14ac:dyDescent="0.2">
      <c r="H8404" s="6"/>
      <c r="I8404" s="6"/>
    </row>
    <row r="8405" spans="8:9" x14ac:dyDescent="0.2">
      <c r="H8405" s="6"/>
      <c r="I8405" s="6"/>
    </row>
    <row r="8406" spans="8:9" x14ac:dyDescent="0.2">
      <c r="H8406" s="6"/>
      <c r="I8406" s="6"/>
    </row>
    <row r="8407" spans="8:9" x14ac:dyDescent="0.2">
      <c r="H8407" s="6"/>
      <c r="I8407" s="6"/>
    </row>
    <row r="8408" spans="8:9" x14ac:dyDescent="0.2">
      <c r="H8408" s="6"/>
      <c r="I8408" s="6"/>
    </row>
    <row r="8409" spans="8:9" x14ac:dyDescent="0.2">
      <c r="H8409" s="6"/>
      <c r="I8409" s="6"/>
    </row>
    <row r="8410" spans="8:9" x14ac:dyDescent="0.2">
      <c r="H8410" s="6"/>
      <c r="I8410" s="6"/>
    </row>
    <row r="8411" spans="8:9" x14ac:dyDescent="0.2">
      <c r="H8411" s="6"/>
      <c r="I8411" s="6"/>
    </row>
    <row r="8412" spans="8:9" x14ac:dyDescent="0.2">
      <c r="H8412" s="6"/>
      <c r="I8412" s="6"/>
    </row>
    <row r="8413" spans="8:9" x14ac:dyDescent="0.2">
      <c r="H8413" s="6"/>
      <c r="I8413" s="6"/>
    </row>
    <row r="8414" spans="8:9" x14ac:dyDescent="0.2">
      <c r="H8414" s="6"/>
      <c r="I8414" s="6"/>
    </row>
    <row r="8415" spans="8:9" x14ac:dyDescent="0.2">
      <c r="H8415" s="6"/>
      <c r="I8415" s="6"/>
    </row>
    <row r="8416" spans="8:9" x14ac:dyDescent="0.2">
      <c r="H8416" s="6"/>
      <c r="I8416" s="6"/>
    </row>
    <row r="8417" spans="8:9" x14ac:dyDescent="0.2">
      <c r="H8417" s="6"/>
      <c r="I8417" s="6"/>
    </row>
    <row r="8418" spans="8:9" x14ac:dyDescent="0.2">
      <c r="H8418" s="6"/>
      <c r="I8418" s="6"/>
    </row>
    <row r="8419" spans="8:9" x14ac:dyDescent="0.2">
      <c r="H8419" s="6"/>
      <c r="I8419" s="6"/>
    </row>
    <row r="8420" spans="8:9" x14ac:dyDescent="0.2">
      <c r="H8420" s="6"/>
      <c r="I8420" s="6"/>
    </row>
    <row r="8421" spans="8:9" x14ac:dyDescent="0.2">
      <c r="H8421" s="6"/>
      <c r="I8421" s="6"/>
    </row>
    <row r="8422" spans="8:9" x14ac:dyDescent="0.2">
      <c r="H8422" s="6"/>
      <c r="I8422" s="6"/>
    </row>
    <row r="8423" spans="8:9" x14ac:dyDescent="0.2">
      <c r="H8423" s="6"/>
      <c r="I8423" s="6"/>
    </row>
    <row r="8424" spans="8:9" x14ac:dyDescent="0.2">
      <c r="H8424" s="6"/>
      <c r="I8424" s="6"/>
    </row>
    <row r="8425" spans="8:9" x14ac:dyDescent="0.2">
      <c r="H8425" s="6"/>
      <c r="I8425" s="6"/>
    </row>
    <row r="8426" spans="8:9" x14ac:dyDescent="0.2">
      <c r="H8426" s="6"/>
      <c r="I8426" s="6"/>
    </row>
    <row r="8427" spans="8:9" x14ac:dyDescent="0.2">
      <c r="H8427" s="6"/>
      <c r="I8427" s="6"/>
    </row>
    <row r="8428" spans="8:9" x14ac:dyDescent="0.2">
      <c r="H8428" s="6"/>
      <c r="I8428" s="6"/>
    </row>
    <row r="8429" spans="8:9" x14ac:dyDescent="0.2">
      <c r="H8429" s="6"/>
      <c r="I8429" s="6"/>
    </row>
    <row r="8430" spans="8:9" x14ac:dyDescent="0.2">
      <c r="H8430" s="6"/>
      <c r="I8430" s="6"/>
    </row>
    <row r="8431" spans="8:9" x14ac:dyDescent="0.2">
      <c r="H8431" s="6"/>
      <c r="I8431" s="6"/>
    </row>
    <row r="8432" spans="8:9" x14ac:dyDescent="0.2">
      <c r="H8432" s="6"/>
      <c r="I8432" s="6"/>
    </row>
    <row r="8433" spans="8:9" x14ac:dyDescent="0.2">
      <c r="H8433" s="6"/>
      <c r="I8433" s="6"/>
    </row>
    <row r="8434" spans="8:9" x14ac:dyDescent="0.2">
      <c r="H8434" s="6"/>
      <c r="I8434" s="6"/>
    </row>
    <row r="8435" spans="8:9" x14ac:dyDescent="0.2">
      <c r="H8435" s="6"/>
      <c r="I8435" s="6"/>
    </row>
    <row r="8436" spans="8:9" x14ac:dyDescent="0.2">
      <c r="H8436" s="6"/>
      <c r="I8436" s="6"/>
    </row>
    <row r="8437" spans="8:9" x14ac:dyDescent="0.2">
      <c r="H8437" s="6"/>
      <c r="I8437" s="6"/>
    </row>
    <row r="8438" spans="8:9" x14ac:dyDescent="0.2">
      <c r="H8438" s="6"/>
      <c r="I8438" s="6"/>
    </row>
    <row r="8439" spans="8:9" x14ac:dyDescent="0.2">
      <c r="H8439" s="6"/>
      <c r="I8439" s="6"/>
    </row>
    <row r="8440" spans="8:9" x14ac:dyDescent="0.2">
      <c r="H8440" s="6"/>
      <c r="I8440" s="6"/>
    </row>
    <row r="8441" spans="8:9" x14ac:dyDescent="0.2">
      <c r="H8441" s="6"/>
      <c r="I8441" s="6"/>
    </row>
    <row r="8442" spans="8:9" x14ac:dyDescent="0.2">
      <c r="H8442" s="6"/>
      <c r="I8442" s="6"/>
    </row>
    <row r="8443" spans="8:9" x14ac:dyDescent="0.2">
      <c r="H8443" s="6"/>
      <c r="I8443" s="6"/>
    </row>
    <row r="8444" spans="8:9" x14ac:dyDescent="0.2">
      <c r="H8444" s="6"/>
      <c r="I8444" s="6"/>
    </row>
    <row r="8445" spans="8:9" x14ac:dyDescent="0.2">
      <c r="H8445" s="6"/>
      <c r="I8445" s="6"/>
    </row>
    <row r="8446" spans="8:9" x14ac:dyDescent="0.2">
      <c r="H8446" s="6"/>
      <c r="I8446" s="6"/>
    </row>
    <row r="8447" spans="8:9" x14ac:dyDescent="0.2">
      <c r="H8447" s="6"/>
      <c r="I8447" s="6"/>
    </row>
    <row r="8448" spans="8:9" x14ac:dyDescent="0.2">
      <c r="H8448" s="6"/>
      <c r="I8448" s="6"/>
    </row>
    <row r="8449" spans="8:9" x14ac:dyDescent="0.2">
      <c r="H8449" s="6"/>
      <c r="I8449" s="6"/>
    </row>
    <row r="8450" spans="8:9" x14ac:dyDescent="0.2">
      <c r="H8450" s="6"/>
      <c r="I8450" s="6"/>
    </row>
    <row r="8451" spans="8:9" x14ac:dyDescent="0.2">
      <c r="H8451" s="6"/>
      <c r="I8451" s="6"/>
    </row>
    <row r="8452" spans="8:9" x14ac:dyDescent="0.2">
      <c r="H8452" s="6"/>
      <c r="I8452" s="6"/>
    </row>
    <row r="8453" spans="8:9" x14ac:dyDescent="0.2">
      <c r="H8453" s="6"/>
      <c r="I8453" s="6"/>
    </row>
    <row r="8454" spans="8:9" x14ac:dyDescent="0.2">
      <c r="H8454" s="6"/>
      <c r="I8454" s="6"/>
    </row>
    <row r="8455" spans="8:9" x14ac:dyDescent="0.2">
      <c r="H8455" s="6"/>
      <c r="I8455" s="6"/>
    </row>
    <row r="8456" spans="8:9" x14ac:dyDescent="0.2">
      <c r="H8456" s="6"/>
      <c r="I8456" s="6"/>
    </row>
    <row r="8457" spans="8:9" x14ac:dyDescent="0.2">
      <c r="H8457" s="6"/>
      <c r="I8457" s="6"/>
    </row>
    <row r="8458" spans="8:9" x14ac:dyDescent="0.2">
      <c r="H8458" s="6"/>
      <c r="I8458" s="6"/>
    </row>
    <row r="8459" spans="8:9" x14ac:dyDescent="0.2">
      <c r="H8459" s="6"/>
      <c r="I8459" s="6"/>
    </row>
    <row r="8460" spans="8:9" x14ac:dyDescent="0.2">
      <c r="H8460" s="6"/>
      <c r="I8460" s="6"/>
    </row>
    <row r="8461" spans="8:9" x14ac:dyDescent="0.2">
      <c r="H8461" s="6"/>
      <c r="I8461" s="6"/>
    </row>
    <row r="8462" spans="8:9" x14ac:dyDescent="0.2">
      <c r="H8462" s="6"/>
      <c r="I8462" s="6"/>
    </row>
    <row r="8463" spans="8:9" x14ac:dyDescent="0.2">
      <c r="H8463" s="6"/>
      <c r="I8463" s="6"/>
    </row>
    <row r="8464" spans="8:9" x14ac:dyDescent="0.2">
      <c r="H8464" s="6"/>
      <c r="I8464" s="6"/>
    </row>
    <row r="8465" spans="8:9" x14ac:dyDescent="0.2">
      <c r="H8465" s="6"/>
      <c r="I8465" s="6"/>
    </row>
    <row r="8466" spans="8:9" x14ac:dyDescent="0.2">
      <c r="H8466" s="6"/>
      <c r="I8466" s="6"/>
    </row>
    <row r="8467" spans="8:9" x14ac:dyDescent="0.2">
      <c r="H8467" s="6"/>
      <c r="I8467" s="6"/>
    </row>
    <row r="8468" spans="8:9" x14ac:dyDescent="0.2">
      <c r="H8468" s="6"/>
      <c r="I8468" s="6"/>
    </row>
    <row r="8469" spans="8:9" x14ac:dyDescent="0.2">
      <c r="H8469" s="6"/>
      <c r="I8469" s="6"/>
    </row>
    <row r="8470" spans="8:9" x14ac:dyDescent="0.2">
      <c r="H8470" s="6"/>
      <c r="I8470" s="6"/>
    </row>
    <row r="8471" spans="8:9" x14ac:dyDescent="0.2">
      <c r="H8471" s="6"/>
      <c r="I8471" s="6"/>
    </row>
    <row r="8472" spans="8:9" x14ac:dyDescent="0.2">
      <c r="H8472" s="6"/>
      <c r="I8472" s="6"/>
    </row>
    <row r="8473" spans="8:9" x14ac:dyDescent="0.2">
      <c r="H8473" s="6"/>
      <c r="I8473" s="6"/>
    </row>
    <row r="8474" spans="8:9" x14ac:dyDescent="0.2">
      <c r="H8474" s="6"/>
      <c r="I8474" s="6"/>
    </row>
    <row r="8475" spans="8:9" x14ac:dyDescent="0.2">
      <c r="H8475" s="6"/>
      <c r="I8475" s="6"/>
    </row>
    <row r="8476" spans="8:9" x14ac:dyDescent="0.2">
      <c r="H8476" s="6"/>
      <c r="I8476" s="6"/>
    </row>
    <row r="8477" spans="8:9" x14ac:dyDescent="0.2">
      <c r="H8477" s="6"/>
      <c r="I8477" s="6"/>
    </row>
    <row r="8478" spans="8:9" x14ac:dyDescent="0.2">
      <c r="H8478" s="6"/>
      <c r="I8478" s="6"/>
    </row>
    <row r="8479" spans="8:9" x14ac:dyDescent="0.2">
      <c r="H8479" s="6"/>
      <c r="I8479" s="6"/>
    </row>
    <row r="8480" spans="8:9" x14ac:dyDescent="0.2">
      <c r="H8480" s="6"/>
      <c r="I8480" s="6"/>
    </row>
    <row r="8481" spans="8:9" x14ac:dyDescent="0.2">
      <c r="H8481" s="6"/>
      <c r="I8481" s="6"/>
    </row>
    <row r="8482" spans="8:9" x14ac:dyDescent="0.2">
      <c r="H8482" s="6"/>
      <c r="I8482" s="6"/>
    </row>
    <row r="8483" spans="8:9" x14ac:dyDescent="0.2">
      <c r="H8483" s="6"/>
      <c r="I8483" s="6"/>
    </row>
    <row r="8484" spans="8:9" x14ac:dyDescent="0.2">
      <c r="H8484" s="6"/>
      <c r="I8484" s="6"/>
    </row>
    <row r="8485" spans="8:9" x14ac:dyDescent="0.2">
      <c r="H8485" s="6"/>
      <c r="I8485" s="6"/>
    </row>
    <row r="8486" spans="8:9" x14ac:dyDescent="0.2">
      <c r="H8486" s="6"/>
      <c r="I8486" s="6"/>
    </row>
    <row r="8487" spans="8:9" x14ac:dyDescent="0.2">
      <c r="H8487" s="6"/>
      <c r="I8487" s="6"/>
    </row>
    <row r="8488" spans="8:9" x14ac:dyDescent="0.2">
      <c r="H8488" s="6"/>
      <c r="I8488" s="6"/>
    </row>
    <row r="8489" spans="8:9" x14ac:dyDescent="0.2">
      <c r="H8489" s="6"/>
      <c r="I8489" s="6"/>
    </row>
    <row r="8490" spans="8:9" x14ac:dyDescent="0.2">
      <c r="H8490" s="6"/>
      <c r="I8490" s="6"/>
    </row>
    <row r="8491" spans="8:9" x14ac:dyDescent="0.2">
      <c r="H8491" s="6"/>
      <c r="I8491" s="6"/>
    </row>
    <row r="8492" spans="8:9" x14ac:dyDescent="0.2">
      <c r="H8492" s="6"/>
      <c r="I8492" s="6"/>
    </row>
    <row r="8493" spans="8:9" x14ac:dyDescent="0.2">
      <c r="H8493" s="6"/>
      <c r="I8493" s="6"/>
    </row>
    <row r="8494" spans="8:9" x14ac:dyDescent="0.2">
      <c r="H8494" s="6"/>
      <c r="I8494" s="6"/>
    </row>
    <row r="8495" spans="8:9" x14ac:dyDescent="0.2">
      <c r="H8495" s="6"/>
      <c r="I8495" s="6"/>
    </row>
    <row r="8496" spans="8:9" x14ac:dyDescent="0.2">
      <c r="H8496" s="6"/>
      <c r="I8496" s="6"/>
    </row>
    <row r="8497" spans="8:9" x14ac:dyDescent="0.2">
      <c r="H8497" s="6"/>
      <c r="I8497" s="6"/>
    </row>
    <row r="8498" spans="8:9" x14ac:dyDescent="0.2">
      <c r="H8498" s="6"/>
      <c r="I8498" s="6"/>
    </row>
    <row r="8499" spans="8:9" x14ac:dyDescent="0.2">
      <c r="H8499" s="6"/>
      <c r="I8499" s="6"/>
    </row>
    <row r="8500" spans="8:9" x14ac:dyDescent="0.2">
      <c r="H8500" s="6"/>
      <c r="I8500" s="6"/>
    </row>
    <row r="8501" spans="8:9" x14ac:dyDescent="0.2">
      <c r="H8501" s="6"/>
      <c r="I8501" s="6"/>
    </row>
    <row r="8502" spans="8:9" x14ac:dyDescent="0.2">
      <c r="H8502" s="6"/>
      <c r="I8502" s="6"/>
    </row>
    <row r="8503" spans="8:9" x14ac:dyDescent="0.2">
      <c r="H8503" s="6"/>
      <c r="I8503" s="6"/>
    </row>
    <row r="8504" spans="8:9" x14ac:dyDescent="0.2">
      <c r="H8504" s="6"/>
      <c r="I8504" s="6"/>
    </row>
    <row r="8505" spans="8:9" x14ac:dyDescent="0.2">
      <c r="H8505" s="6"/>
      <c r="I8505" s="6"/>
    </row>
    <row r="8506" spans="8:9" x14ac:dyDescent="0.2">
      <c r="H8506" s="6"/>
      <c r="I8506" s="6"/>
    </row>
    <row r="8507" spans="8:9" x14ac:dyDescent="0.2">
      <c r="H8507" s="6"/>
      <c r="I8507" s="6"/>
    </row>
    <row r="8508" spans="8:9" x14ac:dyDescent="0.2">
      <c r="H8508" s="6"/>
      <c r="I8508" s="6"/>
    </row>
    <row r="8509" spans="8:9" x14ac:dyDescent="0.2">
      <c r="H8509" s="6"/>
      <c r="I8509" s="6"/>
    </row>
    <row r="8510" spans="8:9" x14ac:dyDescent="0.2">
      <c r="H8510" s="6"/>
      <c r="I8510" s="6"/>
    </row>
    <row r="8511" spans="8:9" x14ac:dyDescent="0.2">
      <c r="H8511" s="6"/>
      <c r="I8511" s="6"/>
    </row>
    <row r="8512" spans="8:9" x14ac:dyDescent="0.2">
      <c r="H8512" s="6"/>
      <c r="I8512" s="6"/>
    </row>
    <row r="8513" spans="8:9" x14ac:dyDescent="0.2">
      <c r="H8513" s="6"/>
      <c r="I8513" s="6"/>
    </row>
    <row r="8514" spans="8:9" x14ac:dyDescent="0.2">
      <c r="H8514" s="6"/>
      <c r="I8514" s="6"/>
    </row>
    <row r="8515" spans="8:9" x14ac:dyDescent="0.2">
      <c r="H8515" s="6"/>
      <c r="I8515" s="6"/>
    </row>
    <row r="8516" spans="8:9" x14ac:dyDescent="0.2">
      <c r="H8516" s="6"/>
      <c r="I8516" s="6"/>
    </row>
    <row r="8517" spans="8:9" x14ac:dyDescent="0.2">
      <c r="H8517" s="6"/>
      <c r="I8517" s="6"/>
    </row>
    <row r="8518" spans="8:9" x14ac:dyDescent="0.2">
      <c r="H8518" s="6"/>
      <c r="I8518" s="6"/>
    </row>
    <row r="8519" spans="8:9" x14ac:dyDescent="0.2">
      <c r="H8519" s="6"/>
      <c r="I8519" s="6"/>
    </row>
    <row r="8520" spans="8:9" x14ac:dyDescent="0.2">
      <c r="H8520" s="6"/>
      <c r="I8520" s="6"/>
    </row>
    <row r="8521" spans="8:9" x14ac:dyDescent="0.2">
      <c r="H8521" s="6"/>
      <c r="I8521" s="6"/>
    </row>
    <row r="8522" spans="8:9" x14ac:dyDescent="0.2">
      <c r="H8522" s="6"/>
      <c r="I8522" s="6"/>
    </row>
    <row r="8523" spans="8:9" x14ac:dyDescent="0.2">
      <c r="H8523" s="6"/>
      <c r="I8523" s="6"/>
    </row>
    <row r="8524" spans="8:9" x14ac:dyDescent="0.2">
      <c r="H8524" s="6"/>
      <c r="I8524" s="6"/>
    </row>
    <row r="8525" spans="8:9" x14ac:dyDescent="0.2">
      <c r="H8525" s="6"/>
      <c r="I8525" s="6"/>
    </row>
    <row r="8526" spans="8:9" x14ac:dyDescent="0.2">
      <c r="H8526" s="6"/>
      <c r="I8526" s="6"/>
    </row>
    <row r="8527" spans="8:9" x14ac:dyDescent="0.2">
      <c r="H8527" s="6"/>
      <c r="I8527" s="6"/>
    </row>
    <row r="8528" spans="8:9" x14ac:dyDescent="0.2">
      <c r="H8528" s="6"/>
      <c r="I8528" s="6"/>
    </row>
    <row r="8529" spans="8:9" x14ac:dyDescent="0.2">
      <c r="H8529" s="6"/>
      <c r="I8529" s="6"/>
    </row>
    <row r="8530" spans="8:9" x14ac:dyDescent="0.2">
      <c r="H8530" s="6"/>
      <c r="I8530" s="6"/>
    </row>
    <row r="8531" spans="8:9" x14ac:dyDescent="0.2">
      <c r="H8531" s="6"/>
      <c r="I8531" s="6"/>
    </row>
    <row r="8532" spans="8:9" x14ac:dyDescent="0.2">
      <c r="H8532" s="6"/>
      <c r="I8532" s="6"/>
    </row>
    <row r="8533" spans="8:9" x14ac:dyDescent="0.2">
      <c r="H8533" s="6"/>
      <c r="I8533" s="6"/>
    </row>
    <row r="8534" spans="8:9" x14ac:dyDescent="0.2">
      <c r="H8534" s="6"/>
      <c r="I8534" s="6"/>
    </row>
    <row r="8535" spans="8:9" x14ac:dyDescent="0.2">
      <c r="H8535" s="6"/>
      <c r="I8535" s="6"/>
    </row>
    <row r="8536" spans="8:9" x14ac:dyDescent="0.2">
      <c r="H8536" s="6"/>
      <c r="I8536" s="6"/>
    </row>
    <row r="8537" spans="8:9" x14ac:dyDescent="0.2">
      <c r="H8537" s="6"/>
      <c r="I8537" s="6"/>
    </row>
    <row r="8538" spans="8:9" x14ac:dyDescent="0.2">
      <c r="H8538" s="6"/>
      <c r="I8538" s="6"/>
    </row>
    <row r="8539" spans="8:9" x14ac:dyDescent="0.2">
      <c r="H8539" s="6"/>
      <c r="I8539" s="6"/>
    </row>
    <row r="8540" spans="8:9" x14ac:dyDescent="0.2">
      <c r="H8540" s="6"/>
      <c r="I8540" s="6"/>
    </row>
    <row r="8541" spans="8:9" x14ac:dyDescent="0.2">
      <c r="H8541" s="6"/>
      <c r="I8541" s="6"/>
    </row>
    <row r="8542" spans="8:9" x14ac:dyDescent="0.2">
      <c r="H8542" s="6"/>
      <c r="I8542" s="6"/>
    </row>
    <row r="8543" spans="8:9" x14ac:dyDescent="0.2">
      <c r="H8543" s="6"/>
      <c r="I8543" s="6"/>
    </row>
    <row r="8544" spans="8:9" x14ac:dyDescent="0.2">
      <c r="H8544" s="6"/>
      <c r="I8544" s="6"/>
    </row>
    <row r="8545" spans="8:9" x14ac:dyDescent="0.2">
      <c r="H8545" s="6"/>
      <c r="I8545" s="6"/>
    </row>
    <row r="8546" spans="8:9" x14ac:dyDescent="0.2">
      <c r="H8546" s="6"/>
      <c r="I8546" s="6"/>
    </row>
    <row r="8547" spans="8:9" x14ac:dyDescent="0.2">
      <c r="H8547" s="6"/>
      <c r="I8547" s="6"/>
    </row>
    <row r="8548" spans="8:9" x14ac:dyDescent="0.2">
      <c r="H8548" s="6"/>
      <c r="I8548" s="6"/>
    </row>
    <row r="8549" spans="8:9" x14ac:dyDescent="0.2">
      <c r="H8549" s="6"/>
      <c r="I8549" s="6"/>
    </row>
    <row r="8550" spans="8:9" x14ac:dyDescent="0.2">
      <c r="H8550" s="6"/>
      <c r="I8550" s="6"/>
    </row>
    <row r="8551" spans="8:9" x14ac:dyDescent="0.2">
      <c r="H8551" s="6"/>
      <c r="I8551" s="6"/>
    </row>
    <row r="8552" spans="8:9" x14ac:dyDescent="0.2">
      <c r="H8552" s="6"/>
      <c r="I8552" s="6"/>
    </row>
    <row r="8553" spans="8:9" x14ac:dyDescent="0.2">
      <c r="H8553" s="6"/>
      <c r="I8553" s="6"/>
    </row>
    <row r="8554" spans="8:9" x14ac:dyDescent="0.2">
      <c r="H8554" s="6"/>
      <c r="I8554" s="6"/>
    </row>
    <row r="8555" spans="8:9" x14ac:dyDescent="0.2">
      <c r="H8555" s="6"/>
      <c r="I8555" s="6"/>
    </row>
    <row r="8556" spans="8:9" x14ac:dyDescent="0.2">
      <c r="H8556" s="6"/>
      <c r="I8556" s="6"/>
    </row>
    <row r="8557" spans="8:9" x14ac:dyDescent="0.2">
      <c r="H8557" s="6"/>
      <c r="I8557" s="6"/>
    </row>
    <row r="8558" spans="8:9" x14ac:dyDescent="0.2">
      <c r="H8558" s="6"/>
      <c r="I8558" s="6"/>
    </row>
    <row r="8559" spans="8:9" x14ac:dyDescent="0.2">
      <c r="H8559" s="6"/>
      <c r="I8559" s="6"/>
    </row>
    <row r="8560" spans="8:9" x14ac:dyDescent="0.2">
      <c r="H8560" s="6"/>
      <c r="I8560" s="6"/>
    </row>
    <row r="8561" spans="8:9" x14ac:dyDescent="0.2">
      <c r="H8561" s="6"/>
      <c r="I8561" s="6"/>
    </row>
    <row r="8562" spans="8:9" x14ac:dyDescent="0.2">
      <c r="H8562" s="6"/>
      <c r="I8562" s="6"/>
    </row>
    <row r="8563" spans="8:9" x14ac:dyDescent="0.2">
      <c r="H8563" s="6"/>
      <c r="I8563" s="6"/>
    </row>
    <row r="8564" spans="8:9" x14ac:dyDescent="0.2">
      <c r="H8564" s="6"/>
      <c r="I8564" s="6"/>
    </row>
    <row r="8565" spans="8:9" x14ac:dyDescent="0.2">
      <c r="H8565" s="6"/>
      <c r="I8565" s="6"/>
    </row>
    <row r="8566" spans="8:9" x14ac:dyDescent="0.2">
      <c r="H8566" s="6"/>
      <c r="I8566" s="6"/>
    </row>
    <row r="8567" spans="8:9" x14ac:dyDescent="0.2">
      <c r="H8567" s="6"/>
      <c r="I8567" s="6"/>
    </row>
    <row r="8568" spans="8:9" x14ac:dyDescent="0.2">
      <c r="H8568" s="6"/>
      <c r="I8568" s="6"/>
    </row>
    <row r="8569" spans="8:9" x14ac:dyDescent="0.2">
      <c r="H8569" s="6"/>
      <c r="I8569" s="6"/>
    </row>
    <row r="8570" spans="8:9" x14ac:dyDescent="0.2">
      <c r="H8570" s="6"/>
      <c r="I8570" s="6"/>
    </row>
    <row r="8571" spans="8:9" x14ac:dyDescent="0.2">
      <c r="H8571" s="6"/>
      <c r="I8571" s="6"/>
    </row>
    <row r="8572" spans="8:9" x14ac:dyDescent="0.2">
      <c r="H8572" s="6"/>
      <c r="I8572" s="6"/>
    </row>
    <row r="8573" spans="8:9" x14ac:dyDescent="0.2">
      <c r="H8573" s="6"/>
      <c r="I8573" s="6"/>
    </row>
    <row r="8574" spans="8:9" x14ac:dyDescent="0.2">
      <c r="H8574" s="6"/>
      <c r="I8574" s="6"/>
    </row>
    <row r="8575" spans="8:9" x14ac:dyDescent="0.2">
      <c r="H8575" s="6"/>
      <c r="I8575" s="6"/>
    </row>
    <row r="8576" spans="8:9" x14ac:dyDescent="0.2">
      <c r="H8576" s="6"/>
      <c r="I8576" s="6"/>
    </row>
    <row r="8577" spans="8:9" x14ac:dyDescent="0.2">
      <c r="H8577" s="6"/>
      <c r="I8577" s="6"/>
    </row>
    <row r="8578" spans="8:9" x14ac:dyDescent="0.2">
      <c r="H8578" s="6"/>
      <c r="I8578" s="6"/>
    </row>
    <row r="8579" spans="8:9" x14ac:dyDescent="0.2">
      <c r="H8579" s="6"/>
      <c r="I8579" s="6"/>
    </row>
    <row r="8580" spans="8:9" x14ac:dyDescent="0.2">
      <c r="H8580" s="6"/>
      <c r="I8580" s="6"/>
    </row>
    <row r="8581" spans="8:9" x14ac:dyDescent="0.2">
      <c r="H8581" s="6"/>
      <c r="I8581" s="6"/>
    </row>
    <row r="8582" spans="8:9" x14ac:dyDescent="0.2">
      <c r="H8582" s="6"/>
      <c r="I8582" s="6"/>
    </row>
    <row r="8583" spans="8:9" x14ac:dyDescent="0.2">
      <c r="H8583" s="6"/>
      <c r="I8583" s="6"/>
    </row>
    <row r="8584" spans="8:9" x14ac:dyDescent="0.2">
      <c r="H8584" s="6"/>
      <c r="I8584" s="6"/>
    </row>
    <row r="8585" spans="8:9" x14ac:dyDescent="0.2">
      <c r="H8585" s="6"/>
      <c r="I8585" s="6"/>
    </row>
    <row r="8586" spans="8:9" x14ac:dyDescent="0.2">
      <c r="H8586" s="6"/>
      <c r="I8586" s="6"/>
    </row>
    <row r="8587" spans="8:9" x14ac:dyDescent="0.2">
      <c r="H8587" s="6"/>
      <c r="I8587" s="6"/>
    </row>
    <row r="8588" spans="8:9" x14ac:dyDescent="0.2">
      <c r="H8588" s="6"/>
      <c r="I8588" s="6"/>
    </row>
    <row r="8589" spans="8:9" x14ac:dyDescent="0.2">
      <c r="H8589" s="6"/>
      <c r="I8589" s="6"/>
    </row>
    <row r="8590" spans="8:9" x14ac:dyDescent="0.2">
      <c r="H8590" s="6"/>
      <c r="I8590" s="6"/>
    </row>
    <row r="8591" spans="8:9" x14ac:dyDescent="0.2">
      <c r="H8591" s="6"/>
      <c r="I8591" s="6"/>
    </row>
    <row r="8592" spans="8:9" x14ac:dyDescent="0.2">
      <c r="H8592" s="6"/>
      <c r="I8592" s="6"/>
    </row>
    <row r="8593" spans="8:9" x14ac:dyDescent="0.2">
      <c r="H8593" s="6"/>
      <c r="I8593" s="6"/>
    </row>
    <row r="8594" spans="8:9" x14ac:dyDescent="0.2">
      <c r="H8594" s="6"/>
      <c r="I8594" s="6"/>
    </row>
    <row r="8595" spans="8:9" x14ac:dyDescent="0.2">
      <c r="H8595" s="6"/>
      <c r="I8595" s="6"/>
    </row>
    <row r="8596" spans="8:9" x14ac:dyDescent="0.2">
      <c r="H8596" s="6"/>
      <c r="I8596" s="6"/>
    </row>
    <row r="8597" spans="8:9" x14ac:dyDescent="0.2">
      <c r="H8597" s="6"/>
      <c r="I8597" s="6"/>
    </row>
    <row r="8598" spans="8:9" x14ac:dyDescent="0.2">
      <c r="H8598" s="6"/>
      <c r="I8598" s="6"/>
    </row>
    <row r="8599" spans="8:9" x14ac:dyDescent="0.2">
      <c r="H8599" s="6"/>
      <c r="I8599" s="6"/>
    </row>
    <row r="8600" spans="8:9" x14ac:dyDescent="0.2">
      <c r="H8600" s="6"/>
      <c r="I8600" s="6"/>
    </row>
    <row r="8601" spans="8:9" x14ac:dyDescent="0.2">
      <c r="H8601" s="6"/>
      <c r="I8601" s="6"/>
    </row>
    <row r="8602" spans="8:9" x14ac:dyDescent="0.2">
      <c r="H8602" s="6"/>
      <c r="I8602" s="6"/>
    </row>
    <row r="8603" spans="8:9" x14ac:dyDescent="0.2">
      <c r="H8603" s="6"/>
      <c r="I8603" s="6"/>
    </row>
    <row r="8604" spans="8:9" x14ac:dyDescent="0.2">
      <c r="H8604" s="6"/>
      <c r="I8604" s="6"/>
    </row>
    <row r="8605" spans="8:9" x14ac:dyDescent="0.2">
      <c r="H8605" s="6"/>
      <c r="I8605" s="6"/>
    </row>
    <row r="8606" spans="8:9" x14ac:dyDescent="0.2">
      <c r="H8606" s="6"/>
      <c r="I8606" s="6"/>
    </row>
    <row r="8607" spans="8:9" x14ac:dyDescent="0.2">
      <c r="H8607" s="6"/>
      <c r="I8607" s="6"/>
    </row>
    <row r="8608" spans="8:9" x14ac:dyDescent="0.2">
      <c r="H8608" s="6"/>
      <c r="I8608" s="6"/>
    </row>
    <row r="8609" spans="8:9" x14ac:dyDescent="0.2">
      <c r="H8609" s="6"/>
      <c r="I8609" s="6"/>
    </row>
    <row r="8610" spans="8:9" x14ac:dyDescent="0.2">
      <c r="H8610" s="6"/>
      <c r="I8610" s="6"/>
    </row>
    <row r="8611" spans="8:9" x14ac:dyDescent="0.2">
      <c r="H8611" s="6"/>
      <c r="I8611" s="6"/>
    </row>
    <row r="8612" spans="8:9" x14ac:dyDescent="0.2">
      <c r="H8612" s="6"/>
      <c r="I8612" s="6"/>
    </row>
    <row r="8613" spans="8:9" x14ac:dyDescent="0.2">
      <c r="H8613" s="6"/>
      <c r="I8613" s="6"/>
    </row>
    <row r="8614" spans="8:9" x14ac:dyDescent="0.2">
      <c r="H8614" s="6"/>
      <c r="I8614" s="6"/>
    </row>
    <row r="8615" spans="8:9" x14ac:dyDescent="0.2">
      <c r="H8615" s="6"/>
      <c r="I8615" s="6"/>
    </row>
    <row r="8616" spans="8:9" x14ac:dyDescent="0.2">
      <c r="H8616" s="6"/>
      <c r="I8616" s="6"/>
    </row>
    <row r="8617" spans="8:9" x14ac:dyDescent="0.2">
      <c r="H8617" s="6"/>
      <c r="I8617" s="6"/>
    </row>
    <row r="8618" spans="8:9" x14ac:dyDescent="0.2">
      <c r="H8618" s="6"/>
      <c r="I8618" s="6"/>
    </row>
    <row r="8619" spans="8:9" x14ac:dyDescent="0.2">
      <c r="H8619" s="6"/>
      <c r="I8619" s="6"/>
    </row>
    <row r="8620" spans="8:9" x14ac:dyDescent="0.2">
      <c r="H8620" s="6"/>
      <c r="I8620" s="6"/>
    </row>
    <row r="8621" spans="8:9" x14ac:dyDescent="0.2">
      <c r="H8621" s="6"/>
      <c r="I8621" s="6"/>
    </row>
    <row r="8622" spans="8:9" x14ac:dyDescent="0.2">
      <c r="H8622" s="6"/>
      <c r="I8622" s="6"/>
    </row>
    <row r="8623" spans="8:9" x14ac:dyDescent="0.2">
      <c r="H8623" s="6"/>
      <c r="I8623" s="6"/>
    </row>
    <row r="8624" spans="8:9" x14ac:dyDescent="0.2">
      <c r="H8624" s="6"/>
      <c r="I8624" s="6"/>
    </row>
    <row r="8625" spans="8:9" x14ac:dyDescent="0.2">
      <c r="H8625" s="6"/>
      <c r="I8625" s="6"/>
    </row>
    <row r="8626" spans="8:9" x14ac:dyDescent="0.2">
      <c r="H8626" s="6"/>
      <c r="I8626" s="6"/>
    </row>
    <row r="8627" spans="8:9" x14ac:dyDescent="0.2">
      <c r="H8627" s="6"/>
      <c r="I8627" s="6"/>
    </row>
    <row r="8628" spans="8:9" x14ac:dyDescent="0.2">
      <c r="H8628" s="6"/>
      <c r="I8628" s="6"/>
    </row>
    <row r="8629" spans="8:9" x14ac:dyDescent="0.2">
      <c r="H8629" s="6"/>
      <c r="I8629" s="6"/>
    </row>
    <row r="8630" spans="8:9" x14ac:dyDescent="0.2">
      <c r="H8630" s="6"/>
      <c r="I8630" s="6"/>
    </row>
    <row r="8631" spans="8:9" x14ac:dyDescent="0.2">
      <c r="H8631" s="6"/>
      <c r="I8631" s="6"/>
    </row>
    <row r="8632" spans="8:9" x14ac:dyDescent="0.2">
      <c r="H8632" s="6"/>
      <c r="I8632" s="6"/>
    </row>
    <row r="8633" spans="8:9" x14ac:dyDescent="0.2">
      <c r="H8633" s="6"/>
      <c r="I8633" s="6"/>
    </row>
    <row r="8634" spans="8:9" x14ac:dyDescent="0.2">
      <c r="H8634" s="6"/>
      <c r="I8634" s="6"/>
    </row>
    <row r="8635" spans="8:9" x14ac:dyDescent="0.2">
      <c r="H8635" s="6"/>
      <c r="I8635" s="6"/>
    </row>
    <row r="8636" spans="8:9" x14ac:dyDescent="0.2">
      <c r="H8636" s="6"/>
      <c r="I8636" s="6"/>
    </row>
    <row r="8637" spans="8:9" x14ac:dyDescent="0.2">
      <c r="H8637" s="6"/>
      <c r="I8637" s="6"/>
    </row>
    <row r="8638" spans="8:9" x14ac:dyDescent="0.2">
      <c r="H8638" s="6"/>
      <c r="I8638" s="6"/>
    </row>
    <row r="8639" spans="8:9" x14ac:dyDescent="0.2">
      <c r="H8639" s="6"/>
      <c r="I8639" s="6"/>
    </row>
    <row r="8640" spans="8:9" x14ac:dyDescent="0.2">
      <c r="H8640" s="6"/>
      <c r="I8640" s="6"/>
    </row>
    <row r="8641" spans="8:9" x14ac:dyDescent="0.2">
      <c r="H8641" s="6"/>
      <c r="I8641" s="6"/>
    </row>
    <row r="8642" spans="8:9" x14ac:dyDescent="0.2">
      <c r="H8642" s="6"/>
      <c r="I8642" s="6"/>
    </row>
    <row r="8643" spans="8:9" x14ac:dyDescent="0.2">
      <c r="H8643" s="6"/>
      <c r="I8643" s="6"/>
    </row>
    <row r="8644" spans="8:9" x14ac:dyDescent="0.2">
      <c r="H8644" s="6"/>
      <c r="I8644" s="6"/>
    </row>
    <row r="8645" spans="8:9" x14ac:dyDescent="0.2">
      <c r="H8645" s="6"/>
      <c r="I8645" s="6"/>
    </row>
    <row r="8646" spans="8:9" x14ac:dyDescent="0.2">
      <c r="H8646" s="6"/>
      <c r="I8646" s="6"/>
    </row>
    <row r="8647" spans="8:9" x14ac:dyDescent="0.2">
      <c r="H8647" s="6"/>
      <c r="I8647" s="6"/>
    </row>
    <row r="8648" spans="8:9" x14ac:dyDescent="0.2">
      <c r="H8648" s="6"/>
      <c r="I8648" s="6"/>
    </row>
    <row r="8649" spans="8:9" x14ac:dyDescent="0.2">
      <c r="H8649" s="6"/>
      <c r="I8649" s="6"/>
    </row>
    <row r="8650" spans="8:9" x14ac:dyDescent="0.2">
      <c r="H8650" s="6"/>
      <c r="I8650" s="6"/>
    </row>
    <row r="8651" spans="8:9" x14ac:dyDescent="0.2">
      <c r="H8651" s="6"/>
      <c r="I8651" s="6"/>
    </row>
    <row r="8652" spans="8:9" x14ac:dyDescent="0.2">
      <c r="H8652" s="6"/>
      <c r="I8652" s="6"/>
    </row>
    <row r="8653" spans="8:9" x14ac:dyDescent="0.2">
      <c r="H8653" s="6"/>
      <c r="I8653" s="6"/>
    </row>
    <row r="8654" spans="8:9" x14ac:dyDescent="0.2">
      <c r="H8654" s="6"/>
      <c r="I8654" s="6"/>
    </row>
    <row r="8655" spans="8:9" x14ac:dyDescent="0.2">
      <c r="H8655" s="6"/>
      <c r="I8655" s="6"/>
    </row>
    <row r="8656" spans="8:9" x14ac:dyDescent="0.2">
      <c r="H8656" s="6"/>
      <c r="I8656" s="6"/>
    </row>
    <row r="8657" spans="8:9" x14ac:dyDescent="0.2">
      <c r="H8657" s="6"/>
      <c r="I8657" s="6"/>
    </row>
    <row r="8658" spans="8:9" x14ac:dyDescent="0.2">
      <c r="H8658" s="6"/>
      <c r="I8658" s="6"/>
    </row>
    <row r="8659" spans="8:9" x14ac:dyDescent="0.2">
      <c r="H8659" s="6"/>
      <c r="I8659" s="6"/>
    </row>
    <row r="8660" spans="8:9" x14ac:dyDescent="0.2">
      <c r="H8660" s="6"/>
    </row>
    <row r="8661" spans="8:9" x14ac:dyDescent="0.2">
      <c r="H8661" s="6"/>
      <c r="I8661" s="6"/>
    </row>
    <row r="8662" spans="8:9" x14ac:dyDescent="0.2">
      <c r="H8662" s="6"/>
      <c r="I8662" s="6"/>
    </row>
    <row r="8663" spans="8:9" x14ac:dyDescent="0.2">
      <c r="H8663" s="6"/>
      <c r="I8663" s="6"/>
    </row>
    <row r="8664" spans="8:9" x14ac:dyDescent="0.2">
      <c r="H8664" s="6"/>
      <c r="I8664" s="6"/>
    </row>
    <row r="8665" spans="8:9" x14ac:dyDescent="0.2">
      <c r="H8665" s="6"/>
      <c r="I8665" s="6"/>
    </row>
    <row r="8666" spans="8:9" x14ac:dyDescent="0.2">
      <c r="H8666" s="6"/>
      <c r="I8666" s="6"/>
    </row>
    <row r="8667" spans="8:9" x14ac:dyDescent="0.2">
      <c r="H8667" s="6"/>
      <c r="I8667" s="6"/>
    </row>
    <row r="8668" spans="8:9" x14ac:dyDescent="0.2">
      <c r="H8668" s="6"/>
      <c r="I8668" s="6"/>
    </row>
    <row r="8669" spans="8:9" x14ac:dyDescent="0.2">
      <c r="H8669" s="6"/>
      <c r="I8669" s="6"/>
    </row>
    <row r="8670" spans="8:9" x14ac:dyDescent="0.2">
      <c r="H8670" s="6"/>
      <c r="I8670" s="6"/>
    </row>
    <row r="8671" spans="8:9" x14ac:dyDescent="0.2">
      <c r="H8671" s="6"/>
      <c r="I8671" s="6"/>
    </row>
    <row r="8672" spans="8:9" x14ac:dyDescent="0.2">
      <c r="H8672" s="6"/>
      <c r="I8672" s="6"/>
    </row>
    <row r="8673" spans="8:9" x14ac:dyDescent="0.2">
      <c r="H8673" s="6"/>
      <c r="I8673" s="6"/>
    </row>
    <row r="8674" spans="8:9" x14ac:dyDescent="0.2">
      <c r="H8674" s="6"/>
      <c r="I8674" s="6"/>
    </row>
    <row r="8675" spans="8:9" x14ac:dyDescent="0.2">
      <c r="H8675" s="6"/>
      <c r="I8675" s="6"/>
    </row>
    <row r="8676" spans="8:9" x14ac:dyDescent="0.2">
      <c r="H8676" s="6"/>
      <c r="I8676" s="6"/>
    </row>
    <row r="8677" spans="8:9" x14ac:dyDescent="0.2">
      <c r="H8677" s="6"/>
      <c r="I8677" s="6"/>
    </row>
    <row r="8678" spans="8:9" x14ac:dyDescent="0.2">
      <c r="H8678" s="6"/>
      <c r="I8678" s="6"/>
    </row>
    <row r="8679" spans="8:9" x14ac:dyDescent="0.2">
      <c r="H8679" s="6"/>
      <c r="I8679" s="6"/>
    </row>
    <row r="8680" spans="8:9" x14ac:dyDescent="0.2">
      <c r="H8680" s="6"/>
      <c r="I8680" s="6"/>
    </row>
    <row r="8681" spans="8:9" x14ac:dyDescent="0.2">
      <c r="H8681" s="6"/>
      <c r="I8681" s="6"/>
    </row>
    <row r="8682" spans="8:9" x14ac:dyDescent="0.2">
      <c r="H8682" s="6"/>
      <c r="I8682" s="6"/>
    </row>
    <row r="8683" spans="8:9" x14ac:dyDescent="0.2">
      <c r="H8683" s="6"/>
      <c r="I8683" s="6"/>
    </row>
    <row r="8684" spans="8:9" x14ac:dyDescent="0.2">
      <c r="H8684" s="6"/>
      <c r="I8684" s="6"/>
    </row>
    <row r="8685" spans="8:9" x14ac:dyDescent="0.2">
      <c r="H8685" s="6"/>
      <c r="I8685" s="6"/>
    </row>
    <row r="8686" spans="8:9" x14ac:dyDescent="0.2">
      <c r="H8686" s="6"/>
      <c r="I8686" s="6"/>
    </row>
    <row r="8687" spans="8:9" x14ac:dyDescent="0.2">
      <c r="H8687" s="6"/>
      <c r="I8687" s="6"/>
    </row>
    <row r="8688" spans="8:9" x14ac:dyDescent="0.2">
      <c r="H8688" s="6"/>
      <c r="I8688" s="6"/>
    </row>
    <row r="8689" spans="8:9" x14ac:dyDescent="0.2">
      <c r="H8689" s="6"/>
      <c r="I8689" s="6"/>
    </row>
    <row r="8690" spans="8:9" x14ac:dyDescent="0.2">
      <c r="H8690" s="6"/>
      <c r="I8690" s="6"/>
    </row>
    <row r="8691" spans="8:9" x14ac:dyDescent="0.2">
      <c r="H8691" s="6"/>
      <c r="I8691" s="6"/>
    </row>
    <row r="8692" spans="8:9" x14ac:dyDescent="0.2">
      <c r="H8692" s="6"/>
      <c r="I8692" s="6"/>
    </row>
    <row r="8693" spans="8:9" x14ac:dyDescent="0.2">
      <c r="H8693" s="6"/>
      <c r="I8693" s="6"/>
    </row>
    <row r="8694" spans="8:9" x14ac:dyDescent="0.2">
      <c r="H8694" s="6"/>
      <c r="I8694" s="6"/>
    </row>
    <row r="8695" spans="8:9" x14ac:dyDescent="0.2">
      <c r="H8695" s="6"/>
      <c r="I8695" s="6"/>
    </row>
    <row r="8696" spans="8:9" x14ac:dyDescent="0.2">
      <c r="H8696" s="6"/>
      <c r="I8696" s="6"/>
    </row>
    <row r="8697" spans="8:9" x14ac:dyDescent="0.2">
      <c r="H8697" s="6"/>
      <c r="I8697" s="6"/>
    </row>
    <row r="8698" spans="8:9" x14ac:dyDescent="0.2">
      <c r="H8698" s="6"/>
      <c r="I8698" s="6"/>
    </row>
    <row r="8699" spans="8:9" x14ac:dyDescent="0.2">
      <c r="H8699" s="6"/>
      <c r="I8699" s="6"/>
    </row>
    <row r="8700" spans="8:9" x14ac:dyDescent="0.2">
      <c r="H8700" s="6"/>
      <c r="I8700" s="6"/>
    </row>
    <row r="8701" spans="8:9" x14ac:dyDescent="0.2">
      <c r="H8701" s="6"/>
      <c r="I8701" s="6"/>
    </row>
    <row r="8702" spans="8:9" x14ac:dyDescent="0.2">
      <c r="H8702" s="6"/>
      <c r="I8702" s="6"/>
    </row>
    <row r="8703" spans="8:9" x14ac:dyDescent="0.2">
      <c r="H8703" s="6"/>
      <c r="I8703" s="6"/>
    </row>
    <row r="8704" spans="8:9" x14ac:dyDescent="0.2">
      <c r="H8704" s="6"/>
      <c r="I8704" s="6"/>
    </row>
    <row r="8705" spans="8:9" x14ac:dyDescent="0.2">
      <c r="H8705" s="6"/>
      <c r="I8705" s="6"/>
    </row>
    <row r="8706" spans="8:9" x14ac:dyDescent="0.2">
      <c r="H8706" s="6"/>
      <c r="I8706" s="6"/>
    </row>
    <row r="8707" spans="8:9" x14ac:dyDescent="0.2">
      <c r="H8707" s="6"/>
      <c r="I8707" s="6"/>
    </row>
    <row r="8708" spans="8:9" x14ac:dyDescent="0.2">
      <c r="H8708" s="6"/>
      <c r="I8708" s="6"/>
    </row>
    <row r="8709" spans="8:9" x14ac:dyDescent="0.2">
      <c r="H8709" s="6"/>
      <c r="I8709" s="6"/>
    </row>
    <row r="8710" spans="8:9" x14ac:dyDescent="0.2">
      <c r="H8710" s="6"/>
      <c r="I8710" s="6"/>
    </row>
    <row r="8711" spans="8:9" x14ac:dyDescent="0.2">
      <c r="H8711" s="6"/>
      <c r="I8711" s="6"/>
    </row>
    <row r="8712" spans="8:9" x14ac:dyDescent="0.2">
      <c r="H8712" s="6"/>
      <c r="I8712" s="6"/>
    </row>
    <row r="8713" spans="8:9" x14ac:dyDescent="0.2">
      <c r="H8713" s="6"/>
      <c r="I8713" s="6"/>
    </row>
    <row r="8714" spans="8:9" x14ac:dyDescent="0.2">
      <c r="H8714" s="6"/>
      <c r="I8714" s="6"/>
    </row>
    <row r="8715" spans="8:9" x14ac:dyDescent="0.2">
      <c r="H8715" s="6"/>
      <c r="I8715" s="6"/>
    </row>
    <row r="8716" spans="8:9" x14ac:dyDescent="0.2">
      <c r="H8716" s="6"/>
      <c r="I8716" s="6"/>
    </row>
    <row r="8717" spans="8:9" x14ac:dyDescent="0.2">
      <c r="H8717" s="6"/>
      <c r="I8717" s="6"/>
    </row>
    <row r="8718" spans="8:9" x14ac:dyDescent="0.2">
      <c r="H8718" s="6"/>
      <c r="I8718" s="6"/>
    </row>
    <row r="8719" spans="8:9" x14ac:dyDescent="0.2">
      <c r="H8719" s="6"/>
      <c r="I8719" s="6"/>
    </row>
    <row r="8720" spans="8:9" x14ac:dyDescent="0.2">
      <c r="H8720" s="6"/>
      <c r="I8720" s="6"/>
    </row>
    <row r="8721" spans="8:9" x14ac:dyDescent="0.2">
      <c r="H8721" s="6"/>
      <c r="I8721" s="6"/>
    </row>
    <row r="8722" spans="8:9" x14ac:dyDescent="0.2">
      <c r="H8722" s="6"/>
      <c r="I8722" s="6"/>
    </row>
    <row r="8723" spans="8:9" x14ac:dyDescent="0.2">
      <c r="H8723" s="6"/>
      <c r="I8723" s="6"/>
    </row>
    <row r="8724" spans="8:9" x14ac:dyDescent="0.2">
      <c r="H8724" s="6"/>
      <c r="I8724" s="6"/>
    </row>
    <row r="8725" spans="8:9" x14ac:dyDescent="0.2">
      <c r="H8725" s="6"/>
      <c r="I8725" s="6"/>
    </row>
    <row r="8726" spans="8:9" x14ac:dyDescent="0.2">
      <c r="H8726" s="6"/>
      <c r="I8726" s="6"/>
    </row>
    <row r="8727" spans="8:9" x14ac:dyDescent="0.2">
      <c r="H8727" s="6"/>
      <c r="I8727" s="6"/>
    </row>
    <row r="8728" spans="8:9" x14ac:dyDescent="0.2">
      <c r="H8728" s="6"/>
      <c r="I8728" s="6"/>
    </row>
    <row r="8729" spans="8:9" x14ac:dyDescent="0.2">
      <c r="H8729" s="6"/>
      <c r="I8729" s="6"/>
    </row>
    <row r="8730" spans="8:9" x14ac:dyDescent="0.2">
      <c r="H8730" s="6"/>
      <c r="I8730" s="6"/>
    </row>
    <row r="8731" spans="8:9" x14ac:dyDescent="0.2">
      <c r="H8731" s="6"/>
      <c r="I8731" s="6"/>
    </row>
    <row r="8732" spans="8:9" x14ac:dyDescent="0.2">
      <c r="H8732" s="6"/>
      <c r="I8732" s="6"/>
    </row>
    <row r="8733" spans="8:9" x14ac:dyDescent="0.2">
      <c r="H8733" s="6"/>
      <c r="I8733" s="6"/>
    </row>
    <row r="8734" spans="8:9" x14ac:dyDescent="0.2">
      <c r="H8734" s="6"/>
      <c r="I8734" s="6"/>
    </row>
    <row r="8735" spans="8:9" x14ac:dyDescent="0.2">
      <c r="H8735" s="6"/>
      <c r="I8735" s="6"/>
    </row>
    <row r="8736" spans="8:9" x14ac:dyDescent="0.2">
      <c r="H8736" s="6"/>
      <c r="I8736" s="6"/>
    </row>
    <row r="8737" spans="8:9" x14ac:dyDescent="0.2">
      <c r="H8737" s="6"/>
      <c r="I8737" s="6"/>
    </row>
    <row r="8738" spans="8:9" x14ac:dyDescent="0.2">
      <c r="H8738" s="6"/>
      <c r="I8738" s="6"/>
    </row>
    <row r="8739" spans="8:9" x14ac:dyDescent="0.2">
      <c r="H8739" s="6"/>
      <c r="I8739" s="6"/>
    </row>
    <row r="8740" spans="8:9" x14ac:dyDescent="0.2">
      <c r="H8740" s="6"/>
      <c r="I8740" s="6"/>
    </row>
    <row r="8741" spans="8:9" x14ac:dyDescent="0.2">
      <c r="H8741" s="6"/>
      <c r="I8741" s="6"/>
    </row>
    <row r="8742" spans="8:9" x14ac:dyDescent="0.2">
      <c r="H8742" s="6"/>
      <c r="I8742" s="6"/>
    </row>
    <row r="8743" spans="8:9" x14ac:dyDescent="0.2">
      <c r="H8743" s="6"/>
      <c r="I8743" s="6"/>
    </row>
    <row r="8744" spans="8:9" x14ac:dyDescent="0.2">
      <c r="H8744" s="6"/>
      <c r="I8744" s="6"/>
    </row>
    <row r="8745" spans="8:9" x14ac:dyDescent="0.2">
      <c r="H8745" s="6"/>
      <c r="I8745" s="6"/>
    </row>
    <row r="8746" spans="8:9" x14ac:dyDescent="0.2">
      <c r="H8746" s="6"/>
      <c r="I8746" s="6"/>
    </row>
    <row r="8747" spans="8:9" x14ac:dyDescent="0.2">
      <c r="H8747" s="6"/>
      <c r="I8747" s="6"/>
    </row>
    <row r="8748" spans="8:9" x14ac:dyDescent="0.2">
      <c r="H8748" s="6"/>
      <c r="I8748" s="6"/>
    </row>
    <row r="8749" spans="8:9" x14ac:dyDescent="0.2">
      <c r="H8749" s="6"/>
      <c r="I8749" s="6"/>
    </row>
    <row r="8750" spans="8:9" x14ac:dyDescent="0.2">
      <c r="H8750" s="6"/>
      <c r="I8750" s="6"/>
    </row>
    <row r="8751" spans="8:9" x14ac:dyDescent="0.2">
      <c r="H8751" s="6"/>
      <c r="I8751" s="6"/>
    </row>
    <row r="8752" spans="8:9" x14ac:dyDescent="0.2">
      <c r="H8752" s="6"/>
      <c r="I8752" s="6"/>
    </row>
    <row r="8753" spans="8:9" x14ac:dyDescent="0.2">
      <c r="H8753" s="6"/>
      <c r="I8753" s="6"/>
    </row>
    <row r="8754" spans="8:9" x14ac:dyDescent="0.2">
      <c r="H8754" s="6"/>
      <c r="I8754" s="6"/>
    </row>
    <row r="8755" spans="8:9" x14ac:dyDescent="0.2">
      <c r="H8755" s="6"/>
      <c r="I8755" s="6"/>
    </row>
    <row r="8756" spans="8:9" x14ac:dyDescent="0.2">
      <c r="H8756" s="6"/>
      <c r="I8756" s="6"/>
    </row>
    <row r="8757" spans="8:9" x14ac:dyDescent="0.2">
      <c r="H8757" s="6"/>
      <c r="I8757" s="6"/>
    </row>
    <row r="8758" spans="8:9" x14ac:dyDescent="0.2">
      <c r="H8758" s="6"/>
      <c r="I8758" s="6"/>
    </row>
    <row r="8759" spans="8:9" x14ac:dyDescent="0.2">
      <c r="H8759" s="6"/>
      <c r="I8759" s="6"/>
    </row>
    <row r="8760" spans="8:9" x14ac:dyDescent="0.2">
      <c r="H8760" s="6"/>
      <c r="I8760" s="6"/>
    </row>
    <row r="8761" spans="8:9" x14ac:dyDescent="0.2">
      <c r="H8761" s="6"/>
      <c r="I8761" s="6"/>
    </row>
    <row r="8762" spans="8:9" x14ac:dyDescent="0.2">
      <c r="H8762" s="6"/>
      <c r="I8762" s="6"/>
    </row>
    <row r="8763" spans="8:9" x14ac:dyDescent="0.2">
      <c r="H8763" s="6"/>
      <c r="I8763" s="6"/>
    </row>
    <row r="8764" spans="8:9" x14ac:dyDescent="0.2">
      <c r="H8764" s="6"/>
      <c r="I8764" s="6"/>
    </row>
    <row r="8765" spans="8:9" x14ac:dyDescent="0.2">
      <c r="H8765" s="6"/>
      <c r="I8765" s="6"/>
    </row>
    <row r="8766" spans="8:9" x14ac:dyDescent="0.2">
      <c r="H8766" s="6"/>
      <c r="I8766" s="6"/>
    </row>
    <row r="8767" spans="8:9" x14ac:dyDescent="0.2">
      <c r="H8767" s="6"/>
      <c r="I8767" s="6"/>
    </row>
    <row r="8768" spans="8:9" x14ac:dyDescent="0.2">
      <c r="H8768" s="6"/>
      <c r="I8768" s="6"/>
    </row>
    <row r="8769" spans="8:9" x14ac:dyDescent="0.2">
      <c r="H8769" s="6"/>
      <c r="I8769" s="6"/>
    </row>
    <row r="8770" spans="8:9" x14ac:dyDescent="0.2">
      <c r="H8770" s="6"/>
      <c r="I8770" s="6"/>
    </row>
    <row r="8771" spans="8:9" x14ac:dyDescent="0.2">
      <c r="H8771" s="6"/>
      <c r="I8771" s="6"/>
    </row>
    <row r="8772" spans="8:9" x14ac:dyDescent="0.2">
      <c r="H8772" s="6"/>
      <c r="I8772" s="6"/>
    </row>
    <row r="8773" spans="8:9" x14ac:dyDescent="0.2">
      <c r="H8773" s="6"/>
      <c r="I8773" s="6"/>
    </row>
    <row r="8774" spans="8:9" x14ac:dyDescent="0.2">
      <c r="H8774" s="6"/>
      <c r="I8774" s="6"/>
    </row>
    <row r="8775" spans="8:9" x14ac:dyDescent="0.2">
      <c r="H8775" s="6"/>
      <c r="I8775" s="6"/>
    </row>
    <row r="8776" spans="8:9" x14ac:dyDescent="0.2">
      <c r="H8776" s="6"/>
      <c r="I8776" s="6"/>
    </row>
    <row r="8777" spans="8:9" x14ac:dyDescent="0.2">
      <c r="H8777" s="6"/>
      <c r="I8777" s="6"/>
    </row>
    <row r="8778" spans="8:9" x14ac:dyDescent="0.2">
      <c r="H8778" s="6"/>
      <c r="I8778" s="6"/>
    </row>
    <row r="8779" spans="8:9" x14ac:dyDescent="0.2">
      <c r="H8779" s="6"/>
      <c r="I8779" s="6"/>
    </row>
    <row r="8780" spans="8:9" x14ac:dyDescent="0.2">
      <c r="H8780" s="6"/>
      <c r="I8780" s="6"/>
    </row>
    <row r="8781" spans="8:9" x14ac:dyDescent="0.2">
      <c r="H8781" s="6"/>
      <c r="I8781" s="6"/>
    </row>
    <row r="8782" spans="8:9" x14ac:dyDescent="0.2">
      <c r="H8782" s="6"/>
      <c r="I8782" s="6"/>
    </row>
    <row r="8783" spans="8:9" x14ac:dyDescent="0.2">
      <c r="H8783" s="6"/>
      <c r="I8783" s="6"/>
    </row>
    <row r="8784" spans="8:9" x14ac:dyDescent="0.2">
      <c r="H8784" s="6"/>
      <c r="I8784" s="6"/>
    </row>
    <row r="8785" spans="8:9" x14ac:dyDescent="0.2">
      <c r="H8785" s="6"/>
      <c r="I8785" s="6"/>
    </row>
    <row r="8786" spans="8:9" x14ac:dyDescent="0.2">
      <c r="H8786" s="6"/>
      <c r="I8786" s="6"/>
    </row>
    <row r="8787" spans="8:9" x14ac:dyDescent="0.2">
      <c r="H8787" s="6"/>
      <c r="I8787" s="6"/>
    </row>
    <row r="8788" spans="8:9" x14ac:dyDescent="0.2">
      <c r="H8788" s="6"/>
      <c r="I8788" s="6"/>
    </row>
    <row r="8789" spans="8:9" x14ac:dyDescent="0.2">
      <c r="H8789" s="6"/>
      <c r="I8789" s="6"/>
    </row>
    <row r="8790" spans="8:9" x14ac:dyDescent="0.2">
      <c r="H8790" s="6"/>
      <c r="I8790" s="6"/>
    </row>
    <row r="8791" spans="8:9" x14ac:dyDescent="0.2">
      <c r="H8791" s="6"/>
      <c r="I8791" s="6"/>
    </row>
    <row r="8792" spans="8:9" x14ac:dyDescent="0.2">
      <c r="H8792" s="6"/>
      <c r="I8792" s="6"/>
    </row>
    <row r="8793" spans="8:9" x14ac:dyDescent="0.2">
      <c r="H8793" s="6"/>
      <c r="I8793" s="6"/>
    </row>
    <row r="8794" spans="8:9" x14ac:dyDescent="0.2">
      <c r="H8794" s="6"/>
      <c r="I8794" s="6"/>
    </row>
    <row r="8795" spans="8:9" x14ac:dyDescent="0.2">
      <c r="H8795" s="6"/>
      <c r="I8795" s="6"/>
    </row>
    <row r="8796" spans="8:9" x14ac:dyDescent="0.2">
      <c r="H8796" s="6"/>
      <c r="I8796" s="6"/>
    </row>
    <row r="8797" spans="8:9" x14ac:dyDescent="0.2">
      <c r="H8797" s="6"/>
      <c r="I8797" s="6"/>
    </row>
    <row r="8798" spans="8:9" x14ac:dyDescent="0.2">
      <c r="H8798" s="6"/>
      <c r="I8798" s="6"/>
    </row>
    <row r="8799" spans="8:9" x14ac:dyDescent="0.2">
      <c r="H8799" s="6"/>
      <c r="I8799" s="6"/>
    </row>
    <row r="8800" spans="8:9" x14ac:dyDescent="0.2">
      <c r="H8800" s="6"/>
      <c r="I8800" s="6"/>
    </row>
    <row r="8801" spans="8:9" x14ac:dyDescent="0.2">
      <c r="H8801" s="6"/>
      <c r="I8801" s="6"/>
    </row>
    <row r="8802" spans="8:9" x14ac:dyDescent="0.2">
      <c r="H8802" s="6"/>
      <c r="I8802" s="6"/>
    </row>
    <row r="8803" spans="8:9" x14ac:dyDescent="0.2">
      <c r="H8803" s="6"/>
      <c r="I8803" s="6"/>
    </row>
    <row r="8804" spans="8:9" x14ac:dyDescent="0.2">
      <c r="H8804" s="6"/>
      <c r="I8804" s="6"/>
    </row>
    <row r="8805" spans="8:9" x14ac:dyDescent="0.2">
      <c r="H8805" s="6"/>
      <c r="I8805" s="6"/>
    </row>
    <row r="8806" spans="8:9" x14ac:dyDescent="0.2">
      <c r="H8806" s="6"/>
      <c r="I8806" s="6"/>
    </row>
    <row r="8807" spans="8:9" x14ac:dyDescent="0.2">
      <c r="H8807" s="6"/>
      <c r="I8807" s="6"/>
    </row>
    <row r="8808" spans="8:9" x14ac:dyDescent="0.2">
      <c r="H8808" s="6"/>
      <c r="I8808" s="6"/>
    </row>
    <row r="8809" spans="8:9" x14ac:dyDescent="0.2">
      <c r="H8809" s="6"/>
      <c r="I8809" s="6"/>
    </row>
    <row r="8810" spans="8:9" x14ac:dyDescent="0.2">
      <c r="H8810" s="6"/>
      <c r="I8810" s="6"/>
    </row>
    <row r="8811" spans="8:9" x14ac:dyDescent="0.2">
      <c r="H8811" s="6"/>
      <c r="I8811" s="6"/>
    </row>
    <row r="8812" spans="8:9" x14ac:dyDescent="0.2">
      <c r="H8812" s="6"/>
      <c r="I8812" s="6"/>
    </row>
    <row r="8813" spans="8:9" x14ac:dyDescent="0.2">
      <c r="H8813" s="6"/>
      <c r="I8813" s="6"/>
    </row>
    <row r="8814" spans="8:9" x14ac:dyDescent="0.2">
      <c r="H8814" s="6"/>
      <c r="I8814" s="6"/>
    </row>
    <row r="8815" spans="8:9" x14ac:dyDescent="0.2">
      <c r="H8815" s="6"/>
      <c r="I8815" s="6"/>
    </row>
    <row r="8816" spans="8:9" x14ac:dyDescent="0.2">
      <c r="H8816" s="6"/>
      <c r="I8816" s="6"/>
    </row>
    <row r="8817" spans="8:9" x14ac:dyDescent="0.2">
      <c r="H8817" s="6"/>
      <c r="I8817" s="6"/>
    </row>
    <row r="8818" spans="8:9" x14ac:dyDescent="0.2">
      <c r="H8818" s="6"/>
      <c r="I8818" s="6"/>
    </row>
    <row r="8819" spans="8:9" x14ac:dyDescent="0.2">
      <c r="H8819" s="6"/>
      <c r="I8819" s="6"/>
    </row>
    <row r="8820" spans="8:9" x14ac:dyDescent="0.2">
      <c r="H8820" s="6"/>
      <c r="I8820" s="6"/>
    </row>
    <row r="8821" spans="8:9" x14ac:dyDescent="0.2">
      <c r="H8821" s="6"/>
      <c r="I8821" s="6"/>
    </row>
    <row r="8822" spans="8:9" x14ac:dyDescent="0.2">
      <c r="H8822" s="6"/>
      <c r="I8822" s="6"/>
    </row>
    <row r="8823" spans="8:9" x14ac:dyDescent="0.2">
      <c r="H8823" s="6"/>
      <c r="I8823" s="6"/>
    </row>
    <row r="8824" spans="8:9" x14ac:dyDescent="0.2">
      <c r="H8824" s="6"/>
      <c r="I8824" s="6"/>
    </row>
    <row r="8825" spans="8:9" x14ac:dyDescent="0.2">
      <c r="H8825" s="6"/>
      <c r="I8825" s="6"/>
    </row>
    <row r="8826" spans="8:9" x14ac:dyDescent="0.2">
      <c r="H8826" s="6"/>
      <c r="I8826" s="6"/>
    </row>
    <row r="8827" spans="8:9" x14ac:dyDescent="0.2">
      <c r="H8827" s="6"/>
      <c r="I8827" s="6"/>
    </row>
    <row r="8828" spans="8:9" x14ac:dyDescent="0.2">
      <c r="H8828" s="6"/>
      <c r="I8828" s="6"/>
    </row>
    <row r="8829" spans="8:9" x14ac:dyDescent="0.2">
      <c r="H8829" s="6"/>
      <c r="I8829" s="6"/>
    </row>
    <row r="8830" spans="8:9" x14ac:dyDescent="0.2">
      <c r="H8830" s="6"/>
      <c r="I8830" s="6"/>
    </row>
    <row r="8831" spans="8:9" x14ac:dyDescent="0.2">
      <c r="H8831" s="6"/>
      <c r="I8831" s="6"/>
    </row>
    <row r="8832" spans="8:9" x14ac:dyDescent="0.2">
      <c r="H8832" s="6"/>
      <c r="I8832" s="6"/>
    </row>
    <row r="8833" spans="8:9" x14ac:dyDescent="0.2">
      <c r="H8833" s="6"/>
      <c r="I8833" s="6"/>
    </row>
    <row r="8834" spans="8:9" x14ac:dyDescent="0.2">
      <c r="H8834" s="6"/>
      <c r="I8834" s="6"/>
    </row>
    <row r="8835" spans="8:9" x14ac:dyDescent="0.2">
      <c r="H8835" s="6"/>
      <c r="I8835" s="6"/>
    </row>
    <row r="8836" spans="8:9" x14ac:dyDescent="0.2">
      <c r="H8836" s="6"/>
      <c r="I8836" s="6"/>
    </row>
    <row r="8837" spans="8:9" x14ac:dyDescent="0.2">
      <c r="H8837" s="6"/>
      <c r="I8837" s="6"/>
    </row>
    <row r="8838" spans="8:9" x14ac:dyDescent="0.2">
      <c r="H8838" s="6"/>
      <c r="I8838" s="6"/>
    </row>
    <row r="8839" spans="8:9" x14ac:dyDescent="0.2">
      <c r="H8839" s="6"/>
      <c r="I8839" s="6"/>
    </row>
    <row r="8840" spans="8:9" x14ac:dyDescent="0.2">
      <c r="H8840" s="6"/>
      <c r="I8840" s="6"/>
    </row>
    <row r="8841" spans="8:9" x14ac:dyDescent="0.2">
      <c r="H8841" s="6"/>
      <c r="I8841" s="6"/>
    </row>
    <row r="8842" spans="8:9" x14ac:dyDescent="0.2">
      <c r="H8842" s="6"/>
      <c r="I8842" s="6"/>
    </row>
    <row r="8843" spans="8:9" x14ac:dyDescent="0.2">
      <c r="H8843" s="6"/>
      <c r="I8843" s="6"/>
    </row>
    <row r="8844" spans="8:9" x14ac:dyDescent="0.2">
      <c r="H8844" s="6"/>
      <c r="I8844" s="6"/>
    </row>
    <row r="8845" spans="8:9" x14ac:dyDescent="0.2">
      <c r="H8845" s="6"/>
      <c r="I8845" s="6"/>
    </row>
    <row r="8846" spans="8:9" x14ac:dyDescent="0.2">
      <c r="H8846" s="6"/>
      <c r="I8846" s="6"/>
    </row>
    <row r="8847" spans="8:9" x14ac:dyDescent="0.2">
      <c r="H8847" s="6"/>
      <c r="I8847" s="6"/>
    </row>
    <row r="8848" spans="8:9" x14ac:dyDescent="0.2">
      <c r="H8848" s="6"/>
      <c r="I8848" s="6"/>
    </row>
    <row r="8849" spans="8:9" x14ac:dyDescent="0.2">
      <c r="H8849" s="6"/>
      <c r="I8849" s="6"/>
    </row>
    <row r="8850" spans="8:9" x14ac:dyDescent="0.2">
      <c r="H8850" s="6"/>
      <c r="I8850" s="6"/>
    </row>
    <row r="8851" spans="8:9" x14ac:dyDescent="0.2">
      <c r="H8851" s="6"/>
      <c r="I8851" s="6"/>
    </row>
    <row r="8852" spans="8:9" x14ac:dyDescent="0.2">
      <c r="H8852" s="6"/>
      <c r="I8852" s="6"/>
    </row>
    <row r="8853" spans="8:9" x14ac:dyDescent="0.2">
      <c r="H8853" s="6"/>
      <c r="I8853" s="6"/>
    </row>
    <row r="8854" spans="8:9" x14ac:dyDescent="0.2">
      <c r="H8854" s="6"/>
      <c r="I8854" s="6"/>
    </row>
    <row r="8855" spans="8:9" x14ac:dyDescent="0.2">
      <c r="H8855" s="6"/>
      <c r="I8855" s="6"/>
    </row>
    <row r="8856" spans="8:9" x14ac:dyDescent="0.2">
      <c r="H8856" s="6"/>
      <c r="I8856" s="6"/>
    </row>
    <row r="8857" spans="8:9" x14ac:dyDescent="0.2">
      <c r="H8857" s="6"/>
      <c r="I8857" s="6"/>
    </row>
    <row r="8858" spans="8:9" x14ac:dyDescent="0.2">
      <c r="H8858" s="6"/>
      <c r="I8858" s="6"/>
    </row>
    <row r="8859" spans="8:9" x14ac:dyDescent="0.2">
      <c r="H8859" s="6"/>
      <c r="I8859" s="6"/>
    </row>
    <row r="8860" spans="8:9" x14ac:dyDescent="0.2">
      <c r="H8860" s="6"/>
      <c r="I8860" s="6"/>
    </row>
    <row r="8861" spans="8:9" x14ac:dyDescent="0.2">
      <c r="H8861" s="6"/>
      <c r="I8861" s="6"/>
    </row>
    <row r="8862" spans="8:9" x14ac:dyDescent="0.2">
      <c r="H8862" s="6"/>
      <c r="I8862" s="6"/>
    </row>
    <row r="8863" spans="8:9" x14ac:dyDescent="0.2">
      <c r="H8863" s="6"/>
      <c r="I8863" s="6"/>
    </row>
    <row r="8864" spans="8:9" x14ac:dyDescent="0.2">
      <c r="H8864" s="6"/>
      <c r="I8864" s="6"/>
    </row>
    <row r="8865" spans="8:9" x14ac:dyDescent="0.2">
      <c r="H8865" s="6"/>
      <c r="I8865" s="6"/>
    </row>
    <row r="8866" spans="8:9" x14ac:dyDescent="0.2">
      <c r="H8866" s="6"/>
      <c r="I8866" s="6"/>
    </row>
    <row r="8867" spans="8:9" x14ac:dyDescent="0.2">
      <c r="H8867" s="6"/>
      <c r="I8867" s="6"/>
    </row>
    <row r="8868" spans="8:9" x14ac:dyDescent="0.2">
      <c r="H8868" s="6"/>
      <c r="I8868" s="6"/>
    </row>
    <row r="8869" spans="8:9" x14ac:dyDescent="0.2">
      <c r="H8869" s="6"/>
      <c r="I8869" s="6"/>
    </row>
    <row r="8870" spans="8:9" x14ac:dyDescent="0.2">
      <c r="H8870" s="6"/>
      <c r="I8870" s="6"/>
    </row>
    <row r="8871" spans="8:9" x14ac:dyDescent="0.2">
      <c r="H8871" s="6"/>
      <c r="I8871" s="6"/>
    </row>
    <row r="8872" spans="8:9" x14ac:dyDescent="0.2">
      <c r="H8872" s="6"/>
      <c r="I8872" s="6"/>
    </row>
    <row r="8873" spans="8:9" x14ac:dyDescent="0.2">
      <c r="H8873" s="6"/>
      <c r="I8873" s="6"/>
    </row>
    <row r="8874" spans="8:9" x14ac:dyDescent="0.2">
      <c r="H8874" s="6"/>
      <c r="I8874" s="6"/>
    </row>
    <row r="8875" spans="8:9" x14ac:dyDescent="0.2">
      <c r="H8875" s="6"/>
      <c r="I8875" s="6"/>
    </row>
    <row r="8876" spans="8:9" x14ac:dyDescent="0.2">
      <c r="H8876" s="6"/>
      <c r="I8876" s="6"/>
    </row>
    <row r="8877" spans="8:9" x14ac:dyDescent="0.2">
      <c r="H8877" s="6"/>
      <c r="I8877" s="6"/>
    </row>
    <row r="8878" spans="8:9" x14ac:dyDescent="0.2">
      <c r="H8878" s="6"/>
      <c r="I8878" s="6"/>
    </row>
    <row r="8879" spans="8:9" x14ac:dyDescent="0.2">
      <c r="H8879" s="6"/>
      <c r="I8879" s="6"/>
    </row>
    <row r="8880" spans="8:9" x14ac:dyDescent="0.2">
      <c r="H8880" s="6"/>
      <c r="I8880" s="6"/>
    </row>
    <row r="8881" spans="8:9" x14ac:dyDescent="0.2">
      <c r="H8881" s="6"/>
      <c r="I8881" s="6"/>
    </row>
    <row r="8882" spans="8:9" x14ac:dyDescent="0.2">
      <c r="H8882" s="6"/>
      <c r="I8882" s="6"/>
    </row>
    <row r="8883" spans="8:9" x14ac:dyDescent="0.2">
      <c r="H8883" s="6"/>
      <c r="I8883" s="6"/>
    </row>
    <row r="8884" spans="8:9" x14ac:dyDescent="0.2">
      <c r="H8884" s="6"/>
      <c r="I8884" s="6"/>
    </row>
    <row r="8885" spans="8:9" x14ac:dyDescent="0.2">
      <c r="H8885" s="6"/>
      <c r="I8885" s="6"/>
    </row>
    <row r="8886" spans="8:9" x14ac:dyDescent="0.2">
      <c r="H8886" s="6"/>
      <c r="I8886" s="6"/>
    </row>
    <row r="8887" spans="8:9" x14ac:dyDescent="0.2">
      <c r="H8887" s="6"/>
      <c r="I8887" s="6"/>
    </row>
    <row r="8888" spans="8:9" x14ac:dyDescent="0.2">
      <c r="H8888" s="6"/>
      <c r="I8888" s="6"/>
    </row>
    <row r="8889" spans="8:9" x14ac:dyDescent="0.2">
      <c r="H8889" s="6"/>
      <c r="I8889" s="6"/>
    </row>
    <row r="8890" spans="8:9" x14ac:dyDescent="0.2">
      <c r="H8890" s="6"/>
      <c r="I8890" s="6"/>
    </row>
    <row r="8891" spans="8:9" x14ac:dyDescent="0.2">
      <c r="H8891" s="6"/>
      <c r="I8891" s="6"/>
    </row>
    <row r="8892" spans="8:9" x14ac:dyDescent="0.2">
      <c r="H8892" s="6"/>
      <c r="I8892" s="6"/>
    </row>
    <row r="8893" spans="8:9" x14ac:dyDescent="0.2">
      <c r="H8893" s="6"/>
      <c r="I8893" s="6"/>
    </row>
    <row r="8894" spans="8:9" x14ac:dyDescent="0.2">
      <c r="H8894" s="6"/>
      <c r="I8894" s="6"/>
    </row>
    <row r="8895" spans="8:9" x14ac:dyDescent="0.2">
      <c r="H8895" s="6"/>
      <c r="I8895" s="6"/>
    </row>
    <row r="8896" spans="8:9" x14ac:dyDescent="0.2">
      <c r="H8896" s="6"/>
      <c r="I8896" s="6"/>
    </row>
    <row r="8897" spans="8:9" x14ac:dyDescent="0.2">
      <c r="H8897" s="6"/>
      <c r="I8897" s="6"/>
    </row>
    <row r="8898" spans="8:9" x14ac:dyDescent="0.2">
      <c r="H8898" s="6"/>
      <c r="I8898" s="6"/>
    </row>
    <row r="8899" spans="8:9" x14ac:dyDescent="0.2">
      <c r="H8899" s="6"/>
      <c r="I8899" s="6"/>
    </row>
    <row r="8900" spans="8:9" x14ac:dyDescent="0.2">
      <c r="H8900" s="6"/>
      <c r="I8900" s="6"/>
    </row>
    <row r="8901" spans="8:9" x14ac:dyDescent="0.2">
      <c r="H8901" s="6"/>
      <c r="I8901" s="6"/>
    </row>
    <row r="8902" spans="8:9" x14ac:dyDescent="0.2">
      <c r="H8902" s="6"/>
      <c r="I8902" s="6"/>
    </row>
    <row r="8903" spans="8:9" x14ac:dyDescent="0.2">
      <c r="H8903" s="6"/>
      <c r="I8903" s="6"/>
    </row>
    <row r="8904" spans="8:9" x14ac:dyDescent="0.2">
      <c r="H8904" s="6"/>
      <c r="I8904" s="6"/>
    </row>
    <row r="8905" spans="8:9" x14ac:dyDescent="0.2">
      <c r="H8905" s="6"/>
      <c r="I8905" s="6"/>
    </row>
    <row r="8906" spans="8:9" x14ac:dyDescent="0.2">
      <c r="H8906" s="6"/>
      <c r="I8906" s="6"/>
    </row>
    <row r="8907" spans="8:9" x14ac:dyDescent="0.2">
      <c r="H8907" s="6"/>
      <c r="I8907" s="6"/>
    </row>
    <row r="8908" spans="8:9" x14ac:dyDescent="0.2">
      <c r="H8908" s="6"/>
      <c r="I8908" s="6"/>
    </row>
    <row r="8909" spans="8:9" x14ac:dyDescent="0.2">
      <c r="H8909" s="6"/>
      <c r="I8909" s="6"/>
    </row>
    <row r="8910" spans="8:9" x14ac:dyDescent="0.2">
      <c r="H8910" s="6"/>
      <c r="I8910" s="6"/>
    </row>
    <row r="8911" spans="8:9" x14ac:dyDescent="0.2">
      <c r="H8911" s="6"/>
      <c r="I8911" s="6"/>
    </row>
    <row r="8912" spans="8:9" x14ac:dyDescent="0.2">
      <c r="H8912" s="6"/>
      <c r="I8912" s="6"/>
    </row>
    <row r="8913" spans="8:9" x14ac:dyDescent="0.2">
      <c r="H8913" s="6"/>
      <c r="I8913" s="6"/>
    </row>
    <row r="8914" spans="8:9" x14ac:dyDescent="0.2">
      <c r="H8914" s="6"/>
      <c r="I8914" s="6"/>
    </row>
    <row r="8915" spans="8:9" x14ac:dyDescent="0.2">
      <c r="H8915" s="6"/>
      <c r="I8915" s="6"/>
    </row>
    <row r="8916" spans="8:9" x14ac:dyDescent="0.2">
      <c r="H8916" s="6"/>
      <c r="I8916" s="6"/>
    </row>
    <row r="8917" spans="8:9" x14ac:dyDescent="0.2">
      <c r="H8917" s="6"/>
      <c r="I8917" s="6"/>
    </row>
    <row r="8918" spans="8:9" x14ac:dyDescent="0.2">
      <c r="H8918" s="6"/>
      <c r="I8918" s="6"/>
    </row>
    <row r="8919" spans="8:9" x14ac:dyDescent="0.2">
      <c r="H8919" s="6"/>
      <c r="I8919" s="6"/>
    </row>
    <row r="8920" spans="8:9" x14ac:dyDescent="0.2">
      <c r="H8920" s="6"/>
      <c r="I8920" s="6"/>
    </row>
    <row r="8921" spans="8:9" x14ac:dyDescent="0.2">
      <c r="H8921" s="6"/>
      <c r="I8921" s="6"/>
    </row>
    <row r="8922" spans="8:9" x14ac:dyDescent="0.2">
      <c r="H8922" s="6"/>
      <c r="I8922" s="6"/>
    </row>
    <row r="8923" spans="8:9" x14ac:dyDescent="0.2">
      <c r="H8923" s="6"/>
      <c r="I8923" s="6"/>
    </row>
    <row r="8924" spans="8:9" x14ac:dyDescent="0.2">
      <c r="H8924" s="6"/>
      <c r="I8924" s="6"/>
    </row>
    <row r="8925" spans="8:9" x14ac:dyDescent="0.2">
      <c r="H8925" s="6"/>
      <c r="I8925" s="6"/>
    </row>
    <row r="8926" spans="8:9" x14ac:dyDescent="0.2">
      <c r="H8926" s="6"/>
      <c r="I8926" s="6"/>
    </row>
    <row r="8927" spans="8:9" x14ac:dyDescent="0.2">
      <c r="H8927" s="6"/>
    </row>
    <row r="8928" spans="8:9" x14ac:dyDescent="0.2">
      <c r="H8928" s="6"/>
      <c r="I8928" s="6"/>
    </row>
    <row r="8929" spans="8:9" x14ac:dyDescent="0.2">
      <c r="H8929" s="6"/>
      <c r="I8929" s="6"/>
    </row>
    <row r="8930" spans="8:9" x14ac:dyDescent="0.2">
      <c r="H8930" s="6"/>
      <c r="I8930" s="6"/>
    </row>
    <row r="8931" spans="8:9" x14ac:dyDescent="0.2">
      <c r="H8931" s="6"/>
      <c r="I8931" s="6"/>
    </row>
    <row r="8932" spans="8:9" x14ac:dyDescent="0.2">
      <c r="H8932" s="6"/>
      <c r="I8932" s="6"/>
    </row>
    <row r="8933" spans="8:9" x14ac:dyDescent="0.2">
      <c r="H8933" s="6"/>
      <c r="I8933" s="6"/>
    </row>
    <row r="8934" spans="8:9" x14ac:dyDescent="0.2">
      <c r="H8934" s="6"/>
      <c r="I8934" s="6"/>
    </row>
    <row r="8935" spans="8:9" x14ac:dyDescent="0.2">
      <c r="H8935" s="6"/>
      <c r="I8935" s="6"/>
    </row>
    <row r="8936" spans="8:9" x14ac:dyDescent="0.2">
      <c r="H8936" s="6"/>
      <c r="I8936" s="6"/>
    </row>
    <row r="8937" spans="8:9" x14ac:dyDescent="0.2">
      <c r="H8937" s="6"/>
      <c r="I8937" s="6"/>
    </row>
    <row r="8938" spans="8:9" x14ac:dyDescent="0.2">
      <c r="H8938" s="6"/>
      <c r="I8938" s="6"/>
    </row>
    <row r="8939" spans="8:9" x14ac:dyDescent="0.2">
      <c r="H8939" s="6"/>
      <c r="I8939" s="6"/>
    </row>
    <row r="8940" spans="8:9" x14ac:dyDescent="0.2">
      <c r="H8940" s="6"/>
      <c r="I8940" s="6"/>
    </row>
    <row r="8941" spans="8:9" x14ac:dyDescent="0.2">
      <c r="H8941" s="6"/>
      <c r="I8941" s="6"/>
    </row>
    <row r="8942" spans="8:9" x14ac:dyDescent="0.2">
      <c r="H8942" s="6"/>
      <c r="I8942" s="6"/>
    </row>
    <row r="8943" spans="8:9" x14ac:dyDescent="0.2">
      <c r="H8943" s="6"/>
      <c r="I8943" s="6"/>
    </row>
    <row r="8944" spans="8:9" x14ac:dyDescent="0.2">
      <c r="H8944" s="6"/>
      <c r="I8944" s="6"/>
    </row>
    <row r="8945" spans="8:9" x14ac:dyDescent="0.2">
      <c r="H8945" s="6"/>
      <c r="I8945" s="6"/>
    </row>
    <row r="8946" spans="8:9" x14ac:dyDescent="0.2">
      <c r="H8946" s="6"/>
      <c r="I8946" s="6"/>
    </row>
    <row r="8947" spans="8:9" x14ac:dyDescent="0.2">
      <c r="H8947" s="6"/>
      <c r="I8947" s="6"/>
    </row>
    <row r="8948" spans="8:9" x14ac:dyDescent="0.2">
      <c r="H8948" s="6"/>
      <c r="I8948" s="6"/>
    </row>
    <row r="8949" spans="8:9" x14ac:dyDescent="0.2">
      <c r="H8949" s="6"/>
      <c r="I8949" s="6"/>
    </row>
    <row r="8950" spans="8:9" x14ac:dyDescent="0.2">
      <c r="H8950" s="6"/>
      <c r="I8950" s="6"/>
    </row>
    <row r="8951" spans="8:9" x14ac:dyDescent="0.2">
      <c r="H8951" s="6"/>
      <c r="I8951" s="6"/>
    </row>
    <row r="8952" spans="8:9" x14ac:dyDescent="0.2">
      <c r="H8952" s="6"/>
      <c r="I8952" s="6"/>
    </row>
    <row r="8953" spans="8:9" x14ac:dyDescent="0.2">
      <c r="H8953" s="6"/>
      <c r="I8953" s="6"/>
    </row>
    <row r="8954" spans="8:9" x14ac:dyDescent="0.2">
      <c r="H8954" s="6"/>
      <c r="I8954" s="6"/>
    </row>
    <row r="8955" spans="8:9" x14ac:dyDescent="0.2">
      <c r="H8955" s="6"/>
      <c r="I8955" s="6"/>
    </row>
    <row r="8956" spans="8:9" x14ac:dyDescent="0.2">
      <c r="H8956" s="6"/>
      <c r="I8956" s="6"/>
    </row>
    <row r="8957" spans="8:9" x14ac:dyDescent="0.2">
      <c r="H8957" s="6"/>
      <c r="I8957" s="6"/>
    </row>
    <row r="8958" spans="8:9" x14ac:dyDescent="0.2">
      <c r="H8958" s="6"/>
      <c r="I8958" s="6"/>
    </row>
    <row r="8959" spans="8:9" x14ac:dyDescent="0.2">
      <c r="H8959" s="6"/>
      <c r="I8959" s="6"/>
    </row>
    <row r="8960" spans="8:9" x14ac:dyDescent="0.2">
      <c r="H8960" s="6"/>
      <c r="I8960" s="6"/>
    </row>
    <row r="8961" spans="8:9" x14ac:dyDescent="0.2">
      <c r="H8961" s="6"/>
      <c r="I8961" s="6"/>
    </row>
    <row r="8962" spans="8:9" x14ac:dyDescent="0.2">
      <c r="H8962" s="6"/>
      <c r="I8962" s="6"/>
    </row>
    <row r="8963" spans="8:9" x14ac:dyDescent="0.2">
      <c r="H8963" s="6"/>
      <c r="I8963" s="6"/>
    </row>
    <row r="8964" spans="8:9" x14ac:dyDescent="0.2">
      <c r="H8964" s="6"/>
      <c r="I8964" s="6"/>
    </row>
    <row r="8965" spans="8:9" x14ac:dyDescent="0.2">
      <c r="H8965" s="6"/>
      <c r="I8965" s="6"/>
    </row>
    <row r="8966" spans="8:9" x14ac:dyDescent="0.2">
      <c r="H8966" s="6"/>
      <c r="I8966" s="6"/>
    </row>
    <row r="8967" spans="8:9" x14ac:dyDescent="0.2">
      <c r="H8967" s="6"/>
      <c r="I8967" s="6"/>
    </row>
    <row r="8968" spans="8:9" x14ac:dyDescent="0.2">
      <c r="H8968" s="6"/>
      <c r="I8968" s="6"/>
    </row>
    <row r="8969" spans="8:9" x14ac:dyDescent="0.2">
      <c r="H8969" s="6"/>
      <c r="I8969" s="6"/>
    </row>
    <row r="8970" spans="8:9" x14ac:dyDescent="0.2">
      <c r="H8970" s="6"/>
    </row>
    <row r="8971" spans="8:9" x14ac:dyDescent="0.2">
      <c r="H8971" s="6"/>
      <c r="I8971" s="6"/>
    </row>
    <row r="8972" spans="8:9" x14ac:dyDescent="0.2">
      <c r="H8972" s="6"/>
      <c r="I8972" s="6"/>
    </row>
    <row r="8973" spans="8:9" x14ac:dyDescent="0.2">
      <c r="H8973" s="6"/>
      <c r="I8973" s="6"/>
    </row>
    <row r="8974" spans="8:9" x14ac:dyDescent="0.2">
      <c r="H8974" s="6"/>
      <c r="I8974" s="6"/>
    </row>
    <row r="8975" spans="8:9" x14ac:dyDescent="0.2">
      <c r="H8975" s="6"/>
      <c r="I8975" s="6"/>
    </row>
    <row r="8976" spans="8:9" x14ac:dyDescent="0.2">
      <c r="H8976" s="6"/>
      <c r="I8976" s="6"/>
    </row>
    <row r="8977" spans="8:9" x14ac:dyDescent="0.2">
      <c r="H8977" s="6"/>
      <c r="I8977" s="6"/>
    </row>
    <row r="8978" spans="8:9" x14ac:dyDescent="0.2">
      <c r="H8978" s="6"/>
      <c r="I8978" s="6"/>
    </row>
    <row r="8979" spans="8:9" x14ac:dyDescent="0.2">
      <c r="H8979" s="6"/>
      <c r="I8979" s="6"/>
    </row>
    <row r="8980" spans="8:9" x14ac:dyDescent="0.2">
      <c r="H8980" s="6"/>
      <c r="I8980" s="6"/>
    </row>
    <row r="8981" spans="8:9" x14ac:dyDescent="0.2">
      <c r="H8981" s="6"/>
      <c r="I8981" s="6"/>
    </row>
    <row r="8982" spans="8:9" x14ac:dyDescent="0.2">
      <c r="H8982" s="6"/>
      <c r="I8982" s="6"/>
    </row>
    <row r="8983" spans="8:9" x14ac:dyDescent="0.2">
      <c r="H8983" s="6"/>
      <c r="I8983" s="6"/>
    </row>
    <row r="8984" spans="8:9" x14ac:dyDescent="0.2">
      <c r="H8984" s="6"/>
      <c r="I8984" s="6"/>
    </row>
    <row r="8985" spans="8:9" x14ac:dyDescent="0.2">
      <c r="H8985" s="6"/>
      <c r="I8985" s="6"/>
    </row>
    <row r="8986" spans="8:9" x14ac:dyDescent="0.2">
      <c r="H8986" s="6"/>
      <c r="I8986" s="6"/>
    </row>
    <row r="8987" spans="8:9" x14ac:dyDescent="0.2">
      <c r="H8987" s="6"/>
      <c r="I8987" s="6"/>
    </row>
    <row r="8988" spans="8:9" x14ac:dyDescent="0.2">
      <c r="H8988" s="6"/>
      <c r="I8988" s="6"/>
    </row>
    <row r="8989" spans="8:9" x14ac:dyDescent="0.2">
      <c r="H8989" s="6"/>
      <c r="I8989" s="6"/>
    </row>
    <row r="8990" spans="8:9" x14ac:dyDescent="0.2">
      <c r="H8990" s="6"/>
      <c r="I8990" s="6"/>
    </row>
    <row r="8991" spans="8:9" x14ac:dyDescent="0.2">
      <c r="H8991" s="6"/>
      <c r="I8991" s="6"/>
    </row>
    <row r="8992" spans="8:9" x14ac:dyDescent="0.2">
      <c r="H8992" s="6"/>
      <c r="I8992" s="6"/>
    </row>
    <row r="8993" spans="8:9" x14ac:dyDescent="0.2">
      <c r="H8993" s="6"/>
      <c r="I8993" s="6"/>
    </row>
    <row r="8994" spans="8:9" x14ac:dyDescent="0.2">
      <c r="H8994" s="6"/>
      <c r="I8994" s="6"/>
    </row>
    <row r="8995" spans="8:9" x14ac:dyDescent="0.2">
      <c r="H8995" s="6"/>
      <c r="I8995" s="6"/>
    </row>
    <row r="8996" spans="8:9" x14ac:dyDescent="0.2">
      <c r="H8996" s="6"/>
      <c r="I8996" s="6"/>
    </row>
    <row r="8997" spans="8:9" x14ac:dyDescent="0.2">
      <c r="H8997" s="6"/>
      <c r="I8997" s="6"/>
    </row>
    <row r="8998" spans="8:9" x14ac:dyDescent="0.2">
      <c r="H8998" s="6"/>
      <c r="I8998" s="6"/>
    </row>
    <row r="8999" spans="8:9" x14ac:dyDescent="0.2">
      <c r="H8999" s="6"/>
      <c r="I8999" s="6"/>
    </row>
    <row r="9000" spans="8:9" x14ac:dyDescent="0.2">
      <c r="H9000" s="6"/>
      <c r="I9000" s="6"/>
    </row>
    <row r="9001" spans="8:9" x14ac:dyDescent="0.2">
      <c r="H9001" s="6"/>
      <c r="I9001" s="6"/>
    </row>
    <row r="9002" spans="8:9" x14ac:dyDescent="0.2">
      <c r="H9002" s="6"/>
      <c r="I9002" s="6"/>
    </row>
    <row r="9003" spans="8:9" x14ac:dyDescent="0.2">
      <c r="H9003" s="6"/>
      <c r="I9003" s="6"/>
    </row>
    <row r="9004" spans="8:9" x14ac:dyDescent="0.2">
      <c r="H9004" s="6"/>
      <c r="I9004" s="6"/>
    </row>
    <row r="9005" spans="8:9" x14ac:dyDescent="0.2">
      <c r="H9005" s="6"/>
      <c r="I9005" s="6"/>
    </row>
    <row r="9006" spans="8:9" x14ac:dyDescent="0.2">
      <c r="H9006" s="6"/>
      <c r="I9006" s="6"/>
    </row>
    <row r="9007" spans="8:9" x14ac:dyDescent="0.2">
      <c r="H9007" s="6"/>
      <c r="I9007" s="6"/>
    </row>
    <row r="9008" spans="8:9" x14ac:dyDescent="0.2">
      <c r="H9008" s="6"/>
      <c r="I9008" s="6"/>
    </row>
    <row r="9009" spans="8:9" x14ac:dyDescent="0.2">
      <c r="H9009" s="6"/>
      <c r="I9009" s="6"/>
    </row>
    <row r="9010" spans="8:9" x14ac:dyDescent="0.2">
      <c r="H9010" s="6"/>
      <c r="I9010" s="6"/>
    </row>
    <row r="9011" spans="8:9" x14ac:dyDescent="0.2">
      <c r="H9011" s="6"/>
      <c r="I9011" s="6"/>
    </row>
    <row r="9012" spans="8:9" x14ac:dyDescent="0.2">
      <c r="H9012" s="6"/>
      <c r="I9012" s="6"/>
    </row>
    <row r="9013" spans="8:9" x14ac:dyDescent="0.2">
      <c r="H9013" s="6"/>
      <c r="I9013" s="6"/>
    </row>
    <row r="9014" spans="8:9" x14ac:dyDescent="0.2">
      <c r="H9014" s="6"/>
      <c r="I9014" s="6"/>
    </row>
    <row r="9015" spans="8:9" x14ac:dyDescent="0.2">
      <c r="H9015" s="6"/>
      <c r="I9015" s="6"/>
    </row>
    <row r="9016" spans="8:9" x14ac:dyDescent="0.2">
      <c r="H9016" s="6"/>
      <c r="I9016" s="6"/>
    </row>
    <row r="9017" spans="8:9" x14ac:dyDescent="0.2">
      <c r="H9017" s="6"/>
      <c r="I9017" s="6"/>
    </row>
    <row r="9018" spans="8:9" x14ac:dyDescent="0.2">
      <c r="H9018" s="6"/>
      <c r="I9018" s="6"/>
    </row>
    <row r="9019" spans="8:9" x14ac:dyDescent="0.2">
      <c r="H9019" s="6"/>
      <c r="I9019" s="6"/>
    </row>
    <row r="9020" spans="8:9" x14ac:dyDescent="0.2">
      <c r="H9020" s="6"/>
      <c r="I9020" s="6"/>
    </row>
    <row r="9021" spans="8:9" x14ac:dyDescent="0.2">
      <c r="H9021" s="6"/>
      <c r="I9021" s="6"/>
    </row>
    <row r="9022" spans="8:9" x14ac:dyDescent="0.2">
      <c r="H9022" s="6"/>
      <c r="I9022" s="6"/>
    </row>
    <row r="9023" spans="8:9" x14ac:dyDescent="0.2">
      <c r="H9023" s="6"/>
      <c r="I9023" s="6"/>
    </row>
    <row r="9024" spans="8:9" x14ac:dyDescent="0.2">
      <c r="H9024" s="6"/>
      <c r="I9024" s="6"/>
    </row>
    <row r="9025" spans="8:9" x14ac:dyDescent="0.2">
      <c r="H9025" s="6"/>
      <c r="I9025" s="6"/>
    </row>
    <row r="9026" spans="8:9" x14ac:dyDescent="0.2">
      <c r="H9026" s="6"/>
      <c r="I9026" s="6"/>
    </row>
    <row r="9027" spans="8:9" x14ac:dyDescent="0.2">
      <c r="H9027" s="6"/>
      <c r="I9027" s="6"/>
    </row>
    <row r="9028" spans="8:9" x14ac:dyDescent="0.2">
      <c r="H9028" s="6"/>
      <c r="I9028" s="6"/>
    </row>
    <row r="9029" spans="8:9" x14ac:dyDescent="0.2">
      <c r="H9029" s="6"/>
      <c r="I9029" s="6"/>
    </row>
    <row r="9030" spans="8:9" x14ac:dyDescent="0.2">
      <c r="H9030" s="6"/>
      <c r="I9030" s="6"/>
    </row>
    <row r="9031" spans="8:9" x14ac:dyDescent="0.2">
      <c r="H9031" s="6"/>
      <c r="I9031" s="6"/>
    </row>
    <row r="9032" spans="8:9" x14ac:dyDescent="0.2">
      <c r="H9032" s="6"/>
      <c r="I9032" s="6"/>
    </row>
    <row r="9033" spans="8:9" x14ac:dyDescent="0.2">
      <c r="H9033" s="6"/>
      <c r="I9033" s="6"/>
    </row>
    <row r="9034" spans="8:9" x14ac:dyDescent="0.2">
      <c r="H9034" s="6"/>
      <c r="I9034" s="6"/>
    </row>
    <row r="9035" spans="8:9" x14ac:dyDescent="0.2">
      <c r="H9035" s="6"/>
      <c r="I9035" s="6"/>
    </row>
    <row r="9036" spans="8:9" x14ac:dyDescent="0.2">
      <c r="H9036" s="6"/>
      <c r="I9036" s="6"/>
    </row>
    <row r="9037" spans="8:9" x14ac:dyDescent="0.2">
      <c r="H9037" s="6"/>
      <c r="I9037" s="6"/>
    </row>
    <row r="9038" spans="8:9" x14ac:dyDescent="0.2">
      <c r="H9038" s="6"/>
      <c r="I9038" s="6"/>
    </row>
    <row r="9039" spans="8:9" x14ac:dyDescent="0.2">
      <c r="H9039" s="6"/>
      <c r="I9039" s="6"/>
    </row>
    <row r="9040" spans="8:9" x14ac:dyDescent="0.2">
      <c r="H9040" s="6"/>
      <c r="I9040" s="6"/>
    </row>
    <row r="9041" spans="8:9" x14ac:dyDescent="0.2">
      <c r="H9041" s="6"/>
      <c r="I9041" s="6"/>
    </row>
    <row r="9042" spans="8:9" x14ac:dyDescent="0.2">
      <c r="H9042" s="6"/>
      <c r="I9042" s="6"/>
    </row>
    <row r="9043" spans="8:9" x14ac:dyDescent="0.2">
      <c r="H9043" s="6"/>
      <c r="I9043" s="6"/>
    </row>
    <row r="9044" spans="8:9" x14ac:dyDescent="0.2">
      <c r="H9044" s="6"/>
      <c r="I9044" s="6"/>
    </row>
    <row r="9045" spans="8:9" x14ac:dyDescent="0.2">
      <c r="H9045" s="6"/>
      <c r="I9045" s="6"/>
    </row>
    <row r="9046" spans="8:9" x14ac:dyDescent="0.2">
      <c r="H9046" s="6"/>
      <c r="I9046" s="6"/>
    </row>
    <row r="9047" spans="8:9" x14ac:dyDescent="0.2">
      <c r="H9047" s="6"/>
      <c r="I9047" s="6"/>
    </row>
    <row r="9048" spans="8:9" x14ac:dyDescent="0.2">
      <c r="H9048" s="6"/>
      <c r="I9048" s="6"/>
    </row>
    <row r="9049" spans="8:9" x14ac:dyDescent="0.2">
      <c r="H9049" s="6"/>
      <c r="I9049" s="6"/>
    </row>
    <row r="9050" spans="8:9" x14ac:dyDescent="0.2">
      <c r="H9050" s="6"/>
      <c r="I9050" s="6"/>
    </row>
    <row r="9051" spans="8:9" x14ac:dyDescent="0.2">
      <c r="H9051" s="6"/>
      <c r="I9051" s="6"/>
    </row>
    <row r="9052" spans="8:9" x14ac:dyDescent="0.2">
      <c r="H9052" s="6"/>
      <c r="I9052" s="6"/>
    </row>
    <row r="9053" spans="8:9" x14ac:dyDescent="0.2">
      <c r="H9053" s="6"/>
      <c r="I9053" s="6"/>
    </row>
    <row r="9054" spans="8:9" x14ac:dyDescent="0.2">
      <c r="H9054" s="6"/>
      <c r="I9054" s="6"/>
    </row>
    <row r="9055" spans="8:9" x14ac:dyDescent="0.2">
      <c r="H9055" s="6"/>
      <c r="I9055" s="6"/>
    </row>
    <row r="9056" spans="8:9" x14ac:dyDescent="0.2">
      <c r="H9056" s="6"/>
      <c r="I9056" s="6"/>
    </row>
    <row r="9057" spans="8:9" x14ac:dyDescent="0.2">
      <c r="H9057" s="6"/>
      <c r="I9057" s="6"/>
    </row>
    <row r="9058" spans="8:9" x14ac:dyDescent="0.2">
      <c r="H9058" s="6"/>
      <c r="I9058" s="6"/>
    </row>
    <row r="9059" spans="8:9" x14ac:dyDescent="0.2">
      <c r="H9059" s="6"/>
      <c r="I9059" s="6"/>
    </row>
    <row r="9060" spans="8:9" x14ac:dyDescent="0.2">
      <c r="H9060" s="6"/>
      <c r="I9060" s="6"/>
    </row>
    <row r="9061" spans="8:9" x14ac:dyDescent="0.2">
      <c r="H9061" s="6"/>
      <c r="I9061" s="6"/>
    </row>
    <row r="9062" spans="8:9" x14ac:dyDescent="0.2">
      <c r="H9062" s="6"/>
      <c r="I9062" s="6"/>
    </row>
    <row r="9063" spans="8:9" x14ac:dyDescent="0.2">
      <c r="H9063" s="6"/>
      <c r="I9063" s="6"/>
    </row>
    <row r="9064" spans="8:9" x14ac:dyDescent="0.2">
      <c r="H9064" s="6"/>
      <c r="I9064" s="6"/>
    </row>
    <row r="9065" spans="8:9" x14ac:dyDescent="0.2">
      <c r="H9065" s="6"/>
      <c r="I9065" s="6"/>
    </row>
    <row r="9066" spans="8:9" x14ac:dyDescent="0.2">
      <c r="H9066" s="6"/>
      <c r="I9066" s="6"/>
    </row>
    <row r="9067" spans="8:9" x14ac:dyDescent="0.2">
      <c r="H9067" s="6"/>
      <c r="I9067" s="6"/>
    </row>
    <row r="9068" spans="8:9" x14ac:dyDescent="0.2">
      <c r="H9068" s="6"/>
      <c r="I9068" s="6"/>
    </row>
    <row r="9069" spans="8:9" x14ac:dyDescent="0.2">
      <c r="H9069" s="6"/>
      <c r="I9069" s="6"/>
    </row>
    <row r="9070" spans="8:9" x14ac:dyDescent="0.2">
      <c r="H9070" s="6"/>
      <c r="I9070" s="6"/>
    </row>
    <row r="9071" spans="8:9" x14ac:dyDescent="0.2">
      <c r="H9071" s="6"/>
      <c r="I9071" s="6"/>
    </row>
    <row r="9072" spans="8:9" x14ac:dyDescent="0.2">
      <c r="H9072" s="6"/>
      <c r="I9072" s="6"/>
    </row>
    <row r="9073" spans="8:9" x14ac:dyDescent="0.2">
      <c r="H9073" s="6"/>
      <c r="I9073" s="6"/>
    </row>
    <row r="9074" spans="8:9" x14ac:dyDescent="0.2">
      <c r="H9074" s="6"/>
      <c r="I9074" s="6"/>
    </row>
    <row r="9075" spans="8:9" x14ac:dyDescent="0.2">
      <c r="H9075" s="6"/>
      <c r="I9075" s="6"/>
    </row>
    <row r="9076" spans="8:9" x14ac:dyDescent="0.2">
      <c r="H9076" s="6"/>
      <c r="I9076" s="6"/>
    </row>
    <row r="9077" spans="8:9" x14ac:dyDescent="0.2">
      <c r="H9077" s="6"/>
      <c r="I9077" s="6"/>
    </row>
    <row r="9078" spans="8:9" x14ac:dyDescent="0.2">
      <c r="H9078" s="6"/>
      <c r="I9078" s="6"/>
    </row>
    <row r="9079" spans="8:9" x14ac:dyDescent="0.2">
      <c r="H9079" s="6"/>
      <c r="I9079" s="6"/>
    </row>
    <row r="9080" spans="8:9" x14ac:dyDescent="0.2">
      <c r="H9080" s="6"/>
      <c r="I9080" s="6"/>
    </row>
    <row r="9081" spans="8:9" x14ac:dyDescent="0.2">
      <c r="H9081" s="6"/>
      <c r="I9081" s="6"/>
    </row>
    <row r="9082" spans="8:9" x14ac:dyDescent="0.2">
      <c r="H9082" s="6"/>
      <c r="I9082" s="6"/>
    </row>
    <row r="9083" spans="8:9" x14ac:dyDescent="0.2">
      <c r="H9083" s="6"/>
      <c r="I9083" s="6"/>
    </row>
    <row r="9084" spans="8:9" x14ac:dyDescent="0.2">
      <c r="H9084" s="6"/>
      <c r="I9084" s="6"/>
    </row>
    <row r="9085" spans="8:9" x14ac:dyDescent="0.2">
      <c r="H9085" s="6"/>
      <c r="I9085" s="6"/>
    </row>
    <row r="9086" spans="8:9" x14ac:dyDescent="0.2">
      <c r="H9086" s="6"/>
      <c r="I9086" s="6"/>
    </row>
    <row r="9087" spans="8:9" x14ac:dyDescent="0.2">
      <c r="H9087" s="6"/>
      <c r="I9087" s="6"/>
    </row>
    <row r="9088" spans="8:9" x14ac:dyDescent="0.2">
      <c r="H9088" s="6"/>
      <c r="I9088" s="6"/>
    </row>
    <row r="9089" spans="8:9" x14ac:dyDescent="0.2">
      <c r="H9089" s="6"/>
      <c r="I9089" s="6"/>
    </row>
    <row r="9090" spans="8:9" x14ac:dyDescent="0.2">
      <c r="H9090" s="6"/>
      <c r="I9090" s="6"/>
    </row>
    <row r="9091" spans="8:9" x14ac:dyDescent="0.2">
      <c r="H9091" s="6"/>
      <c r="I9091" s="6"/>
    </row>
    <row r="9092" spans="8:9" x14ac:dyDescent="0.2">
      <c r="H9092" s="6"/>
      <c r="I9092" s="6"/>
    </row>
    <row r="9093" spans="8:9" x14ac:dyDescent="0.2">
      <c r="H9093" s="6"/>
      <c r="I9093" s="6"/>
    </row>
    <row r="9094" spans="8:9" x14ac:dyDescent="0.2">
      <c r="H9094" s="6"/>
      <c r="I9094" s="6"/>
    </row>
    <row r="9095" spans="8:9" x14ac:dyDescent="0.2">
      <c r="H9095" s="6"/>
      <c r="I9095" s="6"/>
    </row>
    <row r="9096" spans="8:9" x14ac:dyDescent="0.2">
      <c r="H9096" s="6"/>
      <c r="I9096" s="6"/>
    </row>
    <row r="9097" spans="8:9" x14ac:dyDescent="0.2">
      <c r="H9097" s="6"/>
      <c r="I9097" s="6"/>
    </row>
    <row r="9098" spans="8:9" x14ac:dyDescent="0.2">
      <c r="H9098" s="6"/>
      <c r="I9098" s="6"/>
    </row>
    <row r="9099" spans="8:9" x14ac:dyDescent="0.2">
      <c r="H9099" s="6"/>
      <c r="I9099" s="6"/>
    </row>
    <row r="9100" spans="8:9" x14ac:dyDescent="0.2">
      <c r="H9100" s="6"/>
      <c r="I9100" s="6"/>
    </row>
    <row r="9101" spans="8:9" x14ac:dyDescent="0.2">
      <c r="H9101" s="6"/>
      <c r="I9101" s="6"/>
    </row>
    <row r="9102" spans="8:9" x14ac:dyDescent="0.2">
      <c r="H9102" s="6"/>
      <c r="I9102" s="6"/>
    </row>
    <row r="9103" spans="8:9" x14ac:dyDescent="0.2">
      <c r="H9103" s="6"/>
      <c r="I9103" s="6"/>
    </row>
    <row r="9104" spans="8:9" x14ac:dyDescent="0.2">
      <c r="H9104" s="6"/>
      <c r="I9104" s="6"/>
    </row>
    <row r="9105" spans="8:9" x14ac:dyDescent="0.2">
      <c r="H9105" s="6"/>
      <c r="I9105" s="6"/>
    </row>
    <row r="9106" spans="8:9" x14ac:dyDescent="0.2">
      <c r="H9106" s="6"/>
      <c r="I9106" s="6"/>
    </row>
    <row r="9107" spans="8:9" x14ac:dyDescent="0.2">
      <c r="H9107" s="6"/>
      <c r="I9107" s="6"/>
    </row>
    <row r="9108" spans="8:9" x14ac:dyDescent="0.2">
      <c r="H9108" s="6"/>
      <c r="I9108" s="6"/>
    </row>
    <row r="9109" spans="8:9" x14ac:dyDescent="0.2">
      <c r="H9109" s="6"/>
      <c r="I9109" s="6"/>
    </row>
    <row r="9110" spans="8:9" x14ac:dyDescent="0.2">
      <c r="H9110" s="6"/>
      <c r="I9110" s="6"/>
    </row>
    <row r="9111" spans="8:9" x14ac:dyDescent="0.2">
      <c r="H9111" s="6"/>
      <c r="I9111" s="6"/>
    </row>
    <row r="9112" spans="8:9" x14ac:dyDescent="0.2">
      <c r="H9112" s="6"/>
      <c r="I9112" s="6"/>
    </row>
    <row r="9113" spans="8:9" x14ac:dyDescent="0.2">
      <c r="H9113" s="6"/>
      <c r="I9113" s="6"/>
    </row>
    <row r="9114" spans="8:9" x14ac:dyDescent="0.2">
      <c r="H9114" s="6"/>
      <c r="I9114" s="6"/>
    </row>
    <row r="9115" spans="8:9" x14ac:dyDescent="0.2">
      <c r="H9115" s="6"/>
      <c r="I9115" s="6"/>
    </row>
    <row r="9116" spans="8:9" x14ac:dyDescent="0.2">
      <c r="H9116" s="6"/>
      <c r="I9116" s="6"/>
    </row>
    <row r="9117" spans="8:9" x14ac:dyDescent="0.2">
      <c r="H9117" s="6"/>
      <c r="I9117" s="6"/>
    </row>
    <row r="9118" spans="8:9" x14ac:dyDescent="0.2">
      <c r="H9118" s="6"/>
      <c r="I9118" s="6"/>
    </row>
    <row r="9119" spans="8:9" x14ac:dyDescent="0.2">
      <c r="H9119" s="6"/>
      <c r="I9119" s="6"/>
    </row>
    <row r="9120" spans="8:9" x14ac:dyDescent="0.2">
      <c r="H9120" s="6"/>
      <c r="I9120" s="6"/>
    </row>
    <row r="9121" spans="8:9" x14ac:dyDescent="0.2">
      <c r="H9121" s="6"/>
      <c r="I9121" s="6"/>
    </row>
    <row r="9122" spans="8:9" x14ac:dyDescent="0.2">
      <c r="H9122" s="6"/>
      <c r="I9122" s="6"/>
    </row>
    <row r="9123" spans="8:9" x14ac:dyDescent="0.2">
      <c r="H9123" s="6"/>
      <c r="I9123" s="6"/>
    </row>
    <row r="9124" spans="8:9" x14ac:dyDescent="0.2">
      <c r="H9124" s="6"/>
      <c r="I9124" s="6"/>
    </row>
    <row r="9125" spans="8:9" x14ac:dyDescent="0.2">
      <c r="H9125" s="6"/>
      <c r="I9125" s="6"/>
    </row>
    <row r="9126" spans="8:9" x14ac:dyDescent="0.2">
      <c r="H9126" s="6"/>
      <c r="I9126" s="6"/>
    </row>
    <row r="9127" spans="8:9" x14ac:dyDescent="0.2">
      <c r="H9127" s="6"/>
      <c r="I9127" s="6"/>
    </row>
    <row r="9128" spans="8:9" x14ac:dyDescent="0.2">
      <c r="H9128" s="6"/>
      <c r="I9128" s="6"/>
    </row>
    <row r="9129" spans="8:9" x14ac:dyDescent="0.2">
      <c r="H9129" s="6"/>
      <c r="I9129" s="6"/>
    </row>
    <row r="9130" spans="8:9" x14ac:dyDescent="0.2">
      <c r="H9130" s="6"/>
      <c r="I9130" s="6"/>
    </row>
    <row r="9131" spans="8:9" x14ac:dyDescent="0.2">
      <c r="H9131" s="6"/>
      <c r="I9131" s="6"/>
    </row>
    <row r="9132" spans="8:9" x14ac:dyDescent="0.2">
      <c r="H9132" s="6"/>
      <c r="I9132" s="6"/>
    </row>
    <row r="9133" spans="8:9" x14ac:dyDescent="0.2">
      <c r="H9133" s="6"/>
      <c r="I9133" s="6"/>
    </row>
    <row r="9134" spans="8:9" x14ac:dyDescent="0.2">
      <c r="H9134" s="6"/>
      <c r="I9134" s="6"/>
    </row>
    <row r="9135" spans="8:9" x14ac:dyDescent="0.2">
      <c r="H9135" s="6"/>
      <c r="I9135" s="6"/>
    </row>
    <row r="9136" spans="8:9" x14ac:dyDescent="0.2">
      <c r="H9136" s="6"/>
      <c r="I9136" s="6"/>
    </row>
    <row r="9137" spans="8:9" x14ac:dyDescent="0.2">
      <c r="H9137" s="6"/>
      <c r="I9137" s="6"/>
    </row>
    <row r="9138" spans="8:9" x14ac:dyDescent="0.2">
      <c r="H9138" s="6"/>
      <c r="I9138" s="6"/>
    </row>
    <row r="9139" spans="8:9" x14ac:dyDescent="0.2">
      <c r="H9139" s="6"/>
      <c r="I9139" s="6"/>
    </row>
    <row r="9140" spans="8:9" x14ac:dyDescent="0.2">
      <c r="H9140" s="6"/>
      <c r="I9140" s="6"/>
    </row>
    <row r="9141" spans="8:9" x14ac:dyDescent="0.2">
      <c r="H9141" s="6"/>
      <c r="I9141" s="6"/>
    </row>
    <row r="9142" spans="8:9" x14ac:dyDescent="0.2">
      <c r="H9142" s="6"/>
      <c r="I9142" s="6"/>
    </row>
    <row r="9143" spans="8:9" x14ac:dyDescent="0.2">
      <c r="H9143" s="6"/>
      <c r="I9143" s="6"/>
    </row>
    <row r="9144" spans="8:9" x14ac:dyDescent="0.2">
      <c r="H9144" s="6"/>
      <c r="I9144" s="6"/>
    </row>
    <row r="9145" spans="8:9" x14ac:dyDescent="0.2">
      <c r="H9145" s="6"/>
      <c r="I9145" s="6"/>
    </row>
    <row r="9146" spans="8:9" x14ac:dyDescent="0.2">
      <c r="H9146" s="6"/>
      <c r="I9146" s="6"/>
    </row>
    <row r="9147" spans="8:9" x14ac:dyDescent="0.2">
      <c r="H9147" s="6"/>
      <c r="I9147" s="6"/>
    </row>
    <row r="9148" spans="8:9" x14ac:dyDescent="0.2">
      <c r="H9148" s="6"/>
      <c r="I9148" s="6"/>
    </row>
    <row r="9149" spans="8:9" x14ac:dyDescent="0.2">
      <c r="H9149" s="6"/>
      <c r="I9149" s="6"/>
    </row>
    <row r="9150" spans="8:9" x14ac:dyDescent="0.2">
      <c r="H9150" s="6"/>
      <c r="I9150" s="6"/>
    </row>
    <row r="9151" spans="8:9" x14ac:dyDescent="0.2">
      <c r="H9151" s="6"/>
      <c r="I9151" s="6"/>
    </row>
    <row r="9152" spans="8:9" x14ac:dyDescent="0.2">
      <c r="H9152" s="6"/>
      <c r="I9152" s="6"/>
    </row>
    <row r="9153" spans="8:9" x14ac:dyDescent="0.2">
      <c r="H9153" s="6"/>
      <c r="I9153" s="6"/>
    </row>
    <row r="9154" spans="8:9" x14ac:dyDescent="0.2">
      <c r="H9154" s="6"/>
      <c r="I9154" s="6"/>
    </row>
    <row r="9155" spans="8:9" x14ac:dyDescent="0.2">
      <c r="H9155" s="6"/>
      <c r="I9155" s="6"/>
    </row>
    <row r="9156" spans="8:9" x14ac:dyDescent="0.2">
      <c r="H9156" s="6"/>
      <c r="I9156" s="6"/>
    </row>
    <row r="9157" spans="8:9" x14ac:dyDescent="0.2">
      <c r="H9157" s="6"/>
      <c r="I9157" s="6"/>
    </row>
    <row r="9158" spans="8:9" x14ac:dyDescent="0.2">
      <c r="H9158" s="6"/>
      <c r="I9158" s="6"/>
    </row>
    <row r="9159" spans="8:9" x14ac:dyDescent="0.2">
      <c r="H9159" s="6"/>
      <c r="I9159" s="6"/>
    </row>
    <row r="9160" spans="8:9" x14ac:dyDescent="0.2">
      <c r="H9160" s="6"/>
      <c r="I9160" s="6"/>
    </row>
    <row r="9161" spans="8:9" x14ac:dyDescent="0.2">
      <c r="H9161" s="6"/>
      <c r="I9161" s="6"/>
    </row>
    <row r="9162" spans="8:9" x14ac:dyDescent="0.2">
      <c r="H9162" s="6"/>
      <c r="I9162" s="6"/>
    </row>
    <row r="9163" spans="8:9" x14ac:dyDescent="0.2">
      <c r="H9163" s="6"/>
      <c r="I9163" s="6"/>
    </row>
    <row r="9164" spans="8:9" x14ac:dyDescent="0.2">
      <c r="H9164" s="6"/>
      <c r="I9164" s="6"/>
    </row>
    <row r="9165" spans="8:9" x14ac:dyDescent="0.2">
      <c r="H9165" s="6"/>
      <c r="I9165" s="6"/>
    </row>
    <row r="9166" spans="8:9" x14ac:dyDescent="0.2">
      <c r="H9166" s="6"/>
      <c r="I9166" s="6"/>
    </row>
    <row r="9167" spans="8:9" x14ac:dyDescent="0.2">
      <c r="H9167" s="6"/>
      <c r="I9167" s="6"/>
    </row>
    <row r="9168" spans="8:9" x14ac:dyDescent="0.2">
      <c r="H9168" s="6"/>
      <c r="I9168" s="6"/>
    </row>
    <row r="9169" spans="8:9" x14ac:dyDescent="0.2">
      <c r="H9169" s="6"/>
      <c r="I9169" s="6"/>
    </row>
    <row r="9170" spans="8:9" x14ac:dyDescent="0.2">
      <c r="H9170" s="6"/>
      <c r="I9170" s="6"/>
    </row>
    <row r="9171" spans="8:9" x14ac:dyDescent="0.2">
      <c r="H9171" s="6"/>
      <c r="I9171" s="6"/>
    </row>
    <row r="9172" spans="8:9" x14ac:dyDescent="0.2">
      <c r="H9172" s="6"/>
      <c r="I9172" s="6"/>
    </row>
    <row r="9173" spans="8:9" x14ac:dyDescent="0.2">
      <c r="H9173" s="6"/>
      <c r="I9173" s="6"/>
    </row>
    <row r="9174" spans="8:9" x14ac:dyDescent="0.2">
      <c r="H9174" s="6"/>
      <c r="I9174" s="6"/>
    </row>
    <row r="9175" spans="8:9" x14ac:dyDescent="0.2">
      <c r="H9175" s="6"/>
      <c r="I9175" s="6"/>
    </row>
    <row r="9176" spans="8:9" x14ac:dyDescent="0.2">
      <c r="H9176" s="6"/>
      <c r="I9176" s="6"/>
    </row>
    <row r="9177" spans="8:9" x14ac:dyDescent="0.2">
      <c r="H9177" s="6"/>
      <c r="I9177" s="6"/>
    </row>
    <row r="9178" spans="8:9" x14ac:dyDescent="0.2">
      <c r="H9178" s="6"/>
      <c r="I9178" s="6"/>
    </row>
    <row r="9179" spans="8:9" x14ac:dyDescent="0.2">
      <c r="H9179" s="6"/>
      <c r="I9179" s="6"/>
    </row>
    <row r="9180" spans="8:9" x14ac:dyDescent="0.2">
      <c r="H9180" s="6"/>
      <c r="I9180" s="6"/>
    </row>
    <row r="9181" spans="8:9" x14ac:dyDescent="0.2">
      <c r="H9181" s="6"/>
      <c r="I9181" s="6"/>
    </row>
    <row r="9182" spans="8:9" x14ac:dyDescent="0.2">
      <c r="H9182" s="6"/>
      <c r="I9182" s="6"/>
    </row>
    <row r="9183" spans="8:9" x14ac:dyDescent="0.2">
      <c r="H9183" s="6"/>
      <c r="I9183" s="6"/>
    </row>
    <row r="9184" spans="8:9" x14ac:dyDescent="0.2">
      <c r="H9184" s="6"/>
      <c r="I9184" s="6"/>
    </row>
    <row r="9185" spans="8:9" x14ac:dyDescent="0.2">
      <c r="H9185" s="6"/>
      <c r="I9185" s="6"/>
    </row>
    <row r="9186" spans="8:9" x14ac:dyDescent="0.2">
      <c r="H9186" s="6"/>
      <c r="I9186" s="6"/>
    </row>
    <row r="9187" spans="8:9" x14ac:dyDescent="0.2">
      <c r="H9187" s="6"/>
      <c r="I9187" s="6"/>
    </row>
    <row r="9188" spans="8:9" x14ac:dyDescent="0.2">
      <c r="H9188" s="6"/>
      <c r="I9188" s="6"/>
    </row>
    <row r="9189" spans="8:9" x14ac:dyDescent="0.2">
      <c r="H9189" s="6"/>
      <c r="I9189" s="6"/>
    </row>
    <row r="9190" spans="8:9" x14ac:dyDescent="0.2">
      <c r="H9190" s="6"/>
      <c r="I9190" s="6"/>
    </row>
    <row r="9191" spans="8:9" x14ac:dyDescent="0.2">
      <c r="H9191" s="6"/>
    </row>
    <row r="9192" spans="8:9" x14ac:dyDescent="0.2">
      <c r="H9192" s="6"/>
      <c r="I9192" s="6"/>
    </row>
    <row r="9193" spans="8:9" x14ac:dyDescent="0.2">
      <c r="H9193" s="6"/>
      <c r="I9193" s="6"/>
    </row>
    <row r="9194" spans="8:9" x14ac:dyDescent="0.2">
      <c r="H9194" s="6"/>
      <c r="I9194" s="6"/>
    </row>
    <row r="9195" spans="8:9" x14ac:dyDescent="0.2">
      <c r="H9195" s="6"/>
      <c r="I9195" s="6"/>
    </row>
    <row r="9196" spans="8:9" x14ac:dyDescent="0.2">
      <c r="H9196" s="6"/>
      <c r="I9196" s="6"/>
    </row>
    <row r="9197" spans="8:9" x14ac:dyDescent="0.2">
      <c r="H9197" s="6"/>
      <c r="I9197" s="6"/>
    </row>
    <row r="9198" spans="8:9" x14ac:dyDescent="0.2">
      <c r="H9198" s="6"/>
      <c r="I9198" s="6"/>
    </row>
    <row r="9199" spans="8:9" x14ac:dyDescent="0.2">
      <c r="H9199" s="6"/>
      <c r="I9199" s="6"/>
    </row>
    <row r="9200" spans="8:9" x14ac:dyDescent="0.2">
      <c r="H9200" s="6"/>
      <c r="I9200" s="6"/>
    </row>
    <row r="9201" spans="8:9" x14ac:dyDescent="0.2">
      <c r="H9201" s="6"/>
      <c r="I9201" s="6"/>
    </row>
    <row r="9202" spans="8:9" x14ac:dyDescent="0.2">
      <c r="H9202" s="6"/>
      <c r="I9202" s="6"/>
    </row>
    <row r="9203" spans="8:9" x14ac:dyDescent="0.2">
      <c r="H9203" s="6"/>
      <c r="I9203" s="6"/>
    </row>
    <row r="9204" spans="8:9" x14ac:dyDescent="0.2">
      <c r="H9204" s="6"/>
      <c r="I9204" s="6"/>
    </row>
    <row r="9205" spans="8:9" x14ac:dyDescent="0.2">
      <c r="H9205" s="6"/>
      <c r="I9205" s="6"/>
    </row>
    <row r="9206" spans="8:9" x14ac:dyDescent="0.2">
      <c r="H9206" s="6"/>
      <c r="I9206" s="6"/>
    </row>
    <row r="9207" spans="8:9" x14ac:dyDescent="0.2">
      <c r="H9207" s="6"/>
      <c r="I9207" s="6"/>
    </row>
    <row r="9208" spans="8:9" x14ac:dyDescent="0.2">
      <c r="H9208" s="6"/>
      <c r="I9208" s="6"/>
    </row>
    <row r="9209" spans="8:9" x14ac:dyDescent="0.2">
      <c r="H9209" s="6"/>
      <c r="I9209" s="6"/>
    </row>
    <row r="9210" spans="8:9" x14ac:dyDescent="0.2">
      <c r="H9210" s="6"/>
      <c r="I9210" s="6"/>
    </row>
    <row r="9211" spans="8:9" x14ac:dyDescent="0.2">
      <c r="H9211" s="6"/>
      <c r="I9211" s="6"/>
    </row>
    <row r="9212" spans="8:9" x14ac:dyDescent="0.2">
      <c r="H9212" s="6"/>
      <c r="I9212" s="6"/>
    </row>
    <row r="9213" spans="8:9" x14ac:dyDescent="0.2">
      <c r="H9213" s="6"/>
      <c r="I9213" s="6"/>
    </row>
    <row r="9214" spans="8:9" x14ac:dyDescent="0.2">
      <c r="H9214" s="6"/>
      <c r="I9214" s="6"/>
    </row>
    <row r="9215" spans="8:9" x14ac:dyDescent="0.2">
      <c r="H9215" s="6"/>
      <c r="I9215" s="6"/>
    </row>
    <row r="9216" spans="8:9" x14ac:dyDescent="0.2">
      <c r="H9216" s="6"/>
      <c r="I9216" s="6"/>
    </row>
    <row r="9217" spans="8:9" x14ac:dyDescent="0.2">
      <c r="H9217" s="6"/>
      <c r="I9217" s="6"/>
    </row>
    <row r="9218" spans="8:9" x14ac:dyDescent="0.2">
      <c r="H9218" s="6"/>
      <c r="I9218" s="6"/>
    </row>
    <row r="9219" spans="8:9" x14ac:dyDescent="0.2">
      <c r="H9219" s="6"/>
      <c r="I9219" s="6"/>
    </row>
    <row r="9220" spans="8:9" x14ac:dyDescent="0.2">
      <c r="H9220" s="6"/>
      <c r="I9220" s="6"/>
    </row>
    <row r="9221" spans="8:9" x14ac:dyDescent="0.2">
      <c r="H9221" s="6"/>
      <c r="I9221" s="6"/>
    </row>
    <row r="9222" spans="8:9" x14ac:dyDescent="0.2">
      <c r="H9222" s="6"/>
      <c r="I9222" s="6"/>
    </row>
    <row r="9223" spans="8:9" x14ac:dyDescent="0.2">
      <c r="H9223" s="6"/>
      <c r="I9223" s="6"/>
    </row>
    <row r="9224" spans="8:9" x14ac:dyDescent="0.2">
      <c r="H9224" s="6"/>
      <c r="I9224" s="6"/>
    </row>
    <row r="9225" spans="8:9" x14ac:dyDescent="0.2">
      <c r="H9225" s="6"/>
      <c r="I9225" s="6"/>
    </row>
    <row r="9226" spans="8:9" x14ac:dyDescent="0.2">
      <c r="H9226" s="6"/>
      <c r="I9226" s="6"/>
    </row>
    <row r="9227" spans="8:9" x14ac:dyDescent="0.2">
      <c r="H9227" s="6"/>
      <c r="I9227" s="6"/>
    </row>
    <row r="9228" spans="8:9" x14ac:dyDescent="0.2">
      <c r="H9228" s="6"/>
      <c r="I9228" s="6"/>
    </row>
    <row r="9229" spans="8:9" x14ac:dyDescent="0.2">
      <c r="H9229" s="6"/>
      <c r="I9229" s="6"/>
    </row>
    <row r="9230" spans="8:9" x14ac:dyDescent="0.2">
      <c r="H9230" s="6"/>
      <c r="I9230" s="6"/>
    </row>
    <row r="9231" spans="8:9" x14ac:dyDescent="0.2">
      <c r="H9231" s="6"/>
      <c r="I9231" s="6"/>
    </row>
    <row r="9232" spans="8:9" x14ac:dyDescent="0.2">
      <c r="H9232" s="6"/>
      <c r="I9232" s="6"/>
    </row>
    <row r="9233" spans="8:9" x14ac:dyDescent="0.2">
      <c r="H9233" s="6"/>
      <c r="I9233" s="6"/>
    </row>
    <row r="9234" spans="8:9" x14ac:dyDescent="0.2">
      <c r="H9234" s="6"/>
      <c r="I9234" s="6"/>
    </row>
    <row r="9235" spans="8:9" x14ac:dyDescent="0.2">
      <c r="H9235" s="6"/>
      <c r="I9235" s="6"/>
    </row>
    <row r="9236" spans="8:9" x14ac:dyDescent="0.2">
      <c r="H9236" s="6"/>
      <c r="I9236" s="6"/>
    </row>
    <row r="9237" spans="8:9" x14ac:dyDescent="0.2">
      <c r="H9237" s="6"/>
      <c r="I9237" s="6"/>
    </row>
    <row r="9238" spans="8:9" x14ac:dyDescent="0.2">
      <c r="H9238" s="6"/>
      <c r="I9238" s="6"/>
    </row>
    <row r="9239" spans="8:9" x14ac:dyDescent="0.2">
      <c r="H9239" s="6"/>
      <c r="I9239" s="6"/>
    </row>
    <row r="9240" spans="8:9" x14ac:dyDescent="0.2">
      <c r="H9240" s="6"/>
      <c r="I9240" s="6"/>
    </row>
    <row r="9241" spans="8:9" x14ac:dyDescent="0.2">
      <c r="H9241" s="6"/>
      <c r="I9241" s="6"/>
    </row>
    <row r="9242" spans="8:9" x14ac:dyDescent="0.2">
      <c r="H9242" s="6"/>
      <c r="I9242" s="6"/>
    </row>
    <row r="9243" spans="8:9" x14ac:dyDescent="0.2">
      <c r="H9243" s="6"/>
      <c r="I9243" s="6"/>
    </row>
    <row r="9244" spans="8:9" x14ac:dyDescent="0.2">
      <c r="H9244" s="6"/>
      <c r="I9244" s="6"/>
    </row>
    <row r="9245" spans="8:9" x14ac:dyDescent="0.2">
      <c r="H9245" s="6"/>
      <c r="I9245" s="6"/>
    </row>
    <row r="9246" spans="8:9" x14ac:dyDescent="0.2">
      <c r="H9246" s="6"/>
      <c r="I9246" s="6"/>
    </row>
    <row r="9247" spans="8:9" x14ac:dyDescent="0.2">
      <c r="H9247" s="6"/>
      <c r="I9247" s="6"/>
    </row>
    <row r="9248" spans="8:9" x14ac:dyDescent="0.2">
      <c r="H9248" s="6"/>
      <c r="I9248" s="6"/>
    </row>
    <row r="9249" spans="8:9" x14ac:dyDescent="0.2">
      <c r="H9249" s="6"/>
      <c r="I9249" s="6"/>
    </row>
    <row r="9250" spans="8:9" x14ac:dyDescent="0.2">
      <c r="H9250" s="6"/>
      <c r="I9250" s="6"/>
    </row>
    <row r="9251" spans="8:9" x14ac:dyDescent="0.2">
      <c r="H9251" s="6"/>
      <c r="I9251" s="6"/>
    </row>
    <row r="9252" spans="8:9" x14ac:dyDescent="0.2">
      <c r="H9252" s="6"/>
      <c r="I9252" s="6"/>
    </row>
    <row r="9253" spans="8:9" x14ac:dyDescent="0.2">
      <c r="H9253" s="6"/>
      <c r="I9253" s="6"/>
    </row>
    <row r="9254" spans="8:9" x14ac:dyDescent="0.2">
      <c r="H9254" s="6"/>
      <c r="I9254" s="6"/>
    </row>
    <row r="9255" spans="8:9" x14ac:dyDescent="0.2">
      <c r="H9255" s="6"/>
      <c r="I9255" s="6"/>
    </row>
    <row r="9256" spans="8:9" x14ac:dyDescent="0.2">
      <c r="H9256" s="6"/>
      <c r="I9256" s="6"/>
    </row>
    <row r="9257" spans="8:9" x14ac:dyDescent="0.2">
      <c r="H9257" s="6"/>
      <c r="I9257" s="6"/>
    </row>
    <row r="9258" spans="8:9" x14ac:dyDescent="0.2">
      <c r="H9258" s="6"/>
      <c r="I9258" s="6"/>
    </row>
    <row r="9259" spans="8:9" x14ac:dyDescent="0.2">
      <c r="H9259" s="6"/>
      <c r="I9259" s="6"/>
    </row>
    <row r="9260" spans="8:9" x14ac:dyDescent="0.2">
      <c r="H9260" s="6"/>
      <c r="I9260" s="6"/>
    </row>
    <row r="9261" spans="8:9" x14ac:dyDescent="0.2">
      <c r="H9261" s="6"/>
      <c r="I9261" s="6"/>
    </row>
    <row r="9262" spans="8:9" x14ac:dyDescent="0.2">
      <c r="H9262" s="6"/>
      <c r="I9262" s="6"/>
    </row>
    <row r="9263" spans="8:9" x14ac:dyDescent="0.2">
      <c r="H9263" s="6"/>
      <c r="I9263" s="6"/>
    </row>
    <row r="9264" spans="8:9" x14ac:dyDescent="0.2">
      <c r="H9264" s="6"/>
      <c r="I9264" s="6"/>
    </row>
    <row r="9265" spans="8:9" x14ac:dyDescent="0.2">
      <c r="H9265" s="6"/>
      <c r="I9265" s="6"/>
    </row>
    <row r="9266" spans="8:9" x14ac:dyDescent="0.2">
      <c r="H9266" s="6"/>
      <c r="I9266" s="6"/>
    </row>
    <row r="9267" spans="8:9" x14ac:dyDescent="0.2">
      <c r="H9267" s="6"/>
      <c r="I9267" s="6"/>
    </row>
    <row r="9268" spans="8:9" x14ac:dyDescent="0.2">
      <c r="H9268" s="6"/>
      <c r="I9268" s="6"/>
    </row>
    <row r="9269" spans="8:9" x14ac:dyDescent="0.2">
      <c r="H9269" s="6"/>
      <c r="I9269" s="6"/>
    </row>
    <row r="9270" spans="8:9" x14ac:dyDescent="0.2">
      <c r="H9270" s="6"/>
      <c r="I9270" s="6"/>
    </row>
    <row r="9271" spans="8:9" x14ac:dyDescent="0.2">
      <c r="H9271" s="6"/>
      <c r="I9271" s="6"/>
    </row>
    <row r="9272" spans="8:9" x14ac:dyDescent="0.2">
      <c r="H9272" s="6"/>
      <c r="I9272" s="6"/>
    </row>
    <row r="9273" spans="8:9" x14ac:dyDescent="0.2">
      <c r="H9273" s="6"/>
      <c r="I9273" s="6"/>
    </row>
    <row r="9274" spans="8:9" x14ac:dyDescent="0.2">
      <c r="H9274" s="6"/>
      <c r="I9274" s="6"/>
    </row>
    <row r="9275" spans="8:9" x14ac:dyDescent="0.2">
      <c r="H9275" s="6"/>
      <c r="I9275" s="6"/>
    </row>
    <row r="9276" spans="8:9" x14ac:dyDescent="0.2">
      <c r="H9276" s="6"/>
      <c r="I9276" s="6"/>
    </row>
    <row r="9277" spans="8:9" x14ac:dyDescent="0.2">
      <c r="H9277" s="6"/>
      <c r="I9277" s="6"/>
    </row>
    <row r="9278" spans="8:9" x14ac:dyDescent="0.2">
      <c r="H9278" s="6"/>
      <c r="I9278" s="6"/>
    </row>
    <row r="9279" spans="8:9" x14ac:dyDescent="0.2">
      <c r="H9279" s="6"/>
      <c r="I9279" s="6"/>
    </row>
    <row r="9280" spans="8:9" x14ac:dyDescent="0.2">
      <c r="H9280" s="6"/>
      <c r="I9280" s="6"/>
    </row>
    <row r="9281" spans="8:9" x14ac:dyDescent="0.2">
      <c r="H9281" s="6"/>
      <c r="I9281" s="6"/>
    </row>
    <row r="9282" spans="8:9" x14ac:dyDescent="0.2">
      <c r="H9282" s="6"/>
      <c r="I9282" s="6"/>
    </row>
    <row r="9283" spans="8:9" x14ac:dyDescent="0.2">
      <c r="H9283" s="6"/>
      <c r="I9283" s="6"/>
    </row>
    <row r="9284" spans="8:9" x14ac:dyDescent="0.2">
      <c r="H9284" s="6"/>
      <c r="I9284" s="6"/>
    </row>
    <row r="9285" spans="8:9" x14ac:dyDescent="0.2">
      <c r="H9285" s="6"/>
      <c r="I9285" s="6"/>
    </row>
    <row r="9286" spans="8:9" x14ac:dyDescent="0.2">
      <c r="H9286" s="6"/>
      <c r="I9286" s="6"/>
    </row>
    <row r="9287" spans="8:9" x14ac:dyDescent="0.2">
      <c r="H9287" s="6"/>
      <c r="I9287" s="6"/>
    </row>
    <row r="9288" spans="8:9" x14ac:dyDescent="0.2">
      <c r="H9288" s="6"/>
      <c r="I9288" s="6"/>
    </row>
    <row r="9289" spans="8:9" x14ac:dyDescent="0.2">
      <c r="H9289" s="6"/>
      <c r="I9289" s="6"/>
    </row>
    <row r="9290" spans="8:9" x14ac:dyDescent="0.2">
      <c r="H9290" s="6"/>
      <c r="I9290" s="6"/>
    </row>
    <row r="9291" spans="8:9" x14ac:dyDescent="0.2">
      <c r="H9291" s="6"/>
      <c r="I9291" s="6"/>
    </row>
    <row r="9292" spans="8:9" x14ac:dyDescent="0.2">
      <c r="H9292" s="6"/>
      <c r="I9292" s="6"/>
    </row>
    <row r="9293" spans="8:9" x14ac:dyDescent="0.2">
      <c r="H9293" s="6"/>
      <c r="I9293" s="6"/>
    </row>
    <row r="9294" spans="8:9" x14ac:dyDescent="0.2">
      <c r="H9294" s="6"/>
      <c r="I9294" s="6"/>
    </row>
    <row r="9295" spans="8:9" x14ac:dyDescent="0.2">
      <c r="H9295" s="6"/>
      <c r="I9295" s="6"/>
    </row>
    <row r="9296" spans="8:9" x14ac:dyDescent="0.2">
      <c r="H9296" s="6"/>
      <c r="I9296" s="6"/>
    </row>
    <row r="9297" spans="8:9" x14ac:dyDescent="0.2">
      <c r="H9297" s="6"/>
      <c r="I9297" s="6"/>
    </row>
    <row r="9298" spans="8:9" x14ac:dyDescent="0.2">
      <c r="H9298" s="6"/>
      <c r="I9298" s="6"/>
    </row>
    <row r="9299" spans="8:9" x14ac:dyDescent="0.2">
      <c r="H9299" s="6"/>
      <c r="I9299" s="6"/>
    </row>
    <row r="9300" spans="8:9" x14ac:dyDescent="0.2">
      <c r="H9300" s="6"/>
      <c r="I9300" s="6"/>
    </row>
    <row r="9301" spans="8:9" x14ac:dyDescent="0.2">
      <c r="H9301" s="6"/>
      <c r="I9301" s="6"/>
    </row>
    <row r="9302" spans="8:9" x14ac:dyDescent="0.2">
      <c r="H9302" s="6"/>
      <c r="I9302" s="6"/>
    </row>
    <row r="9303" spans="8:9" x14ac:dyDescent="0.2">
      <c r="H9303" s="6"/>
      <c r="I9303" s="6"/>
    </row>
    <row r="9304" spans="8:9" x14ac:dyDescent="0.2">
      <c r="H9304" s="6"/>
      <c r="I9304" s="6"/>
    </row>
    <row r="9305" spans="8:9" x14ac:dyDescent="0.2">
      <c r="H9305" s="6"/>
      <c r="I9305" s="6"/>
    </row>
    <row r="9306" spans="8:9" x14ac:dyDescent="0.2">
      <c r="H9306" s="6"/>
      <c r="I9306" s="6"/>
    </row>
    <row r="9307" spans="8:9" x14ac:dyDescent="0.2">
      <c r="H9307" s="6"/>
      <c r="I9307" s="6"/>
    </row>
    <row r="9308" spans="8:9" x14ac:dyDescent="0.2">
      <c r="H9308" s="6"/>
      <c r="I9308" s="6"/>
    </row>
    <row r="9309" spans="8:9" x14ac:dyDescent="0.2">
      <c r="H9309" s="6"/>
      <c r="I9309" s="6"/>
    </row>
    <row r="9310" spans="8:9" x14ac:dyDescent="0.2">
      <c r="H9310" s="6"/>
      <c r="I9310" s="6"/>
    </row>
    <row r="9311" spans="8:9" x14ac:dyDescent="0.2">
      <c r="H9311" s="6"/>
      <c r="I9311" s="6"/>
    </row>
    <row r="9312" spans="8:9" x14ac:dyDescent="0.2">
      <c r="H9312" s="6"/>
      <c r="I9312" s="6"/>
    </row>
    <row r="9313" spans="8:9" x14ac:dyDescent="0.2">
      <c r="H9313" s="6"/>
      <c r="I9313" s="6"/>
    </row>
    <row r="9314" spans="8:9" x14ac:dyDescent="0.2">
      <c r="H9314" s="6"/>
      <c r="I9314" s="6"/>
    </row>
    <row r="9315" spans="8:9" x14ac:dyDescent="0.2">
      <c r="H9315" s="6"/>
      <c r="I9315" s="6"/>
    </row>
    <row r="9316" spans="8:9" x14ac:dyDescent="0.2">
      <c r="H9316" s="6"/>
      <c r="I9316" s="6"/>
    </row>
    <row r="9317" spans="8:9" x14ac:dyDescent="0.2">
      <c r="H9317" s="6"/>
      <c r="I9317" s="6"/>
    </row>
    <row r="9318" spans="8:9" x14ac:dyDescent="0.2">
      <c r="H9318" s="6"/>
      <c r="I9318" s="6"/>
    </row>
    <row r="9319" spans="8:9" x14ac:dyDescent="0.2">
      <c r="H9319" s="6"/>
      <c r="I9319" s="6"/>
    </row>
    <row r="9320" spans="8:9" x14ac:dyDescent="0.2">
      <c r="H9320" s="6"/>
      <c r="I9320" s="6"/>
    </row>
    <row r="9321" spans="8:9" x14ac:dyDescent="0.2">
      <c r="H9321" s="6"/>
      <c r="I9321" s="6"/>
    </row>
    <row r="9322" spans="8:9" x14ac:dyDescent="0.2">
      <c r="H9322" s="6"/>
      <c r="I9322" s="6"/>
    </row>
    <row r="9323" spans="8:9" x14ac:dyDescent="0.2">
      <c r="H9323" s="6"/>
      <c r="I9323" s="6"/>
    </row>
    <row r="9324" spans="8:9" x14ac:dyDescent="0.2">
      <c r="H9324" s="6"/>
      <c r="I9324" s="6"/>
    </row>
    <row r="9325" spans="8:9" x14ac:dyDescent="0.2">
      <c r="H9325" s="6"/>
      <c r="I9325" s="6"/>
    </row>
    <row r="9326" spans="8:9" x14ac:dyDescent="0.2">
      <c r="H9326" s="6"/>
      <c r="I9326" s="6"/>
    </row>
    <row r="9327" spans="8:9" x14ac:dyDescent="0.2">
      <c r="H9327" s="6"/>
      <c r="I9327" s="6"/>
    </row>
    <row r="9328" spans="8:9" x14ac:dyDescent="0.2">
      <c r="H9328" s="6"/>
      <c r="I9328" s="6"/>
    </row>
    <row r="9329" spans="8:9" x14ac:dyDescent="0.2">
      <c r="H9329" s="6"/>
      <c r="I9329" s="6"/>
    </row>
    <row r="9330" spans="8:9" x14ac:dyDescent="0.2">
      <c r="H9330" s="6"/>
      <c r="I9330" s="6"/>
    </row>
    <row r="9331" spans="8:9" x14ac:dyDescent="0.2">
      <c r="H9331" s="6"/>
      <c r="I9331" s="6"/>
    </row>
    <row r="9332" spans="8:9" x14ac:dyDescent="0.2">
      <c r="H9332" s="6"/>
      <c r="I9332" s="6"/>
    </row>
    <row r="9333" spans="8:9" x14ac:dyDescent="0.2">
      <c r="H9333" s="6"/>
      <c r="I9333" s="6"/>
    </row>
    <row r="9334" spans="8:9" x14ac:dyDescent="0.2">
      <c r="H9334" s="6"/>
      <c r="I9334" s="6"/>
    </row>
    <row r="9335" spans="8:9" x14ac:dyDescent="0.2">
      <c r="H9335" s="6"/>
      <c r="I9335" s="6"/>
    </row>
    <row r="9336" spans="8:9" x14ac:dyDescent="0.2">
      <c r="H9336" s="6"/>
      <c r="I9336" s="6"/>
    </row>
    <row r="9337" spans="8:9" x14ac:dyDescent="0.2">
      <c r="H9337" s="6"/>
      <c r="I9337" s="6"/>
    </row>
    <row r="9338" spans="8:9" x14ac:dyDescent="0.2">
      <c r="H9338" s="6"/>
      <c r="I9338" s="6"/>
    </row>
    <row r="9339" spans="8:9" x14ac:dyDescent="0.2">
      <c r="H9339" s="6"/>
      <c r="I9339" s="6"/>
    </row>
    <row r="9340" spans="8:9" x14ac:dyDescent="0.2">
      <c r="H9340" s="6"/>
      <c r="I9340" s="6"/>
    </row>
    <row r="9341" spans="8:9" x14ac:dyDescent="0.2">
      <c r="H9341" s="6"/>
      <c r="I9341" s="6"/>
    </row>
    <row r="9342" spans="8:9" x14ac:dyDescent="0.2">
      <c r="H9342" s="6"/>
      <c r="I9342" s="6"/>
    </row>
    <row r="9343" spans="8:9" x14ac:dyDescent="0.2">
      <c r="H9343" s="6"/>
      <c r="I9343" s="6"/>
    </row>
    <row r="9344" spans="8:9" x14ac:dyDescent="0.2">
      <c r="H9344" s="6"/>
      <c r="I9344" s="6"/>
    </row>
    <row r="9345" spans="8:9" x14ac:dyDescent="0.2">
      <c r="H9345" s="6"/>
      <c r="I9345" s="6"/>
    </row>
    <row r="9346" spans="8:9" x14ac:dyDescent="0.2">
      <c r="H9346" s="6"/>
      <c r="I9346" s="6"/>
    </row>
    <row r="9347" spans="8:9" x14ac:dyDescent="0.2">
      <c r="H9347" s="6"/>
      <c r="I9347" s="6"/>
    </row>
    <row r="9348" spans="8:9" x14ac:dyDescent="0.2">
      <c r="H9348" s="6"/>
      <c r="I9348" s="6"/>
    </row>
    <row r="9349" spans="8:9" x14ac:dyDescent="0.2">
      <c r="H9349" s="6"/>
      <c r="I9349" s="6"/>
    </row>
    <row r="9350" spans="8:9" x14ac:dyDescent="0.2">
      <c r="H9350" s="6"/>
      <c r="I9350" s="6"/>
    </row>
    <row r="9351" spans="8:9" x14ac:dyDescent="0.2">
      <c r="H9351" s="6"/>
      <c r="I9351" s="6"/>
    </row>
    <row r="9352" spans="8:9" x14ac:dyDescent="0.2">
      <c r="H9352" s="6"/>
      <c r="I9352" s="6"/>
    </row>
    <row r="9353" spans="8:9" x14ac:dyDescent="0.2">
      <c r="H9353" s="6"/>
      <c r="I9353" s="6"/>
    </row>
    <row r="9354" spans="8:9" x14ac:dyDescent="0.2">
      <c r="H9354" s="6"/>
      <c r="I9354" s="6"/>
    </row>
    <row r="9355" spans="8:9" x14ac:dyDescent="0.2">
      <c r="H9355" s="6"/>
      <c r="I9355" s="6"/>
    </row>
    <row r="9356" spans="8:9" x14ac:dyDescent="0.2">
      <c r="H9356" s="6"/>
      <c r="I9356" s="6"/>
    </row>
    <row r="9357" spans="8:9" x14ac:dyDescent="0.2">
      <c r="H9357" s="6"/>
      <c r="I9357" s="6"/>
    </row>
    <row r="9358" spans="8:9" x14ac:dyDescent="0.2">
      <c r="H9358" s="6"/>
      <c r="I9358" s="6"/>
    </row>
    <row r="9359" spans="8:9" x14ac:dyDescent="0.2">
      <c r="H9359" s="6"/>
      <c r="I9359" s="6"/>
    </row>
    <row r="9360" spans="8:9" x14ac:dyDescent="0.2">
      <c r="H9360" s="6"/>
      <c r="I9360" s="6"/>
    </row>
    <row r="9361" spans="8:9" x14ac:dyDescent="0.2">
      <c r="H9361" s="6"/>
      <c r="I9361" s="6"/>
    </row>
    <row r="9362" spans="8:9" x14ac:dyDescent="0.2">
      <c r="H9362" s="6"/>
      <c r="I9362" s="6"/>
    </row>
    <row r="9363" spans="8:9" x14ac:dyDescent="0.2">
      <c r="H9363" s="6"/>
      <c r="I9363" s="6"/>
    </row>
    <row r="9364" spans="8:9" x14ac:dyDescent="0.2">
      <c r="H9364" s="6"/>
      <c r="I9364" s="6"/>
    </row>
    <row r="9365" spans="8:9" x14ac:dyDescent="0.2">
      <c r="H9365" s="6"/>
      <c r="I9365" s="6"/>
    </row>
    <row r="9366" spans="8:9" x14ac:dyDescent="0.2">
      <c r="H9366" s="6"/>
      <c r="I9366" s="6"/>
    </row>
    <row r="9367" spans="8:9" x14ac:dyDescent="0.2">
      <c r="H9367" s="6"/>
      <c r="I9367" s="6"/>
    </row>
    <row r="9368" spans="8:9" x14ac:dyDescent="0.2">
      <c r="H9368" s="6"/>
      <c r="I9368" s="6"/>
    </row>
    <row r="9369" spans="8:9" x14ac:dyDescent="0.2">
      <c r="H9369" s="6"/>
      <c r="I9369" s="6"/>
    </row>
    <row r="9370" spans="8:9" x14ac:dyDescent="0.2">
      <c r="H9370" s="6"/>
      <c r="I9370" s="6"/>
    </row>
    <row r="9371" spans="8:9" x14ac:dyDescent="0.2">
      <c r="H9371" s="6"/>
      <c r="I9371" s="6"/>
    </row>
    <row r="9372" spans="8:9" x14ac:dyDescent="0.2">
      <c r="H9372" s="6"/>
      <c r="I9372" s="6"/>
    </row>
    <row r="9373" spans="8:9" x14ac:dyDescent="0.2">
      <c r="H9373" s="6"/>
      <c r="I9373" s="6"/>
    </row>
    <row r="9374" spans="8:9" x14ac:dyDescent="0.2">
      <c r="H9374" s="6"/>
      <c r="I9374" s="6"/>
    </row>
    <row r="9375" spans="8:9" x14ac:dyDescent="0.2">
      <c r="H9375" s="6"/>
      <c r="I9375" s="6"/>
    </row>
    <row r="9376" spans="8:9" x14ac:dyDescent="0.2">
      <c r="H9376" s="6"/>
      <c r="I9376" s="6"/>
    </row>
    <row r="9377" spans="8:9" x14ac:dyDescent="0.2">
      <c r="H9377" s="6"/>
      <c r="I9377" s="6"/>
    </row>
    <row r="9378" spans="8:9" x14ac:dyDescent="0.2">
      <c r="H9378" s="6"/>
      <c r="I9378" s="6"/>
    </row>
    <row r="9379" spans="8:9" x14ac:dyDescent="0.2">
      <c r="H9379" s="6"/>
      <c r="I9379" s="6"/>
    </row>
    <row r="9380" spans="8:9" x14ac:dyDescent="0.2">
      <c r="H9380" s="6"/>
      <c r="I9380" s="6"/>
    </row>
    <row r="9381" spans="8:9" x14ac:dyDescent="0.2">
      <c r="H9381" s="6"/>
      <c r="I9381" s="6"/>
    </row>
    <row r="9382" spans="8:9" x14ac:dyDescent="0.2">
      <c r="H9382" s="6"/>
      <c r="I9382" s="6"/>
    </row>
    <row r="9383" spans="8:9" x14ac:dyDescent="0.2">
      <c r="H9383" s="6"/>
      <c r="I9383" s="6"/>
    </row>
    <row r="9384" spans="8:9" x14ac:dyDescent="0.2">
      <c r="H9384" s="6"/>
      <c r="I9384" s="6"/>
    </row>
    <row r="9385" spans="8:9" x14ac:dyDescent="0.2">
      <c r="H9385" s="6"/>
      <c r="I9385" s="6"/>
    </row>
    <row r="9386" spans="8:9" x14ac:dyDescent="0.2">
      <c r="H9386" s="6"/>
      <c r="I9386" s="6"/>
    </row>
    <row r="9387" spans="8:9" x14ac:dyDescent="0.2">
      <c r="H9387" s="6"/>
      <c r="I9387" s="6"/>
    </row>
    <row r="9388" spans="8:9" x14ac:dyDescent="0.2">
      <c r="H9388" s="6"/>
      <c r="I9388" s="6"/>
    </row>
    <row r="9389" spans="8:9" x14ac:dyDescent="0.2">
      <c r="H9389" s="6"/>
      <c r="I9389" s="6"/>
    </row>
    <row r="9390" spans="8:9" x14ac:dyDescent="0.2">
      <c r="H9390" s="6"/>
      <c r="I9390" s="6"/>
    </row>
    <row r="9391" spans="8:9" x14ac:dyDescent="0.2">
      <c r="H9391" s="6"/>
      <c r="I9391" s="6"/>
    </row>
    <row r="9392" spans="8:9" x14ac:dyDescent="0.2">
      <c r="H9392" s="6"/>
      <c r="I9392" s="6"/>
    </row>
    <row r="9393" spans="8:9" x14ac:dyDescent="0.2">
      <c r="H9393" s="6"/>
      <c r="I9393" s="6"/>
    </row>
    <row r="9394" spans="8:9" x14ac:dyDescent="0.2">
      <c r="H9394" s="6"/>
      <c r="I9394" s="6"/>
    </row>
    <row r="9395" spans="8:9" x14ac:dyDescent="0.2">
      <c r="H9395" s="6"/>
      <c r="I9395" s="6"/>
    </row>
    <row r="9396" spans="8:9" x14ac:dyDescent="0.2">
      <c r="H9396" s="6"/>
      <c r="I9396" s="6"/>
    </row>
    <row r="9397" spans="8:9" x14ac:dyDescent="0.2">
      <c r="H9397" s="6"/>
      <c r="I9397" s="6"/>
    </row>
    <row r="9398" spans="8:9" x14ac:dyDescent="0.2">
      <c r="H9398" s="6"/>
      <c r="I9398" s="6"/>
    </row>
    <row r="9399" spans="8:9" x14ac:dyDescent="0.2">
      <c r="H9399" s="6"/>
      <c r="I9399" s="6"/>
    </row>
    <row r="9400" spans="8:9" x14ac:dyDescent="0.2">
      <c r="H9400" s="6"/>
      <c r="I9400" s="6"/>
    </row>
    <row r="9401" spans="8:9" x14ac:dyDescent="0.2">
      <c r="H9401" s="6"/>
      <c r="I9401" s="6"/>
    </row>
    <row r="9402" spans="8:9" x14ac:dyDescent="0.2">
      <c r="H9402" s="6"/>
      <c r="I9402" s="6"/>
    </row>
    <row r="9403" spans="8:9" x14ac:dyDescent="0.2">
      <c r="H9403" s="6"/>
      <c r="I9403" s="6"/>
    </row>
    <row r="9404" spans="8:9" x14ac:dyDescent="0.2">
      <c r="H9404" s="6"/>
      <c r="I9404" s="6"/>
    </row>
    <row r="9405" spans="8:9" x14ac:dyDescent="0.2">
      <c r="H9405" s="6"/>
      <c r="I9405" s="6"/>
    </row>
    <row r="9406" spans="8:9" x14ac:dyDescent="0.2">
      <c r="H9406" s="6"/>
      <c r="I9406" s="6"/>
    </row>
    <row r="9407" spans="8:9" x14ac:dyDescent="0.2">
      <c r="H9407" s="6"/>
      <c r="I9407" s="6"/>
    </row>
    <row r="9408" spans="8:9" x14ac:dyDescent="0.2">
      <c r="H9408" s="6"/>
      <c r="I9408" s="6"/>
    </row>
    <row r="9409" spans="8:9" x14ac:dyDescent="0.2">
      <c r="H9409" s="6"/>
      <c r="I9409" s="6"/>
    </row>
    <row r="9410" spans="8:9" x14ac:dyDescent="0.2">
      <c r="H9410" s="6"/>
      <c r="I9410" s="6"/>
    </row>
    <row r="9411" spans="8:9" x14ac:dyDescent="0.2">
      <c r="H9411" s="6"/>
      <c r="I9411" s="6"/>
    </row>
    <row r="9412" spans="8:9" x14ac:dyDescent="0.2">
      <c r="H9412" s="6"/>
      <c r="I9412" s="6"/>
    </row>
    <row r="9413" spans="8:9" x14ac:dyDescent="0.2">
      <c r="H9413" s="6"/>
      <c r="I9413" s="6"/>
    </row>
    <row r="9414" spans="8:9" x14ac:dyDescent="0.2">
      <c r="H9414" s="6"/>
      <c r="I9414" s="6"/>
    </row>
    <row r="9415" spans="8:9" x14ac:dyDescent="0.2">
      <c r="H9415" s="6"/>
      <c r="I9415" s="6"/>
    </row>
    <row r="9416" spans="8:9" x14ac:dyDescent="0.2">
      <c r="H9416" s="6"/>
      <c r="I9416" s="6"/>
    </row>
    <row r="9417" spans="8:9" x14ac:dyDescent="0.2">
      <c r="H9417" s="6"/>
      <c r="I9417" s="6"/>
    </row>
    <row r="9418" spans="8:9" x14ac:dyDescent="0.2">
      <c r="H9418" s="6"/>
      <c r="I9418" s="6"/>
    </row>
    <row r="9419" spans="8:9" x14ac:dyDescent="0.2">
      <c r="H9419" s="6"/>
      <c r="I9419" s="6"/>
    </row>
    <row r="9420" spans="8:9" x14ac:dyDescent="0.2">
      <c r="H9420" s="6"/>
      <c r="I9420" s="6"/>
    </row>
    <row r="9421" spans="8:9" x14ac:dyDescent="0.2">
      <c r="H9421" s="6"/>
      <c r="I9421" s="6"/>
    </row>
    <row r="9422" spans="8:9" x14ac:dyDescent="0.2">
      <c r="H9422" s="6"/>
      <c r="I9422" s="6"/>
    </row>
    <row r="9423" spans="8:9" x14ac:dyDescent="0.2">
      <c r="H9423" s="6"/>
      <c r="I9423" s="6"/>
    </row>
    <row r="9424" spans="8:9" x14ac:dyDescent="0.2">
      <c r="H9424" s="6"/>
      <c r="I9424" s="6"/>
    </row>
    <row r="9425" spans="8:9" x14ac:dyDescent="0.2">
      <c r="H9425" s="6"/>
      <c r="I9425" s="6"/>
    </row>
    <row r="9426" spans="8:9" x14ac:dyDescent="0.2">
      <c r="H9426" s="6"/>
      <c r="I9426" s="6"/>
    </row>
    <row r="9427" spans="8:9" x14ac:dyDescent="0.2">
      <c r="H9427" s="6"/>
      <c r="I9427" s="6"/>
    </row>
    <row r="9428" spans="8:9" x14ac:dyDescent="0.2">
      <c r="H9428" s="6"/>
      <c r="I9428" s="6"/>
    </row>
    <row r="9429" spans="8:9" x14ac:dyDescent="0.2">
      <c r="H9429" s="6"/>
      <c r="I9429" s="6"/>
    </row>
    <row r="9430" spans="8:9" x14ac:dyDescent="0.2">
      <c r="H9430" s="6"/>
      <c r="I9430" s="6"/>
    </row>
    <row r="9431" spans="8:9" x14ac:dyDescent="0.2">
      <c r="H9431" s="6"/>
      <c r="I9431" s="6"/>
    </row>
    <row r="9432" spans="8:9" x14ac:dyDescent="0.2">
      <c r="H9432" s="6"/>
      <c r="I9432" s="6"/>
    </row>
    <row r="9433" spans="8:9" x14ac:dyDescent="0.2">
      <c r="H9433" s="6"/>
      <c r="I9433" s="6"/>
    </row>
    <row r="9434" spans="8:9" x14ac:dyDescent="0.2">
      <c r="H9434" s="6"/>
      <c r="I9434" s="6"/>
    </row>
    <row r="9435" spans="8:9" x14ac:dyDescent="0.2">
      <c r="H9435" s="6"/>
      <c r="I9435" s="6"/>
    </row>
    <row r="9436" spans="8:9" x14ac:dyDescent="0.2">
      <c r="H9436" s="6"/>
      <c r="I9436" s="6"/>
    </row>
    <row r="9437" spans="8:9" x14ac:dyDescent="0.2">
      <c r="H9437" s="6"/>
      <c r="I9437" s="6"/>
    </row>
    <row r="9438" spans="8:9" x14ac:dyDescent="0.2">
      <c r="H9438" s="6"/>
      <c r="I9438" s="6"/>
    </row>
    <row r="9439" spans="8:9" x14ac:dyDescent="0.2">
      <c r="H9439" s="6"/>
      <c r="I9439" s="6"/>
    </row>
    <row r="9440" spans="8:9" x14ac:dyDescent="0.2">
      <c r="H9440" s="6"/>
      <c r="I9440" s="6"/>
    </row>
    <row r="9441" spans="8:9" x14ac:dyDescent="0.2">
      <c r="H9441" s="6"/>
      <c r="I9441" s="6"/>
    </row>
    <row r="9442" spans="8:9" x14ac:dyDescent="0.2">
      <c r="H9442" s="6"/>
      <c r="I9442" s="6"/>
    </row>
    <row r="9443" spans="8:9" x14ac:dyDescent="0.2">
      <c r="H9443" s="6"/>
      <c r="I9443" s="6"/>
    </row>
    <row r="9444" spans="8:9" x14ac:dyDescent="0.2">
      <c r="H9444" s="6"/>
      <c r="I9444" s="6"/>
    </row>
    <row r="9445" spans="8:9" x14ac:dyDescent="0.2">
      <c r="H9445" s="6"/>
      <c r="I9445" s="6"/>
    </row>
    <row r="9446" spans="8:9" x14ac:dyDescent="0.2">
      <c r="H9446" s="6"/>
      <c r="I9446" s="6"/>
    </row>
    <row r="9447" spans="8:9" x14ac:dyDescent="0.2">
      <c r="H9447" s="6"/>
      <c r="I9447" s="6"/>
    </row>
    <row r="9448" spans="8:9" x14ac:dyDescent="0.2">
      <c r="H9448" s="6"/>
      <c r="I9448" s="6"/>
    </row>
    <row r="9449" spans="8:9" x14ac:dyDescent="0.2">
      <c r="H9449" s="6"/>
      <c r="I9449" s="6"/>
    </row>
    <row r="9450" spans="8:9" x14ac:dyDescent="0.2">
      <c r="H9450" s="6"/>
      <c r="I9450" s="6"/>
    </row>
    <row r="9451" spans="8:9" x14ac:dyDescent="0.2">
      <c r="H9451" s="6"/>
      <c r="I9451" s="6"/>
    </row>
    <row r="9452" spans="8:9" x14ac:dyDescent="0.2">
      <c r="H9452" s="6"/>
      <c r="I9452" s="6"/>
    </row>
    <row r="9453" spans="8:9" x14ac:dyDescent="0.2">
      <c r="H9453" s="6"/>
      <c r="I9453" s="6"/>
    </row>
    <row r="9454" spans="8:9" x14ac:dyDescent="0.2">
      <c r="H9454" s="6"/>
      <c r="I9454" s="6"/>
    </row>
    <row r="9455" spans="8:9" x14ac:dyDescent="0.2">
      <c r="H9455" s="6"/>
      <c r="I9455" s="6"/>
    </row>
    <row r="9456" spans="8:9" x14ac:dyDescent="0.2">
      <c r="H9456" s="6"/>
      <c r="I9456" s="6"/>
    </row>
    <row r="9457" spans="8:9" x14ac:dyDescent="0.2">
      <c r="H9457" s="6"/>
      <c r="I9457" s="6"/>
    </row>
    <row r="9458" spans="8:9" x14ac:dyDescent="0.2">
      <c r="H9458" s="6"/>
      <c r="I9458" s="6"/>
    </row>
    <row r="9459" spans="8:9" x14ac:dyDescent="0.2">
      <c r="H9459" s="6"/>
      <c r="I9459" s="6"/>
    </row>
    <row r="9460" spans="8:9" x14ac:dyDescent="0.2">
      <c r="H9460" s="6"/>
      <c r="I9460" s="6"/>
    </row>
    <row r="9461" spans="8:9" x14ac:dyDescent="0.2">
      <c r="H9461" s="6"/>
      <c r="I9461" s="6"/>
    </row>
    <row r="9462" spans="8:9" x14ac:dyDescent="0.2">
      <c r="H9462" s="6"/>
      <c r="I9462" s="6"/>
    </row>
    <row r="9463" spans="8:9" x14ac:dyDescent="0.2">
      <c r="H9463" s="6"/>
      <c r="I9463" s="6"/>
    </row>
    <row r="9464" spans="8:9" x14ac:dyDescent="0.2">
      <c r="H9464" s="6"/>
      <c r="I9464" s="6"/>
    </row>
    <row r="9465" spans="8:9" x14ac:dyDescent="0.2">
      <c r="H9465" s="6"/>
      <c r="I9465" s="6"/>
    </row>
    <row r="9466" spans="8:9" x14ac:dyDescent="0.2">
      <c r="H9466" s="6"/>
      <c r="I9466" s="6"/>
    </row>
    <row r="9467" spans="8:9" x14ac:dyDescent="0.2">
      <c r="H9467" s="6"/>
      <c r="I9467" s="6"/>
    </row>
    <row r="9468" spans="8:9" x14ac:dyDescent="0.2">
      <c r="H9468" s="6"/>
      <c r="I9468" s="6"/>
    </row>
    <row r="9469" spans="8:9" x14ac:dyDescent="0.2">
      <c r="H9469" s="6"/>
      <c r="I9469" s="6"/>
    </row>
    <row r="9470" spans="8:9" x14ac:dyDescent="0.2">
      <c r="H9470" s="6"/>
      <c r="I9470" s="6"/>
    </row>
    <row r="9471" spans="8:9" x14ac:dyDescent="0.2">
      <c r="H9471" s="6"/>
      <c r="I9471" s="6"/>
    </row>
    <row r="9472" spans="8:9" x14ac:dyDescent="0.2">
      <c r="H9472" s="6"/>
      <c r="I9472" s="6"/>
    </row>
    <row r="9473" spans="8:9" x14ac:dyDescent="0.2">
      <c r="H9473" s="6"/>
      <c r="I9473" s="6"/>
    </row>
    <row r="9474" spans="8:9" x14ac:dyDescent="0.2">
      <c r="H9474" s="6"/>
      <c r="I9474" s="6"/>
    </row>
    <row r="9475" spans="8:9" x14ac:dyDescent="0.2">
      <c r="H9475" s="6"/>
      <c r="I9475" s="6"/>
    </row>
    <row r="9476" spans="8:9" x14ac:dyDescent="0.2">
      <c r="H9476" s="6"/>
      <c r="I9476" s="6"/>
    </row>
    <row r="9477" spans="8:9" x14ac:dyDescent="0.2">
      <c r="H9477" s="6"/>
      <c r="I9477" s="6"/>
    </row>
    <row r="9478" spans="8:9" x14ac:dyDescent="0.2">
      <c r="H9478" s="6"/>
      <c r="I9478" s="6"/>
    </row>
    <row r="9479" spans="8:9" x14ac:dyDescent="0.2">
      <c r="H9479" s="6"/>
      <c r="I9479" s="6"/>
    </row>
    <row r="9480" spans="8:9" x14ac:dyDescent="0.2">
      <c r="H9480" s="6"/>
      <c r="I9480" s="6"/>
    </row>
    <row r="9481" spans="8:9" x14ac:dyDescent="0.2">
      <c r="H9481" s="6"/>
      <c r="I9481" s="6"/>
    </row>
    <row r="9482" spans="8:9" x14ac:dyDescent="0.2">
      <c r="H9482" s="6"/>
      <c r="I9482" s="6"/>
    </row>
    <row r="9483" spans="8:9" x14ac:dyDescent="0.2">
      <c r="H9483" s="6"/>
      <c r="I9483" s="6"/>
    </row>
    <row r="9484" spans="8:9" x14ac:dyDescent="0.2">
      <c r="H9484" s="6"/>
      <c r="I9484" s="6"/>
    </row>
    <row r="9485" spans="8:9" x14ac:dyDescent="0.2">
      <c r="H9485" s="6"/>
      <c r="I9485" s="6"/>
    </row>
    <row r="9486" spans="8:9" x14ac:dyDescent="0.2">
      <c r="H9486" s="6"/>
      <c r="I9486" s="6"/>
    </row>
    <row r="9487" spans="8:9" x14ac:dyDescent="0.2">
      <c r="H9487" s="6"/>
      <c r="I9487" s="6"/>
    </row>
    <row r="9488" spans="8:9" x14ac:dyDescent="0.2">
      <c r="H9488" s="6"/>
      <c r="I9488" s="6"/>
    </row>
    <row r="9489" spans="8:9" x14ac:dyDescent="0.2">
      <c r="H9489" s="6"/>
      <c r="I9489" s="6"/>
    </row>
    <row r="9490" spans="8:9" x14ac:dyDescent="0.2">
      <c r="H9490" s="6"/>
      <c r="I9490" s="6"/>
    </row>
    <row r="9491" spans="8:9" x14ac:dyDescent="0.2">
      <c r="H9491" s="6"/>
      <c r="I9491" s="6"/>
    </row>
    <row r="9492" spans="8:9" x14ac:dyDescent="0.2">
      <c r="H9492" s="6"/>
      <c r="I9492" s="6"/>
    </row>
    <row r="9493" spans="8:9" x14ac:dyDescent="0.2">
      <c r="H9493" s="6"/>
      <c r="I9493" s="6"/>
    </row>
    <row r="9494" spans="8:9" x14ac:dyDescent="0.2">
      <c r="H9494" s="6"/>
      <c r="I9494" s="6"/>
    </row>
    <row r="9495" spans="8:9" x14ac:dyDescent="0.2">
      <c r="H9495" s="6"/>
      <c r="I9495" s="6"/>
    </row>
    <row r="9496" spans="8:9" x14ac:dyDescent="0.2">
      <c r="H9496" s="6"/>
      <c r="I9496" s="6"/>
    </row>
    <row r="9497" spans="8:9" x14ac:dyDescent="0.2">
      <c r="H9497" s="6"/>
      <c r="I9497" s="6"/>
    </row>
    <row r="9498" spans="8:9" x14ac:dyDescent="0.2">
      <c r="H9498" s="6"/>
      <c r="I9498" s="6"/>
    </row>
    <row r="9499" spans="8:9" x14ac:dyDescent="0.2">
      <c r="H9499" s="6"/>
      <c r="I9499" s="6"/>
    </row>
    <row r="9500" spans="8:9" x14ac:dyDescent="0.2">
      <c r="H9500" s="6"/>
      <c r="I9500" s="6"/>
    </row>
    <row r="9501" spans="8:9" x14ac:dyDescent="0.2">
      <c r="H9501" s="6"/>
      <c r="I9501" s="6"/>
    </row>
    <row r="9502" spans="8:9" x14ac:dyDescent="0.2">
      <c r="H9502" s="6"/>
      <c r="I9502" s="6"/>
    </row>
    <row r="9503" spans="8:9" x14ac:dyDescent="0.2">
      <c r="H9503" s="6"/>
      <c r="I9503" s="6"/>
    </row>
    <row r="9504" spans="8:9" x14ac:dyDescent="0.2">
      <c r="H9504" s="6"/>
      <c r="I9504" s="6"/>
    </row>
    <row r="9505" spans="8:9" x14ac:dyDescent="0.2">
      <c r="H9505" s="6"/>
      <c r="I9505" s="6"/>
    </row>
    <row r="9506" spans="8:9" x14ac:dyDescent="0.2">
      <c r="H9506" s="6"/>
      <c r="I9506" s="6"/>
    </row>
    <row r="9507" spans="8:9" x14ac:dyDescent="0.2">
      <c r="H9507" s="6"/>
      <c r="I9507" s="6"/>
    </row>
    <row r="9508" spans="8:9" x14ac:dyDescent="0.2">
      <c r="H9508" s="6"/>
      <c r="I9508" s="6"/>
    </row>
    <row r="9509" spans="8:9" x14ac:dyDescent="0.2">
      <c r="H9509" s="6"/>
      <c r="I9509" s="6"/>
    </row>
    <row r="9510" spans="8:9" x14ac:dyDescent="0.2">
      <c r="H9510" s="6"/>
      <c r="I9510" s="6"/>
    </row>
    <row r="9511" spans="8:9" x14ac:dyDescent="0.2">
      <c r="H9511" s="6"/>
      <c r="I9511" s="6"/>
    </row>
    <row r="9512" spans="8:9" x14ac:dyDescent="0.2">
      <c r="H9512" s="6"/>
      <c r="I9512" s="6"/>
    </row>
    <row r="9513" spans="8:9" x14ac:dyDescent="0.2">
      <c r="H9513" s="6"/>
      <c r="I9513" s="6"/>
    </row>
    <row r="9514" spans="8:9" x14ac:dyDescent="0.2">
      <c r="H9514" s="6"/>
      <c r="I9514" s="6"/>
    </row>
    <row r="9515" spans="8:9" x14ac:dyDescent="0.2">
      <c r="H9515" s="6"/>
      <c r="I9515" s="6"/>
    </row>
    <row r="9516" spans="8:9" x14ac:dyDescent="0.2">
      <c r="H9516" s="6"/>
      <c r="I9516" s="6"/>
    </row>
    <row r="9517" spans="8:9" x14ac:dyDescent="0.2">
      <c r="H9517" s="6"/>
      <c r="I9517" s="6"/>
    </row>
    <row r="9518" spans="8:9" x14ac:dyDescent="0.2">
      <c r="H9518" s="6"/>
      <c r="I9518" s="6"/>
    </row>
    <row r="9519" spans="8:9" x14ac:dyDescent="0.2">
      <c r="H9519" s="6"/>
      <c r="I9519" s="6"/>
    </row>
    <row r="9520" spans="8:9" x14ac:dyDescent="0.2">
      <c r="H9520" s="6"/>
      <c r="I9520" s="6"/>
    </row>
    <row r="9521" spans="8:9" x14ac:dyDescent="0.2">
      <c r="H9521" s="6"/>
      <c r="I9521" s="6"/>
    </row>
    <row r="9522" spans="8:9" x14ac:dyDescent="0.2">
      <c r="H9522" s="6"/>
      <c r="I9522" s="6"/>
    </row>
    <row r="9523" spans="8:9" x14ac:dyDescent="0.2">
      <c r="H9523" s="6"/>
      <c r="I9523" s="6"/>
    </row>
    <row r="9524" spans="8:9" x14ac:dyDescent="0.2">
      <c r="H9524" s="6"/>
      <c r="I9524" s="6"/>
    </row>
    <row r="9525" spans="8:9" x14ac:dyDescent="0.2">
      <c r="H9525" s="6"/>
      <c r="I9525" s="6"/>
    </row>
    <row r="9526" spans="8:9" x14ac:dyDescent="0.2">
      <c r="H9526" s="6"/>
      <c r="I9526" s="6"/>
    </row>
    <row r="9527" spans="8:9" x14ac:dyDescent="0.2">
      <c r="H9527" s="6"/>
      <c r="I9527" s="6"/>
    </row>
    <row r="9528" spans="8:9" x14ac:dyDescent="0.2">
      <c r="H9528" s="6"/>
      <c r="I9528" s="6"/>
    </row>
    <row r="9529" spans="8:9" x14ac:dyDescent="0.2">
      <c r="H9529" s="6"/>
      <c r="I9529" s="6"/>
    </row>
    <row r="9530" spans="8:9" x14ac:dyDescent="0.2">
      <c r="H9530" s="6"/>
      <c r="I9530" s="6"/>
    </row>
    <row r="9531" spans="8:9" x14ac:dyDescent="0.2">
      <c r="H9531" s="6"/>
      <c r="I9531" s="6"/>
    </row>
    <row r="9532" spans="8:9" x14ac:dyDescent="0.2">
      <c r="H9532" s="6"/>
      <c r="I9532" s="6"/>
    </row>
    <row r="9533" spans="8:9" x14ac:dyDescent="0.2">
      <c r="H9533" s="6"/>
      <c r="I9533" s="6"/>
    </row>
    <row r="9534" spans="8:9" x14ac:dyDescent="0.2">
      <c r="H9534" s="6"/>
      <c r="I9534" s="6"/>
    </row>
    <row r="9535" spans="8:9" x14ac:dyDescent="0.2">
      <c r="H9535" s="6"/>
      <c r="I9535" s="6"/>
    </row>
    <row r="9536" spans="8:9" x14ac:dyDescent="0.2">
      <c r="H9536" s="6"/>
      <c r="I9536" s="6"/>
    </row>
    <row r="9537" spans="8:9" x14ac:dyDescent="0.2">
      <c r="H9537" s="6"/>
      <c r="I9537" s="6"/>
    </row>
    <row r="9538" spans="8:9" x14ac:dyDescent="0.2">
      <c r="H9538" s="6"/>
      <c r="I9538" s="6"/>
    </row>
    <row r="9539" spans="8:9" x14ac:dyDescent="0.2">
      <c r="H9539" s="6"/>
      <c r="I9539" s="6"/>
    </row>
    <row r="9540" spans="8:9" x14ac:dyDescent="0.2">
      <c r="H9540" s="6"/>
      <c r="I9540" s="6"/>
    </row>
    <row r="9541" spans="8:9" x14ac:dyDescent="0.2">
      <c r="H9541" s="6"/>
      <c r="I9541" s="6"/>
    </row>
    <row r="9542" spans="8:9" x14ac:dyDescent="0.2">
      <c r="H9542" s="6"/>
      <c r="I9542" s="6"/>
    </row>
    <row r="9543" spans="8:9" x14ac:dyDescent="0.2">
      <c r="H9543" s="6"/>
      <c r="I9543" s="6"/>
    </row>
    <row r="9544" spans="8:9" x14ac:dyDescent="0.2">
      <c r="H9544" s="6"/>
      <c r="I9544" s="6"/>
    </row>
    <row r="9545" spans="8:9" x14ac:dyDescent="0.2">
      <c r="H9545" s="6"/>
      <c r="I9545" s="6"/>
    </row>
    <row r="9546" spans="8:9" x14ac:dyDescent="0.2">
      <c r="H9546" s="6"/>
      <c r="I9546" s="6"/>
    </row>
    <row r="9547" spans="8:9" x14ac:dyDescent="0.2">
      <c r="H9547" s="6"/>
      <c r="I9547" s="6"/>
    </row>
    <row r="9548" spans="8:9" x14ac:dyDescent="0.2">
      <c r="H9548" s="6"/>
      <c r="I9548" s="6"/>
    </row>
    <row r="9549" spans="8:9" x14ac:dyDescent="0.2">
      <c r="H9549" s="6"/>
      <c r="I9549" s="6"/>
    </row>
    <row r="9550" spans="8:9" x14ac:dyDescent="0.2">
      <c r="H9550" s="6"/>
      <c r="I9550" s="6"/>
    </row>
    <row r="9551" spans="8:9" x14ac:dyDescent="0.2">
      <c r="H9551" s="6"/>
      <c r="I9551" s="6"/>
    </row>
    <row r="9552" spans="8:9" x14ac:dyDescent="0.2">
      <c r="H9552" s="6"/>
      <c r="I9552" s="6"/>
    </row>
    <row r="9553" spans="8:9" x14ac:dyDescent="0.2">
      <c r="H9553" s="6"/>
      <c r="I9553" s="6"/>
    </row>
    <row r="9554" spans="8:9" x14ac:dyDescent="0.2">
      <c r="H9554" s="6"/>
      <c r="I9554" s="6"/>
    </row>
    <row r="9555" spans="8:9" x14ac:dyDescent="0.2">
      <c r="H9555" s="6"/>
      <c r="I9555" s="6"/>
    </row>
    <row r="9556" spans="8:9" x14ac:dyDescent="0.2">
      <c r="H9556" s="6"/>
      <c r="I9556" s="6"/>
    </row>
    <row r="9557" spans="8:9" x14ac:dyDescent="0.2">
      <c r="H9557" s="6"/>
      <c r="I9557" s="6"/>
    </row>
    <row r="9558" spans="8:9" x14ac:dyDescent="0.2">
      <c r="H9558" s="6"/>
      <c r="I9558" s="6"/>
    </row>
    <row r="9559" spans="8:9" x14ac:dyDescent="0.2">
      <c r="H9559" s="6"/>
      <c r="I9559" s="6"/>
    </row>
    <row r="9560" spans="8:9" x14ac:dyDescent="0.2">
      <c r="H9560" s="6"/>
      <c r="I9560" s="6"/>
    </row>
    <row r="9561" spans="8:9" x14ac:dyDescent="0.2">
      <c r="H9561" s="6"/>
      <c r="I9561" s="6"/>
    </row>
    <row r="9562" spans="8:9" x14ac:dyDescent="0.2">
      <c r="H9562" s="6"/>
      <c r="I9562" s="6"/>
    </row>
    <row r="9563" spans="8:9" x14ac:dyDescent="0.2">
      <c r="H9563" s="6"/>
      <c r="I9563" s="6"/>
    </row>
    <row r="9564" spans="8:9" x14ac:dyDescent="0.2">
      <c r="H9564" s="6"/>
      <c r="I9564" s="6"/>
    </row>
    <row r="9565" spans="8:9" x14ac:dyDescent="0.2">
      <c r="H9565" s="6"/>
      <c r="I9565" s="6"/>
    </row>
    <row r="9566" spans="8:9" x14ac:dyDescent="0.2">
      <c r="H9566" s="6"/>
      <c r="I9566" s="6"/>
    </row>
    <row r="9567" spans="8:9" x14ac:dyDescent="0.2">
      <c r="H9567" s="6"/>
      <c r="I9567" s="6"/>
    </row>
    <row r="9568" spans="8:9" x14ac:dyDescent="0.2">
      <c r="H9568" s="6"/>
      <c r="I9568" s="6"/>
    </row>
    <row r="9569" spans="8:9" x14ac:dyDescent="0.2">
      <c r="H9569" s="6"/>
      <c r="I9569" s="6"/>
    </row>
    <row r="9570" spans="8:9" x14ac:dyDescent="0.2">
      <c r="H9570" s="6"/>
      <c r="I9570" s="6"/>
    </row>
    <row r="9571" spans="8:9" x14ac:dyDescent="0.2">
      <c r="H9571" s="6"/>
      <c r="I9571" s="6"/>
    </row>
    <row r="9572" spans="8:9" x14ac:dyDescent="0.2">
      <c r="H9572" s="6"/>
      <c r="I9572" s="6"/>
    </row>
    <row r="9573" spans="8:9" x14ac:dyDescent="0.2">
      <c r="H9573" s="6"/>
      <c r="I9573" s="6"/>
    </row>
    <row r="9574" spans="8:9" x14ac:dyDescent="0.2">
      <c r="H9574" s="6"/>
      <c r="I9574" s="6"/>
    </row>
    <row r="9575" spans="8:9" x14ac:dyDescent="0.2">
      <c r="H9575" s="6"/>
      <c r="I9575" s="6"/>
    </row>
    <row r="9576" spans="8:9" x14ac:dyDescent="0.2">
      <c r="H9576" s="6"/>
      <c r="I9576" s="6"/>
    </row>
    <row r="9577" spans="8:9" x14ac:dyDescent="0.2">
      <c r="H9577" s="6"/>
      <c r="I9577" s="6"/>
    </row>
    <row r="9578" spans="8:9" x14ac:dyDescent="0.2">
      <c r="H9578" s="6"/>
      <c r="I9578" s="6"/>
    </row>
    <row r="9579" spans="8:9" x14ac:dyDescent="0.2">
      <c r="H9579" s="6"/>
      <c r="I9579" s="6"/>
    </row>
    <row r="9580" spans="8:9" x14ac:dyDescent="0.2">
      <c r="H9580" s="6"/>
      <c r="I9580" s="6"/>
    </row>
    <row r="9581" spans="8:9" x14ac:dyDescent="0.2">
      <c r="H9581" s="6"/>
      <c r="I9581" s="6"/>
    </row>
    <row r="9582" spans="8:9" x14ac:dyDescent="0.2">
      <c r="H9582" s="6"/>
      <c r="I9582" s="6"/>
    </row>
    <row r="9583" spans="8:9" x14ac:dyDescent="0.2">
      <c r="H9583" s="6"/>
      <c r="I9583" s="6"/>
    </row>
    <row r="9584" spans="8:9" x14ac:dyDescent="0.2">
      <c r="H9584" s="6"/>
      <c r="I9584" s="6"/>
    </row>
    <row r="9585" spans="8:9" x14ac:dyDescent="0.2">
      <c r="H9585" s="6"/>
      <c r="I9585" s="6"/>
    </row>
    <row r="9586" spans="8:9" x14ac:dyDescent="0.2">
      <c r="H9586" s="6"/>
      <c r="I9586" s="6"/>
    </row>
    <row r="9587" spans="8:9" x14ac:dyDescent="0.2">
      <c r="H9587" s="6"/>
      <c r="I9587" s="6"/>
    </row>
    <row r="9588" spans="8:9" x14ac:dyDescent="0.2">
      <c r="H9588" s="6"/>
      <c r="I9588" s="6"/>
    </row>
    <row r="9589" spans="8:9" x14ac:dyDescent="0.2">
      <c r="H9589" s="6"/>
      <c r="I9589" s="6"/>
    </row>
    <row r="9590" spans="8:9" x14ac:dyDescent="0.2">
      <c r="H9590" s="6"/>
      <c r="I9590" s="6"/>
    </row>
    <row r="9591" spans="8:9" x14ac:dyDescent="0.2">
      <c r="H9591" s="6"/>
      <c r="I9591" s="6"/>
    </row>
    <row r="9592" spans="8:9" x14ac:dyDescent="0.2">
      <c r="H9592" s="6"/>
      <c r="I9592" s="6"/>
    </row>
    <row r="9593" spans="8:9" x14ac:dyDescent="0.2">
      <c r="H9593" s="6"/>
      <c r="I9593" s="6"/>
    </row>
    <row r="9594" spans="8:9" x14ac:dyDescent="0.2">
      <c r="H9594" s="6"/>
      <c r="I9594" s="6"/>
    </row>
    <row r="9595" spans="8:9" x14ac:dyDescent="0.2">
      <c r="H9595" s="6"/>
      <c r="I9595" s="6"/>
    </row>
    <row r="9596" spans="8:9" x14ac:dyDescent="0.2">
      <c r="H9596" s="6"/>
      <c r="I9596" s="6"/>
    </row>
    <row r="9597" spans="8:9" x14ac:dyDescent="0.2">
      <c r="H9597" s="6"/>
      <c r="I9597" s="6"/>
    </row>
    <row r="9598" spans="8:9" x14ac:dyDescent="0.2">
      <c r="H9598" s="6"/>
      <c r="I9598" s="6"/>
    </row>
    <row r="9599" spans="8:9" x14ac:dyDescent="0.2">
      <c r="H9599" s="6"/>
      <c r="I9599" s="6"/>
    </row>
    <row r="9600" spans="8:9" x14ac:dyDescent="0.2">
      <c r="H9600" s="6"/>
      <c r="I9600" s="6"/>
    </row>
    <row r="9601" spans="8:9" x14ac:dyDescent="0.2">
      <c r="H9601" s="6"/>
      <c r="I9601" s="6"/>
    </row>
    <row r="9602" spans="8:9" x14ac:dyDescent="0.2">
      <c r="H9602" s="6"/>
      <c r="I9602" s="6"/>
    </row>
    <row r="9603" spans="8:9" x14ac:dyDescent="0.2">
      <c r="H9603" s="6"/>
      <c r="I9603" s="6"/>
    </row>
    <row r="9604" spans="8:9" x14ac:dyDescent="0.2">
      <c r="H9604" s="6"/>
      <c r="I9604" s="6"/>
    </row>
    <row r="9605" spans="8:9" x14ac:dyDescent="0.2">
      <c r="H9605" s="6"/>
      <c r="I9605" s="6"/>
    </row>
    <row r="9606" spans="8:9" x14ac:dyDescent="0.2">
      <c r="H9606" s="6"/>
      <c r="I9606" s="6"/>
    </row>
    <row r="9607" spans="8:9" x14ac:dyDescent="0.2">
      <c r="H9607" s="6"/>
      <c r="I9607" s="6"/>
    </row>
    <row r="9608" spans="8:9" x14ac:dyDescent="0.2">
      <c r="H9608" s="6"/>
      <c r="I9608" s="6"/>
    </row>
    <row r="9609" spans="8:9" x14ac:dyDescent="0.2">
      <c r="H9609" s="6"/>
      <c r="I9609" s="6"/>
    </row>
    <row r="9610" spans="8:9" x14ac:dyDescent="0.2">
      <c r="H9610" s="6"/>
      <c r="I9610" s="6"/>
    </row>
    <row r="9611" spans="8:9" x14ac:dyDescent="0.2">
      <c r="H9611" s="6"/>
      <c r="I9611" s="6"/>
    </row>
    <row r="9612" spans="8:9" x14ac:dyDescent="0.2">
      <c r="H9612" s="6"/>
      <c r="I9612" s="6"/>
    </row>
    <row r="9613" spans="8:9" x14ac:dyDescent="0.2">
      <c r="H9613" s="6"/>
      <c r="I9613" s="6"/>
    </row>
    <row r="9614" spans="8:9" x14ac:dyDescent="0.2">
      <c r="H9614" s="6"/>
      <c r="I9614" s="6"/>
    </row>
    <row r="9615" spans="8:9" x14ac:dyDescent="0.2">
      <c r="H9615" s="6"/>
      <c r="I9615" s="6"/>
    </row>
    <row r="9616" spans="8:9" x14ac:dyDescent="0.2">
      <c r="H9616" s="6"/>
      <c r="I9616" s="6"/>
    </row>
    <row r="9617" spans="8:9" x14ac:dyDescent="0.2">
      <c r="H9617" s="6"/>
      <c r="I9617" s="6"/>
    </row>
    <row r="9618" spans="8:9" x14ac:dyDescent="0.2">
      <c r="H9618" s="6"/>
      <c r="I9618" s="6"/>
    </row>
    <row r="9619" spans="8:9" x14ac:dyDescent="0.2">
      <c r="H9619" s="6"/>
      <c r="I9619" s="6"/>
    </row>
    <row r="9620" spans="8:9" x14ac:dyDescent="0.2">
      <c r="H9620" s="6"/>
      <c r="I9620" s="6"/>
    </row>
    <row r="9621" spans="8:9" x14ac:dyDescent="0.2">
      <c r="H9621" s="6"/>
      <c r="I9621" s="6"/>
    </row>
    <row r="9622" spans="8:9" x14ac:dyDescent="0.2">
      <c r="H9622" s="6"/>
      <c r="I9622" s="6"/>
    </row>
    <row r="9623" spans="8:9" x14ac:dyDescent="0.2">
      <c r="H9623" s="6"/>
      <c r="I9623" s="6"/>
    </row>
    <row r="9624" spans="8:9" x14ac:dyDescent="0.2">
      <c r="H9624" s="6"/>
      <c r="I9624" s="6"/>
    </row>
    <row r="9625" spans="8:9" x14ac:dyDescent="0.2">
      <c r="H9625" s="6"/>
      <c r="I9625" s="6"/>
    </row>
    <row r="9626" spans="8:9" x14ac:dyDescent="0.2">
      <c r="H9626" s="6"/>
      <c r="I9626" s="6"/>
    </row>
    <row r="9627" spans="8:9" x14ac:dyDescent="0.2">
      <c r="H9627" s="6"/>
      <c r="I9627" s="6"/>
    </row>
    <row r="9628" spans="8:9" x14ac:dyDescent="0.2">
      <c r="H9628" s="6"/>
      <c r="I9628" s="6"/>
    </row>
    <row r="9629" spans="8:9" x14ac:dyDescent="0.2">
      <c r="H9629" s="6"/>
      <c r="I9629" s="6"/>
    </row>
    <row r="9630" spans="8:9" x14ac:dyDescent="0.2">
      <c r="H9630" s="6"/>
      <c r="I9630" s="6"/>
    </row>
    <row r="9631" spans="8:9" x14ac:dyDescent="0.2">
      <c r="H9631" s="6"/>
      <c r="I9631" s="6"/>
    </row>
    <row r="9632" spans="8:9" x14ac:dyDescent="0.2">
      <c r="H9632" s="6"/>
      <c r="I9632" s="6"/>
    </row>
    <row r="9633" spans="8:9" x14ac:dyDescent="0.2">
      <c r="H9633" s="6"/>
      <c r="I9633" s="6"/>
    </row>
    <row r="9634" spans="8:9" x14ac:dyDescent="0.2">
      <c r="H9634" s="6"/>
      <c r="I9634" s="6"/>
    </row>
    <row r="9635" spans="8:9" x14ac:dyDescent="0.2">
      <c r="H9635" s="6"/>
      <c r="I9635" s="6"/>
    </row>
    <row r="9636" spans="8:9" x14ac:dyDescent="0.2">
      <c r="H9636" s="6"/>
      <c r="I9636" s="6"/>
    </row>
    <row r="9637" spans="8:9" x14ac:dyDescent="0.2">
      <c r="H9637" s="6"/>
      <c r="I9637" s="6"/>
    </row>
    <row r="9638" spans="8:9" x14ac:dyDescent="0.2">
      <c r="H9638" s="6"/>
      <c r="I9638" s="6"/>
    </row>
    <row r="9639" spans="8:9" x14ac:dyDescent="0.2">
      <c r="H9639" s="6"/>
      <c r="I9639" s="6"/>
    </row>
    <row r="9640" spans="8:9" x14ac:dyDescent="0.2">
      <c r="H9640" s="6"/>
      <c r="I9640" s="6"/>
    </row>
    <row r="9641" spans="8:9" x14ac:dyDescent="0.2">
      <c r="H9641" s="6"/>
      <c r="I9641" s="6"/>
    </row>
    <row r="9642" spans="8:9" x14ac:dyDescent="0.2">
      <c r="H9642" s="6"/>
      <c r="I9642" s="6"/>
    </row>
    <row r="9643" spans="8:9" x14ac:dyDescent="0.2">
      <c r="H9643" s="6"/>
      <c r="I9643" s="6"/>
    </row>
    <row r="9644" spans="8:9" x14ac:dyDescent="0.2">
      <c r="H9644" s="6"/>
      <c r="I9644" s="6"/>
    </row>
    <row r="9645" spans="8:9" x14ac:dyDescent="0.2">
      <c r="H9645" s="6"/>
      <c r="I9645" s="6"/>
    </row>
    <row r="9646" spans="8:9" x14ac:dyDescent="0.2">
      <c r="H9646" s="6"/>
      <c r="I9646" s="6"/>
    </row>
    <row r="9647" spans="8:9" x14ac:dyDescent="0.2">
      <c r="H9647" s="6"/>
      <c r="I9647" s="6"/>
    </row>
    <row r="9648" spans="8:9" x14ac:dyDescent="0.2">
      <c r="H9648" s="6"/>
      <c r="I9648" s="6"/>
    </row>
    <row r="9649" spans="8:9" x14ac:dyDescent="0.2">
      <c r="H9649" s="6"/>
      <c r="I9649" s="6"/>
    </row>
    <row r="9650" spans="8:9" x14ac:dyDescent="0.2">
      <c r="H9650" s="6"/>
      <c r="I9650" s="6"/>
    </row>
    <row r="9651" spans="8:9" x14ac:dyDescent="0.2">
      <c r="H9651" s="6"/>
      <c r="I9651" s="6"/>
    </row>
    <row r="9652" spans="8:9" x14ac:dyDescent="0.2">
      <c r="H9652" s="6"/>
      <c r="I9652" s="6"/>
    </row>
    <row r="9653" spans="8:9" x14ac:dyDescent="0.2">
      <c r="H9653" s="6"/>
      <c r="I9653" s="6"/>
    </row>
    <row r="9654" spans="8:9" x14ac:dyDescent="0.2">
      <c r="H9654" s="6"/>
      <c r="I9654" s="6"/>
    </row>
    <row r="9655" spans="8:9" x14ac:dyDescent="0.2">
      <c r="H9655" s="6"/>
      <c r="I9655" s="6"/>
    </row>
    <row r="9656" spans="8:9" x14ac:dyDescent="0.2">
      <c r="H9656" s="6"/>
      <c r="I9656" s="6"/>
    </row>
    <row r="9657" spans="8:9" x14ac:dyDescent="0.2">
      <c r="H9657" s="6"/>
      <c r="I9657" s="6"/>
    </row>
    <row r="9658" spans="8:9" x14ac:dyDescent="0.2">
      <c r="H9658" s="6"/>
      <c r="I9658" s="6"/>
    </row>
    <row r="9659" spans="8:9" x14ac:dyDescent="0.2">
      <c r="H9659" s="6"/>
      <c r="I9659" s="6"/>
    </row>
    <row r="9660" spans="8:9" x14ac:dyDescent="0.2">
      <c r="H9660" s="6"/>
      <c r="I9660" s="6"/>
    </row>
    <row r="9661" spans="8:9" x14ac:dyDescent="0.2">
      <c r="H9661" s="6"/>
      <c r="I9661" s="6"/>
    </row>
    <row r="9662" spans="8:9" x14ac:dyDescent="0.2">
      <c r="H9662" s="6"/>
      <c r="I9662" s="6"/>
    </row>
    <row r="9663" spans="8:9" x14ac:dyDescent="0.2">
      <c r="H9663" s="6"/>
      <c r="I9663" s="6"/>
    </row>
    <row r="9664" spans="8:9" x14ac:dyDescent="0.2">
      <c r="H9664" s="6"/>
      <c r="I9664" s="6"/>
    </row>
    <row r="9665" spans="8:9" x14ac:dyDescent="0.2">
      <c r="H9665" s="6"/>
      <c r="I9665" s="6"/>
    </row>
    <row r="9666" spans="8:9" x14ac:dyDescent="0.2">
      <c r="H9666" s="6"/>
      <c r="I9666" s="6"/>
    </row>
    <row r="9667" spans="8:9" x14ac:dyDescent="0.2">
      <c r="H9667" s="6"/>
      <c r="I9667" s="6"/>
    </row>
    <row r="9668" spans="8:9" x14ac:dyDescent="0.2">
      <c r="H9668" s="6"/>
      <c r="I9668" s="6"/>
    </row>
    <row r="9669" spans="8:9" x14ac:dyDescent="0.2">
      <c r="H9669" s="6"/>
      <c r="I9669" s="6"/>
    </row>
    <row r="9670" spans="8:9" x14ac:dyDescent="0.2">
      <c r="H9670" s="6"/>
      <c r="I9670" s="6"/>
    </row>
    <row r="9671" spans="8:9" x14ac:dyDescent="0.2">
      <c r="H9671" s="6"/>
      <c r="I9671" s="6"/>
    </row>
    <row r="9672" spans="8:9" x14ac:dyDescent="0.2">
      <c r="H9672" s="6"/>
      <c r="I9672" s="6"/>
    </row>
    <row r="9673" spans="8:9" x14ac:dyDescent="0.2">
      <c r="H9673" s="6"/>
      <c r="I9673" s="6"/>
    </row>
    <row r="9674" spans="8:9" x14ac:dyDescent="0.2">
      <c r="H9674" s="6"/>
      <c r="I9674" s="6"/>
    </row>
    <row r="9675" spans="8:9" x14ac:dyDescent="0.2">
      <c r="H9675" s="6"/>
      <c r="I9675" s="6"/>
    </row>
    <row r="9676" spans="8:9" x14ac:dyDescent="0.2">
      <c r="H9676" s="6"/>
      <c r="I9676" s="6"/>
    </row>
    <row r="9677" spans="8:9" x14ac:dyDescent="0.2">
      <c r="H9677" s="6"/>
      <c r="I9677" s="6"/>
    </row>
    <row r="9678" spans="8:9" x14ac:dyDescent="0.2">
      <c r="H9678" s="6"/>
      <c r="I9678" s="6"/>
    </row>
    <row r="9679" spans="8:9" x14ac:dyDescent="0.2">
      <c r="H9679" s="6"/>
      <c r="I9679" s="6"/>
    </row>
    <row r="9680" spans="8:9" x14ac:dyDescent="0.2">
      <c r="H9680" s="6"/>
      <c r="I9680" s="6"/>
    </row>
    <row r="9681" spans="8:9" x14ac:dyDescent="0.2">
      <c r="H9681" s="6"/>
      <c r="I9681" s="6"/>
    </row>
    <row r="9682" spans="8:9" x14ac:dyDescent="0.2">
      <c r="H9682" s="6"/>
      <c r="I9682" s="6"/>
    </row>
    <row r="9683" spans="8:9" x14ac:dyDescent="0.2">
      <c r="H9683" s="6"/>
      <c r="I9683" s="6"/>
    </row>
    <row r="9684" spans="8:9" x14ac:dyDescent="0.2">
      <c r="H9684" s="6"/>
      <c r="I9684" s="6"/>
    </row>
    <row r="9685" spans="8:9" x14ac:dyDescent="0.2">
      <c r="H9685" s="6"/>
      <c r="I9685" s="6"/>
    </row>
    <row r="9686" spans="8:9" x14ac:dyDescent="0.2">
      <c r="H9686" s="6"/>
      <c r="I9686" s="6"/>
    </row>
    <row r="9687" spans="8:9" x14ac:dyDescent="0.2">
      <c r="H9687" s="6"/>
      <c r="I9687" s="6"/>
    </row>
    <row r="9688" spans="8:9" x14ac:dyDescent="0.2">
      <c r="H9688" s="6"/>
      <c r="I9688" s="6"/>
    </row>
    <row r="9689" spans="8:9" x14ac:dyDescent="0.2">
      <c r="H9689" s="6"/>
      <c r="I9689" s="6"/>
    </row>
    <row r="9690" spans="8:9" x14ac:dyDescent="0.2">
      <c r="H9690" s="6"/>
      <c r="I9690" s="6"/>
    </row>
    <row r="9691" spans="8:9" x14ac:dyDescent="0.2">
      <c r="H9691" s="6"/>
      <c r="I9691" s="6"/>
    </row>
    <row r="9692" spans="8:9" x14ac:dyDescent="0.2">
      <c r="H9692" s="6"/>
      <c r="I9692" s="6"/>
    </row>
    <row r="9693" spans="8:9" x14ac:dyDescent="0.2">
      <c r="H9693" s="6"/>
      <c r="I9693" s="6"/>
    </row>
    <row r="9694" spans="8:9" x14ac:dyDescent="0.2">
      <c r="H9694" s="6"/>
      <c r="I9694" s="6"/>
    </row>
    <row r="9695" spans="8:9" x14ac:dyDescent="0.2">
      <c r="H9695" s="6"/>
      <c r="I9695" s="6"/>
    </row>
    <row r="9696" spans="8:9" x14ac:dyDescent="0.2">
      <c r="H9696" s="6"/>
      <c r="I9696" s="6"/>
    </row>
    <row r="9697" spans="8:9" x14ac:dyDescent="0.2">
      <c r="H9697" s="6"/>
      <c r="I9697" s="6"/>
    </row>
    <row r="9698" spans="8:9" x14ac:dyDescent="0.2">
      <c r="H9698" s="6"/>
      <c r="I9698" s="6"/>
    </row>
    <row r="9699" spans="8:9" x14ac:dyDescent="0.2">
      <c r="H9699" s="6"/>
      <c r="I9699" s="6"/>
    </row>
    <row r="9700" spans="8:9" x14ac:dyDescent="0.2">
      <c r="H9700" s="6"/>
      <c r="I9700" s="6"/>
    </row>
    <row r="9701" spans="8:9" x14ac:dyDescent="0.2">
      <c r="H9701" s="6"/>
      <c r="I9701" s="6"/>
    </row>
    <row r="9702" spans="8:9" x14ac:dyDescent="0.2">
      <c r="H9702" s="6"/>
      <c r="I9702" s="6"/>
    </row>
    <row r="9703" spans="8:9" x14ac:dyDescent="0.2">
      <c r="H9703" s="6"/>
      <c r="I9703" s="6"/>
    </row>
    <row r="9704" spans="8:9" x14ac:dyDescent="0.2">
      <c r="H9704" s="6"/>
      <c r="I9704" s="6"/>
    </row>
    <row r="9705" spans="8:9" x14ac:dyDescent="0.2">
      <c r="H9705" s="6"/>
      <c r="I9705" s="6"/>
    </row>
    <row r="9706" spans="8:9" x14ac:dyDescent="0.2">
      <c r="H9706" s="6"/>
      <c r="I9706" s="6"/>
    </row>
    <row r="9707" spans="8:9" x14ac:dyDescent="0.2">
      <c r="H9707" s="6"/>
      <c r="I9707" s="6"/>
    </row>
    <row r="9708" spans="8:9" x14ac:dyDescent="0.2">
      <c r="H9708" s="6"/>
      <c r="I9708" s="6"/>
    </row>
    <row r="9709" spans="8:9" x14ac:dyDescent="0.2">
      <c r="H9709" s="6"/>
      <c r="I9709" s="6"/>
    </row>
    <row r="9710" spans="8:9" x14ac:dyDescent="0.2">
      <c r="H9710" s="6"/>
      <c r="I9710" s="6"/>
    </row>
    <row r="9711" spans="8:9" x14ac:dyDescent="0.2">
      <c r="H9711" s="6"/>
      <c r="I9711" s="6"/>
    </row>
    <row r="9712" spans="8:9" x14ac:dyDescent="0.2">
      <c r="H9712" s="6"/>
      <c r="I9712" s="6"/>
    </row>
    <row r="9713" spans="8:9" x14ac:dyDescent="0.2">
      <c r="H9713" s="6"/>
      <c r="I9713" s="6"/>
    </row>
    <row r="9714" spans="8:9" x14ac:dyDescent="0.2">
      <c r="H9714" s="6"/>
      <c r="I9714" s="6"/>
    </row>
    <row r="9715" spans="8:9" x14ac:dyDescent="0.2">
      <c r="H9715" s="6"/>
      <c r="I9715" s="6"/>
    </row>
    <row r="9716" spans="8:9" x14ac:dyDescent="0.2">
      <c r="H9716" s="6"/>
      <c r="I9716" s="6"/>
    </row>
    <row r="9717" spans="8:9" x14ac:dyDescent="0.2">
      <c r="H9717" s="6"/>
      <c r="I9717" s="6"/>
    </row>
    <row r="9718" spans="8:9" x14ac:dyDescent="0.2">
      <c r="H9718" s="6"/>
      <c r="I9718" s="6"/>
    </row>
    <row r="9719" spans="8:9" x14ac:dyDescent="0.2">
      <c r="H9719" s="6"/>
      <c r="I9719" s="6"/>
    </row>
    <row r="9720" spans="8:9" x14ac:dyDescent="0.2">
      <c r="H9720" s="6"/>
      <c r="I9720" s="6"/>
    </row>
    <row r="9721" spans="8:9" x14ac:dyDescent="0.2">
      <c r="H9721" s="6"/>
      <c r="I9721" s="6"/>
    </row>
    <row r="9722" spans="8:9" x14ac:dyDescent="0.2">
      <c r="H9722" s="6"/>
      <c r="I9722" s="6"/>
    </row>
    <row r="9723" spans="8:9" x14ac:dyDescent="0.2">
      <c r="H9723" s="6"/>
      <c r="I9723" s="6"/>
    </row>
    <row r="9724" spans="8:9" x14ac:dyDescent="0.2">
      <c r="H9724" s="6"/>
      <c r="I9724" s="6"/>
    </row>
    <row r="9725" spans="8:9" x14ac:dyDescent="0.2">
      <c r="H9725" s="6"/>
      <c r="I9725" s="6"/>
    </row>
    <row r="9726" spans="8:9" x14ac:dyDescent="0.2">
      <c r="H9726" s="6"/>
      <c r="I9726" s="6"/>
    </row>
    <row r="9727" spans="8:9" x14ac:dyDescent="0.2">
      <c r="H9727" s="6"/>
      <c r="I9727" s="6"/>
    </row>
    <row r="9728" spans="8:9" x14ac:dyDescent="0.2">
      <c r="H9728" s="6"/>
      <c r="I9728" s="6"/>
    </row>
    <row r="9729" spans="8:9" x14ac:dyDescent="0.2">
      <c r="H9729" s="6"/>
      <c r="I9729" s="6"/>
    </row>
    <row r="9730" spans="8:9" x14ac:dyDescent="0.2">
      <c r="H9730" s="6"/>
      <c r="I9730" s="6"/>
    </row>
    <row r="9731" spans="8:9" x14ac:dyDescent="0.2">
      <c r="H9731" s="6"/>
      <c r="I9731" s="6"/>
    </row>
    <row r="9732" spans="8:9" x14ac:dyDescent="0.2">
      <c r="H9732" s="6"/>
      <c r="I9732" s="6"/>
    </row>
    <row r="9733" spans="8:9" x14ac:dyDescent="0.2">
      <c r="H9733" s="6"/>
      <c r="I9733" s="6"/>
    </row>
    <row r="9734" spans="8:9" x14ac:dyDescent="0.2">
      <c r="H9734" s="6"/>
      <c r="I9734" s="6"/>
    </row>
    <row r="9735" spans="8:9" x14ac:dyDescent="0.2">
      <c r="H9735" s="6"/>
      <c r="I9735" s="6"/>
    </row>
    <row r="9736" spans="8:9" x14ac:dyDescent="0.2">
      <c r="H9736" s="6"/>
      <c r="I9736" s="6"/>
    </row>
    <row r="9737" spans="8:9" x14ac:dyDescent="0.2">
      <c r="H9737" s="6"/>
      <c r="I9737" s="6"/>
    </row>
    <row r="9738" spans="8:9" x14ac:dyDescent="0.2">
      <c r="H9738" s="6"/>
      <c r="I9738" s="6"/>
    </row>
    <row r="9739" spans="8:9" x14ac:dyDescent="0.2">
      <c r="H9739" s="6"/>
      <c r="I9739" s="6"/>
    </row>
    <row r="9740" spans="8:9" x14ac:dyDescent="0.2">
      <c r="H9740" s="6"/>
      <c r="I9740" s="6"/>
    </row>
    <row r="9741" spans="8:9" x14ac:dyDescent="0.2">
      <c r="H9741" s="6"/>
      <c r="I9741" s="6"/>
    </row>
    <row r="9742" spans="8:9" x14ac:dyDescent="0.2">
      <c r="H9742" s="6"/>
      <c r="I9742" s="6"/>
    </row>
    <row r="9743" spans="8:9" x14ac:dyDescent="0.2">
      <c r="H9743" s="6"/>
      <c r="I9743" s="6"/>
    </row>
    <row r="9744" spans="8:9" x14ac:dyDescent="0.2">
      <c r="H9744" s="6"/>
      <c r="I9744" s="6"/>
    </row>
    <row r="9745" spans="8:9" x14ac:dyDescent="0.2">
      <c r="H9745" s="6"/>
      <c r="I9745" s="6"/>
    </row>
    <row r="9746" spans="8:9" x14ac:dyDescent="0.2">
      <c r="H9746" s="6"/>
      <c r="I9746" s="6"/>
    </row>
    <row r="9747" spans="8:9" x14ac:dyDescent="0.2">
      <c r="H9747" s="6"/>
      <c r="I9747" s="6"/>
    </row>
    <row r="9748" spans="8:9" x14ac:dyDescent="0.2">
      <c r="H9748" s="6"/>
      <c r="I9748" s="6"/>
    </row>
    <row r="9749" spans="8:9" x14ac:dyDescent="0.2">
      <c r="H9749" s="6"/>
      <c r="I9749" s="6"/>
    </row>
    <row r="9750" spans="8:9" x14ac:dyDescent="0.2">
      <c r="H9750" s="6"/>
      <c r="I9750" s="6"/>
    </row>
    <row r="9751" spans="8:9" x14ac:dyDescent="0.2">
      <c r="H9751" s="6"/>
      <c r="I9751" s="6"/>
    </row>
    <row r="9752" spans="8:9" x14ac:dyDescent="0.2">
      <c r="H9752" s="6"/>
      <c r="I9752" s="6"/>
    </row>
    <row r="9753" spans="8:9" x14ac:dyDescent="0.2">
      <c r="H9753" s="6"/>
      <c r="I9753" s="6"/>
    </row>
    <row r="9754" spans="8:9" x14ac:dyDescent="0.2">
      <c r="H9754" s="6"/>
      <c r="I9754" s="6"/>
    </row>
    <row r="9755" spans="8:9" x14ac:dyDescent="0.2">
      <c r="H9755" s="6"/>
      <c r="I9755" s="6"/>
    </row>
    <row r="9756" spans="8:9" x14ac:dyDescent="0.2">
      <c r="H9756" s="6"/>
      <c r="I9756" s="6"/>
    </row>
    <row r="9757" spans="8:9" x14ac:dyDescent="0.2">
      <c r="H9757" s="6"/>
      <c r="I9757" s="6"/>
    </row>
    <row r="9758" spans="8:9" x14ac:dyDescent="0.2">
      <c r="H9758" s="6"/>
      <c r="I9758" s="6"/>
    </row>
    <row r="9759" spans="8:9" x14ac:dyDescent="0.2">
      <c r="H9759" s="6"/>
      <c r="I9759" s="6"/>
    </row>
    <row r="9760" spans="8:9" x14ac:dyDescent="0.2">
      <c r="H9760" s="6"/>
      <c r="I9760" s="6"/>
    </row>
    <row r="9761" spans="8:9" x14ac:dyDescent="0.2">
      <c r="H9761" s="6"/>
      <c r="I9761" s="6"/>
    </row>
    <row r="9762" spans="8:9" x14ac:dyDescent="0.2">
      <c r="H9762" s="6"/>
      <c r="I9762" s="6"/>
    </row>
    <row r="9763" spans="8:9" x14ac:dyDescent="0.2">
      <c r="H9763" s="6"/>
      <c r="I9763" s="6"/>
    </row>
    <row r="9764" spans="8:9" x14ac:dyDescent="0.2">
      <c r="H9764" s="6"/>
      <c r="I9764" s="6"/>
    </row>
    <row r="9765" spans="8:9" x14ac:dyDescent="0.2">
      <c r="H9765" s="6"/>
      <c r="I9765" s="6"/>
    </row>
    <row r="9766" spans="8:9" x14ac:dyDescent="0.2">
      <c r="H9766" s="6"/>
      <c r="I9766" s="6"/>
    </row>
    <row r="9767" spans="8:9" x14ac:dyDescent="0.2">
      <c r="H9767" s="6"/>
      <c r="I9767" s="6"/>
    </row>
    <row r="9768" spans="8:9" x14ac:dyDescent="0.2">
      <c r="H9768" s="6"/>
      <c r="I9768" s="6"/>
    </row>
    <row r="9769" spans="8:9" x14ac:dyDescent="0.2">
      <c r="H9769" s="6"/>
      <c r="I9769" s="6"/>
    </row>
    <row r="9770" spans="8:9" x14ac:dyDescent="0.2">
      <c r="H9770" s="6"/>
      <c r="I9770" s="6"/>
    </row>
    <row r="9771" spans="8:9" x14ac:dyDescent="0.2">
      <c r="H9771" s="6"/>
      <c r="I9771" s="6"/>
    </row>
    <row r="9772" spans="8:9" x14ac:dyDescent="0.2">
      <c r="H9772" s="6"/>
      <c r="I9772" s="6"/>
    </row>
    <row r="9773" spans="8:9" x14ac:dyDescent="0.2">
      <c r="H9773" s="6"/>
      <c r="I9773" s="6"/>
    </row>
    <row r="9774" spans="8:9" x14ac:dyDescent="0.2">
      <c r="H9774" s="6"/>
      <c r="I9774" s="6"/>
    </row>
    <row r="9775" spans="8:9" x14ac:dyDescent="0.2">
      <c r="H9775" s="6"/>
      <c r="I9775" s="6"/>
    </row>
    <row r="9776" spans="8:9" x14ac:dyDescent="0.2">
      <c r="H9776" s="6"/>
      <c r="I9776" s="6"/>
    </row>
    <row r="9777" spans="8:9" x14ac:dyDescent="0.2">
      <c r="H9777" s="6"/>
      <c r="I9777" s="6"/>
    </row>
    <row r="9778" spans="8:9" x14ac:dyDescent="0.2">
      <c r="H9778" s="6"/>
      <c r="I9778" s="6"/>
    </row>
    <row r="9779" spans="8:9" x14ac:dyDescent="0.2">
      <c r="H9779" s="6"/>
      <c r="I9779" s="6"/>
    </row>
    <row r="9780" spans="8:9" x14ac:dyDescent="0.2">
      <c r="H9780" s="6"/>
      <c r="I9780" s="6"/>
    </row>
    <row r="9781" spans="8:9" x14ac:dyDescent="0.2">
      <c r="H9781" s="6"/>
      <c r="I9781" s="6"/>
    </row>
    <row r="9782" spans="8:9" x14ac:dyDescent="0.2">
      <c r="H9782" s="6"/>
      <c r="I9782" s="6"/>
    </row>
    <row r="9783" spans="8:9" x14ac:dyDescent="0.2">
      <c r="H9783" s="6"/>
      <c r="I9783" s="6"/>
    </row>
    <row r="9784" spans="8:9" x14ac:dyDescent="0.2">
      <c r="H9784" s="6"/>
      <c r="I9784" s="6"/>
    </row>
    <row r="9785" spans="8:9" x14ac:dyDescent="0.2">
      <c r="H9785" s="6"/>
      <c r="I9785" s="6"/>
    </row>
    <row r="9786" spans="8:9" x14ac:dyDescent="0.2">
      <c r="H9786" s="6"/>
      <c r="I9786" s="6"/>
    </row>
    <row r="9787" spans="8:9" x14ac:dyDescent="0.2">
      <c r="H9787" s="6"/>
      <c r="I9787" s="6"/>
    </row>
    <row r="9788" spans="8:9" x14ac:dyDescent="0.2">
      <c r="H9788" s="6"/>
      <c r="I9788" s="6"/>
    </row>
    <row r="9789" spans="8:9" x14ac:dyDescent="0.2">
      <c r="H9789" s="6"/>
      <c r="I9789" s="6"/>
    </row>
    <row r="9790" spans="8:9" x14ac:dyDescent="0.2">
      <c r="H9790" s="6"/>
      <c r="I9790" s="6"/>
    </row>
    <row r="9791" spans="8:9" x14ac:dyDescent="0.2">
      <c r="H9791" s="6"/>
      <c r="I9791" s="6"/>
    </row>
    <row r="9792" spans="8:9" x14ac:dyDescent="0.2">
      <c r="H9792" s="6"/>
      <c r="I9792" s="6"/>
    </row>
    <row r="9793" spans="8:9" x14ac:dyDescent="0.2">
      <c r="H9793" s="6"/>
      <c r="I9793" s="6"/>
    </row>
    <row r="9794" spans="8:9" x14ac:dyDescent="0.2">
      <c r="H9794" s="6"/>
      <c r="I9794" s="6"/>
    </row>
    <row r="9795" spans="8:9" x14ac:dyDescent="0.2">
      <c r="H9795" s="6"/>
      <c r="I9795" s="6"/>
    </row>
    <row r="9796" spans="8:9" x14ac:dyDescent="0.2">
      <c r="H9796" s="6"/>
      <c r="I9796" s="6"/>
    </row>
    <row r="9797" spans="8:9" x14ac:dyDescent="0.2">
      <c r="H9797" s="6"/>
      <c r="I9797" s="6"/>
    </row>
    <row r="9798" spans="8:9" x14ac:dyDescent="0.2">
      <c r="H9798" s="6"/>
      <c r="I9798" s="6"/>
    </row>
    <row r="9799" spans="8:9" x14ac:dyDescent="0.2">
      <c r="H9799" s="6"/>
      <c r="I9799" s="6"/>
    </row>
    <row r="9800" spans="8:9" x14ac:dyDescent="0.2">
      <c r="H9800" s="6"/>
      <c r="I9800" s="6"/>
    </row>
    <row r="9801" spans="8:9" x14ac:dyDescent="0.2">
      <c r="H9801" s="6"/>
      <c r="I9801" s="6"/>
    </row>
    <row r="9802" spans="8:9" x14ac:dyDescent="0.2">
      <c r="H9802" s="6"/>
      <c r="I9802" s="6"/>
    </row>
    <row r="9803" spans="8:9" x14ac:dyDescent="0.2">
      <c r="H9803" s="6"/>
      <c r="I9803" s="6"/>
    </row>
    <row r="9804" spans="8:9" x14ac:dyDescent="0.2">
      <c r="H9804" s="6"/>
      <c r="I9804" s="6"/>
    </row>
    <row r="9805" spans="8:9" x14ac:dyDescent="0.2">
      <c r="H9805" s="6"/>
      <c r="I9805" s="6"/>
    </row>
    <row r="9806" spans="8:9" x14ac:dyDescent="0.2">
      <c r="H9806" s="6"/>
      <c r="I9806" s="6"/>
    </row>
    <row r="9807" spans="8:9" x14ac:dyDescent="0.2">
      <c r="H9807" s="6"/>
      <c r="I9807" s="6"/>
    </row>
    <row r="9808" spans="8:9" x14ac:dyDescent="0.2">
      <c r="H9808" s="6"/>
      <c r="I9808" s="6"/>
    </row>
    <row r="9809" spans="8:9" x14ac:dyDescent="0.2">
      <c r="H9809" s="6"/>
      <c r="I9809" s="6"/>
    </row>
    <row r="9810" spans="8:9" x14ac:dyDescent="0.2">
      <c r="H9810" s="6"/>
      <c r="I9810" s="6"/>
    </row>
    <row r="9811" spans="8:9" x14ac:dyDescent="0.2">
      <c r="H9811" s="6"/>
      <c r="I9811" s="6"/>
    </row>
    <row r="9812" spans="8:9" x14ac:dyDescent="0.2">
      <c r="H9812" s="6"/>
      <c r="I9812" s="6"/>
    </row>
    <row r="9813" spans="8:9" x14ac:dyDescent="0.2">
      <c r="H9813" s="6"/>
      <c r="I9813" s="6"/>
    </row>
    <row r="9814" spans="8:9" x14ac:dyDescent="0.2">
      <c r="H9814" s="6"/>
      <c r="I9814" s="6"/>
    </row>
    <row r="9815" spans="8:9" x14ac:dyDescent="0.2">
      <c r="H9815" s="6"/>
      <c r="I9815" s="6"/>
    </row>
    <row r="9816" spans="8:9" x14ac:dyDescent="0.2">
      <c r="H9816" s="6"/>
      <c r="I9816" s="6"/>
    </row>
    <row r="9817" spans="8:9" x14ac:dyDescent="0.2">
      <c r="H9817" s="6"/>
      <c r="I9817" s="6"/>
    </row>
    <row r="9818" spans="8:9" x14ac:dyDescent="0.2">
      <c r="H9818" s="6"/>
      <c r="I9818" s="6"/>
    </row>
    <row r="9819" spans="8:9" x14ac:dyDescent="0.2">
      <c r="H9819" s="6"/>
      <c r="I9819" s="6"/>
    </row>
    <row r="9820" spans="8:9" x14ac:dyDescent="0.2">
      <c r="H9820" s="6"/>
      <c r="I9820" s="6"/>
    </row>
    <row r="9821" spans="8:9" x14ac:dyDescent="0.2">
      <c r="H9821" s="6"/>
      <c r="I9821" s="6"/>
    </row>
    <row r="9822" spans="8:9" x14ac:dyDescent="0.2">
      <c r="H9822" s="6"/>
      <c r="I9822" s="6"/>
    </row>
    <row r="9823" spans="8:9" x14ac:dyDescent="0.2">
      <c r="H9823" s="6"/>
      <c r="I9823" s="6"/>
    </row>
    <row r="9824" spans="8:9" x14ac:dyDescent="0.2">
      <c r="H9824" s="6"/>
      <c r="I9824" s="6"/>
    </row>
    <row r="9825" spans="8:9" x14ac:dyDescent="0.2">
      <c r="H9825" s="6"/>
      <c r="I9825" s="6"/>
    </row>
    <row r="9826" spans="8:9" x14ac:dyDescent="0.2">
      <c r="H9826" s="6"/>
      <c r="I9826" s="6"/>
    </row>
    <row r="9827" spans="8:9" x14ac:dyDescent="0.2">
      <c r="H9827" s="6"/>
      <c r="I9827" s="6"/>
    </row>
    <row r="9828" spans="8:9" x14ac:dyDescent="0.2">
      <c r="H9828" s="6"/>
      <c r="I9828" s="6"/>
    </row>
    <row r="9829" spans="8:9" x14ac:dyDescent="0.2">
      <c r="H9829" s="6"/>
      <c r="I9829" s="6"/>
    </row>
    <row r="9830" spans="8:9" x14ac:dyDescent="0.2">
      <c r="H9830" s="6"/>
      <c r="I9830" s="6"/>
    </row>
    <row r="9831" spans="8:9" x14ac:dyDescent="0.2">
      <c r="H9831" s="6"/>
      <c r="I9831" s="6"/>
    </row>
    <row r="9832" spans="8:9" x14ac:dyDescent="0.2">
      <c r="H9832" s="6"/>
      <c r="I9832" s="6"/>
    </row>
    <row r="9833" spans="8:9" x14ac:dyDescent="0.2">
      <c r="H9833" s="6"/>
      <c r="I9833" s="6"/>
    </row>
    <row r="9834" spans="8:9" x14ac:dyDescent="0.2">
      <c r="H9834" s="6"/>
      <c r="I9834" s="6"/>
    </row>
    <row r="9835" spans="8:9" x14ac:dyDescent="0.2">
      <c r="H9835" s="6"/>
      <c r="I9835" s="6"/>
    </row>
    <row r="9836" spans="8:9" x14ac:dyDescent="0.2">
      <c r="H9836" s="6"/>
      <c r="I9836" s="6"/>
    </row>
    <row r="9837" spans="8:9" x14ac:dyDescent="0.2">
      <c r="H9837" s="6"/>
      <c r="I9837" s="6"/>
    </row>
    <row r="9838" spans="8:9" x14ac:dyDescent="0.2">
      <c r="H9838" s="6"/>
      <c r="I9838" s="6"/>
    </row>
    <row r="9839" spans="8:9" x14ac:dyDescent="0.2">
      <c r="H9839" s="6"/>
      <c r="I9839" s="6"/>
    </row>
    <row r="9840" spans="8:9" x14ac:dyDescent="0.2">
      <c r="H9840" s="6"/>
      <c r="I9840" s="6"/>
    </row>
    <row r="9841" spans="8:9" x14ac:dyDescent="0.2">
      <c r="H9841" s="6"/>
      <c r="I9841" s="6"/>
    </row>
    <row r="9842" spans="8:9" x14ac:dyDescent="0.2">
      <c r="H9842" s="6"/>
      <c r="I9842" s="6"/>
    </row>
    <row r="9843" spans="8:9" x14ac:dyDescent="0.2">
      <c r="H9843" s="6"/>
      <c r="I9843" s="6"/>
    </row>
    <row r="9844" spans="8:9" x14ac:dyDescent="0.2">
      <c r="H9844" s="6"/>
      <c r="I9844" s="6"/>
    </row>
    <row r="9845" spans="8:9" x14ac:dyDescent="0.2">
      <c r="H9845" s="6"/>
      <c r="I9845" s="6"/>
    </row>
    <row r="9846" spans="8:9" x14ac:dyDescent="0.2">
      <c r="H9846" s="6"/>
      <c r="I9846" s="6"/>
    </row>
    <row r="9847" spans="8:9" x14ac:dyDescent="0.2">
      <c r="H9847" s="6"/>
      <c r="I9847" s="6"/>
    </row>
    <row r="9848" spans="8:9" x14ac:dyDescent="0.2">
      <c r="H9848" s="6"/>
      <c r="I9848" s="6"/>
    </row>
    <row r="9849" spans="8:9" x14ac:dyDescent="0.2">
      <c r="H9849" s="6"/>
      <c r="I9849" s="6"/>
    </row>
    <row r="9850" spans="8:9" x14ac:dyDescent="0.2">
      <c r="H9850" s="6"/>
      <c r="I9850" s="6"/>
    </row>
    <row r="9851" spans="8:9" x14ac:dyDescent="0.2">
      <c r="H9851" s="6"/>
      <c r="I9851" s="6"/>
    </row>
    <row r="9852" spans="8:9" x14ac:dyDescent="0.2">
      <c r="H9852" s="6"/>
      <c r="I9852" s="6"/>
    </row>
    <row r="9853" spans="8:9" x14ac:dyDescent="0.2">
      <c r="H9853" s="6"/>
      <c r="I9853" s="6"/>
    </row>
    <row r="9854" spans="8:9" x14ac:dyDescent="0.2">
      <c r="H9854" s="6"/>
      <c r="I9854" s="6"/>
    </row>
    <row r="9855" spans="8:9" x14ac:dyDescent="0.2">
      <c r="H9855" s="6"/>
      <c r="I9855" s="6"/>
    </row>
    <row r="9856" spans="8:9" x14ac:dyDescent="0.2">
      <c r="H9856" s="6"/>
      <c r="I9856" s="6"/>
    </row>
    <row r="9857" spans="8:9" x14ac:dyDescent="0.2">
      <c r="H9857" s="6"/>
      <c r="I9857" s="6"/>
    </row>
    <row r="9858" spans="8:9" x14ac:dyDescent="0.2">
      <c r="H9858" s="6"/>
      <c r="I9858" s="6"/>
    </row>
    <row r="9859" spans="8:9" x14ac:dyDescent="0.2">
      <c r="H9859" s="6"/>
      <c r="I9859" s="6"/>
    </row>
    <row r="9860" spans="8:9" x14ac:dyDescent="0.2">
      <c r="H9860" s="6"/>
      <c r="I9860" s="6"/>
    </row>
    <row r="9861" spans="8:9" x14ac:dyDescent="0.2">
      <c r="H9861" s="6"/>
      <c r="I9861" s="6"/>
    </row>
    <row r="9862" spans="8:9" x14ac:dyDescent="0.2">
      <c r="H9862" s="6"/>
      <c r="I9862" s="6"/>
    </row>
    <row r="9863" spans="8:9" x14ac:dyDescent="0.2">
      <c r="H9863" s="6"/>
      <c r="I9863" s="6"/>
    </row>
    <row r="9864" spans="8:9" x14ac:dyDescent="0.2">
      <c r="H9864" s="6"/>
      <c r="I9864" s="6"/>
    </row>
    <row r="9865" spans="8:9" x14ac:dyDescent="0.2">
      <c r="H9865" s="6"/>
      <c r="I9865" s="6"/>
    </row>
    <row r="9866" spans="8:9" x14ac:dyDescent="0.2">
      <c r="H9866" s="6"/>
      <c r="I9866" s="6"/>
    </row>
    <row r="9867" spans="8:9" x14ac:dyDescent="0.2">
      <c r="H9867" s="6"/>
      <c r="I9867" s="6"/>
    </row>
    <row r="9868" spans="8:9" x14ac:dyDescent="0.2">
      <c r="H9868" s="6"/>
      <c r="I9868" s="6"/>
    </row>
    <row r="9869" spans="8:9" x14ac:dyDescent="0.2">
      <c r="H9869" s="6"/>
      <c r="I9869" s="6"/>
    </row>
    <row r="9870" spans="8:9" x14ac:dyDescent="0.2">
      <c r="H9870" s="6"/>
      <c r="I9870" s="6"/>
    </row>
    <row r="9871" spans="8:9" x14ac:dyDescent="0.2">
      <c r="H9871" s="6"/>
      <c r="I9871" s="6"/>
    </row>
    <row r="9872" spans="8:9" x14ac:dyDescent="0.2">
      <c r="H9872" s="6"/>
      <c r="I9872" s="6"/>
    </row>
    <row r="9873" spans="8:9" x14ac:dyDescent="0.2">
      <c r="H9873" s="6"/>
      <c r="I9873" s="6"/>
    </row>
    <row r="9874" spans="8:9" x14ac:dyDescent="0.2">
      <c r="H9874" s="6"/>
      <c r="I9874" s="6"/>
    </row>
    <row r="9875" spans="8:9" x14ac:dyDescent="0.2">
      <c r="H9875" s="6"/>
      <c r="I9875" s="6"/>
    </row>
    <row r="9876" spans="8:9" x14ac:dyDescent="0.2">
      <c r="H9876" s="6"/>
      <c r="I9876" s="6"/>
    </row>
    <row r="9877" spans="8:9" x14ac:dyDescent="0.2">
      <c r="H9877" s="6"/>
      <c r="I9877" s="6"/>
    </row>
    <row r="9878" spans="8:9" x14ac:dyDescent="0.2">
      <c r="H9878" s="6"/>
      <c r="I9878" s="6"/>
    </row>
    <row r="9879" spans="8:9" x14ac:dyDescent="0.2">
      <c r="H9879" s="6"/>
      <c r="I9879" s="6"/>
    </row>
    <row r="9880" spans="8:9" x14ac:dyDescent="0.2">
      <c r="H9880" s="6"/>
      <c r="I9880" s="6"/>
    </row>
    <row r="9881" spans="8:9" x14ac:dyDescent="0.2">
      <c r="H9881" s="6"/>
      <c r="I9881" s="6"/>
    </row>
    <row r="9882" spans="8:9" x14ac:dyDescent="0.2">
      <c r="H9882" s="6"/>
      <c r="I9882" s="6"/>
    </row>
    <row r="9883" spans="8:9" x14ac:dyDescent="0.2">
      <c r="H9883" s="6"/>
      <c r="I9883" s="6"/>
    </row>
    <row r="9884" spans="8:9" x14ac:dyDescent="0.2">
      <c r="H9884" s="6"/>
      <c r="I9884" s="6"/>
    </row>
    <row r="9885" spans="8:9" x14ac:dyDescent="0.2">
      <c r="H9885" s="6"/>
      <c r="I9885" s="6"/>
    </row>
    <row r="9886" spans="8:9" x14ac:dyDescent="0.2">
      <c r="H9886" s="6"/>
      <c r="I9886" s="6"/>
    </row>
    <row r="9887" spans="8:9" x14ac:dyDescent="0.2">
      <c r="H9887" s="6"/>
      <c r="I9887" s="6"/>
    </row>
    <row r="9888" spans="8:9" x14ac:dyDescent="0.2">
      <c r="H9888" s="6"/>
      <c r="I9888" s="6"/>
    </row>
    <row r="9889" spans="8:9" x14ac:dyDescent="0.2">
      <c r="H9889" s="6"/>
      <c r="I9889" s="6"/>
    </row>
    <row r="9890" spans="8:9" x14ac:dyDescent="0.2">
      <c r="H9890" s="6"/>
      <c r="I9890" s="6"/>
    </row>
    <row r="9891" spans="8:9" x14ac:dyDescent="0.2">
      <c r="H9891" s="6"/>
      <c r="I9891" s="6"/>
    </row>
    <row r="9892" spans="8:9" x14ac:dyDescent="0.2">
      <c r="H9892" s="6"/>
      <c r="I9892" s="6"/>
    </row>
    <row r="9893" spans="8:9" x14ac:dyDescent="0.2">
      <c r="H9893" s="6"/>
      <c r="I9893" s="6"/>
    </row>
    <row r="9894" spans="8:9" x14ac:dyDescent="0.2">
      <c r="H9894" s="6"/>
      <c r="I9894" s="6"/>
    </row>
    <row r="9895" spans="8:9" x14ac:dyDescent="0.2">
      <c r="H9895" s="6"/>
      <c r="I9895" s="6"/>
    </row>
    <row r="9896" spans="8:9" x14ac:dyDescent="0.2">
      <c r="H9896" s="6"/>
      <c r="I9896" s="6"/>
    </row>
    <row r="9897" spans="8:9" x14ac:dyDescent="0.2">
      <c r="H9897" s="6"/>
      <c r="I9897" s="6"/>
    </row>
    <row r="9898" spans="8:9" x14ac:dyDescent="0.2">
      <c r="H9898" s="6"/>
      <c r="I9898" s="6"/>
    </row>
    <row r="9899" spans="8:9" x14ac:dyDescent="0.2">
      <c r="H9899" s="6"/>
      <c r="I9899" s="6"/>
    </row>
    <row r="9900" spans="8:9" x14ac:dyDescent="0.2">
      <c r="H9900" s="6"/>
      <c r="I9900" s="6"/>
    </row>
    <row r="9901" spans="8:9" x14ac:dyDescent="0.2">
      <c r="H9901" s="6"/>
      <c r="I9901" s="6"/>
    </row>
    <row r="9902" spans="8:9" x14ac:dyDescent="0.2">
      <c r="H9902" s="6"/>
      <c r="I9902" s="6"/>
    </row>
    <row r="9903" spans="8:9" x14ac:dyDescent="0.2">
      <c r="H9903" s="6"/>
      <c r="I9903" s="6"/>
    </row>
    <row r="9904" spans="8:9" x14ac:dyDescent="0.2">
      <c r="H9904" s="6"/>
      <c r="I9904" s="6"/>
    </row>
    <row r="9905" spans="8:9" x14ac:dyDescent="0.2">
      <c r="H9905" s="6"/>
      <c r="I9905" s="6"/>
    </row>
    <row r="9906" spans="8:9" x14ac:dyDescent="0.2">
      <c r="H9906" s="6"/>
      <c r="I9906" s="6"/>
    </row>
    <row r="9907" spans="8:9" x14ac:dyDescent="0.2">
      <c r="H9907" s="6"/>
      <c r="I9907" s="6"/>
    </row>
    <row r="9908" spans="8:9" x14ac:dyDescent="0.2">
      <c r="H9908" s="6"/>
      <c r="I9908" s="6"/>
    </row>
    <row r="9909" spans="8:9" x14ac:dyDescent="0.2">
      <c r="H9909" s="6"/>
      <c r="I9909" s="6"/>
    </row>
    <row r="9910" spans="8:9" x14ac:dyDescent="0.2">
      <c r="H9910" s="6"/>
      <c r="I9910" s="6"/>
    </row>
    <row r="9911" spans="8:9" x14ac:dyDescent="0.2">
      <c r="H9911" s="6"/>
      <c r="I9911" s="6"/>
    </row>
    <row r="9912" spans="8:9" x14ac:dyDescent="0.2">
      <c r="H9912" s="6"/>
      <c r="I9912" s="6"/>
    </row>
    <row r="9913" spans="8:9" x14ac:dyDescent="0.2">
      <c r="H9913" s="6"/>
      <c r="I9913" s="6"/>
    </row>
    <row r="9914" spans="8:9" x14ac:dyDescent="0.2">
      <c r="H9914" s="6"/>
      <c r="I9914" s="6"/>
    </row>
    <row r="9915" spans="8:9" x14ac:dyDescent="0.2">
      <c r="H9915" s="6"/>
      <c r="I9915" s="6"/>
    </row>
    <row r="9916" spans="8:9" x14ac:dyDescent="0.2">
      <c r="H9916" s="6"/>
      <c r="I9916" s="6"/>
    </row>
    <row r="9917" spans="8:9" x14ac:dyDescent="0.2">
      <c r="H9917" s="6"/>
      <c r="I9917" s="6"/>
    </row>
    <row r="9918" spans="8:9" x14ac:dyDescent="0.2">
      <c r="H9918" s="6"/>
      <c r="I9918" s="6"/>
    </row>
    <row r="9919" spans="8:9" x14ac:dyDescent="0.2">
      <c r="H9919" s="6"/>
      <c r="I9919" s="6"/>
    </row>
    <row r="9920" spans="8:9" x14ac:dyDescent="0.2">
      <c r="H9920" s="6"/>
      <c r="I9920" s="6"/>
    </row>
    <row r="9921" spans="8:9" x14ac:dyDescent="0.2">
      <c r="H9921" s="6"/>
      <c r="I9921" s="6"/>
    </row>
    <row r="9922" spans="8:9" x14ac:dyDescent="0.2">
      <c r="H9922" s="6"/>
      <c r="I9922" s="6"/>
    </row>
    <row r="9923" spans="8:9" x14ac:dyDescent="0.2">
      <c r="H9923" s="6"/>
      <c r="I9923" s="6"/>
    </row>
    <row r="9924" spans="8:9" x14ac:dyDescent="0.2">
      <c r="H9924" s="6"/>
      <c r="I9924" s="6"/>
    </row>
    <row r="9925" spans="8:9" x14ac:dyDescent="0.2">
      <c r="H9925" s="6"/>
      <c r="I9925" s="6"/>
    </row>
    <row r="9926" spans="8:9" x14ac:dyDescent="0.2">
      <c r="H9926" s="6"/>
      <c r="I9926" s="6"/>
    </row>
    <row r="9927" spans="8:9" x14ac:dyDescent="0.2">
      <c r="H9927" s="6"/>
      <c r="I9927" s="6"/>
    </row>
    <row r="9928" spans="8:9" x14ac:dyDescent="0.2">
      <c r="H9928" s="6"/>
      <c r="I9928" s="6"/>
    </row>
    <row r="9929" spans="8:9" x14ac:dyDescent="0.2">
      <c r="H9929" s="6"/>
      <c r="I9929" s="6"/>
    </row>
    <row r="9930" spans="8:9" x14ac:dyDescent="0.2">
      <c r="H9930" s="6"/>
      <c r="I9930" s="6"/>
    </row>
    <row r="9931" spans="8:9" x14ac:dyDescent="0.2">
      <c r="H9931" s="6"/>
      <c r="I9931" s="6"/>
    </row>
    <row r="9932" spans="8:9" x14ac:dyDescent="0.2">
      <c r="H9932" s="6"/>
      <c r="I9932" s="6"/>
    </row>
    <row r="9933" spans="8:9" x14ac:dyDescent="0.2">
      <c r="H9933" s="6"/>
      <c r="I9933" s="6"/>
    </row>
    <row r="9934" spans="8:9" x14ac:dyDescent="0.2">
      <c r="H9934" s="6"/>
      <c r="I9934" s="6"/>
    </row>
    <row r="9935" spans="8:9" x14ac:dyDescent="0.2">
      <c r="H9935" s="6"/>
      <c r="I9935" s="6"/>
    </row>
    <row r="9936" spans="8:9" x14ac:dyDescent="0.2">
      <c r="H9936" s="6"/>
      <c r="I9936" s="6"/>
    </row>
    <row r="9937" spans="8:9" x14ac:dyDescent="0.2">
      <c r="H9937" s="6"/>
      <c r="I9937" s="6"/>
    </row>
    <row r="9938" spans="8:9" x14ac:dyDescent="0.2">
      <c r="H9938" s="6"/>
      <c r="I9938" s="6"/>
    </row>
    <row r="9939" spans="8:9" x14ac:dyDescent="0.2">
      <c r="H9939" s="6"/>
      <c r="I9939" s="6"/>
    </row>
    <row r="9940" spans="8:9" x14ac:dyDescent="0.2">
      <c r="H9940" s="6"/>
      <c r="I9940" s="6"/>
    </row>
    <row r="9941" spans="8:9" x14ac:dyDescent="0.2">
      <c r="H9941" s="6"/>
      <c r="I9941" s="6"/>
    </row>
    <row r="9942" spans="8:9" x14ac:dyDescent="0.2">
      <c r="H9942" s="6"/>
      <c r="I9942" s="6"/>
    </row>
    <row r="9943" spans="8:9" x14ac:dyDescent="0.2">
      <c r="H9943" s="6"/>
      <c r="I9943" s="6"/>
    </row>
    <row r="9944" spans="8:9" x14ac:dyDescent="0.2">
      <c r="H9944" s="6"/>
      <c r="I9944" s="6"/>
    </row>
    <row r="9945" spans="8:9" x14ac:dyDescent="0.2">
      <c r="H9945" s="6"/>
      <c r="I9945" s="6"/>
    </row>
    <row r="9946" spans="8:9" x14ac:dyDescent="0.2">
      <c r="H9946" s="6"/>
      <c r="I9946" s="6"/>
    </row>
    <row r="9947" spans="8:9" x14ac:dyDescent="0.2">
      <c r="H9947" s="6"/>
      <c r="I9947" s="6"/>
    </row>
    <row r="9948" spans="8:9" x14ac:dyDescent="0.2">
      <c r="H9948" s="6"/>
      <c r="I9948" s="6"/>
    </row>
    <row r="9949" spans="8:9" x14ac:dyDescent="0.2">
      <c r="H9949" s="6"/>
      <c r="I9949" s="6"/>
    </row>
    <row r="9950" spans="8:9" x14ac:dyDescent="0.2">
      <c r="H9950" s="6"/>
      <c r="I9950" s="6"/>
    </row>
    <row r="9951" spans="8:9" x14ac:dyDescent="0.2">
      <c r="H9951" s="6"/>
      <c r="I9951" s="6"/>
    </row>
    <row r="9952" spans="8:9" x14ac:dyDescent="0.2">
      <c r="H9952" s="6"/>
      <c r="I9952" s="6"/>
    </row>
    <row r="9953" spans="8:9" x14ac:dyDescent="0.2">
      <c r="H9953" s="6"/>
      <c r="I9953" s="6"/>
    </row>
    <row r="9954" spans="8:9" x14ac:dyDescent="0.2">
      <c r="H9954" s="6"/>
      <c r="I9954" s="6"/>
    </row>
    <row r="9955" spans="8:9" x14ac:dyDescent="0.2">
      <c r="H9955" s="6"/>
      <c r="I9955" s="6"/>
    </row>
    <row r="9956" spans="8:9" x14ac:dyDescent="0.2">
      <c r="H9956" s="6"/>
      <c r="I9956" s="6"/>
    </row>
    <row r="9957" spans="8:9" x14ac:dyDescent="0.2">
      <c r="H9957" s="6"/>
      <c r="I9957" s="6"/>
    </row>
    <row r="9958" spans="8:9" x14ac:dyDescent="0.2">
      <c r="H9958" s="6"/>
      <c r="I9958" s="6"/>
    </row>
    <row r="9959" spans="8:9" x14ac:dyDescent="0.2">
      <c r="H9959" s="6"/>
      <c r="I9959" s="6"/>
    </row>
    <row r="9960" spans="8:9" x14ac:dyDescent="0.2">
      <c r="H9960" s="6"/>
      <c r="I9960" s="6"/>
    </row>
    <row r="9961" spans="8:9" x14ac:dyDescent="0.2">
      <c r="H9961" s="6"/>
      <c r="I9961" s="6"/>
    </row>
    <row r="9962" spans="8:9" x14ac:dyDescent="0.2">
      <c r="H9962" s="6"/>
      <c r="I9962" s="6"/>
    </row>
    <row r="9963" spans="8:9" x14ac:dyDescent="0.2">
      <c r="H9963" s="6"/>
      <c r="I9963" s="6"/>
    </row>
    <row r="9964" spans="8:9" x14ac:dyDescent="0.2">
      <c r="H9964" s="6"/>
      <c r="I9964" s="6"/>
    </row>
    <row r="9965" spans="8:9" x14ac:dyDescent="0.2">
      <c r="H9965" s="6"/>
      <c r="I9965" s="6"/>
    </row>
    <row r="9966" spans="8:9" x14ac:dyDescent="0.2">
      <c r="H9966" s="6"/>
      <c r="I9966" s="6"/>
    </row>
    <row r="9967" spans="8:9" x14ac:dyDescent="0.2">
      <c r="H9967" s="6"/>
      <c r="I9967" s="6"/>
    </row>
    <row r="9968" spans="8:9" x14ac:dyDescent="0.2">
      <c r="H9968" s="6"/>
      <c r="I9968" s="6"/>
    </row>
    <row r="9969" spans="8:9" x14ac:dyDescent="0.2">
      <c r="H9969" s="6"/>
      <c r="I9969" s="6"/>
    </row>
    <row r="9970" spans="8:9" x14ac:dyDescent="0.2">
      <c r="H9970" s="6"/>
      <c r="I9970" s="6"/>
    </row>
    <row r="9971" spans="8:9" x14ac:dyDescent="0.2">
      <c r="H9971" s="6"/>
      <c r="I9971" s="6"/>
    </row>
    <row r="9972" spans="8:9" x14ac:dyDescent="0.2">
      <c r="H9972" s="6"/>
      <c r="I9972" s="6"/>
    </row>
    <row r="9973" spans="8:9" x14ac:dyDescent="0.2">
      <c r="H9973" s="6"/>
      <c r="I9973" s="6"/>
    </row>
    <row r="9974" spans="8:9" x14ac:dyDescent="0.2">
      <c r="H9974" s="6"/>
      <c r="I9974" s="6"/>
    </row>
    <row r="9975" spans="8:9" x14ac:dyDescent="0.2">
      <c r="H9975" s="6"/>
      <c r="I9975" s="6"/>
    </row>
    <row r="9976" spans="8:9" x14ac:dyDescent="0.2">
      <c r="H9976" s="6"/>
      <c r="I9976" s="6"/>
    </row>
    <row r="9977" spans="8:9" x14ac:dyDescent="0.2">
      <c r="H9977" s="6"/>
      <c r="I9977" s="6"/>
    </row>
    <row r="9978" spans="8:9" x14ac:dyDescent="0.2">
      <c r="H9978" s="6"/>
      <c r="I9978" s="6"/>
    </row>
    <row r="9979" spans="8:9" x14ac:dyDescent="0.2">
      <c r="H9979" s="6"/>
      <c r="I9979" s="6"/>
    </row>
    <row r="9980" spans="8:9" x14ac:dyDescent="0.2">
      <c r="H9980" s="6"/>
      <c r="I9980" s="6"/>
    </row>
    <row r="9981" spans="8:9" x14ac:dyDescent="0.2">
      <c r="H9981" s="6"/>
      <c r="I9981" s="6"/>
    </row>
    <row r="9982" spans="8:9" x14ac:dyDescent="0.2">
      <c r="H9982" s="6"/>
      <c r="I9982" s="6"/>
    </row>
    <row r="9983" spans="8:9" x14ac:dyDescent="0.2">
      <c r="H9983" s="6"/>
      <c r="I9983" s="6"/>
    </row>
    <row r="9984" spans="8:9" x14ac:dyDescent="0.2">
      <c r="H9984" s="6"/>
      <c r="I9984" s="6"/>
    </row>
    <row r="9985" spans="8:9" x14ac:dyDescent="0.2">
      <c r="H9985" s="6"/>
      <c r="I9985" s="6"/>
    </row>
    <row r="9986" spans="8:9" x14ac:dyDescent="0.2">
      <c r="H9986" s="6"/>
      <c r="I9986" s="6"/>
    </row>
    <row r="9987" spans="8:9" x14ac:dyDescent="0.2">
      <c r="H9987" s="6"/>
      <c r="I9987" s="6"/>
    </row>
    <row r="9988" spans="8:9" x14ac:dyDescent="0.2">
      <c r="H9988" s="6"/>
      <c r="I9988" s="6"/>
    </row>
    <row r="9989" spans="8:9" x14ac:dyDescent="0.2">
      <c r="H9989" s="6"/>
      <c r="I9989" s="6"/>
    </row>
    <row r="9990" spans="8:9" x14ac:dyDescent="0.2">
      <c r="H9990" s="6"/>
      <c r="I9990" s="6"/>
    </row>
    <row r="9991" spans="8:9" x14ac:dyDescent="0.2">
      <c r="H9991" s="6"/>
      <c r="I9991" s="6"/>
    </row>
    <row r="9992" spans="8:9" x14ac:dyDescent="0.2">
      <c r="H9992" s="6"/>
      <c r="I9992" s="6"/>
    </row>
    <row r="9993" spans="8:9" x14ac:dyDescent="0.2">
      <c r="H9993" s="6"/>
      <c r="I9993" s="6"/>
    </row>
    <row r="9994" spans="8:9" x14ac:dyDescent="0.2">
      <c r="H9994" s="6"/>
      <c r="I9994" s="6"/>
    </row>
    <row r="9995" spans="8:9" x14ac:dyDescent="0.2">
      <c r="H9995" s="6"/>
      <c r="I9995" s="6"/>
    </row>
    <row r="9996" spans="8:9" x14ac:dyDescent="0.2">
      <c r="H9996" s="6"/>
      <c r="I9996" s="6"/>
    </row>
    <row r="9997" spans="8:9" x14ac:dyDescent="0.2">
      <c r="H9997" s="6"/>
      <c r="I9997" s="6"/>
    </row>
    <row r="9998" spans="8:9" x14ac:dyDescent="0.2">
      <c r="H9998" s="6"/>
      <c r="I9998" s="6"/>
    </row>
    <row r="9999" spans="8:9" x14ac:dyDescent="0.2">
      <c r="H9999" s="6"/>
      <c r="I9999" s="6"/>
    </row>
    <row r="10000" spans="8:9" x14ac:dyDescent="0.2">
      <c r="H10000" s="6"/>
      <c r="I10000" s="6"/>
    </row>
    <row r="10001" spans="8:9" x14ac:dyDescent="0.2">
      <c r="H10001" s="6"/>
      <c r="I10001" s="6"/>
    </row>
    <row r="10002" spans="8:9" x14ac:dyDescent="0.2">
      <c r="H10002" s="6"/>
      <c r="I10002" s="6"/>
    </row>
    <row r="10003" spans="8:9" x14ac:dyDescent="0.2">
      <c r="H10003" s="6"/>
      <c r="I10003" s="6"/>
    </row>
    <row r="10004" spans="8:9" x14ac:dyDescent="0.2">
      <c r="H10004" s="6"/>
      <c r="I10004" s="6"/>
    </row>
    <row r="10005" spans="8:9" x14ac:dyDescent="0.2">
      <c r="H10005" s="6"/>
      <c r="I10005" s="6"/>
    </row>
    <row r="10006" spans="8:9" x14ac:dyDescent="0.2">
      <c r="H10006" s="6"/>
      <c r="I10006" s="6"/>
    </row>
    <row r="10007" spans="8:9" x14ac:dyDescent="0.2">
      <c r="H10007" s="6"/>
      <c r="I10007" s="6"/>
    </row>
    <row r="10008" spans="8:9" x14ac:dyDescent="0.2">
      <c r="H10008" s="6"/>
      <c r="I10008" s="6"/>
    </row>
    <row r="10009" spans="8:9" x14ac:dyDescent="0.2">
      <c r="H10009" s="6"/>
      <c r="I10009" s="6"/>
    </row>
    <row r="10010" spans="8:9" x14ac:dyDescent="0.2">
      <c r="H10010" s="6"/>
      <c r="I10010" s="6"/>
    </row>
    <row r="10011" spans="8:9" x14ac:dyDescent="0.2">
      <c r="H10011" s="6"/>
      <c r="I10011" s="6"/>
    </row>
    <row r="10012" spans="8:9" x14ac:dyDescent="0.2">
      <c r="H10012" s="6"/>
      <c r="I10012" s="6"/>
    </row>
    <row r="10013" spans="8:9" x14ac:dyDescent="0.2">
      <c r="H10013" s="6"/>
      <c r="I10013" s="6"/>
    </row>
    <row r="10014" spans="8:9" x14ac:dyDescent="0.2">
      <c r="H10014" s="6"/>
      <c r="I10014" s="6"/>
    </row>
    <row r="10015" spans="8:9" x14ac:dyDescent="0.2">
      <c r="H10015" s="6"/>
      <c r="I10015" s="6"/>
    </row>
    <row r="10016" spans="8:9" x14ac:dyDescent="0.2">
      <c r="H10016" s="6"/>
      <c r="I10016" s="6"/>
    </row>
    <row r="10017" spans="8:9" x14ac:dyDescent="0.2">
      <c r="H10017" s="6"/>
      <c r="I10017" s="6"/>
    </row>
    <row r="10018" spans="8:9" x14ac:dyDescent="0.2">
      <c r="H10018" s="6"/>
      <c r="I10018" s="6"/>
    </row>
    <row r="10019" spans="8:9" x14ac:dyDescent="0.2">
      <c r="H10019" s="6"/>
      <c r="I10019" s="6"/>
    </row>
    <row r="10020" spans="8:9" x14ac:dyDescent="0.2">
      <c r="H10020" s="6"/>
      <c r="I10020" s="6"/>
    </row>
    <row r="10021" spans="8:9" x14ac:dyDescent="0.2">
      <c r="H10021" s="6"/>
      <c r="I10021" s="6"/>
    </row>
    <row r="10022" spans="8:9" x14ac:dyDescent="0.2">
      <c r="H10022" s="6"/>
      <c r="I10022" s="6"/>
    </row>
    <row r="10023" spans="8:9" x14ac:dyDescent="0.2">
      <c r="H10023" s="6"/>
      <c r="I10023" s="6"/>
    </row>
    <row r="10024" spans="8:9" x14ac:dyDescent="0.2">
      <c r="H10024" s="6"/>
      <c r="I10024" s="6"/>
    </row>
    <row r="10025" spans="8:9" x14ac:dyDescent="0.2">
      <c r="H10025" s="6"/>
      <c r="I10025" s="6"/>
    </row>
    <row r="10026" spans="8:9" x14ac:dyDescent="0.2">
      <c r="H10026" s="6"/>
      <c r="I10026" s="6"/>
    </row>
    <row r="10027" spans="8:9" x14ac:dyDescent="0.2">
      <c r="H10027" s="6"/>
      <c r="I10027" s="6"/>
    </row>
    <row r="10028" spans="8:9" x14ac:dyDescent="0.2">
      <c r="H10028" s="6"/>
      <c r="I10028" s="6"/>
    </row>
    <row r="10029" spans="8:9" x14ac:dyDescent="0.2">
      <c r="H10029" s="6"/>
      <c r="I10029" s="6"/>
    </row>
    <row r="10030" spans="8:9" x14ac:dyDescent="0.2">
      <c r="H10030" s="6"/>
      <c r="I10030" s="6"/>
    </row>
    <row r="10031" spans="8:9" x14ac:dyDescent="0.2">
      <c r="H10031" s="6"/>
      <c r="I10031" s="6"/>
    </row>
    <row r="10032" spans="8:9" x14ac:dyDescent="0.2">
      <c r="H10032" s="6"/>
      <c r="I10032" s="6"/>
    </row>
    <row r="10033" spans="8:9" x14ac:dyDescent="0.2">
      <c r="H10033" s="6"/>
      <c r="I10033" s="6"/>
    </row>
    <row r="10034" spans="8:9" x14ac:dyDescent="0.2">
      <c r="H10034" s="6"/>
      <c r="I10034" s="6"/>
    </row>
    <row r="10035" spans="8:9" x14ac:dyDescent="0.2">
      <c r="H10035" s="6"/>
      <c r="I10035" s="6"/>
    </row>
    <row r="10036" spans="8:9" x14ac:dyDescent="0.2">
      <c r="H10036" s="6"/>
      <c r="I10036" s="6"/>
    </row>
    <row r="10037" spans="8:9" x14ac:dyDescent="0.2">
      <c r="H10037" s="6"/>
      <c r="I10037" s="6"/>
    </row>
    <row r="10038" spans="8:9" x14ac:dyDescent="0.2">
      <c r="H10038" s="6"/>
      <c r="I10038" s="6"/>
    </row>
    <row r="10039" spans="8:9" x14ac:dyDescent="0.2">
      <c r="H10039" s="6"/>
      <c r="I10039" s="6"/>
    </row>
    <row r="10040" spans="8:9" x14ac:dyDescent="0.2">
      <c r="H10040" s="6"/>
      <c r="I10040" s="6"/>
    </row>
    <row r="10041" spans="8:9" x14ac:dyDescent="0.2">
      <c r="H10041" s="6"/>
      <c r="I10041" s="6"/>
    </row>
    <row r="10042" spans="8:9" x14ac:dyDescent="0.2">
      <c r="H10042" s="6"/>
      <c r="I10042" s="6"/>
    </row>
    <row r="10043" spans="8:9" x14ac:dyDescent="0.2">
      <c r="H10043" s="6"/>
      <c r="I10043" s="6"/>
    </row>
    <row r="10044" spans="8:9" x14ac:dyDescent="0.2">
      <c r="H10044" s="6"/>
      <c r="I10044" s="6"/>
    </row>
    <row r="10045" spans="8:9" x14ac:dyDescent="0.2">
      <c r="H10045" s="6"/>
      <c r="I10045" s="6"/>
    </row>
    <row r="10046" spans="8:9" x14ac:dyDescent="0.2">
      <c r="H10046" s="6"/>
      <c r="I10046" s="6"/>
    </row>
    <row r="10047" spans="8:9" x14ac:dyDescent="0.2">
      <c r="H10047" s="6"/>
      <c r="I10047" s="6"/>
    </row>
    <row r="10048" spans="8:9" x14ac:dyDescent="0.2">
      <c r="H10048" s="6"/>
      <c r="I10048" s="6"/>
    </row>
    <row r="10049" spans="8:9" x14ac:dyDescent="0.2">
      <c r="H10049" s="6"/>
      <c r="I10049" s="6"/>
    </row>
    <row r="10050" spans="8:9" x14ac:dyDescent="0.2">
      <c r="H10050" s="6"/>
      <c r="I10050" s="6"/>
    </row>
    <row r="10051" spans="8:9" x14ac:dyDescent="0.2">
      <c r="H10051" s="6"/>
      <c r="I10051" s="6"/>
    </row>
    <row r="10052" spans="8:9" x14ac:dyDescent="0.2">
      <c r="H10052" s="6"/>
      <c r="I10052" s="6"/>
    </row>
    <row r="10053" spans="8:9" x14ac:dyDescent="0.2">
      <c r="H10053" s="6"/>
      <c r="I10053" s="6"/>
    </row>
    <row r="10054" spans="8:9" x14ac:dyDescent="0.2">
      <c r="H10054" s="6"/>
      <c r="I10054" s="6"/>
    </row>
    <row r="10055" spans="8:9" x14ac:dyDescent="0.2">
      <c r="H10055" s="6"/>
      <c r="I10055" s="6"/>
    </row>
    <row r="10056" spans="8:9" x14ac:dyDescent="0.2">
      <c r="H10056" s="6"/>
      <c r="I10056" s="6"/>
    </row>
    <row r="10057" spans="8:9" x14ac:dyDescent="0.2">
      <c r="H10057" s="6"/>
      <c r="I10057" s="6"/>
    </row>
    <row r="10058" spans="8:9" x14ac:dyDescent="0.2">
      <c r="H10058" s="6"/>
      <c r="I10058" s="6"/>
    </row>
    <row r="10059" spans="8:9" x14ac:dyDescent="0.2">
      <c r="H10059" s="6"/>
      <c r="I10059" s="6"/>
    </row>
    <row r="10060" spans="8:9" x14ac:dyDescent="0.2">
      <c r="H10060" s="6"/>
      <c r="I10060" s="6"/>
    </row>
    <row r="10061" spans="8:9" x14ac:dyDescent="0.2">
      <c r="H10061" s="6"/>
      <c r="I10061" s="6"/>
    </row>
    <row r="10062" spans="8:9" x14ac:dyDescent="0.2">
      <c r="H10062" s="6"/>
      <c r="I10062" s="6"/>
    </row>
    <row r="10063" spans="8:9" x14ac:dyDescent="0.2">
      <c r="H10063" s="6"/>
      <c r="I10063" s="6"/>
    </row>
    <row r="10064" spans="8:9" x14ac:dyDescent="0.2">
      <c r="H10064" s="6"/>
      <c r="I10064" s="6"/>
    </row>
    <row r="10065" spans="8:9" x14ac:dyDescent="0.2">
      <c r="H10065" s="6"/>
      <c r="I10065" s="6"/>
    </row>
    <row r="10066" spans="8:9" x14ac:dyDescent="0.2">
      <c r="H10066" s="6"/>
      <c r="I10066" s="6"/>
    </row>
    <row r="10067" spans="8:9" x14ac:dyDescent="0.2">
      <c r="H10067" s="6"/>
      <c r="I10067" s="6"/>
    </row>
    <row r="10068" spans="8:9" x14ac:dyDescent="0.2">
      <c r="H10068" s="6"/>
      <c r="I10068" s="6"/>
    </row>
    <row r="10069" spans="8:9" x14ac:dyDescent="0.2">
      <c r="H10069" s="6"/>
      <c r="I10069" s="6"/>
    </row>
    <row r="10070" spans="8:9" x14ac:dyDescent="0.2">
      <c r="H10070" s="6"/>
      <c r="I10070" s="6"/>
    </row>
    <row r="10071" spans="8:9" x14ac:dyDescent="0.2">
      <c r="H10071" s="6"/>
      <c r="I10071" s="6"/>
    </row>
    <row r="10072" spans="8:9" x14ac:dyDescent="0.2">
      <c r="H10072" s="6"/>
      <c r="I10072" s="6"/>
    </row>
    <row r="10073" spans="8:9" x14ac:dyDescent="0.2">
      <c r="H10073" s="6"/>
      <c r="I10073" s="6"/>
    </row>
    <row r="10074" spans="8:9" x14ac:dyDescent="0.2">
      <c r="H10074" s="6"/>
      <c r="I10074" s="6"/>
    </row>
    <row r="10075" spans="8:9" x14ac:dyDescent="0.2">
      <c r="H10075" s="6"/>
      <c r="I10075" s="6"/>
    </row>
    <row r="10076" spans="8:9" x14ac:dyDescent="0.2">
      <c r="H10076" s="6"/>
      <c r="I10076" s="6"/>
    </row>
    <row r="10077" spans="8:9" x14ac:dyDescent="0.2">
      <c r="H10077" s="6"/>
      <c r="I10077" s="6"/>
    </row>
    <row r="10078" spans="8:9" x14ac:dyDescent="0.2">
      <c r="H10078" s="6"/>
      <c r="I10078" s="6"/>
    </row>
    <row r="10079" spans="8:9" x14ac:dyDescent="0.2">
      <c r="H10079" s="6"/>
      <c r="I10079" s="6"/>
    </row>
    <row r="10080" spans="8:9" x14ac:dyDescent="0.2">
      <c r="H10080" s="6"/>
      <c r="I10080" s="6"/>
    </row>
    <row r="10081" spans="8:9" x14ac:dyDescent="0.2">
      <c r="H10081" s="6"/>
      <c r="I10081" s="6"/>
    </row>
    <row r="10082" spans="8:9" x14ac:dyDescent="0.2">
      <c r="H10082" s="6"/>
      <c r="I10082" s="6"/>
    </row>
    <row r="10083" spans="8:9" x14ac:dyDescent="0.2">
      <c r="H10083" s="6"/>
      <c r="I10083" s="6"/>
    </row>
    <row r="10084" spans="8:9" x14ac:dyDescent="0.2">
      <c r="H10084" s="6"/>
      <c r="I10084" s="6"/>
    </row>
    <row r="10085" spans="8:9" x14ac:dyDescent="0.2">
      <c r="H10085" s="6"/>
      <c r="I10085" s="6"/>
    </row>
    <row r="10086" spans="8:9" x14ac:dyDescent="0.2">
      <c r="H10086" s="6"/>
      <c r="I10086" s="6"/>
    </row>
    <row r="10087" spans="8:9" x14ac:dyDescent="0.2">
      <c r="H10087" s="6"/>
      <c r="I10087" s="6"/>
    </row>
    <row r="10088" spans="8:9" x14ac:dyDescent="0.2">
      <c r="H10088" s="6"/>
      <c r="I10088" s="6"/>
    </row>
    <row r="10089" spans="8:9" x14ac:dyDescent="0.2">
      <c r="H10089" s="6"/>
      <c r="I10089" s="6"/>
    </row>
    <row r="10090" spans="8:9" x14ac:dyDescent="0.2">
      <c r="H10090" s="6"/>
      <c r="I10090" s="6"/>
    </row>
    <row r="10091" spans="8:9" x14ac:dyDescent="0.2">
      <c r="H10091" s="6"/>
      <c r="I10091" s="6"/>
    </row>
    <row r="10092" spans="8:9" x14ac:dyDescent="0.2">
      <c r="H10092" s="6"/>
      <c r="I10092" s="6"/>
    </row>
    <row r="10093" spans="8:9" x14ac:dyDescent="0.2">
      <c r="H10093" s="6"/>
      <c r="I10093" s="6"/>
    </row>
    <row r="10094" spans="8:9" x14ac:dyDescent="0.2">
      <c r="H10094" s="6"/>
      <c r="I10094" s="6"/>
    </row>
    <row r="10095" spans="8:9" x14ac:dyDescent="0.2">
      <c r="H10095" s="6"/>
      <c r="I10095" s="6"/>
    </row>
    <row r="10096" spans="8:9" x14ac:dyDescent="0.2">
      <c r="H10096" s="6"/>
      <c r="I10096" s="6"/>
    </row>
    <row r="10097" spans="8:9" x14ac:dyDescent="0.2">
      <c r="H10097" s="6"/>
      <c r="I10097" s="6"/>
    </row>
    <row r="10098" spans="8:9" x14ac:dyDescent="0.2">
      <c r="H10098" s="6"/>
      <c r="I10098" s="6"/>
    </row>
    <row r="10099" spans="8:9" x14ac:dyDescent="0.2">
      <c r="H10099" s="6"/>
      <c r="I10099" s="6"/>
    </row>
    <row r="10100" spans="8:9" x14ac:dyDescent="0.2">
      <c r="H10100" s="6"/>
      <c r="I10100" s="6"/>
    </row>
    <row r="10101" spans="8:9" x14ac:dyDescent="0.2">
      <c r="H10101" s="6"/>
      <c r="I10101" s="6"/>
    </row>
    <row r="10102" spans="8:9" x14ac:dyDescent="0.2">
      <c r="H10102" s="6"/>
      <c r="I10102" s="6"/>
    </row>
    <row r="10103" spans="8:9" x14ac:dyDescent="0.2">
      <c r="H10103" s="6"/>
      <c r="I10103" s="6"/>
    </row>
    <row r="10104" spans="8:9" x14ac:dyDescent="0.2">
      <c r="H10104" s="6"/>
      <c r="I10104" s="6"/>
    </row>
    <row r="10105" spans="8:9" x14ac:dyDescent="0.2">
      <c r="H10105" s="6"/>
      <c r="I10105" s="6"/>
    </row>
    <row r="10106" spans="8:9" x14ac:dyDescent="0.2">
      <c r="H10106" s="6"/>
      <c r="I10106" s="6"/>
    </row>
    <row r="10107" spans="8:9" x14ac:dyDescent="0.2">
      <c r="H10107" s="6"/>
      <c r="I10107" s="6"/>
    </row>
    <row r="10108" spans="8:9" x14ac:dyDescent="0.2">
      <c r="H10108" s="6"/>
      <c r="I10108" s="6"/>
    </row>
    <row r="10109" spans="8:9" x14ac:dyDescent="0.2">
      <c r="H10109" s="6"/>
      <c r="I10109" s="6"/>
    </row>
    <row r="10110" spans="8:9" x14ac:dyDescent="0.2">
      <c r="H10110" s="6"/>
      <c r="I10110" s="6"/>
    </row>
    <row r="10111" spans="8:9" x14ac:dyDescent="0.2">
      <c r="H10111" s="6"/>
      <c r="I10111" s="6"/>
    </row>
    <row r="10112" spans="8:9" x14ac:dyDescent="0.2">
      <c r="H10112" s="6"/>
      <c r="I10112" s="6"/>
    </row>
    <row r="10113" spans="8:9" x14ac:dyDescent="0.2">
      <c r="H10113" s="6"/>
      <c r="I10113" s="6"/>
    </row>
    <row r="10114" spans="8:9" x14ac:dyDescent="0.2">
      <c r="H10114" s="6"/>
      <c r="I10114" s="6"/>
    </row>
    <row r="10115" spans="8:9" x14ac:dyDescent="0.2">
      <c r="H10115" s="6"/>
      <c r="I10115" s="6"/>
    </row>
    <row r="10116" spans="8:9" x14ac:dyDescent="0.2">
      <c r="H10116" s="6"/>
      <c r="I10116" s="6"/>
    </row>
    <row r="10117" spans="8:9" x14ac:dyDescent="0.2">
      <c r="H10117" s="6"/>
      <c r="I10117" s="6"/>
    </row>
    <row r="10118" spans="8:9" x14ac:dyDescent="0.2">
      <c r="H10118" s="6"/>
      <c r="I10118" s="6"/>
    </row>
    <row r="10119" spans="8:9" x14ac:dyDescent="0.2">
      <c r="H10119" s="6"/>
      <c r="I10119" s="6"/>
    </row>
    <row r="10120" spans="8:9" x14ac:dyDescent="0.2">
      <c r="H10120" s="6"/>
      <c r="I10120" s="6"/>
    </row>
    <row r="10121" spans="8:9" x14ac:dyDescent="0.2">
      <c r="H10121" s="6"/>
      <c r="I10121" s="6"/>
    </row>
    <row r="10122" spans="8:9" x14ac:dyDescent="0.2">
      <c r="H10122" s="6"/>
      <c r="I10122" s="6"/>
    </row>
    <row r="10123" spans="8:9" x14ac:dyDescent="0.2">
      <c r="H10123" s="6"/>
      <c r="I10123" s="6"/>
    </row>
    <row r="10124" spans="8:9" x14ac:dyDescent="0.2">
      <c r="H10124" s="6"/>
      <c r="I10124" s="6"/>
    </row>
    <row r="10125" spans="8:9" x14ac:dyDescent="0.2">
      <c r="H10125" s="6"/>
      <c r="I10125" s="6"/>
    </row>
    <row r="10126" spans="8:9" x14ac:dyDescent="0.2">
      <c r="H10126" s="6"/>
      <c r="I10126" s="6"/>
    </row>
    <row r="10127" spans="8:9" x14ac:dyDescent="0.2">
      <c r="H10127" s="6"/>
      <c r="I10127" s="6"/>
    </row>
    <row r="10128" spans="8:9" x14ac:dyDescent="0.2">
      <c r="H10128" s="6"/>
      <c r="I10128" s="6"/>
    </row>
    <row r="10129" spans="8:9" x14ac:dyDescent="0.2">
      <c r="H10129" s="6"/>
      <c r="I10129" s="6"/>
    </row>
    <row r="10130" spans="8:9" x14ac:dyDescent="0.2">
      <c r="H10130" s="6"/>
      <c r="I10130" s="6"/>
    </row>
    <row r="10131" spans="8:9" x14ac:dyDescent="0.2">
      <c r="H10131" s="6"/>
      <c r="I10131" s="6"/>
    </row>
    <row r="10132" spans="8:9" x14ac:dyDescent="0.2">
      <c r="H10132" s="6"/>
      <c r="I10132" s="6"/>
    </row>
    <row r="10133" spans="8:9" x14ac:dyDescent="0.2">
      <c r="H10133" s="6"/>
      <c r="I10133" s="6"/>
    </row>
    <row r="10134" spans="8:9" x14ac:dyDescent="0.2">
      <c r="H10134" s="6"/>
      <c r="I10134" s="6"/>
    </row>
    <row r="10135" spans="8:9" x14ac:dyDescent="0.2">
      <c r="H10135" s="6"/>
      <c r="I10135" s="6"/>
    </row>
    <row r="10136" spans="8:9" x14ac:dyDescent="0.2">
      <c r="H10136" s="6"/>
      <c r="I10136" s="6"/>
    </row>
    <row r="10137" spans="8:9" x14ac:dyDescent="0.2">
      <c r="H10137" s="6"/>
      <c r="I10137" s="6"/>
    </row>
    <row r="10138" spans="8:9" x14ac:dyDescent="0.2">
      <c r="H10138" s="6"/>
      <c r="I10138" s="6"/>
    </row>
    <row r="10139" spans="8:9" x14ac:dyDescent="0.2">
      <c r="H10139" s="6"/>
      <c r="I10139" s="6"/>
    </row>
    <row r="10140" spans="8:9" x14ac:dyDescent="0.2">
      <c r="H10140" s="6"/>
      <c r="I10140" s="6"/>
    </row>
    <row r="10141" spans="8:9" x14ac:dyDescent="0.2">
      <c r="H10141" s="6"/>
      <c r="I10141" s="6"/>
    </row>
    <row r="10142" spans="8:9" x14ac:dyDescent="0.2">
      <c r="H10142" s="6"/>
      <c r="I10142" s="6"/>
    </row>
    <row r="10143" spans="8:9" x14ac:dyDescent="0.2">
      <c r="H10143" s="6"/>
      <c r="I10143" s="6"/>
    </row>
    <row r="10144" spans="8:9" x14ac:dyDescent="0.2">
      <c r="H10144" s="6"/>
      <c r="I10144" s="6"/>
    </row>
    <row r="10145" spans="8:9" x14ac:dyDescent="0.2">
      <c r="H10145" s="6"/>
      <c r="I10145" s="6"/>
    </row>
    <row r="10146" spans="8:9" x14ac:dyDescent="0.2">
      <c r="H10146" s="6"/>
      <c r="I10146" s="6"/>
    </row>
    <row r="10147" spans="8:9" x14ac:dyDescent="0.2">
      <c r="H10147" s="6"/>
      <c r="I10147" s="6"/>
    </row>
    <row r="10148" spans="8:9" x14ac:dyDescent="0.2">
      <c r="H10148" s="6"/>
      <c r="I10148" s="6"/>
    </row>
    <row r="10149" spans="8:9" x14ac:dyDescent="0.2">
      <c r="H10149" s="6"/>
      <c r="I10149" s="6"/>
    </row>
    <row r="10150" spans="8:9" x14ac:dyDescent="0.2">
      <c r="H10150" s="6"/>
      <c r="I10150" s="6"/>
    </row>
    <row r="10151" spans="8:9" x14ac:dyDescent="0.2">
      <c r="H10151" s="6"/>
      <c r="I10151" s="6"/>
    </row>
    <row r="10152" spans="8:9" x14ac:dyDescent="0.2">
      <c r="H10152" s="6"/>
      <c r="I10152" s="6"/>
    </row>
    <row r="10153" spans="8:9" x14ac:dyDescent="0.2">
      <c r="H10153" s="6"/>
      <c r="I10153" s="6"/>
    </row>
    <row r="10154" spans="8:9" x14ac:dyDescent="0.2">
      <c r="H10154" s="6"/>
      <c r="I10154" s="6"/>
    </row>
    <row r="10155" spans="8:9" x14ac:dyDescent="0.2">
      <c r="H10155" s="6"/>
      <c r="I10155" s="6"/>
    </row>
    <row r="10156" spans="8:9" x14ac:dyDescent="0.2">
      <c r="H10156" s="6"/>
      <c r="I10156" s="6"/>
    </row>
    <row r="10157" spans="8:9" x14ac:dyDescent="0.2">
      <c r="H10157" s="6"/>
      <c r="I10157" s="6"/>
    </row>
    <row r="10158" spans="8:9" x14ac:dyDescent="0.2">
      <c r="H10158" s="6"/>
      <c r="I10158" s="6"/>
    </row>
    <row r="10159" spans="8:9" x14ac:dyDescent="0.2">
      <c r="H10159" s="6"/>
      <c r="I10159" s="6"/>
    </row>
    <row r="10160" spans="8:9" x14ac:dyDescent="0.2">
      <c r="H10160" s="6"/>
      <c r="I10160" s="6"/>
    </row>
    <row r="10161" spans="8:9" x14ac:dyDescent="0.2">
      <c r="H10161" s="6"/>
      <c r="I10161" s="6"/>
    </row>
    <row r="10162" spans="8:9" x14ac:dyDescent="0.2">
      <c r="H10162" s="6"/>
      <c r="I10162" s="6"/>
    </row>
    <row r="10163" spans="8:9" x14ac:dyDescent="0.2">
      <c r="H10163" s="6"/>
      <c r="I10163" s="6"/>
    </row>
    <row r="10164" spans="8:9" x14ac:dyDescent="0.2">
      <c r="H10164" s="6"/>
      <c r="I10164" s="6"/>
    </row>
    <row r="10165" spans="8:9" x14ac:dyDescent="0.2">
      <c r="H10165" s="6"/>
      <c r="I10165" s="6"/>
    </row>
    <row r="10166" spans="8:9" x14ac:dyDescent="0.2">
      <c r="H10166" s="6"/>
      <c r="I10166" s="6"/>
    </row>
    <row r="10167" spans="8:9" x14ac:dyDescent="0.2">
      <c r="H10167" s="6"/>
      <c r="I10167" s="6"/>
    </row>
    <row r="10168" spans="8:9" x14ac:dyDescent="0.2">
      <c r="H10168" s="6"/>
      <c r="I10168" s="6"/>
    </row>
    <row r="10169" spans="8:9" x14ac:dyDescent="0.2">
      <c r="H10169" s="6"/>
      <c r="I10169" s="6"/>
    </row>
    <row r="10170" spans="8:9" x14ac:dyDescent="0.2">
      <c r="H10170" s="6"/>
      <c r="I10170" s="6"/>
    </row>
    <row r="10171" spans="8:9" x14ac:dyDescent="0.2">
      <c r="H10171" s="6"/>
      <c r="I10171" s="6"/>
    </row>
    <row r="10172" spans="8:9" x14ac:dyDescent="0.2">
      <c r="H10172" s="6"/>
      <c r="I10172" s="6"/>
    </row>
    <row r="10173" spans="8:9" x14ac:dyDescent="0.2">
      <c r="H10173" s="6"/>
      <c r="I10173" s="6"/>
    </row>
    <row r="10174" spans="8:9" x14ac:dyDescent="0.2">
      <c r="H10174" s="6"/>
      <c r="I10174" s="6"/>
    </row>
    <row r="10175" spans="8:9" x14ac:dyDescent="0.2">
      <c r="H10175" s="6"/>
      <c r="I10175" s="6"/>
    </row>
    <row r="10176" spans="8:9" x14ac:dyDescent="0.2">
      <c r="H10176" s="6"/>
      <c r="I10176" s="6"/>
    </row>
    <row r="10177" spans="8:9" x14ac:dyDescent="0.2">
      <c r="H10177" s="6"/>
      <c r="I10177" s="6"/>
    </row>
    <row r="10178" spans="8:9" x14ac:dyDescent="0.2">
      <c r="H10178" s="6"/>
      <c r="I10178" s="6"/>
    </row>
    <row r="10179" spans="8:9" x14ac:dyDescent="0.2">
      <c r="H10179" s="6"/>
      <c r="I10179" s="6"/>
    </row>
    <row r="10180" spans="8:9" x14ac:dyDescent="0.2">
      <c r="H10180" s="6"/>
      <c r="I10180" s="6"/>
    </row>
    <row r="10181" spans="8:9" x14ac:dyDescent="0.2">
      <c r="H10181" s="6"/>
      <c r="I10181" s="6"/>
    </row>
    <row r="10182" spans="8:9" x14ac:dyDescent="0.2">
      <c r="H10182" s="6"/>
      <c r="I10182" s="6"/>
    </row>
    <row r="10183" spans="8:9" x14ac:dyDescent="0.2">
      <c r="H10183" s="6"/>
      <c r="I10183" s="6"/>
    </row>
    <row r="10184" spans="8:9" x14ac:dyDescent="0.2">
      <c r="H10184" s="6"/>
      <c r="I10184" s="6"/>
    </row>
    <row r="10185" spans="8:9" x14ac:dyDescent="0.2">
      <c r="H10185" s="6"/>
      <c r="I10185" s="6"/>
    </row>
    <row r="10186" spans="8:9" x14ac:dyDescent="0.2">
      <c r="H10186" s="6"/>
      <c r="I10186" s="6"/>
    </row>
    <row r="10187" spans="8:9" x14ac:dyDescent="0.2">
      <c r="H10187" s="6"/>
      <c r="I10187" s="6"/>
    </row>
    <row r="10188" spans="8:9" x14ac:dyDescent="0.2">
      <c r="H10188" s="6"/>
      <c r="I10188" s="6"/>
    </row>
    <row r="10189" spans="8:9" x14ac:dyDescent="0.2">
      <c r="H10189" s="6"/>
      <c r="I10189" s="6"/>
    </row>
    <row r="10190" spans="8:9" x14ac:dyDescent="0.2">
      <c r="H10190" s="6"/>
      <c r="I10190" s="6"/>
    </row>
    <row r="10191" spans="8:9" x14ac:dyDescent="0.2">
      <c r="H10191" s="6"/>
      <c r="I10191" s="6"/>
    </row>
    <row r="10192" spans="8:9" x14ac:dyDescent="0.2">
      <c r="H10192" s="6"/>
      <c r="I10192" s="6"/>
    </row>
    <row r="10193" spans="8:9" x14ac:dyDescent="0.2">
      <c r="H10193" s="6"/>
      <c r="I10193" s="6"/>
    </row>
    <row r="10194" spans="8:9" x14ac:dyDescent="0.2">
      <c r="H10194" s="6"/>
      <c r="I10194" s="6"/>
    </row>
    <row r="10195" spans="8:9" x14ac:dyDescent="0.2">
      <c r="H10195" s="6"/>
      <c r="I10195" s="6"/>
    </row>
    <row r="10196" spans="8:9" x14ac:dyDescent="0.2">
      <c r="H10196" s="6"/>
      <c r="I10196" s="6"/>
    </row>
    <row r="10197" spans="8:9" x14ac:dyDescent="0.2">
      <c r="H10197" s="6"/>
      <c r="I10197" s="6"/>
    </row>
    <row r="10198" spans="8:9" x14ac:dyDescent="0.2">
      <c r="H10198" s="6"/>
      <c r="I10198" s="6"/>
    </row>
    <row r="10199" spans="8:9" x14ac:dyDescent="0.2">
      <c r="H10199" s="6"/>
      <c r="I10199" s="6"/>
    </row>
    <row r="10200" spans="8:9" x14ac:dyDescent="0.2">
      <c r="H10200" s="6"/>
      <c r="I10200" s="6"/>
    </row>
    <row r="10201" spans="8:9" x14ac:dyDescent="0.2">
      <c r="H10201" s="6"/>
      <c r="I10201" s="6"/>
    </row>
    <row r="10202" spans="8:9" x14ac:dyDescent="0.2">
      <c r="H10202" s="6"/>
      <c r="I10202" s="6"/>
    </row>
    <row r="10203" spans="8:9" x14ac:dyDescent="0.2">
      <c r="H10203" s="6"/>
      <c r="I10203" s="6"/>
    </row>
    <row r="10204" spans="8:9" x14ac:dyDescent="0.2">
      <c r="H10204" s="6"/>
      <c r="I10204" s="6"/>
    </row>
    <row r="10205" spans="8:9" x14ac:dyDescent="0.2">
      <c r="H10205" s="6"/>
      <c r="I10205" s="6"/>
    </row>
    <row r="10206" spans="8:9" x14ac:dyDescent="0.2">
      <c r="H10206" s="6"/>
      <c r="I10206" s="6"/>
    </row>
    <row r="10207" spans="8:9" x14ac:dyDescent="0.2">
      <c r="H10207" s="6"/>
      <c r="I10207" s="6"/>
    </row>
    <row r="10208" spans="8:9" x14ac:dyDescent="0.2">
      <c r="H10208" s="6"/>
      <c r="I10208" s="6"/>
    </row>
    <row r="10209" spans="8:9" x14ac:dyDescent="0.2">
      <c r="H10209" s="6"/>
      <c r="I10209" s="6"/>
    </row>
    <row r="10210" spans="8:9" x14ac:dyDescent="0.2">
      <c r="H10210" s="6"/>
      <c r="I10210" s="6"/>
    </row>
    <row r="10211" spans="8:9" x14ac:dyDescent="0.2">
      <c r="H10211" s="6"/>
      <c r="I10211" s="6"/>
    </row>
    <row r="10212" spans="8:9" x14ac:dyDescent="0.2">
      <c r="H10212" s="6"/>
      <c r="I10212" s="6"/>
    </row>
    <row r="10213" spans="8:9" x14ac:dyDescent="0.2">
      <c r="H10213" s="6"/>
      <c r="I10213" s="6"/>
    </row>
    <row r="10214" spans="8:9" x14ac:dyDescent="0.2">
      <c r="H10214" s="6"/>
      <c r="I10214" s="6"/>
    </row>
    <row r="10215" spans="8:9" x14ac:dyDescent="0.2">
      <c r="H10215" s="6"/>
      <c r="I10215" s="6"/>
    </row>
    <row r="10216" spans="8:9" x14ac:dyDescent="0.2">
      <c r="H10216" s="6"/>
      <c r="I10216" s="6"/>
    </row>
    <row r="10217" spans="8:9" x14ac:dyDescent="0.2">
      <c r="H10217" s="6"/>
      <c r="I10217" s="6"/>
    </row>
    <row r="10218" spans="8:9" x14ac:dyDescent="0.2">
      <c r="H10218" s="6"/>
      <c r="I10218" s="6"/>
    </row>
    <row r="10219" spans="8:9" x14ac:dyDescent="0.2">
      <c r="H10219" s="6"/>
      <c r="I10219" s="6"/>
    </row>
    <row r="10220" spans="8:9" x14ac:dyDescent="0.2">
      <c r="H10220" s="6"/>
      <c r="I10220" s="6"/>
    </row>
    <row r="10221" spans="8:9" x14ac:dyDescent="0.2">
      <c r="H10221" s="6"/>
      <c r="I10221" s="6"/>
    </row>
    <row r="10222" spans="8:9" x14ac:dyDescent="0.2">
      <c r="H10222" s="6"/>
      <c r="I10222" s="6"/>
    </row>
    <row r="10223" spans="8:9" x14ac:dyDescent="0.2">
      <c r="H10223" s="6"/>
      <c r="I10223" s="6"/>
    </row>
    <row r="10224" spans="8:9" x14ac:dyDescent="0.2">
      <c r="H10224" s="6"/>
      <c r="I10224" s="6"/>
    </row>
    <row r="10225" spans="8:9" x14ac:dyDescent="0.2">
      <c r="H10225" s="6"/>
      <c r="I10225" s="6"/>
    </row>
    <row r="10226" spans="8:9" x14ac:dyDescent="0.2">
      <c r="H10226" s="6"/>
      <c r="I10226" s="6"/>
    </row>
    <row r="10227" spans="8:9" x14ac:dyDescent="0.2">
      <c r="H10227" s="6"/>
      <c r="I10227" s="6"/>
    </row>
    <row r="10228" spans="8:9" x14ac:dyDescent="0.2">
      <c r="H10228" s="6"/>
      <c r="I10228" s="6"/>
    </row>
    <row r="10229" spans="8:9" x14ac:dyDescent="0.2">
      <c r="H10229" s="6"/>
      <c r="I10229" s="6"/>
    </row>
    <row r="10230" spans="8:9" x14ac:dyDescent="0.2">
      <c r="H10230" s="6"/>
      <c r="I10230" s="6"/>
    </row>
    <row r="10231" spans="8:9" x14ac:dyDescent="0.2">
      <c r="H10231" s="6"/>
      <c r="I10231" s="6"/>
    </row>
    <row r="10232" spans="8:9" x14ac:dyDescent="0.2">
      <c r="H10232" s="6"/>
      <c r="I10232" s="6"/>
    </row>
    <row r="10233" spans="8:9" x14ac:dyDescent="0.2">
      <c r="H10233" s="6"/>
      <c r="I10233" s="6"/>
    </row>
    <row r="10234" spans="8:9" x14ac:dyDescent="0.2">
      <c r="H10234" s="6"/>
      <c r="I10234" s="6"/>
    </row>
    <row r="10235" spans="8:9" x14ac:dyDescent="0.2">
      <c r="H10235" s="6"/>
      <c r="I10235" s="6"/>
    </row>
    <row r="10236" spans="8:9" x14ac:dyDescent="0.2">
      <c r="H10236" s="6"/>
      <c r="I10236" s="6"/>
    </row>
    <row r="10237" spans="8:9" x14ac:dyDescent="0.2">
      <c r="H10237" s="6"/>
      <c r="I10237" s="6"/>
    </row>
    <row r="10238" spans="8:9" x14ac:dyDescent="0.2">
      <c r="H10238" s="6"/>
      <c r="I10238" s="6"/>
    </row>
    <row r="10239" spans="8:9" x14ac:dyDescent="0.2">
      <c r="H10239" s="6"/>
      <c r="I10239" s="6"/>
    </row>
    <row r="10240" spans="8:9" x14ac:dyDescent="0.2">
      <c r="H10240" s="6"/>
      <c r="I10240" s="6"/>
    </row>
    <row r="10241" spans="8:9" x14ac:dyDescent="0.2">
      <c r="H10241" s="6"/>
      <c r="I10241" s="6"/>
    </row>
    <row r="10242" spans="8:9" x14ac:dyDescent="0.2">
      <c r="H10242" s="6"/>
      <c r="I10242" s="6"/>
    </row>
    <row r="10243" spans="8:9" x14ac:dyDescent="0.2">
      <c r="H10243" s="6"/>
      <c r="I10243" s="6"/>
    </row>
    <row r="10244" spans="8:9" x14ac:dyDescent="0.2">
      <c r="H10244" s="6"/>
      <c r="I10244" s="6"/>
    </row>
    <row r="10245" spans="8:9" x14ac:dyDescent="0.2">
      <c r="H10245" s="6"/>
      <c r="I10245" s="6"/>
    </row>
    <row r="10246" spans="8:9" x14ac:dyDescent="0.2">
      <c r="H10246" s="6"/>
      <c r="I10246" s="6"/>
    </row>
    <row r="10247" spans="8:9" x14ac:dyDescent="0.2">
      <c r="H10247" s="6"/>
      <c r="I10247" s="6"/>
    </row>
    <row r="10248" spans="8:9" x14ac:dyDescent="0.2">
      <c r="H10248" s="6"/>
      <c r="I10248" s="6"/>
    </row>
    <row r="10249" spans="8:9" x14ac:dyDescent="0.2">
      <c r="H10249" s="6"/>
      <c r="I10249" s="6"/>
    </row>
    <row r="10250" spans="8:9" x14ac:dyDescent="0.2">
      <c r="H10250" s="6"/>
      <c r="I10250" s="6"/>
    </row>
    <row r="10251" spans="8:9" x14ac:dyDescent="0.2">
      <c r="H10251" s="6"/>
      <c r="I10251" s="6"/>
    </row>
    <row r="10252" spans="8:9" x14ac:dyDescent="0.2">
      <c r="H10252" s="6"/>
      <c r="I10252" s="6"/>
    </row>
    <row r="10253" spans="8:9" x14ac:dyDescent="0.2">
      <c r="H10253" s="6"/>
      <c r="I10253" s="6"/>
    </row>
    <row r="10254" spans="8:9" x14ac:dyDescent="0.2">
      <c r="H10254" s="6"/>
      <c r="I10254" s="6"/>
    </row>
    <row r="10255" spans="8:9" x14ac:dyDescent="0.2">
      <c r="H10255" s="6"/>
      <c r="I10255" s="6"/>
    </row>
    <row r="10256" spans="8:9" x14ac:dyDescent="0.2">
      <c r="H10256" s="6"/>
      <c r="I10256" s="6"/>
    </row>
    <row r="10257" spans="8:9" x14ac:dyDescent="0.2">
      <c r="H10257" s="6"/>
      <c r="I10257" s="6"/>
    </row>
    <row r="10258" spans="8:9" x14ac:dyDescent="0.2">
      <c r="H10258" s="6"/>
      <c r="I10258" s="6"/>
    </row>
    <row r="10259" spans="8:9" x14ac:dyDescent="0.2">
      <c r="H10259" s="6"/>
      <c r="I10259" s="6"/>
    </row>
    <row r="10260" spans="8:9" x14ac:dyDescent="0.2">
      <c r="H10260" s="6"/>
      <c r="I10260" s="6"/>
    </row>
    <row r="10261" spans="8:9" x14ac:dyDescent="0.2">
      <c r="H10261" s="6"/>
      <c r="I10261" s="6"/>
    </row>
    <row r="10262" spans="8:9" x14ac:dyDescent="0.2">
      <c r="H10262" s="6"/>
      <c r="I10262" s="6"/>
    </row>
    <row r="10263" spans="8:9" x14ac:dyDescent="0.2">
      <c r="H10263" s="6"/>
      <c r="I10263" s="6"/>
    </row>
    <row r="10264" spans="8:9" x14ac:dyDescent="0.2">
      <c r="H10264" s="6"/>
      <c r="I10264" s="6"/>
    </row>
    <row r="10265" spans="8:9" x14ac:dyDescent="0.2">
      <c r="H10265" s="6"/>
      <c r="I10265" s="6"/>
    </row>
    <row r="10266" spans="8:9" x14ac:dyDescent="0.2">
      <c r="H10266" s="6"/>
      <c r="I10266" s="6"/>
    </row>
    <row r="10267" spans="8:9" x14ac:dyDescent="0.2">
      <c r="H10267" s="6"/>
      <c r="I10267" s="6"/>
    </row>
    <row r="10268" spans="8:9" x14ac:dyDescent="0.2">
      <c r="H10268" s="6"/>
      <c r="I10268" s="6"/>
    </row>
    <row r="10269" spans="8:9" x14ac:dyDescent="0.2">
      <c r="H10269" s="6"/>
      <c r="I10269" s="6"/>
    </row>
    <row r="10270" spans="8:9" x14ac:dyDescent="0.2">
      <c r="H10270" s="6"/>
      <c r="I10270" s="6"/>
    </row>
    <row r="10271" spans="8:9" x14ac:dyDescent="0.2">
      <c r="H10271" s="6"/>
      <c r="I10271" s="6"/>
    </row>
    <row r="10272" spans="8:9" x14ac:dyDescent="0.2">
      <c r="H10272" s="6"/>
      <c r="I10272" s="6"/>
    </row>
    <row r="10273" spans="8:9" x14ac:dyDescent="0.2">
      <c r="H10273" s="6"/>
      <c r="I10273" s="6"/>
    </row>
    <row r="10274" spans="8:9" x14ac:dyDescent="0.2">
      <c r="H10274" s="6"/>
      <c r="I10274" s="6"/>
    </row>
    <row r="10275" spans="8:9" x14ac:dyDescent="0.2">
      <c r="H10275" s="6"/>
      <c r="I10275" s="6"/>
    </row>
    <row r="10276" spans="8:9" x14ac:dyDescent="0.2">
      <c r="H10276" s="6"/>
      <c r="I10276" s="6"/>
    </row>
    <row r="10277" spans="8:9" x14ac:dyDescent="0.2">
      <c r="H10277" s="6"/>
      <c r="I10277" s="6"/>
    </row>
    <row r="10278" spans="8:9" x14ac:dyDescent="0.2">
      <c r="H10278" s="6"/>
      <c r="I10278" s="6"/>
    </row>
    <row r="10279" spans="8:9" x14ac:dyDescent="0.2">
      <c r="H10279" s="6"/>
      <c r="I10279" s="6"/>
    </row>
    <row r="10280" spans="8:9" x14ac:dyDescent="0.2">
      <c r="H10280" s="6"/>
      <c r="I10280" s="6"/>
    </row>
    <row r="10281" spans="8:9" x14ac:dyDescent="0.2">
      <c r="H10281" s="6"/>
      <c r="I10281" s="6"/>
    </row>
    <row r="10282" spans="8:9" x14ac:dyDescent="0.2">
      <c r="H10282" s="6"/>
      <c r="I10282" s="6"/>
    </row>
    <row r="10283" spans="8:9" x14ac:dyDescent="0.2">
      <c r="H10283" s="6"/>
      <c r="I10283" s="6"/>
    </row>
    <row r="10284" spans="8:9" x14ac:dyDescent="0.2">
      <c r="H10284" s="6"/>
      <c r="I10284" s="6"/>
    </row>
    <row r="10285" spans="8:9" x14ac:dyDescent="0.2">
      <c r="H10285" s="6"/>
      <c r="I10285" s="6"/>
    </row>
    <row r="10286" spans="8:9" x14ac:dyDescent="0.2">
      <c r="H10286" s="6"/>
      <c r="I10286" s="6"/>
    </row>
    <row r="10287" spans="8:9" x14ac:dyDescent="0.2">
      <c r="H10287" s="6"/>
      <c r="I10287" s="6"/>
    </row>
    <row r="10288" spans="8:9" x14ac:dyDescent="0.2">
      <c r="H10288" s="6"/>
      <c r="I10288" s="6"/>
    </row>
    <row r="10289" spans="8:9" x14ac:dyDescent="0.2">
      <c r="H10289" s="6"/>
      <c r="I10289" s="6"/>
    </row>
    <row r="10290" spans="8:9" x14ac:dyDescent="0.2">
      <c r="H10290" s="6"/>
      <c r="I10290" s="6"/>
    </row>
    <row r="10291" spans="8:9" x14ac:dyDescent="0.2">
      <c r="H10291" s="6"/>
      <c r="I10291" s="6"/>
    </row>
    <row r="10292" spans="8:9" x14ac:dyDescent="0.2">
      <c r="H10292" s="6"/>
      <c r="I10292" s="6"/>
    </row>
    <row r="10293" spans="8:9" x14ac:dyDescent="0.2">
      <c r="H10293" s="6"/>
      <c r="I10293" s="6"/>
    </row>
    <row r="10294" spans="8:9" x14ac:dyDescent="0.2">
      <c r="H10294" s="6"/>
      <c r="I10294" s="6"/>
    </row>
    <row r="10295" spans="8:9" x14ac:dyDescent="0.2">
      <c r="H10295" s="6"/>
      <c r="I10295" s="6"/>
    </row>
    <row r="10296" spans="8:9" x14ac:dyDescent="0.2">
      <c r="H10296" s="6"/>
      <c r="I10296" s="6"/>
    </row>
    <row r="10297" spans="8:9" x14ac:dyDescent="0.2">
      <c r="H10297" s="6"/>
      <c r="I10297" s="6"/>
    </row>
    <row r="10298" spans="8:9" x14ac:dyDescent="0.2">
      <c r="H10298" s="6"/>
      <c r="I10298" s="6"/>
    </row>
    <row r="10299" spans="8:9" x14ac:dyDescent="0.2">
      <c r="H10299" s="6"/>
      <c r="I10299" s="6"/>
    </row>
    <row r="10300" spans="8:9" x14ac:dyDescent="0.2">
      <c r="H10300" s="6"/>
      <c r="I10300" s="6"/>
    </row>
    <row r="10301" spans="8:9" x14ac:dyDescent="0.2">
      <c r="H10301" s="6"/>
      <c r="I10301" s="6"/>
    </row>
    <row r="10302" spans="8:9" x14ac:dyDescent="0.2">
      <c r="H10302" s="6"/>
      <c r="I10302" s="6"/>
    </row>
    <row r="10303" spans="8:9" x14ac:dyDescent="0.2">
      <c r="H10303" s="6"/>
      <c r="I10303" s="6"/>
    </row>
    <row r="10304" spans="8:9" x14ac:dyDescent="0.2">
      <c r="H10304" s="6"/>
      <c r="I10304" s="6"/>
    </row>
    <row r="10305" spans="8:9" x14ac:dyDescent="0.2">
      <c r="H10305" s="6"/>
      <c r="I10305" s="6"/>
    </row>
    <row r="10306" spans="8:9" x14ac:dyDescent="0.2">
      <c r="H10306" s="6"/>
      <c r="I10306" s="6"/>
    </row>
    <row r="10307" spans="8:9" x14ac:dyDescent="0.2">
      <c r="H10307" s="6"/>
      <c r="I10307" s="6"/>
    </row>
    <row r="10308" spans="8:9" x14ac:dyDescent="0.2">
      <c r="H10308" s="6"/>
      <c r="I10308" s="6"/>
    </row>
    <row r="10309" spans="8:9" x14ac:dyDescent="0.2">
      <c r="H10309" s="6"/>
      <c r="I10309" s="6"/>
    </row>
    <row r="10310" spans="8:9" x14ac:dyDescent="0.2">
      <c r="H10310" s="6"/>
      <c r="I10310" s="6"/>
    </row>
    <row r="10311" spans="8:9" x14ac:dyDescent="0.2">
      <c r="H10311" s="6"/>
      <c r="I10311" s="6"/>
    </row>
    <row r="10312" spans="8:9" x14ac:dyDescent="0.2">
      <c r="H10312" s="6"/>
      <c r="I10312" s="6"/>
    </row>
    <row r="10313" spans="8:9" x14ac:dyDescent="0.2">
      <c r="H10313" s="6"/>
      <c r="I10313" s="6"/>
    </row>
    <row r="10314" spans="8:9" x14ac:dyDescent="0.2">
      <c r="H10314" s="6"/>
      <c r="I10314" s="6"/>
    </row>
    <row r="10315" spans="8:9" x14ac:dyDescent="0.2">
      <c r="H10315" s="6"/>
      <c r="I10315" s="6"/>
    </row>
    <row r="10316" spans="8:9" x14ac:dyDescent="0.2">
      <c r="H10316" s="6"/>
      <c r="I10316" s="6"/>
    </row>
    <row r="10317" spans="8:9" x14ac:dyDescent="0.2">
      <c r="H10317" s="6"/>
      <c r="I10317" s="6"/>
    </row>
    <row r="10318" spans="8:9" x14ac:dyDescent="0.2">
      <c r="H10318" s="6"/>
      <c r="I10318" s="6"/>
    </row>
    <row r="10319" spans="8:9" x14ac:dyDescent="0.2">
      <c r="H10319" s="6"/>
      <c r="I10319" s="6"/>
    </row>
    <row r="10320" spans="8:9" x14ac:dyDescent="0.2">
      <c r="H10320" s="6"/>
      <c r="I10320" s="6"/>
    </row>
    <row r="10321" spans="8:9" x14ac:dyDescent="0.2">
      <c r="H10321" s="6"/>
      <c r="I10321" s="6"/>
    </row>
    <row r="10322" spans="8:9" x14ac:dyDescent="0.2">
      <c r="H10322" s="6"/>
      <c r="I10322" s="6"/>
    </row>
    <row r="10323" spans="8:9" x14ac:dyDescent="0.2">
      <c r="H10323" s="6"/>
      <c r="I10323" s="6"/>
    </row>
    <row r="10324" spans="8:9" x14ac:dyDescent="0.2">
      <c r="H10324" s="6"/>
      <c r="I10324" s="6"/>
    </row>
    <row r="10325" spans="8:9" x14ac:dyDescent="0.2">
      <c r="H10325" s="6"/>
      <c r="I10325" s="6"/>
    </row>
    <row r="10326" spans="8:9" x14ac:dyDescent="0.2">
      <c r="H10326" s="6"/>
      <c r="I10326" s="6"/>
    </row>
    <row r="10327" spans="8:9" x14ac:dyDescent="0.2">
      <c r="H10327" s="6"/>
      <c r="I10327" s="6"/>
    </row>
    <row r="10328" spans="8:9" x14ac:dyDescent="0.2">
      <c r="H10328" s="6"/>
      <c r="I10328" s="6"/>
    </row>
    <row r="10329" spans="8:9" x14ac:dyDescent="0.2">
      <c r="H10329" s="6"/>
      <c r="I10329" s="6"/>
    </row>
    <row r="10330" spans="8:9" x14ac:dyDescent="0.2">
      <c r="H10330" s="6"/>
      <c r="I10330" s="6"/>
    </row>
    <row r="10331" spans="8:9" x14ac:dyDescent="0.2">
      <c r="H10331" s="6"/>
      <c r="I10331" s="6"/>
    </row>
    <row r="10332" spans="8:9" x14ac:dyDescent="0.2">
      <c r="H10332" s="6"/>
      <c r="I10332" s="6"/>
    </row>
    <row r="10333" spans="8:9" x14ac:dyDescent="0.2">
      <c r="H10333" s="6"/>
      <c r="I10333" s="6"/>
    </row>
    <row r="10334" spans="8:9" x14ac:dyDescent="0.2">
      <c r="H10334" s="6"/>
      <c r="I10334" s="6"/>
    </row>
    <row r="10335" spans="8:9" x14ac:dyDescent="0.2">
      <c r="H10335" s="6"/>
      <c r="I10335" s="6"/>
    </row>
    <row r="10336" spans="8:9" x14ac:dyDescent="0.2">
      <c r="H10336" s="6"/>
      <c r="I10336" s="6"/>
    </row>
    <row r="10337" spans="8:9" x14ac:dyDescent="0.2">
      <c r="H10337" s="6"/>
      <c r="I10337" s="6"/>
    </row>
    <row r="10338" spans="8:9" x14ac:dyDescent="0.2">
      <c r="H10338" s="6"/>
      <c r="I10338" s="6"/>
    </row>
    <row r="10339" spans="8:9" x14ac:dyDescent="0.2">
      <c r="H10339" s="6"/>
      <c r="I10339" s="6"/>
    </row>
    <row r="10340" spans="8:9" x14ac:dyDescent="0.2">
      <c r="H10340" s="6"/>
      <c r="I10340" s="6"/>
    </row>
    <row r="10341" spans="8:9" x14ac:dyDescent="0.2">
      <c r="H10341" s="6"/>
      <c r="I10341" s="6"/>
    </row>
    <row r="10342" spans="8:9" x14ac:dyDescent="0.2">
      <c r="H10342" s="6"/>
      <c r="I10342" s="6"/>
    </row>
    <row r="10343" spans="8:9" x14ac:dyDescent="0.2">
      <c r="H10343" s="6"/>
      <c r="I10343" s="6"/>
    </row>
    <row r="10344" spans="8:9" x14ac:dyDescent="0.2">
      <c r="H10344" s="6"/>
      <c r="I10344" s="6"/>
    </row>
    <row r="10345" spans="8:9" x14ac:dyDescent="0.2">
      <c r="H10345" s="6"/>
      <c r="I10345" s="6"/>
    </row>
    <row r="10346" spans="8:9" x14ac:dyDescent="0.2">
      <c r="H10346" s="6"/>
      <c r="I10346" s="6"/>
    </row>
    <row r="10347" spans="8:9" x14ac:dyDescent="0.2">
      <c r="H10347" s="6"/>
      <c r="I10347" s="6"/>
    </row>
    <row r="10348" spans="8:9" x14ac:dyDescent="0.2">
      <c r="H10348" s="6"/>
      <c r="I10348" s="6"/>
    </row>
    <row r="10349" spans="8:9" x14ac:dyDescent="0.2">
      <c r="H10349" s="6"/>
      <c r="I10349" s="6"/>
    </row>
    <row r="10350" spans="8:9" x14ac:dyDescent="0.2">
      <c r="H10350" s="6"/>
      <c r="I10350" s="6"/>
    </row>
    <row r="10351" spans="8:9" x14ac:dyDescent="0.2">
      <c r="H10351" s="6"/>
      <c r="I10351" s="6"/>
    </row>
    <row r="10352" spans="8:9" x14ac:dyDescent="0.2">
      <c r="H10352" s="6"/>
      <c r="I10352" s="6"/>
    </row>
    <row r="10353" spans="8:9" x14ac:dyDescent="0.2">
      <c r="H10353" s="6"/>
      <c r="I10353" s="6"/>
    </row>
    <row r="10354" spans="8:9" x14ac:dyDescent="0.2">
      <c r="H10354" s="6"/>
      <c r="I10354" s="6"/>
    </row>
    <row r="10355" spans="8:9" x14ac:dyDescent="0.2">
      <c r="H10355" s="6"/>
      <c r="I10355" s="6"/>
    </row>
    <row r="10356" spans="8:9" x14ac:dyDescent="0.2">
      <c r="H10356" s="6"/>
      <c r="I10356" s="6"/>
    </row>
    <row r="10357" spans="8:9" x14ac:dyDescent="0.2">
      <c r="H10357" s="6"/>
      <c r="I10357" s="6"/>
    </row>
    <row r="10358" spans="8:9" x14ac:dyDescent="0.2">
      <c r="H10358" s="6"/>
      <c r="I10358" s="6"/>
    </row>
    <row r="10359" spans="8:9" x14ac:dyDescent="0.2">
      <c r="H10359" s="6"/>
      <c r="I10359" s="6"/>
    </row>
    <row r="10360" spans="8:9" x14ac:dyDescent="0.2">
      <c r="H10360" s="6"/>
      <c r="I10360" s="6"/>
    </row>
    <row r="10361" spans="8:9" x14ac:dyDescent="0.2">
      <c r="H10361" s="6"/>
      <c r="I10361" s="6"/>
    </row>
    <row r="10362" spans="8:9" x14ac:dyDescent="0.2">
      <c r="H10362" s="6"/>
      <c r="I10362" s="6"/>
    </row>
    <row r="10363" spans="8:9" x14ac:dyDescent="0.2">
      <c r="H10363" s="6"/>
      <c r="I10363" s="6"/>
    </row>
    <row r="10364" spans="8:9" x14ac:dyDescent="0.2">
      <c r="H10364" s="6"/>
      <c r="I10364" s="6"/>
    </row>
    <row r="10365" spans="8:9" x14ac:dyDescent="0.2">
      <c r="H10365" s="6"/>
      <c r="I10365" s="6"/>
    </row>
    <row r="10366" spans="8:9" x14ac:dyDescent="0.2">
      <c r="H10366" s="6"/>
      <c r="I10366" s="6"/>
    </row>
    <row r="10367" spans="8:9" x14ac:dyDescent="0.2">
      <c r="H10367" s="6"/>
      <c r="I10367" s="6"/>
    </row>
    <row r="10368" spans="8:9" x14ac:dyDescent="0.2">
      <c r="H10368" s="6"/>
      <c r="I10368" s="6"/>
    </row>
    <row r="10369" spans="8:9" x14ac:dyDescent="0.2">
      <c r="H10369" s="6"/>
      <c r="I10369" s="6"/>
    </row>
    <row r="10370" spans="8:9" x14ac:dyDescent="0.2">
      <c r="H10370" s="6"/>
      <c r="I10370" s="6"/>
    </row>
    <row r="10371" spans="8:9" x14ac:dyDescent="0.2">
      <c r="H10371" s="6"/>
      <c r="I10371" s="6"/>
    </row>
    <row r="10372" spans="8:9" x14ac:dyDescent="0.2">
      <c r="H10372" s="6"/>
      <c r="I10372" s="6"/>
    </row>
    <row r="10373" spans="8:9" x14ac:dyDescent="0.2">
      <c r="H10373" s="6"/>
      <c r="I10373" s="6"/>
    </row>
    <row r="10374" spans="8:9" x14ac:dyDescent="0.2">
      <c r="H10374" s="6"/>
      <c r="I10374" s="6"/>
    </row>
    <row r="10375" spans="8:9" x14ac:dyDescent="0.2">
      <c r="H10375" s="6"/>
      <c r="I10375" s="6"/>
    </row>
    <row r="10376" spans="8:9" x14ac:dyDescent="0.2">
      <c r="H10376" s="6"/>
      <c r="I10376" s="6"/>
    </row>
    <row r="10377" spans="8:9" x14ac:dyDescent="0.2">
      <c r="H10377" s="6"/>
      <c r="I10377" s="6"/>
    </row>
    <row r="10378" spans="8:9" x14ac:dyDescent="0.2">
      <c r="H10378" s="6"/>
      <c r="I10378" s="6"/>
    </row>
    <row r="10379" spans="8:9" x14ac:dyDescent="0.2">
      <c r="H10379" s="6"/>
      <c r="I10379" s="6"/>
    </row>
    <row r="10380" spans="8:9" x14ac:dyDescent="0.2">
      <c r="H10380" s="6"/>
      <c r="I10380" s="6"/>
    </row>
    <row r="10381" spans="8:9" x14ac:dyDescent="0.2">
      <c r="H10381" s="6"/>
      <c r="I10381" s="6"/>
    </row>
    <row r="10382" spans="8:9" x14ac:dyDescent="0.2">
      <c r="H10382" s="6"/>
      <c r="I10382" s="6"/>
    </row>
    <row r="10383" spans="8:9" x14ac:dyDescent="0.2">
      <c r="H10383" s="6"/>
      <c r="I10383" s="6"/>
    </row>
    <row r="10384" spans="8:9" x14ac:dyDescent="0.2">
      <c r="H10384" s="6"/>
      <c r="I10384" s="6"/>
    </row>
    <row r="10385" spans="8:9" x14ac:dyDescent="0.2">
      <c r="H10385" s="6"/>
      <c r="I10385" s="6"/>
    </row>
    <row r="10386" spans="8:9" x14ac:dyDescent="0.2">
      <c r="H10386" s="6"/>
      <c r="I10386" s="6"/>
    </row>
    <row r="10387" spans="8:9" x14ac:dyDescent="0.2">
      <c r="H10387" s="6"/>
      <c r="I10387" s="6"/>
    </row>
    <row r="10388" spans="8:9" x14ac:dyDescent="0.2">
      <c r="H10388" s="6"/>
      <c r="I10388" s="6"/>
    </row>
    <row r="10389" spans="8:9" x14ac:dyDescent="0.2">
      <c r="H10389" s="6"/>
      <c r="I10389" s="6"/>
    </row>
    <row r="10390" spans="8:9" x14ac:dyDescent="0.2">
      <c r="H10390" s="6"/>
      <c r="I10390" s="6"/>
    </row>
    <row r="10391" spans="8:9" x14ac:dyDescent="0.2">
      <c r="H10391" s="6"/>
      <c r="I10391" s="6"/>
    </row>
    <row r="10392" spans="8:9" x14ac:dyDescent="0.2">
      <c r="H10392" s="6"/>
      <c r="I10392" s="6"/>
    </row>
    <row r="10393" spans="8:9" x14ac:dyDescent="0.2">
      <c r="H10393" s="6"/>
      <c r="I10393" s="6"/>
    </row>
    <row r="10394" spans="8:9" x14ac:dyDescent="0.2">
      <c r="H10394" s="6"/>
      <c r="I10394" s="6"/>
    </row>
    <row r="10395" spans="8:9" x14ac:dyDescent="0.2">
      <c r="H10395" s="6"/>
      <c r="I10395" s="6"/>
    </row>
    <row r="10396" spans="8:9" x14ac:dyDescent="0.2">
      <c r="H10396" s="6"/>
      <c r="I10396" s="6"/>
    </row>
    <row r="10397" spans="8:9" x14ac:dyDescent="0.2">
      <c r="H10397" s="6"/>
      <c r="I10397" s="6"/>
    </row>
    <row r="10398" spans="8:9" x14ac:dyDescent="0.2">
      <c r="H10398" s="6"/>
      <c r="I10398" s="6"/>
    </row>
    <row r="10399" spans="8:9" x14ac:dyDescent="0.2">
      <c r="H10399" s="6"/>
      <c r="I10399" s="6"/>
    </row>
    <row r="10400" spans="8:9" x14ac:dyDescent="0.2">
      <c r="H10400" s="6"/>
      <c r="I10400" s="6"/>
    </row>
    <row r="10401" spans="8:9" x14ac:dyDescent="0.2">
      <c r="H10401" s="6"/>
      <c r="I10401" s="6"/>
    </row>
    <row r="10402" spans="8:9" x14ac:dyDescent="0.2">
      <c r="H10402" s="6"/>
      <c r="I10402" s="6"/>
    </row>
    <row r="10403" spans="8:9" x14ac:dyDescent="0.2">
      <c r="H10403" s="6"/>
      <c r="I10403" s="6"/>
    </row>
    <row r="10404" spans="8:9" x14ac:dyDescent="0.2">
      <c r="H10404" s="6"/>
      <c r="I10404" s="6"/>
    </row>
    <row r="10405" spans="8:9" x14ac:dyDescent="0.2">
      <c r="H10405" s="6"/>
      <c r="I10405" s="6"/>
    </row>
    <row r="10406" spans="8:9" x14ac:dyDescent="0.2">
      <c r="H10406" s="6"/>
      <c r="I10406" s="6"/>
    </row>
    <row r="10407" spans="8:9" x14ac:dyDescent="0.2">
      <c r="H10407" s="6"/>
      <c r="I10407" s="6"/>
    </row>
    <row r="10408" spans="8:9" x14ac:dyDescent="0.2">
      <c r="H10408" s="6"/>
      <c r="I10408" s="6"/>
    </row>
    <row r="10409" spans="8:9" x14ac:dyDescent="0.2">
      <c r="H10409" s="6"/>
      <c r="I10409" s="6"/>
    </row>
    <row r="10410" spans="8:9" x14ac:dyDescent="0.2">
      <c r="H10410" s="6"/>
      <c r="I10410" s="6"/>
    </row>
    <row r="10411" spans="8:9" x14ac:dyDescent="0.2">
      <c r="H10411" s="6"/>
      <c r="I10411" s="6"/>
    </row>
    <row r="10412" spans="8:9" x14ac:dyDescent="0.2">
      <c r="H10412" s="6"/>
      <c r="I10412" s="6"/>
    </row>
    <row r="10413" spans="8:9" x14ac:dyDescent="0.2">
      <c r="H10413" s="6"/>
      <c r="I10413" s="6"/>
    </row>
    <row r="10414" spans="8:9" x14ac:dyDescent="0.2">
      <c r="H10414" s="6"/>
      <c r="I10414" s="6"/>
    </row>
    <row r="10415" spans="8:9" x14ac:dyDescent="0.2">
      <c r="H10415" s="6"/>
      <c r="I10415" s="6"/>
    </row>
    <row r="10416" spans="8:9" x14ac:dyDescent="0.2">
      <c r="H10416" s="6"/>
      <c r="I10416" s="6"/>
    </row>
    <row r="10417" spans="8:9" x14ac:dyDescent="0.2">
      <c r="H10417" s="6"/>
      <c r="I10417" s="6"/>
    </row>
    <row r="10418" spans="8:9" x14ac:dyDescent="0.2">
      <c r="H10418" s="6"/>
      <c r="I10418" s="6"/>
    </row>
    <row r="10419" spans="8:9" x14ac:dyDescent="0.2">
      <c r="H10419" s="6"/>
      <c r="I10419" s="6"/>
    </row>
    <row r="10420" spans="8:9" x14ac:dyDescent="0.2">
      <c r="H10420" s="6"/>
      <c r="I10420" s="6"/>
    </row>
    <row r="10421" spans="8:9" x14ac:dyDescent="0.2">
      <c r="H10421" s="6"/>
      <c r="I10421" s="6"/>
    </row>
    <row r="10422" spans="8:9" x14ac:dyDescent="0.2">
      <c r="H10422" s="6"/>
      <c r="I10422" s="6"/>
    </row>
    <row r="10423" spans="8:9" x14ac:dyDescent="0.2">
      <c r="H10423" s="6"/>
      <c r="I10423" s="6"/>
    </row>
    <row r="10424" spans="8:9" x14ac:dyDescent="0.2">
      <c r="H10424" s="6"/>
      <c r="I10424" s="6"/>
    </row>
    <row r="10425" spans="8:9" x14ac:dyDescent="0.2">
      <c r="H10425" s="6"/>
      <c r="I10425" s="6"/>
    </row>
    <row r="10426" spans="8:9" x14ac:dyDescent="0.2">
      <c r="H10426" s="6"/>
      <c r="I10426" s="6"/>
    </row>
    <row r="10427" spans="8:9" x14ac:dyDescent="0.2">
      <c r="H10427" s="6"/>
      <c r="I10427" s="6"/>
    </row>
    <row r="10428" spans="8:9" x14ac:dyDescent="0.2">
      <c r="H10428" s="6"/>
      <c r="I10428" s="6"/>
    </row>
    <row r="10429" spans="8:9" x14ac:dyDescent="0.2">
      <c r="H10429" s="6"/>
      <c r="I10429" s="6"/>
    </row>
    <row r="10430" spans="8:9" x14ac:dyDescent="0.2">
      <c r="H10430" s="6"/>
      <c r="I10430" s="6"/>
    </row>
    <row r="10431" spans="8:9" x14ac:dyDescent="0.2">
      <c r="H10431" s="6"/>
      <c r="I10431" s="6"/>
    </row>
    <row r="10432" spans="8:9" x14ac:dyDescent="0.2">
      <c r="H10432" s="6"/>
      <c r="I10432" s="6"/>
    </row>
    <row r="10433" spans="8:9" x14ac:dyDescent="0.2">
      <c r="H10433" s="6"/>
      <c r="I10433" s="6"/>
    </row>
    <row r="10434" spans="8:9" x14ac:dyDescent="0.2">
      <c r="H10434" s="6"/>
      <c r="I10434" s="6"/>
    </row>
    <row r="10435" spans="8:9" x14ac:dyDescent="0.2">
      <c r="H10435" s="6"/>
      <c r="I10435" s="6"/>
    </row>
    <row r="10436" spans="8:9" x14ac:dyDescent="0.2">
      <c r="H10436" s="6"/>
      <c r="I10436" s="6"/>
    </row>
    <row r="10437" spans="8:9" x14ac:dyDescent="0.2">
      <c r="H10437" s="6"/>
      <c r="I10437" s="6"/>
    </row>
    <row r="10438" spans="8:9" x14ac:dyDescent="0.2">
      <c r="H10438" s="6"/>
      <c r="I10438" s="6"/>
    </row>
    <row r="10439" spans="8:9" x14ac:dyDescent="0.2">
      <c r="H10439" s="6"/>
      <c r="I10439" s="6"/>
    </row>
    <row r="10440" spans="8:9" x14ac:dyDescent="0.2">
      <c r="H10440" s="6"/>
      <c r="I10440" s="6"/>
    </row>
    <row r="10441" spans="8:9" x14ac:dyDescent="0.2">
      <c r="H10441" s="6"/>
      <c r="I10441" s="6"/>
    </row>
    <row r="10442" spans="8:9" x14ac:dyDescent="0.2">
      <c r="H10442" s="6"/>
      <c r="I10442" s="6"/>
    </row>
    <row r="10443" spans="8:9" x14ac:dyDescent="0.2">
      <c r="H10443" s="6"/>
    </row>
    <row r="10444" spans="8:9" x14ac:dyDescent="0.2">
      <c r="H10444" s="6"/>
      <c r="I10444" s="6"/>
    </row>
    <row r="10445" spans="8:9" x14ac:dyDescent="0.2">
      <c r="H10445" s="6"/>
      <c r="I10445" s="6"/>
    </row>
    <row r="10446" spans="8:9" x14ac:dyDescent="0.2">
      <c r="H10446" s="6"/>
      <c r="I10446" s="6"/>
    </row>
    <row r="10447" spans="8:9" x14ac:dyDescent="0.2">
      <c r="H10447" s="6"/>
      <c r="I10447" s="6"/>
    </row>
    <row r="10448" spans="8:9" x14ac:dyDescent="0.2">
      <c r="H10448" s="6"/>
      <c r="I10448" s="6"/>
    </row>
    <row r="10449" spans="8:9" x14ac:dyDescent="0.2">
      <c r="H10449" s="6"/>
      <c r="I10449" s="6"/>
    </row>
    <row r="10450" spans="8:9" x14ac:dyDescent="0.2">
      <c r="H10450" s="6"/>
      <c r="I10450" s="6"/>
    </row>
    <row r="10451" spans="8:9" x14ac:dyDescent="0.2">
      <c r="H10451" s="6"/>
      <c r="I10451" s="6"/>
    </row>
    <row r="10452" spans="8:9" x14ac:dyDescent="0.2">
      <c r="H10452" s="6"/>
      <c r="I10452" s="6"/>
    </row>
    <row r="10453" spans="8:9" x14ac:dyDescent="0.2">
      <c r="H10453" s="6"/>
      <c r="I10453" s="6"/>
    </row>
    <row r="10454" spans="8:9" x14ac:dyDescent="0.2">
      <c r="H10454" s="6"/>
      <c r="I10454" s="6"/>
    </row>
    <row r="10455" spans="8:9" x14ac:dyDescent="0.2">
      <c r="H10455" s="6"/>
      <c r="I10455" s="6"/>
    </row>
    <row r="10456" spans="8:9" x14ac:dyDescent="0.2">
      <c r="H10456" s="6"/>
      <c r="I10456" s="6"/>
    </row>
    <row r="10457" spans="8:9" x14ac:dyDescent="0.2">
      <c r="H10457" s="6"/>
      <c r="I10457" s="6"/>
    </row>
    <row r="10458" spans="8:9" x14ac:dyDescent="0.2">
      <c r="H10458" s="6"/>
      <c r="I10458" s="6"/>
    </row>
    <row r="10459" spans="8:9" x14ac:dyDescent="0.2">
      <c r="H10459" s="6"/>
      <c r="I10459" s="6"/>
    </row>
    <row r="10460" spans="8:9" x14ac:dyDescent="0.2">
      <c r="H10460" s="6"/>
    </row>
    <row r="10461" spans="8:9" x14ac:dyDescent="0.2">
      <c r="H10461" s="6"/>
      <c r="I10461" s="6"/>
    </row>
    <row r="10462" spans="8:9" x14ac:dyDescent="0.2">
      <c r="H10462" s="6"/>
      <c r="I10462" s="6"/>
    </row>
    <row r="10463" spans="8:9" x14ac:dyDescent="0.2">
      <c r="H10463" s="6"/>
      <c r="I10463" s="6"/>
    </row>
    <row r="10464" spans="8:9" x14ac:dyDescent="0.2">
      <c r="H10464" s="6"/>
      <c r="I10464" s="6"/>
    </row>
    <row r="10465" spans="8:9" x14ac:dyDescent="0.2">
      <c r="H10465" s="6"/>
      <c r="I10465" s="6"/>
    </row>
    <row r="10466" spans="8:9" x14ac:dyDescent="0.2">
      <c r="H10466" s="6"/>
      <c r="I10466" s="6"/>
    </row>
    <row r="10467" spans="8:9" x14ac:dyDescent="0.2">
      <c r="H10467" s="6"/>
      <c r="I10467" s="6"/>
    </row>
    <row r="10468" spans="8:9" x14ac:dyDescent="0.2">
      <c r="H10468" s="6"/>
      <c r="I10468" s="6"/>
    </row>
    <row r="10469" spans="8:9" x14ac:dyDescent="0.2">
      <c r="H10469" s="6"/>
      <c r="I10469" s="6"/>
    </row>
    <row r="10470" spans="8:9" x14ac:dyDescent="0.2">
      <c r="H10470" s="6"/>
      <c r="I10470" s="6"/>
    </row>
    <row r="10471" spans="8:9" x14ac:dyDescent="0.2">
      <c r="H10471" s="6"/>
      <c r="I10471" s="6"/>
    </row>
    <row r="10472" spans="8:9" x14ac:dyDescent="0.2">
      <c r="H10472" s="6"/>
      <c r="I10472" s="6"/>
    </row>
    <row r="10473" spans="8:9" x14ac:dyDescent="0.2">
      <c r="H10473" s="6"/>
      <c r="I10473" s="6"/>
    </row>
    <row r="10474" spans="8:9" x14ac:dyDescent="0.2">
      <c r="H10474" s="6"/>
      <c r="I10474" s="6"/>
    </row>
    <row r="10475" spans="8:9" x14ac:dyDescent="0.2">
      <c r="H10475" s="6"/>
      <c r="I10475" s="6"/>
    </row>
    <row r="10476" spans="8:9" x14ac:dyDescent="0.2">
      <c r="H10476" s="6"/>
      <c r="I10476" s="6"/>
    </row>
    <row r="10477" spans="8:9" x14ac:dyDescent="0.2">
      <c r="H10477" s="6"/>
      <c r="I10477" s="6"/>
    </row>
    <row r="10478" spans="8:9" x14ac:dyDescent="0.2">
      <c r="H10478" s="6"/>
      <c r="I10478" s="6"/>
    </row>
    <row r="10479" spans="8:9" x14ac:dyDescent="0.2">
      <c r="H10479" s="6"/>
      <c r="I10479" s="6"/>
    </row>
    <row r="10480" spans="8:9" x14ac:dyDescent="0.2">
      <c r="H10480" s="6"/>
    </row>
    <row r="10481" spans="8:9" x14ac:dyDescent="0.2">
      <c r="H10481" s="6"/>
      <c r="I10481" s="6"/>
    </row>
    <row r="10482" spans="8:9" x14ac:dyDescent="0.2">
      <c r="H10482" s="6"/>
      <c r="I10482" s="6"/>
    </row>
    <row r="10483" spans="8:9" x14ac:dyDescent="0.2">
      <c r="H10483" s="6"/>
      <c r="I10483" s="6"/>
    </row>
    <row r="10484" spans="8:9" x14ac:dyDescent="0.2">
      <c r="H10484" s="6"/>
      <c r="I10484" s="6"/>
    </row>
    <row r="10485" spans="8:9" x14ac:dyDescent="0.2">
      <c r="H10485" s="6"/>
      <c r="I10485" s="6"/>
    </row>
    <row r="10486" spans="8:9" x14ac:dyDescent="0.2">
      <c r="H10486" s="6"/>
      <c r="I10486" s="6"/>
    </row>
    <row r="10487" spans="8:9" x14ac:dyDescent="0.2">
      <c r="H10487" s="6"/>
      <c r="I10487" s="6"/>
    </row>
    <row r="10488" spans="8:9" x14ac:dyDescent="0.2">
      <c r="H10488" s="6"/>
      <c r="I10488" s="6"/>
    </row>
    <row r="10489" spans="8:9" x14ac:dyDescent="0.2">
      <c r="H10489" s="6"/>
      <c r="I10489" s="6"/>
    </row>
    <row r="10490" spans="8:9" x14ac:dyDescent="0.2">
      <c r="H10490" s="6"/>
      <c r="I10490" s="6"/>
    </row>
    <row r="10491" spans="8:9" x14ac:dyDescent="0.2">
      <c r="H10491" s="6"/>
      <c r="I10491" s="6"/>
    </row>
    <row r="10492" spans="8:9" x14ac:dyDescent="0.2">
      <c r="H10492" s="6"/>
      <c r="I10492" s="6"/>
    </row>
    <row r="10493" spans="8:9" x14ac:dyDescent="0.2">
      <c r="H10493" s="6"/>
      <c r="I10493" s="6"/>
    </row>
    <row r="10494" spans="8:9" x14ac:dyDescent="0.2">
      <c r="H10494" s="6"/>
      <c r="I10494" s="6"/>
    </row>
    <row r="10495" spans="8:9" x14ac:dyDescent="0.2">
      <c r="H10495" s="6"/>
      <c r="I10495" s="6"/>
    </row>
    <row r="10496" spans="8:9" x14ac:dyDescent="0.2">
      <c r="H10496" s="6"/>
      <c r="I10496" s="6"/>
    </row>
    <row r="10497" spans="8:9" x14ac:dyDescent="0.2">
      <c r="H10497" s="6"/>
      <c r="I10497" s="6"/>
    </row>
    <row r="10498" spans="8:9" x14ac:dyDescent="0.2">
      <c r="H10498" s="6"/>
      <c r="I10498" s="6"/>
    </row>
    <row r="10499" spans="8:9" x14ac:dyDescent="0.2">
      <c r="H10499" s="6"/>
      <c r="I10499" s="6"/>
    </row>
    <row r="10500" spans="8:9" x14ac:dyDescent="0.2">
      <c r="H10500" s="6"/>
      <c r="I10500" s="6"/>
    </row>
    <row r="10501" spans="8:9" x14ac:dyDescent="0.2">
      <c r="H10501" s="6"/>
      <c r="I10501" s="6"/>
    </row>
    <row r="10502" spans="8:9" x14ac:dyDescent="0.2">
      <c r="H10502" s="6"/>
      <c r="I10502" s="6"/>
    </row>
    <row r="10503" spans="8:9" x14ac:dyDescent="0.2">
      <c r="H10503" s="6"/>
      <c r="I10503" s="6"/>
    </row>
    <row r="10504" spans="8:9" x14ac:dyDescent="0.2">
      <c r="H10504" s="6"/>
      <c r="I10504" s="6"/>
    </row>
    <row r="10505" spans="8:9" x14ac:dyDescent="0.2">
      <c r="H10505" s="6"/>
      <c r="I10505" s="6"/>
    </row>
    <row r="10506" spans="8:9" x14ac:dyDescent="0.2">
      <c r="H10506" s="6"/>
      <c r="I10506" s="6"/>
    </row>
    <row r="10507" spans="8:9" x14ac:dyDescent="0.2">
      <c r="H10507" s="6"/>
      <c r="I10507" s="6"/>
    </row>
    <row r="10508" spans="8:9" x14ac:dyDescent="0.2">
      <c r="H10508" s="6"/>
      <c r="I10508" s="6"/>
    </row>
    <row r="10509" spans="8:9" x14ac:dyDescent="0.2">
      <c r="H10509" s="6"/>
      <c r="I10509" s="6"/>
    </row>
    <row r="10510" spans="8:9" x14ac:dyDescent="0.2">
      <c r="H10510" s="6"/>
      <c r="I10510" s="6"/>
    </row>
    <row r="10511" spans="8:9" x14ac:dyDescent="0.2">
      <c r="H10511" s="6"/>
      <c r="I10511" s="6"/>
    </row>
    <row r="10512" spans="8:9" x14ac:dyDescent="0.2">
      <c r="H10512" s="6"/>
      <c r="I10512" s="6"/>
    </row>
    <row r="10513" spans="8:9" x14ac:dyDescent="0.2">
      <c r="H10513" s="6"/>
      <c r="I10513" s="6"/>
    </row>
    <row r="10514" spans="8:9" x14ac:dyDescent="0.2">
      <c r="H10514" s="6"/>
      <c r="I10514" s="6"/>
    </row>
    <row r="10515" spans="8:9" x14ac:dyDescent="0.2">
      <c r="H10515" s="6"/>
      <c r="I10515" s="6"/>
    </row>
    <row r="10516" spans="8:9" x14ac:dyDescent="0.2">
      <c r="H10516" s="6"/>
      <c r="I10516" s="6"/>
    </row>
    <row r="10517" spans="8:9" x14ac:dyDescent="0.2">
      <c r="H10517" s="6"/>
      <c r="I10517" s="6"/>
    </row>
    <row r="10518" spans="8:9" x14ac:dyDescent="0.2">
      <c r="H10518" s="6"/>
      <c r="I10518" s="6"/>
    </row>
    <row r="10519" spans="8:9" x14ac:dyDescent="0.2">
      <c r="H10519" s="6"/>
      <c r="I10519" s="6"/>
    </row>
    <row r="10520" spans="8:9" x14ac:dyDescent="0.2">
      <c r="H10520" s="6"/>
      <c r="I10520" s="6"/>
    </row>
    <row r="10521" spans="8:9" x14ac:dyDescent="0.2">
      <c r="H10521" s="6"/>
      <c r="I10521" s="6"/>
    </row>
    <row r="10522" spans="8:9" x14ac:dyDescent="0.2">
      <c r="H10522" s="6"/>
      <c r="I10522" s="6"/>
    </row>
    <row r="10523" spans="8:9" x14ac:dyDescent="0.2">
      <c r="H10523" s="6"/>
      <c r="I10523" s="6"/>
    </row>
    <row r="10524" spans="8:9" x14ac:dyDescent="0.2">
      <c r="H10524" s="6"/>
      <c r="I10524" s="6"/>
    </row>
    <row r="10525" spans="8:9" x14ac:dyDescent="0.2">
      <c r="H10525" s="6"/>
      <c r="I10525" s="6"/>
    </row>
    <row r="10526" spans="8:9" x14ac:dyDescent="0.2">
      <c r="H10526" s="6"/>
      <c r="I10526" s="6"/>
    </row>
    <row r="10527" spans="8:9" x14ac:dyDescent="0.2">
      <c r="H10527" s="6"/>
      <c r="I10527" s="6"/>
    </row>
    <row r="10528" spans="8:9" x14ac:dyDescent="0.2">
      <c r="H10528" s="6"/>
      <c r="I10528" s="6"/>
    </row>
    <row r="10529" spans="8:9" x14ac:dyDescent="0.2">
      <c r="H10529" s="6"/>
      <c r="I10529" s="6"/>
    </row>
    <row r="10530" spans="8:9" x14ac:dyDescent="0.2">
      <c r="H10530" s="6"/>
      <c r="I10530" s="6"/>
    </row>
    <row r="10531" spans="8:9" x14ac:dyDescent="0.2">
      <c r="H10531" s="6"/>
      <c r="I10531" s="6"/>
    </row>
    <row r="10532" spans="8:9" x14ac:dyDescent="0.2">
      <c r="H10532" s="6"/>
      <c r="I10532" s="6"/>
    </row>
    <row r="10533" spans="8:9" x14ac:dyDescent="0.2">
      <c r="H10533" s="6"/>
      <c r="I10533" s="6"/>
    </row>
    <row r="10534" spans="8:9" x14ac:dyDescent="0.2">
      <c r="H10534" s="6"/>
      <c r="I10534" s="6"/>
    </row>
    <row r="10535" spans="8:9" x14ac:dyDescent="0.2">
      <c r="H10535" s="6"/>
      <c r="I10535" s="6"/>
    </row>
    <row r="10536" spans="8:9" x14ac:dyDescent="0.2">
      <c r="H10536" s="6"/>
      <c r="I10536" s="6"/>
    </row>
    <row r="10537" spans="8:9" x14ac:dyDescent="0.2">
      <c r="H10537" s="6"/>
      <c r="I10537" s="6"/>
    </row>
    <row r="10538" spans="8:9" x14ac:dyDescent="0.2">
      <c r="H10538" s="6"/>
      <c r="I10538" s="6"/>
    </row>
    <row r="10539" spans="8:9" x14ac:dyDescent="0.2">
      <c r="H10539" s="6"/>
      <c r="I10539" s="6"/>
    </row>
    <row r="10540" spans="8:9" x14ac:dyDescent="0.2">
      <c r="H10540" s="6"/>
      <c r="I10540" s="6"/>
    </row>
    <row r="10541" spans="8:9" x14ac:dyDescent="0.2">
      <c r="H10541" s="6"/>
      <c r="I10541" s="6"/>
    </row>
    <row r="10542" spans="8:9" x14ac:dyDescent="0.2">
      <c r="H10542" s="6"/>
      <c r="I10542" s="6"/>
    </row>
    <row r="10543" spans="8:9" x14ac:dyDescent="0.2">
      <c r="H10543" s="6"/>
      <c r="I10543" s="6"/>
    </row>
    <row r="10544" spans="8:9" x14ac:dyDescent="0.2">
      <c r="H10544" s="6"/>
      <c r="I10544" s="6"/>
    </row>
    <row r="10545" spans="8:9" x14ac:dyDescent="0.2">
      <c r="H10545" s="6"/>
      <c r="I10545" s="6"/>
    </row>
    <row r="10546" spans="8:9" x14ac:dyDescent="0.2">
      <c r="H10546" s="6"/>
      <c r="I10546" s="6"/>
    </row>
    <row r="10547" spans="8:9" x14ac:dyDescent="0.2">
      <c r="H10547" s="6"/>
      <c r="I10547" s="6"/>
    </row>
    <row r="10548" spans="8:9" x14ac:dyDescent="0.2">
      <c r="H10548" s="6"/>
      <c r="I10548" s="6"/>
    </row>
    <row r="10549" spans="8:9" x14ac:dyDescent="0.2">
      <c r="H10549" s="6"/>
      <c r="I10549" s="6"/>
    </row>
    <row r="10550" spans="8:9" x14ac:dyDescent="0.2">
      <c r="H10550" s="6"/>
      <c r="I10550" s="6"/>
    </row>
    <row r="10551" spans="8:9" x14ac:dyDescent="0.2">
      <c r="H10551" s="6"/>
      <c r="I10551" s="6"/>
    </row>
    <row r="10552" spans="8:9" x14ac:dyDescent="0.2">
      <c r="H10552" s="6"/>
      <c r="I10552" s="6"/>
    </row>
    <row r="10553" spans="8:9" x14ac:dyDescent="0.2">
      <c r="H10553" s="6"/>
      <c r="I10553" s="6"/>
    </row>
    <row r="10554" spans="8:9" x14ac:dyDescent="0.2">
      <c r="H10554" s="6"/>
      <c r="I10554" s="6"/>
    </row>
    <row r="10555" spans="8:9" x14ac:dyDescent="0.2">
      <c r="H10555" s="6"/>
      <c r="I10555" s="6"/>
    </row>
    <row r="10556" spans="8:9" x14ac:dyDescent="0.2">
      <c r="H10556" s="6"/>
      <c r="I10556" s="6"/>
    </row>
    <row r="10557" spans="8:9" x14ac:dyDescent="0.2">
      <c r="H10557" s="6"/>
      <c r="I10557" s="6"/>
    </row>
    <row r="10558" spans="8:9" x14ac:dyDescent="0.2">
      <c r="H10558" s="6"/>
      <c r="I10558" s="6"/>
    </row>
    <row r="10559" spans="8:9" x14ac:dyDescent="0.2">
      <c r="H10559" s="6"/>
      <c r="I10559" s="6"/>
    </row>
    <row r="10560" spans="8:9" x14ac:dyDescent="0.2">
      <c r="H10560" s="6"/>
      <c r="I10560" s="6"/>
    </row>
    <row r="10561" spans="8:9" x14ac:dyDescent="0.2">
      <c r="H10561" s="6"/>
      <c r="I10561" s="6"/>
    </row>
    <row r="10562" spans="8:9" x14ac:dyDescent="0.2">
      <c r="H10562" s="6"/>
      <c r="I10562" s="6"/>
    </row>
    <row r="10563" spans="8:9" x14ac:dyDescent="0.2">
      <c r="H10563" s="6"/>
      <c r="I10563" s="6"/>
    </row>
    <row r="10564" spans="8:9" x14ac:dyDescent="0.2">
      <c r="H10564" s="6"/>
      <c r="I10564" s="6"/>
    </row>
    <row r="10565" spans="8:9" x14ac:dyDescent="0.2">
      <c r="H10565" s="6"/>
      <c r="I10565" s="6"/>
    </row>
    <row r="10566" spans="8:9" x14ac:dyDescent="0.2">
      <c r="H10566" s="6"/>
      <c r="I10566" s="6"/>
    </row>
    <row r="10567" spans="8:9" x14ac:dyDescent="0.2">
      <c r="H10567" s="6"/>
      <c r="I10567" s="6"/>
    </row>
    <row r="10568" spans="8:9" x14ac:dyDescent="0.2">
      <c r="H10568" s="6"/>
      <c r="I10568" s="6"/>
    </row>
    <row r="10569" spans="8:9" x14ac:dyDescent="0.2">
      <c r="H10569" s="6"/>
      <c r="I10569" s="6"/>
    </row>
    <row r="10570" spans="8:9" x14ac:dyDescent="0.2">
      <c r="H10570" s="6"/>
      <c r="I10570" s="6"/>
    </row>
    <row r="10571" spans="8:9" x14ac:dyDescent="0.2">
      <c r="H10571" s="6"/>
      <c r="I10571" s="6"/>
    </row>
    <row r="10572" spans="8:9" x14ac:dyDescent="0.2">
      <c r="H10572" s="6"/>
      <c r="I10572" s="6"/>
    </row>
    <row r="10573" spans="8:9" x14ac:dyDescent="0.2">
      <c r="H10573" s="6"/>
      <c r="I10573" s="6"/>
    </row>
    <row r="10574" spans="8:9" x14ac:dyDescent="0.2">
      <c r="H10574" s="6"/>
      <c r="I10574" s="6"/>
    </row>
    <row r="10575" spans="8:9" x14ac:dyDescent="0.2">
      <c r="H10575" s="6"/>
      <c r="I10575" s="6"/>
    </row>
    <row r="10576" spans="8:9" x14ac:dyDescent="0.2">
      <c r="H10576" s="6"/>
      <c r="I10576" s="6"/>
    </row>
    <row r="10577" spans="8:9" x14ac:dyDescent="0.2">
      <c r="H10577" s="6"/>
      <c r="I10577" s="6"/>
    </row>
    <row r="10578" spans="8:9" x14ac:dyDescent="0.2">
      <c r="H10578" s="6"/>
      <c r="I10578" s="6"/>
    </row>
    <row r="10579" spans="8:9" x14ac:dyDescent="0.2">
      <c r="H10579" s="6"/>
      <c r="I10579" s="6"/>
    </row>
    <row r="10580" spans="8:9" x14ac:dyDescent="0.2">
      <c r="H10580" s="6"/>
      <c r="I10580" s="6"/>
    </row>
    <row r="10581" spans="8:9" x14ac:dyDescent="0.2">
      <c r="H10581" s="6"/>
      <c r="I10581" s="6"/>
    </row>
    <row r="10582" spans="8:9" x14ac:dyDescent="0.2">
      <c r="H10582" s="6"/>
      <c r="I10582" s="6"/>
    </row>
    <row r="10583" spans="8:9" x14ac:dyDescent="0.2">
      <c r="H10583" s="6"/>
      <c r="I10583" s="6"/>
    </row>
    <row r="10584" spans="8:9" x14ac:dyDescent="0.2">
      <c r="H10584" s="6"/>
      <c r="I10584" s="6"/>
    </row>
    <row r="10585" spans="8:9" x14ac:dyDescent="0.2">
      <c r="H10585" s="6"/>
      <c r="I10585" s="6"/>
    </row>
    <row r="10586" spans="8:9" x14ac:dyDescent="0.2">
      <c r="H10586" s="6"/>
      <c r="I10586" s="6"/>
    </row>
    <row r="10587" spans="8:9" x14ac:dyDescent="0.2">
      <c r="H10587" s="6"/>
      <c r="I10587" s="6"/>
    </row>
    <row r="10588" spans="8:9" x14ac:dyDescent="0.2">
      <c r="H10588" s="6"/>
      <c r="I10588" s="6"/>
    </row>
    <row r="10589" spans="8:9" x14ac:dyDescent="0.2">
      <c r="H10589" s="6"/>
      <c r="I10589" s="6"/>
    </row>
    <row r="10590" spans="8:9" x14ac:dyDescent="0.2">
      <c r="H10590" s="6"/>
      <c r="I10590" s="6"/>
    </row>
    <row r="10591" spans="8:9" x14ac:dyDescent="0.2">
      <c r="H10591" s="6"/>
      <c r="I10591" s="6"/>
    </row>
    <row r="10592" spans="8:9" x14ac:dyDescent="0.2">
      <c r="H10592" s="6"/>
      <c r="I10592" s="6"/>
    </row>
    <row r="10593" spans="8:9" x14ac:dyDescent="0.2">
      <c r="H10593" s="6"/>
      <c r="I10593" s="6"/>
    </row>
    <row r="10594" spans="8:9" x14ac:dyDescent="0.2">
      <c r="H10594" s="6"/>
      <c r="I10594" s="6"/>
    </row>
    <row r="10595" spans="8:9" x14ac:dyDescent="0.2">
      <c r="H10595" s="6"/>
      <c r="I10595" s="6"/>
    </row>
    <row r="10596" spans="8:9" x14ac:dyDescent="0.2">
      <c r="H10596" s="6"/>
      <c r="I10596" s="6"/>
    </row>
    <row r="10597" spans="8:9" x14ac:dyDescent="0.2">
      <c r="H10597" s="6"/>
      <c r="I10597" s="6"/>
    </row>
    <row r="10598" spans="8:9" x14ac:dyDescent="0.2">
      <c r="H10598" s="6"/>
      <c r="I10598" s="6"/>
    </row>
    <row r="10599" spans="8:9" x14ac:dyDescent="0.2">
      <c r="H10599" s="6"/>
      <c r="I10599" s="6"/>
    </row>
    <row r="10600" spans="8:9" x14ac:dyDescent="0.2">
      <c r="H10600" s="6"/>
      <c r="I10600" s="6"/>
    </row>
    <row r="10601" spans="8:9" x14ac:dyDescent="0.2">
      <c r="H10601" s="6"/>
      <c r="I10601" s="6"/>
    </row>
    <row r="10602" spans="8:9" x14ac:dyDescent="0.2">
      <c r="H10602" s="6"/>
      <c r="I10602" s="6"/>
    </row>
    <row r="10603" spans="8:9" x14ac:dyDescent="0.2">
      <c r="H10603" s="6"/>
      <c r="I10603" s="6"/>
    </row>
    <row r="10604" spans="8:9" x14ac:dyDescent="0.2">
      <c r="H10604" s="6"/>
      <c r="I10604" s="6"/>
    </row>
    <row r="10605" spans="8:9" x14ac:dyDescent="0.2">
      <c r="H10605" s="6"/>
      <c r="I10605" s="6"/>
    </row>
    <row r="10606" spans="8:9" x14ac:dyDescent="0.2">
      <c r="H10606" s="6"/>
      <c r="I10606" s="6"/>
    </row>
    <row r="10607" spans="8:9" x14ac:dyDescent="0.2">
      <c r="H10607" s="6"/>
      <c r="I10607" s="6"/>
    </row>
    <row r="10608" spans="8:9" x14ac:dyDescent="0.2">
      <c r="H10608" s="6"/>
      <c r="I10608" s="6"/>
    </row>
    <row r="10609" spans="8:9" x14ac:dyDescent="0.2">
      <c r="H10609" s="6"/>
      <c r="I10609" s="6"/>
    </row>
    <row r="10610" spans="8:9" x14ac:dyDescent="0.2">
      <c r="H10610" s="6"/>
      <c r="I10610" s="6"/>
    </row>
    <row r="10611" spans="8:9" x14ac:dyDescent="0.2">
      <c r="H10611" s="6"/>
      <c r="I10611" s="6"/>
    </row>
    <row r="10612" spans="8:9" x14ac:dyDescent="0.2">
      <c r="H10612" s="6"/>
      <c r="I10612" s="6"/>
    </row>
    <row r="10613" spans="8:9" x14ac:dyDescent="0.2">
      <c r="H10613" s="6"/>
      <c r="I10613" s="6"/>
    </row>
    <row r="10614" spans="8:9" x14ac:dyDescent="0.2">
      <c r="H10614" s="6"/>
      <c r="I10614" s="6"/>
    </row>
    <row r="10615" spans="8:9" x14ac:dyDescent="0.2">
      <c r="H10615" s="6"/>
      <c r="I10615" s="6"/>
    </row>
    <row r="10616" spans="8:9" x14ac:dyDescent="0.2">
      <c r="H10616" s="6"/>
      <c r="I10616" s="6"/>
    </row>
    <row r="10617" spans="8:9" x14ac:dyDescent="0.2">
      <c r="H10617" s="6"/>
      <c r="I10617" s="6"/>
    </row>
    <row r="10618" spans="8:9" x14ac:dyDescent="0.2">
      <c r="H10618" s="6"/>
      <c r="I10618" s="6"/>
    </row>
    <row r="10619" spans="8:9" x14ac:dyDescent="0.2">
      <c r="H10619" s="6"/>
      <c r="I10619" s="6"/>
    </row>
    <row r="10620" spans="8:9" x14ac:dyDescent="0.2">
      <c r="H10620" s="6"/>
      <c r="I10620" s="6"/>
    </row>
    <row r="10621" spans="8:9" x14ac:dyDescent="0.2">
      <c r="H10621" s="6"/>
      <c r="I10621" s="6"/>
    </row>
    <row r="10622" spans="8:9" x14ac:dyDescent="0.2">
      <c r="H10622" s="6"/>
      <c r="I10622" s="6"/>
    </row>
    <row r="10623" spans="8:9" x14ac:dyDescent="0.2">
      <c r="H10623" s="6"/>
      <c r="I10623" s="6"/>
    </row>
    <row r="10624" spans="8:9" x14ac:dyDescent="0.2">
      <c r="H10624" s="6"/>
      <c r="I10624" s="6"/>
    </row>
    <row r="10625" spans="8:9" x14ac:dyDescent="0.2">
      <c r="H10625" s="6"/>
      <c r="I10625" s="6"/>
    </row>
    <row r="10626" spans="8:9" x14ac:dyDescent="0.2">
      <c r="H10626" s="6"/>
      <c r="I10626" s="6"/>
    </row>
    <row r="10627" spans="8:9" x14ac:dyDescent="0.2">
      <c r="H10627" s="6"/>
      <c r="I10627" s="6"/>
    </row>
    <row r="10628" spans="8:9" x14ac:dyDescent="0.2">
      <c r="H10628" s="6"/>
      <c r="I10628" s="6"/>
    </row>
    <row r="10629" spans="8:9" x14ac:dyDescent="0.2">
      <c r="H10629" s="6"/>
      <c r="I10629" s="6"/>
    </row>
    <row r="10630" spans="8:9" x14ac:dyDescent="0.2">
      <c r="H10630" s="6"/>
      <c r="I10630" s="6"/>
    </row>
    <row r="10631" spans="8:9" x14ac:dyDescent="0.2">
      <c r="H10631" s="6"/>
      <c r="I10631" s="6"/>
    </row>
    <row r="10632" spans="8:9" x14ac:dyDescent="0.2">
      <c r="H10632" s="6"/>
      <c r="I10632" s="6"/>
    </row>
    <row r="10633" spans="8:9" x14ac:dyDescent="0.2">
      <c r="H10633" s="6"/>
      <c r="I10633" s="6"/>
    </row>
    <row r="10634" spans="8:9" x14ac:dyDescent="0.2">
      <c r="H10634" s="6"/>
      <c r="I10634" s="6"/>
    </row>
    <row r="10635" spans="8:9" x14ac:dyDescent="0.2">
      <c r="H10635" s="6"/>
      <c r="I10635" s="6"/>
    </row>
    <row r="10636" spans="8:9" x14ac:dyDescent="0.2">
      <c r="H10636" s="6"/>
      <c r="I10636" s="6"/>
    </row>
    <row r="10637" spans="8:9" x14ac:dyDescent="0.2">
      <c r="H10637" s="6"/>
      <c r="I10637" s="6"/>
    </row>
    <row r="10638" spans="8:9" x14ac:dyDescent="0.2">
      <c r="H10638" s="6"/>
      <c r="I10638" s="6"/>
    </row>
    <row r="10639" spans="8:9" x14ac:dyDescent="0.2">
      <c r="H10639" s="6"/>
      <c r="I10639" s="6"/>
    </row>
    <row r="10640" spans="8:9" x14ac:dyDescent="0.2">
      <c r="H10640" s="6"/>
      <c r="I10640" s="6"/>
    </row>
    <row r="10641" spans="8:9" x14ac:dyDescent="0.2">
      <c r="H10641" s="6"/>
      <c r="I10641" s="6"/>
    </row>
    <row r="10642" spans="8:9" x14ac:dyDescent="0.2">
      <c r="H10642" s="6"/>
      <c r="I10642" s="6"/>
    </row>
    <row r="10643" spans="8:9" x14ac:dyDescent="0.2">
      <c r="H10643" s="6"/>
      <c r="I10643" s="6"/>
    </row>
    <row r="10644" spans="8:9" x14ac:dyDescent="0.2">
      <c r="H10644" s="6"/>
      <c r="I10644" s="6"/>
    </row>
    <row r="10645" spans="8:9" x14ac:dyDescent="0.2">
      <c r="H10645" s="6"/>
      <c r="I10645" s="6"/>
    </row>
    <row r="10646" spans="8:9" x14ac:dyDescent="0.2">
      <c r="H10646" s="6"/>
      <c r="I10646" s="6"/>
    </row>
    <row r="10647" spans="8:9" x14ac:dyDescent="0.2">
      <c r="H10647" s="6"/>
      <c r="I10647" s="6"/>
    </row>
    <row r="10648" spans="8:9" x14ac:dyDescent="0.2">
      <c r="H10648" s="6"/>
      <c r="I10648" s="6"/>
    </row>
    <row r="10649" spans="8:9" x14ac:dyDescent="0.2">
      <c r="H10649" s="6"/>
      <c r="I10649" s="6"/>
    </row>
    <row r="10650" spans="8:9" x14ac:dyDescent="0.2">
      <c r="H10650" s="6"/>
      <c r="I10650" s="6"/>
    </row>
    <row r="10651" spans="8:9" x14ac:dyDescent="0.2">
      <c r="H10651" s="6"/>
      <c r="I10651" s="6"/>
    </row>
    <row r="10652" spans="8:9" x14ac:dyDescent="0.2">
      <c r="H10652" s="6"/>
      <c r="I10652" s="6"/>
    </row>
    <row r="10653" spans="8:9" x14ac:dyDescent="0.2">
      <c r="H10653" s="6"/>
      <c r="I10653" s="6"/>
    </row>
    <row r="10654" spans="8:9" x14ac:dyDescent="0.2">
      <c r="H10654" s="6"/>
      <c r="I10654" s="6"/>
    </row>
    <row r="10655" spans="8:9" x14ac:dyDescent="0.2">
      <c r="H10655" s="6"/>
      <c r="I10655" s="6"/>
    </row>
    <row r="10656" spans="8:9" x14ac:dyDescent="0.2">
      <c r="H10656" s="6"/>
      <c r="I10656" s="6"/>
    </row>
    <row r="10657" spans="8:9" x14ac:dyDescent="0.2">
      <c r="H10657" s="6"/>
      <c r="I10657" s="6"/>
    </row>
    <row r="10658" spans="8:9" x14ac:dyDescent="0.2">
      <c r="H10658" s="6"/>
      <c r="I10658" s="6"/>
    </row>
    <row r="10659" spans="8:9" x14ac:dyDescent="0.2">
      <c r="H10659" s="6"/>
      <c r="I10659" s="6"/>
    </row>
    <row r="10660" spans="8:9" x14ac:dyDescent="0.2">
      <c r="H10660" s="6"/>
      <c r="I10660" s="6"/>
    </row>
    <row r="10661" spans="8:9" x14ac:dyDescent="0.2">
      <c r="H10661" s="6"/>
      <c r="I10661" s="6"/>
    </row>
    <row r="10662" spans="8:9" x14ac:dyDescent="0.2">
      <c r="H10662" s="6"/>
      <c r="I10662" s="6"/>
    </row>
    <row r="10663" spans="8:9" x14ac:dyDescent="0.2">
      <c r="H10663" s="6"/>
      <c r="I10663" s="6"/>
    </row>
    <row r="10664" spans="8:9" x14ac:dyDescent="0.2">
      <c r="H10664" s="6"/>
      <c r="I10664" s="6"/>
    </row>
    <row r="10665" spans="8:9" x14ac:dyDescent="0.2">
      <c r="H10665" s="6"/>
      <c r="I10665" s="6"/>
    </row>
    <row r="10666" spans="8:9" x14ac:dyDescent="0.2">
      <c r="H10666" s="6"/>
      <c r="I10666" s="6"/>
    </row>
    <row r="10667" spans="8:9" x14ac:dyDescent="0.2">
      <c r="H10667" s="6"/>
      <c r="I10667" s="6"/>
    </row>
    <row r="10668" spans="8:9" x14ac:dyDescent="0.2">
      <c r="H10668" s="6"/>
      <c r="I10668" s="6"/>
    </row>
    <row r="10669" spans="8:9" x14ac:dyDescent="0.2">
      <c r="H10669" s="6"/>
      <c r="I10669" s="6"/>
    </row>
    <row r="10670" spans="8:9" x14ac:dyDescent="0.2">
      <c r="H10670" s="6"/>
      <c r="I10670" s="6"/>
    </row>
    <row r="10671" spans="8:9" x14ac:dyDescent="0.2">
      <c r="H10671" s="6"/>
      <c r="I10671" s="6"/>
    </row>
    <row r="10672" spans="8:9" x14ac:dyDescent="0.2">
      <c r="H10672" s="6"/>
      <c r="I10672" s="6"/>
    </row>
    <row r="10673" spans="8:9" x14ac:dyDescent="0.2">
      <c r="H10673" s="6"/>
      <c r="I10673" s="6"/>
    </row>
    <row r="10674" spans="8:9" x14ac:dyDescent="0.2">
      <c r="H10674" s="6"/>
      <c r="I10674" s="6"/>
    </row>
    <row r="10675" spans="8:9" x14ac:dyDescent="0.2">
      <c r="H10675" s="6"/>
      <c r="I10675" s="6"/>
    </row>
    <row r="10676" spans="8:9" x14ac:dyDescent="0.2">
      <c r="H10676" s="6"/>
      <c r="I10676" s="6"/>
    </row>
    <row r="10677" spans="8:9" x14ac:dyDescent="0.2">
      <c r="H10677" s="6"/>
      <c r="I10677" s="6"/>
    </row>
    <row r="10678" spans="8:9" x14ac:dyDescent="0.2">
      <c r="H10678" s="6"/>
      <c r="I10678" s="6"/>
    </row>
    <row r="10679" spans="8:9" x14ac:dyDescent="0.2">
      <c r="H10679" s="6"/>
      <c r="I10679" s="6"/>
    </row>
    <row r="10680" spans="8:9" x14ac:dyDescent="0.2">
      <c r="H10680" s="6"/>
      <c r="I10680" s="6"/>
    </row>
    <row r="10681" spans="8:9" x14ac:dyDescent="0.2">
      <c r="H10681" s="6"/>
      <c r="I10681" s="6"/>
    </row>
    <row r="10682" spans="8:9" x14ac:dyDescent="0.2">
      <c r="H10682" s="6"/>
      <c r="I10682" s="6"/>
    </row>
    <row r="10683" spans="8:9" x14ac:dyDescent="0.2">
      <c r="H10683" s="6"/>
      <c r="I10683" s="6"/>
    </row>
    <row r="10684" spans="8:9" x14ac:dyDescent="0.2">
      <c r="H10684" s="6"/>
      <c r="I10684" s="6"/>
    </row>
    <row r="10685" spans="8:9" x14ac:dyDescent="0.2">
      <c r="H10685" s="6"/>
      <c r="I10685" s="6"/>
    </row>
    <row r="10686" spans="8:9" x14ac:dyDescent="0.2">
      <c r="H10686" s="6"/>
      <c r="I10686" s="6"/>
    </row>
    <row r="10687" spans="8:9" x14ac:dyDescent="0.2">
      <c r="H10687" s="6"/>
      <c r="I10687" s="6"/>
    </row>
    <row r="10688" spans="8:9" x14ac:dyDescent="0.2">
      <c r="H10688" s="6"/>
      <c r="I10688" s="6"/>
    </row>
    <row r="10689" spans="8:9" x14ac:dyDescent="0.2">
      <c r="H10689" s="6"/>
      <c r="I10689" s="6"/>
    </row>
    <row r="10690" spans="8:9" x14ac:dyDescent="0.2">
      <c r="H10690" s="6"/>
      <c r="I10690" s="6"/>
    </row>
    <row r="10691" spans="8:9" x14ac:dyDescent="0.2">
      <c r="H10691" s="6"/>
      <c r="I10691" s="6"/>
    </row>
    <row r="10692" spans="8:9" x14ac:dyDescent="0.2">
      <c r="H10692" s="6"/>
      <c r="I10692" s="6"/>
    </row>
    <row r="10693" spans="8:9" x14ac:dyDescent="0.2">
      <c r="H10693" s="6"/>
      <c r="I10693" s="6"/>
    </row>
    <row r="10694" spans="8:9" x14ac:dyDescent="0.2">
      <c r="H10694" s="6"/>
      <c r="I10694" s="6"/>
    </row>
    <row r="10695" spans="8:9" x14ac:dyDescent="0.2">
      <c r="H10695" s="6"/>
      <c r="I10695" s="6"/>
    </row>
    <row r="10696" spans="8:9" x14ac:dyDescent="0.2">
      <c r="H10696" s="6"/>
      <c r="I10696" s="6"/>
    </row>
    <row r="10697" spans="8:9" x14ac:dyDescent="0.2">
      <c r="H10697" s="6"/>
      <c r="I10697" s="6"/>
    </row>
    <row r="10698" spans="8:9" x14ac:dyDescent="0.2">
      <c r="H10698" s="6"/>
      <c r="I10698" s="6"/>
    </row>
    <row r="10699" spans="8:9" x14ac:dyDescent="0.2">
      <c r="H10699" s="6"/>
      <c r="I10699" s="6"/>
    </row>
    <row r="10700" spans="8:9" x14ac:dyDescent="0.2">
      <c r="H10700" s="6"/>
      <c r="I10700" s="6"/>
    </row>
    <row r="10701" spans="8:9" x14ac:dyDescent="0.2">
      <c r="H10701" s="6"/>
      <c r="I10701" s="6"/>
    </row>
    <row r="10702" spans="8:9" x14ac:dyDescent="0.2">
      <c r="H10702" s="6"/>
      <c r="I10702" s="6"/>
    </row>
    <row r="10703" spans="8:9" x14ac:dyDescent="0.2">
      <c r="H10703" s="6"/>
      <c r="I10703" s="6"/>
    </row>
    <row r="10704" spans="8:9" x14ac:dyDescent="0.2">
      <c r="H10704" s="6"/>
      <c r="I10704" s="6"/>
    </row>
    <row r="10705" spans="8:9" x14ac:dyDescent="0.2">
      <c r="H10705" s="6"/>
      <c r="I10705" s="6"/>
    </row>
    <row r="10706" spans="8:9" x14ac:dyDescent="0.2">
      <c r="H10706" s="6"/>
      <c r="I10706" s="6"/>
    </row>
    <row r="10707" spans="8:9" x14ac:dyDescent="0.2">
      <c r="H10707" s="6"/>
      <c r="I10707" s="6"/>
    </row>
    <row r="10708" spans="8:9" x14ac:dyDescent="0.2">
      <c r="H10708" s="6"/>
      <c r="I10708" s="6"/>
    </row>
    <row r="10709" spans="8:9" x14ac:dyDescent="0.2">
      <c r="H10709" s="6"/>
      <c r="I10709" s="6"/>
    </row>
    <row r="10710" spans="8:9" x14ac:dyDescent="0.2">
      <c r="H10710" s="6"/>
      <c r="I10710" s="6"/>
    </row>
    <row r="10711" spans="8:9" x14ac:dyDescent="0.2">
      <c r="H10711" s="6"/>
      <c r="I10711" s="6"/>
    </row>
    <row r="10712" spans="8:9" x14ac:dyDescent="0.2">
      <c r="H10712" s="6"/>
      <c r="I10712" s="6"/>
    </row>
    <row r="10713" spans="8:9" x14ac:dyDescent="0.2">
      <c r="H10713" s="6"/>
      <c r="I10713" s="6"/>
    </row>
    <row r="10714" spans="8:9" x14ac:dyDescent="0.2">
      <c r="H10714" s="6"/>
      <c r="I10714" s="6"/>
    </row>
    <row r="10715" spans="8:9" x14ac:dyDescent="0.2">
      <c r="H10715" s="6"/>
      <c r="I10715" s="6"/>
    </row>
    <row r="10716" spans="8:9" x14ac:dyDescent="0.2">
      <c r="H10716" s="6"/>
      <c r="I10716" s="6"/>
    </row>
    <row r="10717" spans="8:9" x14ac:dyDescent="0.2">
      <c r="H10717" s="6"/>
      <c r="I10717" s="6"/>
    </row>
    <row r="10718" spans="8:9" x14ac:dyDescent="0.2">
      <c r="H10718" s="6"/>
      <c r="I10718" s="6"/>
    </row>
    <row r="10719" spans="8:9" x14ac:dyDescent="0.2">
      <c r="H10719" s="6"/>
      <c r="I10719" s="6"/>
    </row>
    <row r="10720" spans="8:9" x14ac:dyDescent="0.2">
      <c r="H10720" s="6"/>
      <c r="I10720" s="6"/>
    </row>
    <row r="10721" spans="8:9" x14ac:dyDescent="0.2">
      <c r="H10721" s="6"/>
      <c r="I10721" s="6"/>
    </row>
    <row r="10722" spans="8:9" x14ac:dyDescent="0.2">
      <c r="H10722" s="6"/>
      <c r="I10722" s="6"/>
    </row>
    <row r="10723" spans="8:9" x14ac:dyDescent="0.2">
      <c r="H10723" s="6"/>
      <c r="I10723" s="6"/>
    </row>
    <row r="10724" spans="8:9" x14ac:dyDescent="0.2">
      <c r="H10724" s="6"/>
      <c r="I10724" s="6"/>
    </row>
    <row r="10725" spans="8:9" x14ac:dyDescent="0.2">
      <c r="H10725" s="6"/>
      <c r="I10725" s="6"/>
    </row>
    <row r="10726" spans="8:9" x14ac:dyDescent="0.2">
      <c r="H10726" s="6"/>
      <c r="I10726" s="6"/>
    </row>
    <row r="10727" spans="8:9" x14ac:dyDescent="0.2">
      <c r="H10727" s="6"/>
      <c r="I10727" s="6"/>
    </row>
    <row r="10728" spans="8:9" x14ac:dyDescent="0.2">
      <c r="H10728" s="6"/>
      <c r="I10728" s="6"/>
    </row>
    <row r="10729" spans="8:9" x14ac:dyDescent="0.2">
      <c r="H10729" s="6"/>
      <c r="I10729" s="6"/>
    </row>
    <row r="10730" spans="8:9" x14ac:dyDescent="0.2">
      <c r="H10730" s="6"/>
      <c r="I10730" s="6"/>
    </row>
    <row r="10731" spans="8:9" x14ac:dyDescent="0.2">
      <c r="H10731" s="6"/>
      <c r="I10731" s="6"/>
    </row>
    <row r="10732" spans="8:9" x14ac:dyDescent="0.2">
      <c r="H10732" s="6"/>
      <c r="I10732" s="6"/>
    </row>
    <row r="10733" spans="8:9" x14ac:dyDescent="0.2">
      <c r="H10733" s="6"/>
      <c r="I10733" s="6"/>
    </row>
    <row r="10734" spans="8:9" x14ac:dyDescent="0.2">
      <c r="H10734" s="6"/>
      <c r="I10734" s="6"/>
    </row>
    <row r="10735" spans="8:9" x14ac:dyDescent="0.2">
      <c r="H10735" s="6"/>
      <c r="I10735" s="6"/>
    </row>
    <row r="10736" spans="8:9" x14ac:dyDescent="0.2">
      <c r="H10736" s="6"/>
      <c r="I10736" s="6"/>
    </row>
    <row r="10737" spans="8:9" x14ac:dyDescent="0.2">
      <c r="H10737" s="6"/>
      <c r="I10737" s="6"/>
    </row>
    <row r="10738" spans="8:9" x14ac:dyDescent="0.2">
      <c r="H10738" s="6"/>
      <c r="I10738" s="6"/>
    </row>
    <row r="10739" spans="8:9" x14ac:dyDescent="0.2">
      <c r="H10739" s="6"/>
      <c r="I10739" s="6"/>
    </row>
    <row r="10740" spans="8:9" x14ac:dyDescent="0.2">
      <c r="H10740" s="6"/>
      <c r="I10740" s="6"/>
    </row>
    <row r="10741" spans="8:9" x14ac:dyDescent="0.2">
      <c r="H10741" s="6"/>
      <c r="I10741" s="6"/>
    </row>
    <row r="10742" spans="8:9" x14ac:dyDescent="0.2">
      <c r="H10742" s="6"/>
      <c r="I10742" s="6"/>
    </row>
    <row r="10743" spans="8:9" x14ac:dyDescent="0.2">
      <c r="H10743" s="6"/>
      <c r="I10743" s="6"/>
    </row>
    <row r="10744" spans="8:9" x14ac:dyDescent="0.2">
      <c r="H10744" s="6"/>
      <c r="I10744" s="6"/>
    </row>
    <row r="10745" spans="8:9" x14ac:dyDescent="0.2">
      <c r="H10745" s="6"/>
      <c r="I10745" s="6"/>
    </row>
    <row r="10746" spans="8:9" x14ac:dyDescent="0.2">
      <c r="H10746" s="6"/>
      <c r="I10746" s="6"/>
    </row>
    <row r="10747" spans="8:9" x14ac:dyDescent="0.2">
      <c r="H10747" s="6"/>
      <c r="I10747" s="6"/>
    </row>
    <row r="10748" spans="8:9" x14ac:dyDescent="0.2">
      <c r="H10748" s="6"/>
      <c r="I10748" s="6"/>
    </row>
    <row r="10749" spans="8:9" x14ac:dyDescent="0.2">
      <c r="H10749" s="6"/>
      <c r="I10749" s="6"/>
    </row>
    <row r="10750" spans="8:9" x14ac:dyDescent="0.2">
      <c r="H10750" s="6"/>
      <c r="I10750" s="6"/>
    </row>
    <row r="10751" spans="8:9" x14ac:dyDescent="0.2">
      <c r="H10751" s="6"/>
      <c r="I10751" s="6"/>
    </row>
    <row r="10752" spans="8:9" x14ac:dyDescent="0.2">
      <c r="H10752" s="6"/>
      <c r="I10752" s="6"/>
    </row>
    <row r="10753" spans="8:9" x14ac:dyDescent="0.2">
      <c r="H10753" s="6"/>
      <c r="I10753" s="6"/>
    </row>
    <row r="10754" spans="8:9" x14ac:dyDescent="0.2">
      <c r="H10754" s="6"/>
      <c r="I10754" s="6"/>
    </row>
    <row r="10755" spans="8:9" x14ac:dyDescent="0.2">
      <c r="H10755" s="6"/>
      <c r="I10755" s="6"/>
    </row>
    <row r="10756" spans="8:9" x14ac:dyDescent="0.2">
      <c r="H10756" s="6"/>
      <c r="I10756" s="6"/>
    </row>
    <row r="10757" spans="8:9" x14ac:dyDescent="0.2">
      <c r="H10757" s="6"/>
      <c r="I10757" s="6"/>
    </row>
    <row r="10758" spans="8:9" x14ac:dyDescent="0.2">
      <c r="H10758" s="6"/>
      <c r="I10758" s="6"/>
    </row>
    <row r="10759" spans="8:9" x14ac:dyDescent="0.2">
      <c r="H10759" s="6"/>
      <c r="I10759" s="6"/>
    </row>
    <row r="10760" spans="8:9" x14ac:dyDescent="0.2">
      <c r="H10760" s="6"/>
      <c r="I10760" s="6"/>
    </row>
    <row r="10761" spans="8:9" x14ac:dyDescent="0.2">
      <c r="H10761" s="6"/>
      <c r="I10761" s="6"/>
    </row>
    <row r="10762" spans="8:9" x14ac:dyDescent="0.2">
      <c r="H10762" s="6"/>
      <c r="I10762" s="6"/>
    </row>
    <row r="10763" spans="8:9" x14ac:dyDescent="0.2">
      <c r="H10763" s="6"/>
      <c r="I10763" s="6"/>
    </row>
    <row r="10764" spans="8:9" x14ac:dyDescent="0.2">
      <c r="H10764" s="6"/>
      <c r="I10764" s="6"/>
    </row>
    <row r="10765" spans="8:9" x14ac:dyDescent="0.2">
      <c r="H10765" s="6"/>
      <c r="I10765" s="6"/>
    </row>
    <row r="10766" spans="8:9" x14ac:dyDescent="0.2">
      <c r="H10766" s="6"/>
      <c r="I10766" s="6"/>
    </row>
    <row r="10767" spans="8:9" x14ac:dyDescent="0.2">
      <c r="H10767" s="6"/>
      <c r="I10767" s="6"/>
    </row>
    <row r="10768" spans="8:9" x14ac:dyDescent="0.2">
      <c r="H10768" s="6"/>
      <c r="I10768" s="6"/>
    </row>
    <row r="10769" spans="8:9" x14ac:dyDescent="0.2">
      <c r="H10769" s="6"/>
      <c r="I10769" s="6"/>
    </row>
    <row r="10770" spans="8:9" x14ac:dyDescent="0.2">
      <c r="H10770" s="6"/>
      <c r="I10770" s="6"/>
    </row>
    <row r="10771" spans="8:9" x14ac:dyDescent="0.2">
      <c r="H10771" s="6"/>
      <c r="I10771" s="6"/>
    </row>
    <row r="10772" spans="8:9" x14ac:dyDescent="0.2">
      <c r="H10772" s="6"/>
      <c r="I10772" s="6"/>
    </row>
    <row r="10773" spans="8:9" x14ac:dyDescent="0.2">
      <c r="H10773" s="6"/>
      <c r="I10773" s="6"/>
    </row>
    <row r="10774" spans="8:9" x14ac:dyDescent="0.2">
      <c r="H10774" s="6"/>
      <c r="I10774" s="6"/>
    </row>
    <row r="10775" spans="8:9" x14ac:dyDescent="0.2">
      <c r="H10775" s="6"/>
      <c r="I10775" s="6"/>
    </row>
    <row r="10776" spans="8:9" x14ac:dyDescent="0.2">
      <c r="H10776" s="6"/>
      <c r="I10776" s="6"/>
    </row>
    <row r="10777" spans="8:9" x14ac:dyDescent="0.2">
      <c r="H10777" s="6"/>
      <c r="I10777" s="6"/>
    </row>
    <row r="10778" spans="8:9" x14ac:dyDescent="0.2">
      <c r="H10778" s="6"/>
      <c r="I10778" s="6"/>
    </row>
    <row r="10779" spans="8:9" x14ac:dyDescent="0.2">
      <c r="H10779" s="6"/>
      <c r="I10779" s="6"/>
    </row>
    <row r="10780" spans="8:9" x14ac:dyDescent="0.2">
      <c r="H10780" s="6"/>
      <c r="I10780" s="6"/>
    </row>
    <row r="10781" spans="8:9" x14ac:dyDescent="0.2">
      <c r="H10781" s="6"/>
      <c r="I10781" s="6"/>
    </row>
    <row r="10782" spans="8:9" x14ac:dyDescent="0.2">
      <c r="H10782" s="6"/>
      <c r="I10782" s="6"/>
    </row>
    <row r="10783" spans="8:9" x14ac:dyDescent="0.2">
      <c r="H10783" s="6"/>
      <c r="I10783" s="6"/>
    </row>
    <row r="10784" spans="8:9" x14ac:dyDescent="0.2">
      <c r="H10784" s="6"/>
      <c r="I10784" s="6"/>
    </row>
    <row r="10785" spans="8:9" x14ac:dyDescent="0.2">
      <c r="H10785" s="6"/>
      <c r="I10785" s="6"/>
    </row>
    <row r="10786" spans="8:9" x14ac:dyDescent="0.2">
      <c r="H10786" s="6"/>
      <c r="I10786" s="6"/>
    </row>
    <row r="10787" spans="8:9" x14ac:dyDescent="0.2">
      <c r="H10787" s="6"/>
      <c r="I10787" s="6"/>
    </row>
    <row r="10788" spans="8:9" x14ac:dyDescent="0.2">
      <c r="H10788" s="6"/>
      <c r="I10788" s="6"/>
    </row>
    <row r="10789" spans="8:9" x14ac:dyDescent="0.2">
      <c r="H10789" s="6"/>
      <c r="I10789" s="6"/>
    </row>
    <row r="10790" spans="8:9" x14ac:dyDescent="0.2">
      <c r="H10790" s="6"/>
      <c r="I10790" s="6"/>
    </row>
    <row r="10791" spans="8:9" x14ac:dyDescent="0.2">
      <c r="H10791" s="6"/>
      <c r="I10791" s="6"/>
    </row>
    <row r="10792" spans="8:9" x14ac:dyDescent="0.2">
      <c r="H10792" s="6"/>
      <c r="I10792" s="6"/>
    </row>
    <row r="10793" spans="8:9" x14ac:dyDescent="0.2">
      <c r="H10793" s="6"/>
      <c r="I10793" s="6"/>
    </row>
    <row r="10794" spans="8:9" x14ac:dyDescent="0.2">
      <c r="H10794" s="6"/>
      <c r="I10794" s="6"/>
    </row>
    <row r="10795" spans="8:9" x14ac:dyDescent="0.2">
      <c r="H10795" s="6"/>
      <c r="I10795" s="6"/>
    </row>
    <row r="10796" spans="8:9" x14ac:dyDescent="0.2">
      <c r="H10796" s="6"/>
      <c r="I10796" s="6"/>
    </row>
    <row r="10797" spans="8:9" x14ac:dyDescent="0.2">
      <c r="H10797" s="6"/>
      <c r="I10797" s="6"/>
    </row>
    <row r="10798" spans="8:9" x14ac:dyDescent="0.2">
      <c r="H10798" s="6"/>
      <c r="I10798" s="6"/>
    </row>
    <row r="10799" spans="8:9" x14ac:dyDescent="0.2">
      <c r="H10799" s="6"/>
      <c r="I10799" s="6"/>
    </row>
    <row r="10800" spans="8:9" x14ac:dyDescent="0.2">
      <c r="H10800" s="6"/>
      <c r="I10800" s="6"/>
    </row>
    <row r="10801" spans="8:9" x14ac:dyDescent="0.2">
      <c r="H10801" s="6"/>
      <c r="I10801" s="6"/>
    </row>
    <row r="10802" spans="8:9" x14ac:dyDescent="0.2">
      <c r="H10802" s="6"/>
      <c r="I10802" s="6"/>
    </row>
    <row r="10803" spans="8:9" x14ac:dyDescent="0.2">
      <c r="H10803" s="6"/>
      <c r="I10803" s="6"/>
    </row>
    <row r="10804" spans="8:9" x14ac:dyDescent="0.2">
      <c r="H10804" s="6"/>
      <c r="I10804" s="6"/>
    </row>
    <row r="10805" spans="8:9" x14ac:dyDescent="0.2">
      <c r="H10805" s="6"/>
      <c r="I10805" s="6"/>
    </row>
    <row r="10806" spans="8:9" x14ac:dyDescent="0.2">
      <c r="H10806" s="6"/>
      <c r="I10806" s="6"/>
    </row>
    <row r="10807" spans="8:9" x14ac:dyDescent="0.2">
      <c r="H10807" s="6"/>
      <c r="I10807" s="6"/>
    </row>
    <row r="10808" spans="8:9" x14ac:dyDescent="0.2">
      <c r="H10808" s="6"/>
      <c r="I10808" s="6"/>
    </row>
    <row r="10809" spans="8:9" x14ac:dyDescent="0.2">
      <c r="H10809" s="6"/>
      <c r="I10809" s="6"/>
    </row>
    <row r="10810" spans="8:9" x14ac:dyDescent="0.2">
      <c r="H10810" s="6"/>
      <c r="I10810" s="6"/>
    </row>
    <row r="10811" spans="8:9" x14ac:dyDescent="0.2">
      <c r="H10811" s="6"/>
      <c r="I10811" s="6"/>
    </row>
    <row r="10812" spans="8:9" x14ac:dyDescent="0.2">
      <c r="H10812" s="6"/>
      <c r="I10812" s="6"/>
    </row>
    <row r="10813" spans="8:9" x14ac:dyDescent="0.2">
      <c r="H10813" s="6"/>
      <c r="I10813" s="6"/>
    </row>
    <row r="10814" spans="8:9" x14ac:dyDescent="0.2">
      <c r="H10814" s="6"/>
      <c r="I10814" s="6"/>
    </row>
    <row r="10815" spans="8:9" x14ac:dyDescent="0.2">
      <c r="H10815" s="6"/>
      <c r="I10815" s="6"/>
    </row>
    <row r="10816" spans="8:9" x14ac:dyDescent="0.2">
      <c r="H10816" s="6"/>
      <c r="I10816" s="6"/>
    </row>
    <row r="10817" spans="8:9" x14ac:dyDescent="0.2">
      <c r="H10817" s="6"/>
      <c r="I10817" s="6"/>
    </row>
    <row r="10818" spans="8:9" x14ac:dyDescent="0.2">
      <c r="H10818" s="6"/>
      <c r="I10818" s="6"/>
    </row>
    <row r="10819" spans="8:9" x14ac:dyDescent="0.2">
      <c r="H10819" s="6"/>
      <c r="I10819" s="6"/>
    </row>
    <row r="10820" spans="8:9" x14ac:dyDescent="0.2">
      <c r="H10820" s="6"/>
      <c r="I10820" s="6"/>
    </row>
    <row r="10821" spans="8:9" x14ac:dyDescent="0.2">
      <c r="H10821" s="6"/>
      <c r="I10821" s="6"/>
    </row>
    <row r="10822" spans="8:9" x14ac:dyDescent="0.2">
      <c r="H10822" s="6"/>
      <c r="I10822" s="6"/>
    </row>
    <row r="10823" spans="8:9" x14ac:dyDescent="0.2">
      <c r="H10823" s="6"/>
      <c r="I10823" s="6"/>
    </row>
    <row r="10824" spans="8:9" x14ac:dyDescent="0.2">
      <c r="H10824" s="6"/>
      <c r="I10824" s="6"/>
    </row>
    <row r="10825" spans="8:9" x14ac:dyDescent="0.2">
      <c r="H10825" s="6"/>
      <c r="I10825" s="6"/>
    </row>
    <row r="10826" spans="8:9" x14ac:dyDescent="0.2">
      <c r="H10826" s="6"/>
      <c r="I10826" s="6"/>
    </row>
    <row r="10827" spans="8:9" x14ac:dyDescent="0.2">
      <c r="H10827" s="6"/>
      <c r="I10827" s="6"/>
    </row>
    <row r="10828" spans="8:9" x14ac:dyDescent="0.2">
      <c r="H10828" s="6"/>
      <c r="I10828" s="6"/>
    </row>
    <row r="10829" spans="8:9" x14ac:dyDescent="0.2">
      <c r="H10829" s="6"/>
      <c r="I10829" s="6"/>
    </row>
    <row r="10830" spans="8:9" x14ac:dyDescent="0.2">
      <c r="H10830" s="6"/>
      <c r="I10830" s="6"/>
    </row>
    <row r="10831" spans="8:9" x14ac:dyDescent="0.2">
      <c r="H10831" s="6"/>
      <c r="I10831" s="6"/>
    </row>
    <row r="10832" spans="8:9" x14ac:dyDescent="0.2">
      <c r="H10832" s="6"/>
      <c r="I10832" s="6"/>
    </row>
    <row r="10833" spans="8:9" x14ac:dyDescent="0.2">
      <c r="H10833" s="6"/>
      <c r="I10833" s="6"/>
    </row>
    <row r="10834" spans="8:9" x14ac:dyDescent="0.2">
      <c r="H10834" s="6"/>
      <c r="I10834" s="6"/>
    </row>
    <row r="10835" spans="8:9" x14ac:dyDescent="0.2">
      <c r="H10835" s="6"/>
      <c r="I10835" s="6"/>
    </row>
    <row r="10836" spans="8:9" x14ac:dyDescent="0.2">
      <c r="H10836" s="6"/>
      <c r="I10836" s="6"/>
    </row>
    <row r="10837" spans="8:9" x14ac:dyDescent="0.2">
      <c r="H10837" s="6"/>
      <c r="I10837" s="6"/>
    </row>
    <row r="10838" spans="8:9" x14ac:dyDescent="0.2">
      <c r="H10838" s="6"/>
      <c r="I10838" s="6"/>
    </row>
    <row r="10839" spans="8:9" x14ac:dyDescent="0.2">
      <c r="H10839" s="6"/>
      <c r="I10839" s="6"/>
    </row>
    <row r="10840" spans="8:9" x14ac:dyDescent="0.2">
      <c r="H10840" s="6"/>
      <c r="I10840" s="6"/>
    </row>
    <row r="10841" spans="8:9" x14ac:dyDescent="0.2">
      <c r="H10841" s="6"/>
      <c r="I10841" s="6"/>
    </row>
    <row r="10842" spans="8:9" x14ac:dyDescent="0.2">
      <c r="H10842" s="6"/>
      <c r="I10842" s="6"/>
    </row>
    <row r="10843" spans="8:9" x14ac:dyDescent="0.2">
      <c r="H10843" s="6"/>
      <c r="I10843" s="6"/>
    </row>
    <row r="10844" spans="8:9" x14ac:dyDescent="0.2">
      <c r="H10844" s="6"/>
      <c r="I10844" s="6"/>
    </row>
    <row r="10845" spans="8:9" x14ac:dyDescent="0.2">
      <c r="H10845" s="6"/>
      <c r="I10845" s="6"/>
    </row>
    <row r="10846" spans="8:9" x14ac:dyDescent="0.2">
      <c r="H10846" s="6"/>
      <c r="I10846" s="6"/>
    </row>
    <row r="10847" spans="8:9" x14ac:dyDescent="0.2">
      <c r="H10847" s="6"/>
      <c r="I10847" s="6"/>
    </row>
    <row r="10848" spans="8:9" x14ac:dyDescent="0.2">
      <c r="H10848" s="6"/>
      <c r="I10848" s="6"/>
    </row>
    <row r="10849" spans="8:9" x14ac:dyDescent="0.2">
      <c r="H10849" s="6"/>
      <c r="I10849" s="6"/>
    </row>
    <row r="10850" spans="8:9" x14ac:dyDescent="0.2">
      <c r="H10850" s="6"/>
      <c r="I10850" s="6"/>
    </row>
    <row r="10851" spans="8:9" x14ac:dyDescent="0.2">
      <c r="H10851" s="6"/>
      <c r="I10851" s="6"/>
    </row>
    <row r="10852" spans="8:9" x14ac:dyDescent="0.2">
      <c r="H10852" s="6"/>
      <c r="I10852" s="6"/>
    </row>
    <row r="10853" spans="8:9" x14ac:dyDescent="0.2">
      <c r="H10853" s="6"/>
      <c r="I10853" s="6"/>
    </row>
    <row r="10854" spans="8:9" x14ac:dyDescent="0.2">
      <c r="H10854" s="6"/>
      <c r="I10854" s="6"/>
    </row>
    <row r="10855" spans="8:9" x14ac:dyDescent="0.2">
      <c r="H10855" s="6"/>
      <c r="I10855" s="6"/>
    </row>
    <row r="10856" spans="8:9" x14ac:dyDescent="0.2">
      <c r="H10856" s="6"/>
      <c r="I10856" s="6"/>
    </row>
    <row r="10857" spans="8:9" x14ac:dyDescent="0.2">
      <c r="H10857" s="6"/>
      <c r="I10857" s="6"/>
    </row>
    <row r="10858" spans="8:9" x14ac:dyDescent="0.2">
      <c r="H10858" s="6"/>
      <c r="I10858" s="6"/>
    </row>
    <row r="10859" spans="8:9" x14ac:dyDescent="0.2">
      <c r="H10859" s="6"/>
      <c r="I10859" s="6"/>
    </row>
    <row r="10860" spans="8:9" x14ac:dyDescent="0.2">
      <c r="H10860" s="6"/>
      <c r="I10860" s="6"/>
    </row>
    <row r="10861" spans="8:9" x14ac:dyDescent="0.2">
      <c r="H10861" s="6"/>
      <c r="I10861" s="6"/>
    </row>
    <row r="10862" spans="8:9" x14ac:dyDescent="0.2">
      <c r="H10862" s="6"/>
      <c r="I10862" s="6"/>
    </row>
    <row r="10863" spans="8:9" x14ac:dyDescent="0.2">
      <c r="H10863" s="6"/>
      <c r="I10863" s="6"/>
    </row>
    <row r="10864" spans="8:9" x14ac:dyDescent="0.2">
      <c r="H10864" s="6"/>
      <c r="I10864" s="6"/>
    </row>
    <row r="10865" spans="8:9" x14ac:dyDescent="0.2">
      <c r="H10865" s="6"/>
      <c r="I10865" s="6"/>
    </row>
    <row r="10866" spans="8:9" x14ac:dyDescent="0.2">
      <c r="H10866" s="6"/>
      <c r="I10866" s="6"/>
    </row>
    <row r="10867" spans="8:9" x14ac:dyDescent="0.2">
      <c r="H10867" s="6"/>
      <c r="I10867" s="6"/>
    </row>
    <row r="10868" spans="8:9" x14ac:dyDescent="0.2">
      <c r="H10868" s="6"/>
      <c r="I10868" s="6"/>
    </row>
    <row r="10869" spans="8:9" x14ac:dyDescent="0.2">
      <c r="H10869" s="6"/>
      <c r="I10869" s="6"/>
    </row>
    <row r="10870" spans="8:9" x14ac:dyDescent="0.2">
      <c r="H10870" s="6"/>
      <c r="I10870" s="6"/>
    </row>
    <row r="10871" spans="8:9" x14ac:dyDescent="0.2">
      <c r="H10871" s="6"/>
      <c r="I10871" s="6"/>
    </row>
    <row r="10872" spans="8:9" x14ac:dyDescent="0.2">
      <c r="H10872" s="6"/>
      <c r="I10872" s="6"/>
    </row>
    <row r="10873" spans="8:9" x14ac:dyDescent="0.2">
      <c r="H10873" s="6"/>
      <c r="I10873" s="6"/>
    </row>
    <row r="10874" spans="8:9" x14ac:dyDescent="0.2">
      <c r="H10874" s="6"/>
      <c r="I10874" s="6"/>
    </row>
    <row r="10875" spans="8:9" x14ac:dyDescent="0.2">
      <c r="H10875" s="6"/>
      <c r="I10875" s="6"/>
    </row>
    <row r="10876" spans="8:9" x14ac:dyDescent="0.2">
      <c r="H10876" s="6"/>
      <c r="I10876" s="6"/>
    </row>
    <row r="10877" spans="8:9" x14ac:dyDescent="0.2">
      <c r="H10877" s="6"/>
      <c r="I10877" s="6"/>
    </row>
    <row r="10878" spans="8:9" x14ac:dyDescent="0.2">
      <c r="H10878" s="6"/>
      <c r="I10878" s="6"/>
    </row>
    <row r="10879" spans="8:9" x14ac:dyDescent="0.2">
      <c r="H10879" s="6"/>
      <c r="I10879" s="6"/>
    </row>
    <row r="10880" spans="8:9" x14ac:dyDescent="0.2">
      <c r="H10880" s="6"/>
      <c r="I10880" s="6"/>
    </row>
    <row r="10881" spans="8:9" x14ac:dyDescent="0.2">
      <c r="H10881" s="6"/>
      <c r="I10881" s="6"/>
    </row>
    <row r="10882" spans="8:9" x14ac:dyDescent="0.2">
      <c r="H10882" s="6"/>
      <c r="I10882" s="6"/>
    </row>
    <row r="10883" spans="8:9" x14ac:dyDescent="0.2">
      <c r="H10883" s="6"/>
      <c r="I10883" s="6"/>
    </row>
    <row r="10884" spans="8:9" x14ac:dyDescent="0.2">
      <c r="H10884" s="6"/>
      <c r="I10884" s="6"/>
    </row>
    <row r="10885" spans="8:9" x14ac:dyDescent="0.2">
      <c r="H10885" s="6"/>
      <c r="I10885" s="6"/>
    </row>
    <row r="10886" spans="8:9" x14ac:dyDescent="0.2">
      <c r="H10886" s="6"/>
      <c r="I10886" s="6"/>
    </row>
    <row r="10887" spans="8:9" x14ac:dyDescent="0.2">
      <c r="H10887" s="6"/>
      <c r="I10887" s="6"/>
    </row>
    <row r="10888" spans="8:9" x14ac:dyDescent="0.2">
      <c r="H10888" s="6"/>
      <c r="I10888" s="6"/>
    </row>
    <row r="10889" spans="8:9" x14ac:dyDescent="0.2">
      <c r="H10889" s="6"/>
      <c r="I10889" s="6"/>
    </row>
    <row r="10890" spans="8:9" x14ac:dyDescent="0.2">
      <c r="H10890" s="6"/>
      <c r="I10890" s="6"/>
    </row>
    <row r="10891" spans="8:9" x14ac:dyDescent="0.2">
      <c r="H10891" s="6"/>
      <c r="I10891" s="6"/>
    </row>
    <row r="10892" spans="8:9" x14ac:dyDescent="0.2">
      <c r="H10892" s="6"/>
      <c r="I10892" s="6"/>
    </row>
    <row r="10893" spans="8:9" x14ac:dyDescent="0.2">
      <c r="H10893" s="6"/>
      <c r="I10893" s="6"/>
    </row>
    <row r="10894" spans="8:9" x14ac:dyDescent="0.2">
      <c r="H10894" s="6"/>
      <c r="I10894" s="6"/>
    </row>
    <row r="10895" spans="8:9" x14ac:dyDescent="0.2">
      <c r="H10895" s="6"/>
      <c r="I10895" s="6"/>
    </row>
    <row r="10896" spans="8:9" x14ac:dyDescent="0.2">
      <c r="H10896" s="6"/>
      <c r="I10896" s="6"/>
    </row>
    <row r="10897" spans="8:9" x14ac:dyDescent="0.2">
      <c r="H10897" s="6"/>
      <c r="I10897" s="6"/>
    </row>
    <row r="10898" spans="8:9" x14ac:dyDescent="0.2">
      <c r="H10898" s="6"/>
      <c r="I10898" s="6"/>
    </row>
    <row r="10899" spans="8:9" x14ac:dyDescent="0.2">
      <c r="H10899" s="6"/>
      <c r="I10899" s="6"/>
    </row>
    <row r="10900" spans="8:9" x14ac:dyDescent="0.2">
      <c r="H10900" s="6"/>
      <c r="I10900" s="6"/>
    </row>
    <row r="10901" spans="8:9" x14ac:dyDescent="0.2">
      <c r="H10901" s="6"/>
      <c r="I10901" s="6"/>
    </row>
    <row r="10902" spans="8:9" x14ac:dyDescent="0.2">
      <c r="H10902" s="6"/>
      <c r="I10902" s="6"/>
    </row>
    <row r="10903" spans="8:9" x14ac:dyDescent="0.2">
      <c r="H10903" s="6"/>
      <c r="I10903" s="6"/>
    </row>
    <row r="10904" spans="8:9" x14ac:dyDescent="0.2">
      <c r="H10904" s="6"/>
      <c r="I10904" s="6"/>
    </row>
    <row r="10905" spans="8:9" x14ac:dyDescent="0.2">
      <c r="H10905" s="6"/>
      <c r="I10905" s="6"/>
    </row>
    <row r="10906" spans="8:9" x14ac:dyDescent="0.2">
      <c r="H10906" s="6"/>
      <c r="I10906" s="6"/>
    </row>
    <row r="10907" spans="8:9" x14ac:dyDescent="0.2">
      <c r="H10907" s="6"/>
      <c r="I10907" s="6"/>
    </row>
    <row r="10908" spans="8:9" x14ac:dyDescent="0.2">
      <c r="H10908" s="6"/>
      <c r="I10908" s="6"/>
    </row>
    <row r="10909" spans="8:9" x14ac:dyDescent="0.2">
      <c r="H10909" s="6"/>
      <c r="I10909" s="6"/>
    </row>
    <row r="10910" spans="8:9" x14ac:dyDescent="0.2">
      <c r="H10910" s="6"/>
      <c r="I10910" s="6"/>
    </row>
    <row r="10911" spans="8:9" x14ac:dyDescent="0.2">
      <c r="H10911" s="6"/>
      <c r="I10911" s="6"/>
    </row>
    <row r="10912" spans="8:9" x14ac:dyDescent="0.2">
      <c r="H10912" s="6"/>
      <c r="I10912" s="6"/>
    </row>
    <row r="10913" spans="8:9" x14ac:dyDescent="0.2">
      <c r="H10913" s="6"/>
      <c r="I10913" s="6"/>
    </row>
    <row r="10914" spans="8:9" x14ac:dyDescent="0.2">
      <c r="H10914" s="6"/>
      <c r="I10914" s="6"/>
    </row>
    <row r="10915" spans="8:9" x14ac:dyDescent="0.2">
      <c r="H10915" s="6"/>
      <c r="I10915" s="6"/>
    </row>
    <row r="10916" spans="8:9" x14ac:dyDescent="0.2">
      <c r="H10916" s="6"/>
      <c r="I10916" s="6"/>
    </row>
    <row r="10917" spans="8:9" x14ac:dyDescent="0.2">
      <c r="H10917" s="6"/>
      <c r="I10917" s="6"/>
    </row>
    <row r="10918" spans="8:9" x14ac:dyDescent="0.2">
      <c r="H10918" s="6"/>
      <c r="I10918" s="6"/>
    </row>
    <row r="10919" spans="8:9" x14ac:dyDescent="0.2">
      <c r="H10919" s="6"/>
      <c r="I10919" s="6"/>
    </row>
    <row r="10920" spans="8:9" x14ac:dyDescent="0.2">
      <c r="H10920" s="6"/>
      <c r="I10920" s="6"/>
    </row>
    <row r="10921" spans="8:9" x14ac:dyDescent="0.2">
      <c r="H10921" s="6"/>
      <c r="I10921" s="6"/>
    </row>
    <row r="10922" spans="8:9" x14ac:dyDescent="0.2">
      <c r="H10922" s="6"/>
      <c r="I10922" s="6"/>
    </row>
    <row r="10923" spans="8:9" x14ac:dyDescent="0.2">
      <c r="H10923" s="6"/>
      <c r="I10923" s="6"/>
    </row>
    <row r="10924" spans="8:9" x14ac:dyDescent="0.2">
      <c r="H10924" s="6"/>
      <c r="I10924" s="6"/>
    </row>
    <row r="10925" spans="8:9" x14ac:dyDescent="0.2">
      <c r="H10925" s="6"/>
      <c r="I10925" s="6"/>
    </row>
    <row r="10926" spans="8:9" x14ac:dyDescent="0.2">
      <c r="H10926" s="6"/>
      <c r="I10926" s="6"/>
    </row>
    <row r="10927" spans="8:9" x14ac:dyDescent="0.2">
      <c r="H10927" s="6"/>
      <c r="I10927" s="6"/>
    </row>
    <row r="10928" spans="8:9" x14ac:dyDescent="0.2">
      <c r="H10928" s="6"/>
      <c r="I10928" s="6"/>
    </row>
    <row r="10929" spans="8:9" x14ac:dyDescent="0.2">
      <c r="H10929" s="6"/>
      <c r="I10929" s="6"/>
    </row>
    <row r="10930" spans="8:9" x14ac:dyDescent="0.2">
      <c r="H10930" s="6"/>
      <c r="I10930" s="6"/>
    </row>
    <row r="10931" spans="8:9" x14ac:dyDescent="0.2">
      <c r="H10931" s="6"/>
      <c r="I10931" s="6"/>
    </row>
    <row r="10932" spans="8:9" x14ac:dyDescent="0.2">
      <c r="H10932" s="6"/>
      <c r="I10932" s="6"/>
    </row>
    <row r="10933" spans="8:9" x14ac:dyDescent="0.2">
      <c r="H10933" s="6"/>
      <c r="I10933" s="6"/>
    </row>
    <row r="10934" spans="8:9" x14ac:dyDescent="0.2">
      <c r="H10934" s="6"/>
      <c r="I10934" s="6"/>
    </row>
    <row r="10935" spans="8:9" x14ac:dyDescent="0.2">
      <c r="H10935" s="6"/>
      <c r="I10935" s="6"/>
    </row>
    <row r="10936" spans="8:9" x14ac:dyDescent="0.2">
      <c r="H10936" s="6"/>
      <c r="I10936" s="6"/>
    </row>
    <row r="10937" spans="8:9" x14ac:dyDescent="0.2">
      <c r="H10937" s="6"/>
      <c r="I10937" s="6"/>
    </row>
    <row r="10938" spans="8:9" x14ac:dyDescent="0.2">
      <c r="H10938" s="6"/>
      <c r="I10938" s="6"/>
    </row>
    <row r="10939" spans="8:9" x14ac:dyDescent="0.2">
      <c r="H10939" s="6"/>
      <c r="I10939" s="6"/>
    </row>
    <row r="10940" spans="8:9" x14ac:dyDescent="0.2">
      <c r="H10940" s="6"/>
      <c r="I10940" s="6"/>
    </row>
    <row r="10941" spans="8:9" x14ac:dyDescent="0.2">
      <c r="H10941" s="6"/>
      <c r="I10941" s="6"/>
    </row>
    <row r="10942" spans="8:9" x14ac:dyDescent="0.2">
      <c r="H10942" s="6"/>
      <c r="I10942" s="6"/>
    </row>
    <row r="10943" spans="8:9" x14ac:dyDescent="0.2">
      <c r="H10943" s="6"/>
      <c r="I10943" s="6"/>
    </row>
    <row r="10944" spans="8:9" x14ac:dyDescent="0.2">
      <c r="H10944" s="6"/>
      <c r="I10944" s="6"/>
    </row>
    <row r="10945" spans="8:9" x14ac:dyDescent="0.2">
      <c r="H10945" s="6"/>
      <c r="I10945" s="6"/>
    </row>
    <row r="10946" spans="8:9" x14ac:dyDescent="0.2">
      <c r="H10946" s="6"/>
      <c r="I10946" s="6"/>
    </row>
    <row r="10947" spans="8:9" x14ac:dyDescent="0.2">
      <c r="H10947" s="6"/>
      <c r="I10947" s="6"/>
    </row>
    <row r="10948" spans="8:9" x14ac:dyDescent="0.2">
      <c r="H10948" s="6"/>
      <c r="I10948" s="6"/>
    </row>
    <row r="10949" spans="8:9" x14ac:dyDescent="0.2">
      <c r="H10949" s="6"/>
      <c r="I10949" s="6"/>
    </row>
    <row r="10950" spans="8:9" x14ac:dyDescent="0.2">
      <c r="H10950" s="6"/>
      <c r="I10950" s="6"/>
    </row>
    <row r="10951" spans="8:9" x14ac:dyDescent="0.2">
      <c r="H10951" s="6"/>
      <c r="I10951" s="6"/>
    </row>
    <row r="10952" spans="8:9" x14ac:dyDescent="0.2">
      <c r="H10952" s="6"/>
      <c r="I10952" s="6"/>
    </row>
    <row r="10953" spans="8:9" x14ac:dyDescent="0.2">
      <c r="H10953" s="6"/>
      <c r="I10953" s="6"/>
    </row>
    <row r="10954" spans="8:9" x14ac:dyDescent="0.2">
      <c r="H10954" s="6"/>
      <c r="I10954" s="6"/>
    </row>
    <row r="10955" spans="8:9" x14ac:dyDescent="0.2">
      <c r="H10955" s="6"/>
      <c r="I10955" s="6"/>
    </row>
    <row r="10956" spans="8:9" x14ac:dyDescent="0.2">
      <c r="H10956" s="6"/>
      <c r="I10956" s="6"/>
    </row>
    <row r="10957" spans="8:9" x14ac:dyDescent="0.2">
      <c r="H10957" s="6"/>
      <c r="I10957" s="6"/>
    </row>
    <row r="10958" spans="8:9" x14ac:dyDescent="0.2">
      <c r="H10958" s="6"/>
      <c r="I10958" s="6"/>
    </row>
    <row r="10959" spans="8:9" x14ac:dyDescent="0.2">
      <c r="H10959" s="6"/>
      <c r="I10959" s="6"/>
    </row>
    <row r="10960" spans="8:9" x14ac:dyDescent="0.2">
      <c r="H10960" s="6"/>
      <c r="I10960" s="6"/>
    </row>
    <row r="10961" spans="8:9" x14ac:dyDescent="0.2">
      <c r="H10961" s="6"/>
      <c r="I10961" s="6"/>
    </row>
    <row r="10962" spans="8:9" x14ac:dyDescent="0.2">
      <c r="H10962" s="6"/>
      <c r="I10962" s="6"/>
    </row>
    <row r="10963" spans="8:9" x14ac:dyDescent="0.2">
      <c r="H10963" s="6"/>
      <c r="I10963" s="6"/>
    </row>
    <row r="10964" spans="8:9" x14ac:dyDescent="0.2">
      <c r="H10964" s="6"/>
      <c r="I10964" s="6"/>
    </row>
    <row r="10965" spans="8:9" x14ac:dyDescent="0.2">
      <c r="H10965" s="6"/>
      <c r="I10965" s="6"/>
    </row>
    <row r="10966" spans="8:9" x14ac:dyDescent="0.2">
      <c r="H10966" s="6"/>
      <c r="I10966" s="6"/>
    </row>
    <row r="10967" spans="8:9" x14ac:dyDescent="0.2">
      <c r="H10967" s="6"/>
      <c r="I10967" s="6"/>
    </row>
    <row r="10968" spans="8:9" x14ac:dyDescent="0.2">
      <c r="H10968" s="6"/>
      <c r="I10968" s="6"/>
    </row>
    <row r="10969" spans="8:9" x14ac:dyDescent="0.2">
      <c r="H10969" s="6"/>
      <c r="I10969" s="6"/>
    </row>
    <row r="10970" spans="8:9" x14ac:dyDescent="0.2">
      <c r="H10970" s="6"/>
      <c r="I10970" s="6"/>
    </row>
    <row r="10971" spans="8:9" x14ac:dyDescent="0.2">
      <c r="H10971" s="6"/>
      <c r="I10971" s="6"/>
    </row>
    <row r="10972" spans="8:9" x14ac:dyDescent="0.2">
      <c r="H10972" s="6"/>
      <c r="I10972" s="6"/>
    </row>
    <row r="10973" spans="8:9" x14ac:dyDescent="0.2">
      <c r="H10973" s="6"/>
      <c r="I10973" s="6"/>
    </row>
    <row r="10974" spans="8:9" x14ac:dyDescent="0.2">
      <c r="H10974" s="6"/>
      <c r="I10974" s="6"/>
    </row>
    <row r="10975" spans="8:9" x14ac:dyDescent="0.2">
      <c r="H10975" s="6"/>
      <c r="I10975" s="6"/>
    </row>
    <row r="10976" spans="8:9" x14ac:dyDescent="0.2">
      <c r="H10976" s="6"/>
      <c r="I10976" s="6"/>
    </row>
    <row r="10977" spans="8:9" x14ac:dyDescent="0.2">
      <c r="H10977" s="6"/>
      <c r="I10977" s="6"/>
    </row>
    <row r="10978" spans="8:9" x14ac:dyDescent="0.2">
      <c r="H10978" s="6"/>
      <c r="I10978" s="6"/>
    </row>
    <row r="10979" spans="8:9" x14ac:dyDescent="0.2">
      <c r="H10979" s="6"/>
      <c r="I10979" s="6"/>
    </row>
    <row r="10980" spans="8:9" x14ac:dyDescent="0.2">
      <c r="H10980" s="6"/>
      <c r="I10980" s="6"/>
    </row>
    <row r="10981" spans="8:9" x14ac:dyDescent="0.2">
      <c r="H10981" s="6"/>
      <c r="I10981" s="6"/>
    </row>
    <row r="10982" spans="8:9" x14ac:dyDescent="0.2">
      <c r="H10982" s="6"/>
      <c r="I10982" s="6"/>
    </row>
    <row r="10983" spans="8:9" x14ac:dyDescent="0.2">
      <c r="H10983" s="6"/>
      <c r="I10983" s="6"/>
    </row>
    <row r="10984" spans="8:9" x14ac:dyDescent="0.2">
      <c r="H10984" s="6"/>
      <c r="I10984" s="6"/>
    </row>
    <row r="10985" spans="8:9" x14ac:dyDescent="0.2">
      <c r="H10985" s="6"/>
      <c r="I10985" s="6"/>
    </row>
    <row r="10986" spans="8:9" x14ac:dyDescent="0.2">
      <c r="H10986" s="6"/>
      <c r="I10986" s="6"/>
    </row>
    <row r="10987" spans="8:9" x14ac:dyDescent="0.2">
      <c r="H10987" s="6"/>
      <c r="I10987" s="6"/>
    </row>
    <row r="10988" spans="8:9" x14ac:dyDescent="0.2">
      <c r="H10988" s="6"/>
      <c r="I10988" s="6"/>
    </row>
    <row r="10989" spans="8:9" x14ac:dyDescent="0.2">
      <c r="H10989" s="6"/>
      <c r="I10989" s="6"/>
    </row>
    <row r="10990" spans="8:9" x14ac:dyDescent="0.2">
      <c r="H10990" s="6"/>
      <c r="I10990" s="6"/>
    </row>
    <row r="10991" spans="8:9" x14ac:dyDescent="0.2">
      <c r="H10991" s="6"/>
      <c r="I10991" s="6"/>
    </row>
    <row r="10992" spans="8:9" x14ac:dyDescent="0.2">
      <c r="H10992" s="6"/>
      <c r="I10992" s="6"/>
    </row>
    <row r="10993" spans="8:9" x14ac:dyDescent="0.2">
      <c r="H10993" s="6"/>
      <c r="I10993" s="6"/>
    </row>
    <row r="10994" spans="8:9" x14ac:dyDescent="0.2">
      <c r="H10994" s="6"/>
      <c r="I10994" s="6"/>
    </row>
    <row r="10995" spans="8:9" x14ac:dyDescent="0.2">
      <c r="H10995" s="6"/>
      <c r="I10995" s="6"/>
    </row>
    <row r="10996" spans="8:9" x14ac:dyDescent="0.2">
      <c r="H10996" s="6"/>
      <c r="I10996" s="6"/>
    </row>
    <row r="10997" spans="8:9" x14ac:dyDescent="0.2">
      <c r="H10997" s="6"/>
      <c r="I10997" s="6"/>
    </row>
    <row r="10998" spans="8:9" x14ac:dyDescent="0.2">
      <c r="H10998" s="6"/>
      <c r="I10998" s="6"/>
    </row>
    <row r="10999" spans="8:9" x14ac:dyDescent="0.2">
      <c r="H10999" s="6"/>
      <c r="I10999" s="6"/>
    </row>
    <row r="11000" spans="8:9" x14ac:dyDescent="0.2">
      <c r="H11000" s="6"/>
      <c r="I11000" s="6"/>
    </row>
    <row r="11001" spans="8:9" x14ac:dyDescent="0.2">
      <c r="H11001" s="6"/>
      <c r="I11001" s="6"/>
    </row>
    <row r="11002" spans="8:9" x14ac:dyDescent="0.2">
      <c r="H11002" s="6"/>
      <c r="I11002" s="6"/>
    </row>
    <row r="11003" spans="8:9" x14ac:dyDescent="0.2">
      <c r="H11003" s="6"/>
      <c r="I11003" s="6"/>
    </row>
    <row r="11004" spans="8:9" x14ac:dyDescent="0.2">
      <c r="H11004" s="6"/>
      <c r="I11004" s="6"/>
    </row>
    <row r="11005" spans="8:9" x14ac:dyDescent="0.2">
      <c r="H11005" s="6"/>
      <c r="I11005" s="6"/>
    </row>
    <row r="11006" spans="8:9" x14ac:dyDescent="0.2">
      <c r="H11006" s="6"/>
      <c r="I11006" s="6"/>
    </row>
    <row r="11007" spans="8:9" x14ac:dyDescent="0.2">
      <c r="H11007" s="6"/>
      <c r="I11007" s="6"/>
    </row>
    <row r="11008" spans="8:9" x14ac:dyDescent="0.2">
      <c r="H11008" s="6"/>
      <c r="I11008" s="6"/>
    </row>
    <row r="11009" spans="8:9" x14ac:dyDescent="0.2">
      <c r="H11009" s="6"/>
      <c r="I11009" s="6"/>
    </row>
    <row r="11010" spans="8:9" x14ac:dyDescent="0.2">
      <c r="H11010" s="6"/>
      <c r="I11010" s="6"/>
    </row>
    <row r="11011" spans="8:9" x14ac:dyDescent="0.2">
      <c r="H11011" s="6"/>
      <c r="I11011" s="6"/>
    </row>
    <row r="11012" spans="8:9" x14ac:dyDescent="0.2">
      <c r="H11012" s="6"/>
      <c r="I11012" s="6"/>
    </row>
    <row r="11013" spans="8:9" x14ac:dyDescent="0.2">
      <c r="H11013" s="6"/>
      <c r="I11013" s="6"/>
    </row>
    <row r="11014" spans="8:9" x14ac:dyDescent="0.2">
      <c r="H11014" s="6"/>
      <c r="I11014" s="6"/>
    </row>
    <row r="11015" spans="8:9" x14ac:dyDescent="0.2">
      <c r="H11015" s="6"/>
      <c r="I11015" s="6"/>
    </row>
    <row r="11016" spans="8:9" x14ac:dyDescent="0.2">
      <c r="H11016" s="6"/>
      <c r="I11016" s="6"/>
    </row>
    <row r="11017" spans="8:9" x14ac:dyDescent="0.2">
      <c r="H11017" s="6"/>
      <c r="I11017" s="6"/>
    </row>
    <row r="11018" spans="8:9" x14ac:dyDescent="0.2">
      <c r="H11018" s="6"/>
      <c r="I11018" s="6"/>
    </row>
    <row r="11019" spans="8:9" x14ac:dyDescent="0.2">
      <c r="H11019" s="6"/>
      <c r="I11019" s="6"/>
    </row>
    <row r="11020" spans="8:9" x14ac:dyDescent="0.2">
      <c r="H11020" s="6"/>
      <c r="I11020" s="6"/>
    </row>
    <row r="11021" spans="8:9" x14ac:dyDescent="0.2">
      <c r="H11021" s="6"/>
      <c r="I11021" s="6"/>
    </row>
    <row r="11022" spans="8:9" x14ac:dyDescent="0.2">
      <c r="H11022" s="6"/>
      <c r="I11022" s="6"/>
    </row>
    <row r="11023" spans="8:9" x14ac:dyDescent="0.2">
      <c r="H11023" s="6"/>
      <c r="I11023" s="6"/>
    </row>
    <row r="11024" spans="8:9" x14ac:dyDescent="0.2">
      <c r="H11024" s="6"/>
      <c r="I11024" s="6"/>
    </row>
    <row r="11025" spans="8:9" x14ac:dyDescent="0.2">
      <c r="H11025" s="6"/>
      <c r="I11025" s="6"/>
    </row>
    <row r="11026" spans="8:9" x14ac:dyDescent="0.2">
      <c r="H11026" s="6"/>
      <c r="I11026" s="6"/>
    </row>
    <row r="11027" spans="8:9" x14ac:dyDescent="0.2">
      <c r="H11027" s="6"/>
      <c r="I11027" s="6"/>
    </row>
    <row r="11028" spans="8:9" x14ac:dyDescent="0.2">
      <c r="H11028" s="6"/>
      <c r="I11028" s="6"/>
    </row>
    <row r="11029" spans="8:9" x14ac:dyDescent="0.2">
      <c r="H11029" s="6"/>
      <c r="I11029" s="6"/>
    </row>
    <row r="11030" spans="8:9" x14ac:dyDescent="0.2">
      <c r="H11030" s="6"/>
      <c r="I11030" s="6"/>
    </row>
    <row r="11031" spans="8:9" x14ac:dyDescent="0.2">
      <c r="H11031" s="6"/>
      <c r="I11031" s="6"/>
    </row>
    <row r="11032" spans="8:9" x14ac:dyDescent="0.2">
      <c r="H11032" s="6"/>
      <c r="I11032" s="6"/>
    </row>
    <row r="11033" spans="8:9" x14ac:dyDescent="0.2">
      <c r="H11033" s="6"/>
      <c r="I11033" s="6"/>
    </row>
    <row r="11034" spans="8:9" x14ac:dyDescent="0.2">
      <c r="H11034" s="6"/>
      <c r="I11034" s="6"/>
    </row>
    <row r="11035" spans="8:9" x14ac:dyDescent="0.2">
      <c r="H11035" s="6"/>
      <c r="I11035" s="6"/>
    </row>
    <row r="11036" spans="8:9" x14ac:dyDescent="0.2">
      <c r="H11036" s="6"/>
      <c r="I11036" s="6"/>
    </row>
    <row r="11037" spans="8:9" x14ac:dyDescent="0.2">
      <c r="H11037" s="6"/>
      <c r="I11037" s="6"/>
    </row>
    <row r="11038" spans="8:9" x14ac:dyDescent="0.2">
      <c r="H11038" s="6"/>
      <c r="I11038" s="6"/>
    </row>
    <row r="11039" spans="8:9" x14ac:dyDescent="0.2">
      <c r="H11039" s="6"/>
      <c r="I11039" s="6"/>
    </row>
    <row r="11040" spans="8:9" x14ac:dyDescent="0.2">
      <c r="H11040" s="6"/>
      <c r="I11040" s="6"/>
    </row>
    <row r="11041" spans="8:9" x14ac:dyDescent="0.2">
      <c r="H11041" s="6"/>
      <c r="I11041" s="6"/>
    </row>
    <row r="11042" spans="8:9" x14ac:dyDescent="0.2">
      <c r="H11042" s="6"/>
      <c r="I11042" s="6"/>
    </row>
    <row r="11043" spans="8:9" x14ac:dyDescent="0.2">
      <c r="H11043" s="6"/>
      <c r="I11043" s="6"/>
    </row>
    <row r="11044" spans="8:9" x14ac:dyDescent="0.2">
      <c r="H11044" s="6"/>
      <c r="I11044" s="6"/>
    </row>
    <row r="11045" spans="8:9" x14ac:dyDescent="0.2">
      <c r="H11045" s="6"/>
      <c r="I11045" s="6"/>
    </row>
    <row r="11046" spans="8:9" x14ac:dyDescent="0.2">
      <c r="H11046" s="6"/>
      <c r="I11046" s="6"/>
    </row>
    <row r="11047" spans="8:9" x14ac:dyDescent="0.2">
      <c r="H11047" s="6"/>
      <c r="I11047" s="6"/>
    </row>
    <row r="11048" spans="8:9" x14ac:dyDescent="0.2">
      <c r="H11048" s="6"/>
      <c r="I11048" s="6"/>
    </row>
    <row r="11049" spans="8:9" x14ac:dyDescent="0.2">
      <c r="H11049" s="6"/>
      <c r="I11049" s="6"/>
    </row>
    <row r="11050" spans="8:9" x14ac:dyDescent="0.2">
      <c r="H11050" s="6"/>
      <c r="I11050" s="6"/>
    </row>
    <row r="11051" spans="8:9" x14ac:dyDescent="0.2">
      <c r="H11051" s="6"/>
      <c r="I11051" s="6"/>
    </row>
    <row r="11052" spans="8:9" x14ac:dyDescent="0.2">
      <c r="H11052" s="6"/>
      <c r="I11052" s="6"/>
    </row>
    <row r="11053" spans="8:9" x14ac:dyDescent="0.2">
      <c r="H11053" s="6"/>
      <c r="I11053" s="6"/>
    </row>
    <row r="11054" spans="8:9" x14ac:dyDescent="0.2">
      <c r="H11054" s="6"/>
      <c r="I11054" s="6"/>
    </row>
    <row r="11055" spans="8:9" x14ac:dyDescent="0.2">
      <c r="H11055" s="6"/>
      <c r="I11055" s="6"/>
    </row>
    <row r="11056" spans="8:9" x14ac:dyDescent="0.2">
      <c r="H11056" s="6"/>
      <c r="I11056" s="6"/>
    </row>
    <row r="11057" spans="8:9" x14ac:dyDescent="0.2">
      <c r="H11057" s="6"/>
      <c r="I11057" s="6"/>
    </row>
    <row r="11058" spans="8:9" x14ac:dyDescent="0.2">
      <c r="H11058" s="6"/>
      <c r="I11058" s="6"/>
    </row>
    <row r="11059" spans="8:9" x14ac:dyDescent="0.2">
      <c r="H11059" s="6"/>
      <c r="I11059" s="6"/>
    </row>
    <row r="11060" spans="8:9" x14ac:dyDescent="0.2">
      <c r="H11060" s="6"/>
      <c r="I11060" s="6"/>
    </row>
    <row r="11061" spans="8:9" x14ac:dyDescent="0.2">
      <c r="H11061" s="6"/>
      <c r="I11061" s="6"/>
    </row>
    <row r="11062" spans="8:9" x14ac:dyDescent="0.2">
      <c r="H11062" s="6"/>
      <c r="I11062" s="6"/>
    </row>
    <row r="11063" spans="8:9" x14ac:dyDescent="0.2">
      <c r="H11063" s="6"/>
      <c r="I11063" s="6"/>
    </row>
    <row r="11064" spans="8:9" x14ac:dyDescent="0.2">
      <c r="H11064" s="6"/>
      <c r="I11064" s="6"/>
    </row>
    <row r="11065" spans="8:9" x14ac:dyDescent="0.2">
      <c r="H11065" s="6"/>
      <c r="I11065" s="6"/>
    </row>
    <row r="11066" spans="8:9" x14ac:dyDescent="0.2">
      <c r="H11066" s="6"/>
      <c r="I11066" s="6"/>
    </row>
    <row r="11067" spans="8:9" x14ac:dyDescent="0.2">
      <c r="H11067" s="6"/>
      <c r="I11067" s="6"/>
    </row>
    <row r="11068" spans="8:9" x14ac:dyDescent="0.2">
      <c r="H11068" s="6"/>
      <c r="I11068" s="6"/>
    </row>
    <row r="11069" spans="8:9" x14ac:dyDescent="0.2">
      <c r="H11069" s="6"/>
      <c r="I11069" s="6"/>
    </row>
    <row r="11070" spans="8:9" x14ac:dyDescent="0.2">
      <c r="H11070" s="6"/>
      <c r="I11070" s="6"/>
    </row>
    <row r="11071" spans="8:9" x14ac:dyDescent="0.2">
      <c r="H11071" s="6"/>
      <c r="I11071" s="6"/>
    </row>
    <row r="11072" spans="8:9" x14ac:dyDescent="0.2">
      <c r="H11072" s="6"/>
      <c r="I11072" s="6"/>
    </row>
    <row r="11073" spans="8:9" x14ac:dyDescent="0.2">
      <c r="H11073" s="6"/>
      <c r="I11073" s="6"/>
    </row>
    <row r="11074" spans="8:9" x14ac:dyDescent="0.2">
      <c r="H11074" s="6"/>
    </row>
    <row r="11075" spans="8:9" x14ac:dyDescent="0.2">
      <c r="H11075" s="6"/>
      <c r="I11075" s="6"/>
    </row>
    <row r="11076" spans="8:9" x14ac:dyDescent="0.2">
      <c r="H11076" s="6"/>
      <c r="I11076" s="6"/>
    </row>
    <row r="11077" spans="8:9" x14ac:dyDescent="0.2">
      <c r="H11077" s="6"/>
      <c r="I11077" s="6"/>
    </row>
    <row r="11078" spans="8:9" x14ac:dyDescent="0.2">
      <c r="H11078" s="6"/>
      <c r="I11078" s="6"/>
    </row>
    <row r="11079" spans="8:9" x14ac:dyDescent="0.2">
      <c r="H11079" s="6"/>
      <c r="I11079" s="6"/>
    </row>
    <row r="11080" spans="8:9" x14ac:dyDescent="0.2">
      <c r="H11080" s="6"/>
      <c r="I11080" s="6"/>
    </row>
    <row r="11081" spans="8:9" x14ac:dyDescent="0.2">
      <c r="H11081" s="6"/>
      <c r="I11081" s="6"/>
    </row>
    <row r="11082" spans="8:9" x14ac:dyDescent="0.2">
      <c r="H11082" s="6"/>
      <c r="I11082" s="6"/>
    </row>
    <row r="11083" spans="8:9" x14ac:dyDescent="0.2">
      <c r="H11083" s="6"/>
      <c r="I11083" s="6"/>
    </row>
    <row r="11084" spans="8:9" x14ac:dyDescent="0.2">
      <c r="H11084" s="6"/>
      <c r="I11084" s="6"/>
    </row>
    <row r="11085" spans="8:9" x14ac:dyDescent="0.2">
      <c r="H11085" s="6"/>
      <c r="I11085" s="6"/>
    </row>
    <row r="11086" spans="8:9" x14ac:dyDescent="0.2">
      <c r="H11086" s="6"/>
      <c r="I11086" s="6"/>
    </row>
    <row r="11087" spans="8:9" x14ac:dyDescent="0.2">
      <c r="H11087" s="6"/>
      <c r="I11087" s="6"/>
    </row>
    <row r="11088" spans="8:9" x14ac:dyDescent="0.2">
      <c r="H11088" s="6"/>
      <c r="I11088" s="6"/>
    </row>
    <row r="11089" spans="8:9" x14ac:dyDescent="0.2">
      <c r="H11089" s="6"/>
      <c r="I11089" s="6"/>
    </row>
    <row r="11090" spans="8:9" x14ac:dyDescent="0.2">
      <c r="H11090" s="6"/>
      <c r="I11090" s="6"/>
    </row>
    <row r="11091" spans="8:9" x14ac:dyDescent="0.2">
      <c r="H11091" s="6"/>
      <c r="I11091" s="6"/>
    </row>
    <row r="11092" spans="8:9" x14ac:dyDescent="0.2">
      <c r="H11092" s="6"/>
      <c r="I11092" s="6"/>
    </row>
    <row r="11093" spans="8:9" x14ac:dyDescent="0.2">
      <c r="H11093" s="6"/>
      <c r="I11093" s="6"/>
    </row>
    <row r="11094" spans="8:9" x14ac:dyDescent="0.2">
      <c r="H11094" s="6"/>
      <c r="I11094" s="6"/>
    </row>
    <row r="11095" spans="8:9" x14ac:dyDescent="0.2">
      <c r="H11095" s="6"/>
      <c r="I11095" s="6"/>
    </row>
    <row r="11096" spans="8:9" x14ac:dyDescent="0.2">
      <c r="H11096" s="6"/>
      <c r="I11096" s="6"/>
    </row>
    <row r="11097" spans="8:9" x14ac:dyDescent="0.2">
      <c r="H11097" s="6"/>
      <c r="I11097" s="6"/>
    </row>
    <row r="11098" spans="8:9" x14ac:dyDescent="0.2">
      <c r="H11098" s="6"/>
      <c r="I11098" s="6"/>
    </row>
    <row r="11099" spans="8:9" x14ac:dyDescent="0.2">
      <c r="H11099" s="6"/>
      <c r="I11099" s="6"/>
    </row>
    <row r="11100" spans="8:9" x14ac:dyDescent="0.2">
      <c r="H11100" s="6"/>
      <c r="I11100" s="6"/>
    </row>
    <row r="11101" spans="8:9" x14ac:dyDescent="0.2">
      <c r="H11101" s="6"/>
      <c r="I11101" s="6"/>
    </row>
    <row r="11102" spans="8:9" x14ac:dyDescent="0.2">
      <c r="H11102" s="6"/>
      <c r="I11102" s="6"/>
    </row>
    <row r="11103" spans="8:9" x14ac:dyDescent="0.2">
      <c r="H11103" s="6"/>
      <c r="I11103" s="6"/>
    </row>
    <row r="11104" spans="8:9" x14ac:dyDescent="0.2">
      <c r="H11104" s="6"/>
      <c r="I11104" s="6"/>
    </row>
    <row r="11105" spans="8:9" x14ac:dyDescent="0.2">
      <c r="H11105" s="6"/>
      <c r="I11105" s="6"/>
    </row>
    <row r="11106" spans="8:9" x14ac:dyDescent="0.2">
      <c r="H11106" s="6"/>
      <c r="I11106" s="6"/>
    </row>
    <row r="11107" spans="8:9" x14ac:dyDescent="0.2">
      <c r="H11107" s="6"/>
      <c r="I11107" s="6"/>
    </row>
    <row r="11108" spans="8:9" x14ac:dyDescent="0.2">
      <c r="H11108" s="6"/>
      <c r="I11108" s="6"/>
    </row>
    <row r="11109" spans="8:9" x14ac:dyDescent="0.2">
      <c r="H11109" s="6"/>
      <c r="I11109" s="6"/>
    </row>
    <row r="11110" spans="8:9" x14ac:dyDescent="0.2">
      <c r="H11110" s="6"/>
      <c r="I11110" s="6"/>
    </row>
    <row r="11111" spans="8:9" x14ac:dyDescent="0.2">
      <c r="H11111" s="6"/>
      <c r="I11111" s="6"/>
    </row>
    <row r="11112" spans="8:9" x14ac:dyDescent="0.2">
      <c r="H11112" s="6"/>
      <c r="I11112" s="6"/>
    </row>
    <row r="11113" spans="8:9" x14ac:dyDescent="0.2">
      <c r="H11113" s="6"/>
      <c r="I11113" s="6"/>
    </row>
    <row r="11114" spans="8:9" x14ac:dyDescent="0.2">
      <c r="H11114" s="6"/>
      <c r="I11114" s="6"/>
    </row>
    <row r="11115" spans="8:9" x14ac:dyDescent="0.2">
      <c r="H11115" s="6"/>
      <c r="I11115" s="6"/>
    </row>
    <row r="11116" spans="8:9" x14ac:dyDescent="0.2">
      <c r="H11116" s="6"/>
      <c r="I11116" s="6"/>
    </row>
    <row r="11117" spans="8:9" x14ac:dyDescent="0.2">
      <c r="H11117" s="6"/>
      <c r="I11117" s="6"/>
    </row>
    <row r="11118" spans="8:9" x14ac:dyDescent="0.2">
      <c r="H11118" s="6"/>
      <c r="I11118" s="6"/>
    </row>
    <row r="11119" spans="8:9" x14ac:dyDescent="0.2">
      <c r="H11119" s="6"/>
      <c r="I11119" s="6"/>
    </row>
    <row r="11120" spans="8:9" x14ac:dyDescent="0.2">
      <c r="H11120" s="6"/>
      <c r="I11120" s="6"/>
    </row>
    <row r="11121" spans="8:9" x14ac:dyDescent="0.2">
      <c r="H11121" s="6"/>
      <c r="I11121" s="6"/>
    </row>
    <row r="11122" spans="8:9" x14ac:dyDescent="0.2">
      <c r="H11122" s="6"/>
      <c r="I11122" s="6"/>
    </row>
    <row r="11123" spans="8:9" x14ac:dyDescent="0.2">
      <c r="H11123" s="6"/>
      <c r="I11123" s="6"/>
    </row>
    <row r="11124" spans="8:9" x14ac:dyDescent="0.2">
      <c r="H11124" s="6"/>
      <c r="I11124" s="6"/>
    </row>
    <row r="11125" spans="8:9" x14ac:dyDescent="0.2">
      <c r="H11125" s="6"/>
      <c r="I11125" s="6"/>
    </row>
    <row r="11126" spans="8:9" x14ac:dyDescent="0.2">
      <c r="H11126" s="6"/>
      <c r="I11126" s="6"/>
    </row>
    <row r="11127" spans="8:9" x14ac:dyDescent="0.2">
      <c r="H11127" s="6"/>
      <c r="I11127" s="6"/>
    </row>
    <row r="11128" spans="8:9" x14ac:dyDescent="0.2">
      <c r="H11128" s="6"/>
      <c r="I11128" s="6"/>
    </row>
    <row r="11129" spans="8:9" x14ac:dyDescent="0.2">
      <c r="H11129" s="6"/>
      <c r="I11129" s="6"/>
    </row>
    <row r="11130" spans="8:9" x14ac:dyDescent="0.2">
      <c r="H11130" s="6"/>
      <c r="I11130" s="6"/>
    </row>
    <row r="11131" spans="8:9" x14ac:dyDescent="0.2">
      <c r="H11131" s="6"/>
      <c r="I11131" s="6"/>
    </row>
    <row r="11132" spans="8:9" x14ac:dyDescent="0.2">
      <c r="H11132" s="6"/>
      <c r="I11132" s="6"/>
    </row>
    <row r="11133" spans="8:9" x14ac:dyDescent="0.2">
      <c r="H11133" s="6"/>
      <c r="I11133" s="6"/>
    </row>
    <row r="11134" spans="8:9" x14ac:dyDescent="0.2">
      <c r="H11134" s="6"/>
      <c r="I11134" s="6"/>
    </row>
    <row r="11135" spans="8:9" x14ac:dyDescent="0.2">
      <c r="H11135" s="6"/>
      <c r="I11135" s="6"/>
    </row>
    <row r="11136" spans="8:9" x14ac:dyDescent="0.2">
      <c r="H11136" s="6"/>
      <c r="I11136" s="6"/>
    </row>
    <row r="11137" spans="8:9" x14ac:dyDescent="0.2">
      <c r="H11137" s="6"/>
      <c r="I11137" s="6"/>
    </row>
    <row r="11138" spans="8:9" x14ac:dyDescent="0.2">
      <c r="H11138" s="6"/>
      <c r="I11138" s="6"/>
    </row>
    <row r="11139" spans="8:9" x14ac:dyDescent="0.2">
      <c r="H11139" s="6"/>
      <c r="I11139" s="6"/>
    </row>
    <row r="11140" spans="8:9" x14ac:dyDescent="0.2">
      <c r="H11140" s="6"/>
      <c r="I11140" s="6"/>
    </row>
    <row r="11141" spans="8:9" x14ac:dyDescent="0.2">
      <c r="H11141" s="6"/>
      <c r="I11141" s="6"/>
    </row>
    <row r="11142" spans="8:9" x14ac:dyDescent="0.2">
      <c r="H11142" s="6"/>
      <c r="I11142" s="6"/>
    </row>
    <row r="11143" spans="8:9" x14ac:dyDescent="0.2">
      <c r="H11143" s="6"/>
      <c r="I11143" s="6"/>
    </row>
    <row r="11144" spans="8:9" x14ac:dyDescent="0.2">
      <c r="H11144" s="6"/>
      <c r="I11144" s="6"/>
    </row>
    <row r="11145" spans="8:9" x14ac:dyDescent="0.2">
      <c r="H11145" s="6"/>
      <c r="I11145" s="6"/>
    </row>
    <row r="11146" spans="8:9" x14ac:dyDescent="0.2">
      <c r="H11146" s="6"/>
      <c r="I11146" s="6"/>
    </row>
    <row r="11147" spans="8:9" x14ac:dyDescent="0.2">
      <c r="H11147" s="6"/>
      <c r="I11147" s="6"/>
    </row>
    <row r="11148" spans="8:9" x14ac:dyDescent="0.2">
      <c r="H11148" s="6"/>
      <c r="I11148" s="6"/>
    </row>
    <row r="11149" spans="8:9" x14ac:dyDescent="0.2">
      <c r="H11149" s="6"/>
      <c r="I11149" s="6"/>
    </row>
    <row r="11150" spans="8:9" x14ac:dyDescent="0.2">
      <c r="H11150" s="6"/>
      <c r="I11150" s="6"/>
    </row>
    <row r="11151" spans="8:9" x14ac:dyDescent="0.2">
      <c r="H11151" s="6"/>
      <c r="I11151" s="6"/>
    </row>
    <row r="11152" spans="8:9" x14ac:dyDescent="0.2">
      <c r="H11152" s="6"/>
      <c r="I11152" s="6"/>
    </row>
    <row r="11153" spans="8:9" x14ac:dyDescent="0.2">
      <c r="H11153" s="6"/>
      <c r="I11153" s="6"/>
    </row>
    <row r="11154" spans="8:9" x14ac:dyDescent="0.2">
      <c r="H11154" s="6"/>
      <c r="I11154" s="6"/>
    </row>
    <row r="11155" spans="8:9" x14ac:dyDescent="0.2">
      <c r="H11155" s="6"/>
      <c r="I11155" s="6"/>
    </row>
    <row r="11156" spans="8:9" x14ac:dyDescent="0.2">
      <c r="H11156" s="6"/>
      <c r="I11156" s="6"/>
    </row>
    <row r="11157" spans="8:9" x14ac:dyDescent="0.2">
      <c r="H11157" s="6"/>
      <c r="I11157" s="6"/>
    </row>
    <row r="11158" spans="8:9" x14ac:dyDescent="0.2">
      <c r="H11158" s="6"/>
      <c r="I11158" s="6"/>
    </row>
    <row r="11159" spans="8:9" x14ac:dyDescent="0.2">
      <c r="H11159" s="6"/>
      <c r="I11159" s="6"/>
    </row>
    <row r="11160" spans="8:9" x14ac:dyDescent="0.2">
      <c r="H11160" s="6"/>
      <c r="I11160" s="6"/>
    </row>
    <row r="11161" spans="8:9" x14ac:dyDescent="0.2">
      <c r="H11161" s="6"/>
      <c r="I11161" s="6"/>
    </row>
    <row r="11162" spans="8:9" x14ac:dyDescent="0.2">
      <c r="H11162" s="6"/>
      <c r="I11162" s="6"/>
    </row>
    <row r="11163" spans="8:9" x14ac:dyDescent="0.2">
      <c r="H11163" s="6"/>
      <c r="I11163" s="6"/>
    </row>
    <row r="11164" spans="8:9" x14ac:dyDescent="0.2">
      <c r="H11164" s="6"/>
      <c r="I11164" s="6"/>
    </row>
    <row r="11165" spans="8:9" x14ac:dyDescent="0.2">
      <c r="H11165" s="6"/>
      <c r="I11165" s="6"/>
    </row>
    <row r="11166" spans="8:9" x14ac:dyDescent="0.2">
      <c r="H11166" s="6"/>
      <c r="I11166" s="6"/>
    </row>
    <row r="11167" spans="8:9" x14ac:dyDescent="0.2">
      <c r="H11167" s="6"/>
      <c r="I11167" s="6"/>
    </row>
    <row r="11168" spans="8:9" x14ac:dyDescent="0.2">
      <c r="H11168" s="6"/>
      <c r="I11168" s="6"/>
    </row>
    <row r="11169" spans="8:9" x14ac:dyDescent="0.2">
      <c r="H11169" s="6"/>
      <c r="I11169" s="6"/>
    </row>
    <row r="11170" spans="8:9" x14ac:dyDescent="0.2">
      <c r="H11170" s="6"/>
      <c r="I11170" s="6"/>
    </row>
    <row r="11171" spans="8:9" x14ac:dyDescent="0.2">
      <c r="H11171" s="6"/>
      <c r="I11171" s="6"/>
    </row>
    <row r="11172" spans="8:9" x14ac:dyDescent="0.2">
      <c r="H11172" s="6"/>
      <c r="I11172" s="6"/>
    </row>
    <row r="11173" spans="8:9" x14ac:dyDescent="0.2">
      <c r="H11173" s="6"/>
      <c r="I11173" s="6"/>
    </row>
    <row r="11174" spans="8:9" x14ac:dyDescent="0.2">
      <c r="H11174" s="6"/>
      <c r="I11174" s="6"/>
    </row>
    <row r="11175" spans="8:9" x14ac:dyDescent="0.2">
      <c r="H11175" s="6"/>
      <c r="I11175" s="6"/>
    </row>
    <row r="11176" spans="8:9" x14ac:dyDescent="0.2">
      <c r="H11176" s="6"/>
      <c r="I11176" s="6"/>
    </row>
    <row r="11177" spans="8:9" x14ac:dyDescent="0.2">
      <c r="H11177" s="6"/>
      <c r="I11177" s="6"/>
    </row>
    <row r="11178" spans="8:9" x14ac:dyDescent="0.2">
      <c r="H11178" s="6"/>
      <c r="I11178" s="6"/>
    </row>
    <row r="11179" spans="8:9" x14ac:dyDescent="0.2">
      <c r="H11179" s="6"/>
      <c r="I11179" s="6"/>
    </row>
    <row r="11180" spans="8:9" x14ac:dyDescent="0.2">
      <c r="H11180" s="6"/>
      <c r="I11180" s="6"/>
    </row>
    <row r="11181" spans="8:9" x14ac:dyDescent="0.2">
      <c r="H11181" s="6"/>
      <c r="I11181" s="6"/>
    </row>
    <row r="11182" spans="8:9" x14ac:dyDescent="0.2">
      <c r="H11182" s="6"/>
      <c r="I11182" s="6"/>
    </row>
    <row r="11183" spans="8:9" x14ac:dyDescent="0.2">
      <c r="H11183" s="6"/>
      <c r="I11183" s="6"/>
    </row>
    <row r="11184" spans="8:9" x14ac:dyDescent="0.2">
      <c r="H11184" s="6"/>
      <c r="I11184" s="6"/>
    </row>
    <row r="11185" spans="8:9" x14ac:dyDescent="0.2">
      <c r="H11185" s="6"/>
      <c r="I11185" s="6"/>
    </row>
    <row r="11186" spans="8:9" x14ac:dyDescent="0.2">
      <c r="H11186" s="6"/>
      <c r="I11186" s="6"/>
    </row>
    <row r="11187" spans="8:9" x14ac:dyDescent="0.2">
      <c r="H11187" s="6"/>
      <c r="I11187" s="6"/>
    </row>
    <row r="11188" spans="8:9" x14ac:dyDescent="0.2">
      <c r="H11188" s="6"/>
      <c r="I11188" s="6"/>
    </row>
    <row r="11189" spans="8:9" x14ac:dyDescent="0.2">
      <c r="H11189" s="6"/>
      <c r="I11189" s="6"/>
    </row>
    <row r="11190" spans="8:9" x14ac:dyDescent="0.2">
      <c r="H11190" s="6"/>
      <c r="I11190" s="6"/>
    </row>
    <row r="11191" spans="8:9" x14ac:dyDescent="0.2">
      <c r="H11191" s="6"/>
      <c r="I11191" s="6"/>
    </row>
    <row r="11192" spans="8:9" x14ac:dyDescent="0.2">
      <c r="H11192" s="6"/>
      <c r="I11192" s="6"/>
    </row>
    <row r="11193" spans="8:9" x14ac:dyDescent="0.2">
      <c r="H11193" s="6"/>
      <c r="I11193" s="6"/>
    </row>
    <row r="11194" spans="8:9" x14ac:dyDescent="0.2">
      <c r="H11194" s="6"/>
      <c r="I11194" s="6"/>
    </row>
    <row r="11195" spans="8:9" x14ac:dyDescent="0.2">
      <c r="H11195" s="6"/>
      <c r="I11195" s="6"/>
    </row>
    <row r="11196" spans="8:9" x14ac:dyDescent="0.2">
      <c r="H11196" s="6"/>
      <c r="I11196" s="6"/>
    </row>
    <row r="11197" spans="8:9" x14ac:dyDescent="0.2">
      <c r="H11197" s="6"/>
      <c r="I11197" s="6"/>
    </row>
    <row r="11198" spans="8:9" x14ac:dyDescent="0.2">
      <c r="H11198" s="6"/>
      <c r="I11198" s="6"/>
    </row>
    <row r="11199" spans="8:9" x14ac:dyDescent="0.2">
      <c r="H11199" s="6"/>
      <c r="I11199" s="6"/>
    </row>
    <row r="11200" spans="8:9" x14ac:dyDescent="0.2">
      <c r="H11200" s="6"/>
      <c r="I11200" s="6"/>
    </row>
    <row r="11201" spans="8:9" x14ac:dyDescent="0.2">
      <c r="H11201" s="6"/>
      <c r="I11201" s="6"/>
    </row>
    <row r="11202" spans="8:9" x14ac:dyDescent="0.2">
      <c r="H11202" s="6"/>
      <c r="I11202" s="6"/>
    </row>
    <row r="11203" spans="8:9" x14ac:dyDescent="0.2">
      <c r="H11203" s="6"/>
      <c r="I11203" s="6"/>
    </row>
    <row r="11204" spans="8:9" x14ac:dyDescent="0.2">
      <c r="H11204" s="6"/>
      <c r="I11204" s="6"/>
    </row>
    <row r="11205" spans="8:9" x14ac:dyDescent="0.2">
      <c r="H11205" s="6"/>
      <c r="I11205" s="6"/>
    </row>
    <row r="11206" spans="8:9" x14ac:dyDescent="0.2">
      <c r="H11206" s="6"/>
      <c r="I11206" s="6"/>
    </row>
    <row r="11207" spans="8:9" x14ac:dyDescent="0.2">
      <c r="H11207" s="6"/>
      <c r="I11207" s="6"/>
    </row>
    <row r="11208" spans="8:9" x14ac:dyDescent="0.2">
      <c r="H11208" s="6"/>
      <c r="I11208" s="6"/>
    </row>
    <row r="11209" spans="8:9" x14ac:dyDescent="0.2">
      <c r="H11209" s="6"/>
      <c r="I11209" s="6"/>
    </row>
    <row r="11210" spans="8:9" x14ac:dyDescent="0.2">
      <c r="H11210" s="6"/>
      <c r="I11210" s="6"/>
    </row>
    <row r="11211" spans="8:9" x14ac:dyDescent="0.2">
      <c r="H11211" s="6"/>
      <c r="I11211" s="6"/>
    </row>
    <row r="11212" spans="8:9" x14ac:dyDescent="0.2">
      <c r="H11212" s="6"/>
      <c r="I11212" s="6"/>
    </row>
    <row r="11213" spans="8:9" x14ac:dyDescent="0.2">
      <c r="H11213" s="6"/>
      <c r="I11213" s="6"/>
    </row>
    <row r="11214" spans="8:9" x14ac:dyDescent="0.2">
      <c r="H11214" s="6"/>
      <c r="I11214" s="6"/>
    </row>
    <row r="11215" spans="8:9" x14ac:dyDescent="0.2">
      <c r="H11215" s="6"/>
      <c r="I11215" s="6"/>
    </row>
    <row r="11216" spans="8:9" x14ac:dyDescent="0.2">
      <c r="H11216" s="6"/>
      <c r="I11216" s="6"/>
    </row>
    <row r="11217" spans="8:9" x14ac:dyDescent="0.2">
      <c r="H11217" s="6"/>
      <c r="I11217" s="6"/>
    </row>
    <row r="11218" spans="8:9" x14ac:dyDescent="0.2">
      <c r="H11218" s="6"/>
      <c r="I11218" s="6"/>
    </row>
    <row r="11219" spans="8:9" x14ac:dyDescent="0.2">
      <c r="H11219" s="6"/>
      <c r="I11219" s="6"/>
    </row>
    <row r="11220" spans="8:9" x14ac:dyDescent="0.2">
      <c r="H11220" s="6"/>
      <c r="I11220" s="6"/>
    </row>
    <row r="11221" spans="8:9" x14ac:dyDescent="0.2">
      <c r="H11221" s="6"/>
      <c r="I11221" s="6"/>
    </row>
    <row r="11222" spans="8:9" x14ac:dyDescent="0.2">
      <c r="H11222" s="6"/>
      <c r="I11222" s="6"/>
    </row>
    <row r="11223" spans="8:9" x14ac:dyDescent="0.2">
      <c r="H11223" s="6"/>
      <c r="I11223" s="6"/>
    </row>
    <row r="11224" spans="8:9" x14ac:dyDescent="0.2">
      <c r="H11224" s="6"/>
      <c r="I11224" s="6"/>
    </row>
    <row r="11225" spans="8:9" x14ac:dyDescent="0.2">
      <c r="H11225" s="6"/>
      <c r="I11225" s="6"/>
    </row>
    <row r="11226" spans="8:9" x14ac:dyDescent="0.2">
      <c r="H11226" s="6"/>
      <c r="I11226" s="6"/>
    </row>
    <row r="11227" spans="8:9" x14ac:dyDescent="0.2">
      <c r="H11227" s="6"/>
      <c r="I11227" s="6"/>
    </row>
    <row r="11228" spans="8:9" x14ac:dyDescent="0.2">
      <c r="H11228" s="6"/>
      <c r="I11228" s="6"/>
    </row>
    <row r="11229" spans="8:9" x14ac:dyDescent="0.2">
      <c r="H11229" s="6"/>
      <c r="I11229" s="6"/>
    </row>
    <row r="11230" spans="8:9" x14ac:dyDescent="0.2">
      <c r="H11230" s="6"/>
      <c r="I11230" s="6"/>
    </row>
    <row r="11231" spans="8:9" x14ac:dyDescent="0.2">
      <c r="H11231" s="6"/>
      <c r="I11231" s="6"/>
    </row>
    <row r="11232" spans="8:9" x14ac:dyDescent="0.2">
      <c r="H11232" s="6"/>
      <c r="I11232" s="6"/>
    </row>
    <row r="11233" spans="8:9" x14ac:dyDescent="0.2">
      <c r="H11233" s="6"/>
      <c r="I11233" s="6"/>
    </row>
    <row r="11234" spans="8:9" x14ac:dyDescent="0.2">
      <c r="H11234" s="6"/>
      <c r="I11234" s="6"/>
    </row>
    <row r="11235" spans="8:9" x14ac:dyDescent="0.2">
      <c r="H11235" s="6"/>
      <c r="I11235" s="6"/>
    </row>
    <row r="11236" spans="8:9" x14ac:dyDescent="0.2">
      <c r="H11236" s="6"/>
      <c r="I11236" s="6"/>
    </row>
    <row r="11237" spans="8:9" x14ac:dyDescent="0.2">
      <c r="H11237" s="6"/>
      <c r="I11237" s="6"/>
    </row>
    <row r="11238" spans="8:9" x14ac:dyDescent="0.2">
      <c r="H11238" s="6"/>
      <c r="I11238" s="6"/>
    </row>
    <row r="11239" spans="8:9" x14ac:dyDescent="0.2">
      <c r="H11239" s="6"/>
      <c r="I11239" s="6"/>
    </row>
    <row r="11240" spans="8:9" x14ac:dyDescent="0.2">
      <c r="H11240" s="6"/>
      <c r="I11240" s="6"/>
    </row>
    <row r="11241" spans="8:9" x14ac:dyDescent="0.2">
      <c r="H11241" s="6"/>
      <c r="I11241" s="6"/>
    </row>
    <row r="11242" spans="8:9" x14ac:dyDescent="0.2">
      <c r="H11242" s="6"/>
      <c r="I11242" s="6"/>
    </row>
    <row r="11243" spans="8:9" x14ac:dyDescent="0.2">
      <c r="H11243" s="6"/>
      <c r="I11243" s="6"/>
    </row>
    <row r="11244" spans="8:9" x14ac:dyDescent="0.2">
      <c r="H11244" s="6"/>
      <c r="I11244" s="6"/>
    </row>
    <row r="11245" spans="8:9" x14ac:dyDescent="0.2">
      <c r="H11245" s="6"/>
      <c r="I11245" s="6"/>
    </row>
    <row r="11246" spans="8:9" x14ac:dyDescent="0.2">
      <c r="H11246" s="6"/>
      <c r="I11246" s="6"/>
    </row>
    <row r="11247" spans="8:9" x14ac:dyDescent="0.2">
      <c r="H11247" s="6"/>
      <c r="I11247" s="6"/>
    </row>
    <row r="11248" spans="8:9" x14ac:dyDescent="0.2">
      <c r="H11248" s="6"/>
      <c r="I11248" s="6"/>
    </row>
    <row r="11249" spans="8:9" x14ac:dyDescent="0.2">
      <c r="H11249" s="6"/>
      <c r="I11249" s="6"/>
    </row>
    <row r="11250" spans="8:9" x14ac:dyDescent="0.2">
      <c r="H11250" s="6"/>
      <c r="I11250" s="6"/>
    </row>
    <row r="11251" spans="8:9" x14ac:dyDescent="0.2">
      <c r="H11251" s="6"/>
      <c r="I11251" s="6"/>
    </row>
    <row r="11252" spans="8:9" x14ac:dyDescent="0.2">
      <c r="H11252" s="6"/>
      <c r="I11252" s="6"/>
    </row>
    <row r="11253" spans="8:9" x14ac:dyDescent="0.2">
      <c r="H11253" s="6"/>
      <c r="I11253" s="6"/>
    </row>
    <row r="11254" spans="8:9" x14ac:dyDescent="0.2">
      <c r="H11254" s="6"/>
      <c r="I11254" s="6"/>
    </row>
    <row r="11255" spans="8:9" x14ac:dyDescent="0.2">
      <c r="H11255" s="6"/>
      <c r="I11255" s="6"/>
    </row>
    <row r="11256" spans="8:9" x14ac:dyDescent="0.2">
      <c r="H11256" s="6"/>
      <c r="I11256" s="6"/>
    </row>
    <row r="11257" spans="8:9" x14ac:dyDescent="0.2">
      <c r="H11257" s="6"/>
      <c r="I11257" s="6"/>
    </row>
    <row r="11258" spans="8:9" x14ac:dyDescent="0.2">
      <c r="H11258" s="6"/>
      <c r="I11258" s="6"/>
    </row>
    <row r="11259" spans="8:9" x14ac:dyDescent="0.2">
      <c r="H11259" s="6"/>
      <c r="I11259" s="6"/>
    </row>
    <row r="11260" spans="8:9" x14ac:dyDescent="0.2">
      <c r="H11260" s="6"/>
      <c r="I11260" s="6"/>
    </row>
    <row r="11261" spans="8:9" x14ac:dyDescent="0.2">
      <c r="H11261" s="6"/>
      <c r="I11261" s="6"/>
    </row>
    <row r="11262" spans="8:9" x14ac:dyDescent="0.2">
      <c r="H11262" s="6"/>
      <c r="I11262" s="6"/>
    </row>
    <row r="11263" spans="8:9" x14ac:dyDescent="0.2">
      <c r="H11263" s="6"/>
      <c r="I11263" s="6"/>
    </row>
    <row r="11264" spans="8:9" x14ac:dyDescent="0.2">
      <c r="H11264" s="6"/>
      <c r="I11264" s="6"/>
    </row>
    <row r="11265" spans="8:9" x14ac:dyDescent="0.2">
      <c r="H11265" s="6"/>
      <c r="I11265" s="6"/>
    </row>
    <row r="11266" spans="8:9" x14ac:dyDescent="0.2">
      <c r="H11266" s="6"/>
      <c r="I11266" s="6"/>
    </row>
    <row r="11267" spans="8:9" x14ac:dyDescent="0.2">
      <c r="H11267" s="6"/>
      <c r="I11267" s="6"/>
    </row>
    <row r="11268" spans="8:9" x14ac:dyDescent="0.2">
      <c r="H11268" s="6"/>
      <c r="I11268" s="6"/>
    </row>
    <row r="11269" spans="8:9" x14ac:dyDescent="0.2">
      <c r="H11269" s="6"/>
      <c r="I11269" s="6"/>
    </row>
    <row r="11270" spans="8:9" x14ac:dyDescent="0.2">
      <c r="H11270" s="6"/>
      <c r="I11270" s="6"/>
    </row>
    <row r="11271" spans="8:9" x14ac:dyDescent="0.2">
      <c r="H11271" s="6"/>
      <c r="I11271" s="6"/>
    </row>
    <row r="11272" spans="8:9" x14ac:dyDescent="0.2">
      <c r="H11272" s="6"/>
      <c r="I11272" s="6"/>
    </row>
    <row r="11273" spans="8:9" x14ac:dyDescent="0.2">
      <c r="H11273" s="6"/>
      <c r="I11273" s="6"/>
    </row>
    <row r="11274" spans="8:9" x14ac:dyDescent="0.2">
      <c r="H11274" s="6"/>
      <c r="I11274" s="6"/>
    </row>
    <row r="11275" spans="8:9" x14ac:dyDescent="0.2">
      <c r="H11275" s="6"/>
      <c r="I11275" s="6"/>
    </row>
    <row r="11276" spans="8:9" x14ac:dyDescent="0.2">
      <c r="H11276" s="6"/>
      <c r="I11276" s="6"/>
    </row>
    <row r="11277" spans="8:9" x14ac:dyDescent="0.2">
      <c r="H11277" s="6"/>
      <c r="I11277" s="6"/>
    </row>
    <row r="11278" spans="8:9" x14ac:dyDescent="0.2">
      <c r="H11278" s="6"/>
      <c r="I11278" s="6"/>
    </row>
    <row r="11279" spans="8:9" x14ac:dyDescent="0.2">
      <c r="H11279" s="6"/>
      <c r="I11279" s="6"/>
    </row>
    <row r="11280" spans="8:9" x14ac:dyDescent="0.2">
      <c r="H11280" s="6"/>
      <c r="I11280" s="6"/>
    </row>
    <row r="11281" spans="8:9" x14ac:dyDescent="0.2">
      <c r="H11281" s="6"/>
      <c r="I11281" s="6"/>
    </row>
    <row r="11282" spans="8:9" x14ac:dyDescent="0.2">
      <c r="H11282" s="6"/>
      <c r="I11282" s="6"/>
    </row>
    <row r="11283" spans="8:9" x14ac:dyDescent="0.2">
      <c r="H11283" s="6"/>
      <c r="I11283" s="6"/>
    </row>
    <row r="11284" spans="8:9" x14ac:dyDescent="0.2">
      <c r="H11284" s="6"/>
      <c r="I11284" s="6"/>
    </row>
    <row r="11285" spans="8:9" x14ac:dyDescent="0.2">
      <c r="H11285" s="6"/>
      <c r="I11285" s="6"/>
    </row>
    <row r="11286" spans="8:9" x14ac:dyDescent="0.2">
      <c r="H11286" s="6"/>
      <c r="I11286" s="6"/>
    </row>
    <row r="11287" spans="8:9" x14ac:dyDescent="0.2">
      <c r="H11287" s="6"/>
      <c r="I11287" s="6"/>
    </row>
    <row r="11288" spans="8:9" x14ac:dyDescent="0.2">
      <c r="H11288" s="6"/>
      <c r="I11288" s="6"/>
    </row>
    <row r="11289" spans="8:9" x14ac:dyDescent="0.2">
      <c r="H11289" s="6"/>
      <c r="I11289" s="6"/>
    </row>
    <row r="11290" spans="8:9" x14ac:dyDescent="0.2">
      <c r="H11290" s="6"/>
      <c r="I11290" s="6"/>
    </row>
    <row r="11291" spans="8:9" x14ac:dyDescent="0.2">
      <c r="H11291" s="6"/>
      <c r="I11291" s="6"/>
    </row>
    <row r="11292" spans="8:9" x14ac:dyDescent="0.2">
      <c r="H11292" s="6"/>
      <c r="I11292" s="6"/>
    </row>
    <row r="11293" spans="8:9" x14ac:dyDescent="0.2">
      <c r="H11293" s="6"/>
      <c r="I11293" s="6"/>
    </row>
    <row r="11294" spans="8:9" x14ac:dyDescent="0.2">
      <c r="H11294" s="6"/>
      <c r="I11294" s="6"/>
    </row>
    <row r="11295" spans="8:9" x14ac:dyDescent="0.2">
      <c r="H11295" s="6"/>
      <c r="I11295" s="6"/>
    </row>
    <row r="11296" spans="8:9" x14ac:dyDescent="0.2">
      <c r="H11296" s="6"/>
      <c r="I11296" s="6"/>
    </row>
    <row r="11297" spans="8:9" x14ac:dyDescent="0.2">
      <c r="H11297" s="6"/>
      <c r="I11297" s="6"/>
    </row>
    <row r="11298" spans="8:9" x14ac:dyDescent="0.2">
      <c r="H11298" s="6"/>
      <c r="I11298" s="6"/>
    </row>
    <row r="11299" spans="8:9" x14ac:dyDescent="0.2">
      <c r="H11299" s="6"/>
      <c r="I11299" s="6"/>
    </row>
    <row r="11300" spans="8:9" x14ac:dyDescent="0.2">
      <c r="H11300" s="6"/>
      <c r="I11300" s="6"/>
    </row>
    <row r="11301" spans="8:9" x14ac:dyDescent="0.2">
      <c r="H11301" s="6"/>
      <c r="I11301" s="6"/>
    </row>
    <row r="11302" spans="8:9" x14ac:dyDescent="0.2">
      <c r="H11302" s="6"/>
      <c r="I11302" s="6"/>
    </row>
    <row r="11303" spans="8:9" x14ac:dyDescent="0.2">
      <c r="H11303" s="6"/>
      <c r="I11303" s="6"/>
    </row>
    <row r="11304" spans="8:9" x14ac:dyDescent="0.2">
      <c r="H11304" s="6"/>
      <c r="I11304" s="6"/>
    </row>
    <row r="11305" spans="8:9" x14ac:dyDescent="0.2">
      <c r="H11305" s="6"/>
      <c r="I11305" s="6"/>
    </row>
    <row r="11306" spans="8:9" x14ac:dyDescent="0.2">
      <c r="H11306" s="6"/>
      <c r="I11306" s="6"/>
    </row>
    <row r="11307" spans="8:9" x14ac:dyDescent="0.2">
      <c r="H11307" s="6"/>
      <c r="I11307" s="6"/>
    </row>
    <row r="11308" spans="8:9" x14ac:dyDescent="0.2">
      <c r="H11308" s="6"/>
      <c r="I11308" s="6"/>
    </row>
    <row r="11309" spans="8:9" x14ac:dyDescent="0.2">
      <c r="H11309" s="6"/>
      <c r="I11309" s="6"/>
    </row>
    <row r="11310" spans="8:9" x14ac:dyDescent="0.2">
      <c r="H11310" s="6"/>
      <c r="I11310" s="6"/>
    </row>
    <row r="11311" spans="8:9" x14ac:dyDescent="0.2">
      <c r="H11311" s="6"/>
      <c r="I11311" s="6"/>
    </row>
    <row r="11312" spans="8:9" x14ac:dyDescent="0.2">
      <c r="H11312" s="6"/>
      <c r="I11312" s="6"/>
    </row>
    <row r="11313" spans="8:9" x14ac:dyDescent="0.2">
      <c r="H11313" s="6"/>
      <c r="I11313" s="6"/>
    </row>
    <row r="11314" spans="8:9" x14ac:dyDescent="0.2">
      <c r="H11314" s="6"/>
      <c r="I11314" s="6"/>
    </row>
    <row r="11315" spans="8:9" x14ac:dyDescent="0.2">
      <c r="H11315" s="6"/>
      <c r="I11315" s="6"/>
    </row>
    <row r="11316" spans="8:9" x14ac:dyDescent="0.2">
      <c r="H11316" s="6"/>
      <c r="I11316" s="6"/>
    </row>
    <row r="11317" spans="8:9" x14ac:dyDescent="0.2">
      <c r="H11317" s="6"/>
      <c r="I11317" s="6"/>
    </row>
    <row r="11318" spans="8:9" x14ac:dyDescent="0.2">
      <c r="H11318" s="6"/>
      <c r="I11318" s="6"/>
    </row>
    <row r="11319" spans="8:9" x14ac:dyDescent="0.2">
      <c r="H11319" s="6"/>
      <c r="I11319" s="6"/>
    </row>
    <row r="11320" spans="8:9" x14ac:dyDescent="0.2">
      <c r="H11320" s="6"/>
      <c r="I11320" s="6"/>
    </row>
    <row r="11321" spans="8:9" x14ac:dyDescent="0.2">
      <c r="H11321" s="6"/>
      <c r="I11321" s="6"/>
    </row>
    <row r="11322" spans="8:9" x14ac:dyDescent="0.2">
      <c r="H11322" s="6"/>
      <c r="I11322" s="6"/>
    </row>
    <row r="11323" spans="8:9" x14ac:dyDescent="0.2">
      <c r="H11323" s="6"/>
      <c r="I11323" s="6"/>
    </row>
    <row r="11324" spans="8:9" x14ac:dyDescent="0.2">
      <c r="H11324" s="6"/>
      <c r="I11324" s="6"/>
    </row>
    <row r="11325" spans="8:9" x14ac:dyDescent="0.2">
      <c r="H11325" s="6"/>
      <c r="I11325" s="6"/>
    </row>
    <row r="11326" spans="8:9" x14ac:dyDescent="0.2">
      <c r="H11326" s="6"/>
      <c r="I11326" s="6"/>
    </row>
    <row r="11327" spans="8:9" x14ac:dyDescent="0.2">
      <c r="H11327" s="6"/>
      <c r="I11327" s="6"/>
    </row>
    <row r="11328" spans="8:9" x14ac:dyDescent="0.2">
      <c r="H11328" s="6"/>
      <c r="I11328" s="6"/>
    </row>
    <row r="11329" spans="8:9" x14ac:dyDescent="0.2">
      <c r="H11329" s="6"/>
      <c r="I11329" s="6"/>
    </row>
    <row r="11330" spans="8:9" x14ac:dyDescent="0.2">
      <c r="H11330" s="6"/>
      <c r="I11330" s="6"/>
    </row>
    <row r="11331" spans="8:9" x14ac:dyDescent="0.2">
      <c r="H11331" s="6"/>
      <c r="I11331" s="6"/>
    </row>
    <row r="11332" spans="8:9" x14ac:dyDescent="0.2">
      <c r="H11332" s="6"/>
      <c r="I11332" s="6"/>
    </row>
    <row r="11333" spans="8:9" x14ac:dyDescent="0.2">
      <c r="H11333" s="6"/>
      <c r="I11333" s="6"/>
    </row>
    <row r="11334" spans="8:9" x14ac:dyDescent="0.2">
      <c r="H11334" s="6"/>
      <c r="I11334" s="6"/>
    </row>
    <row r="11335" spans="8:9" x14ac:dyDescent="0.2">
      <c r="H11335" s="6"/>
      <c r="I11335" s="6"/>
    </row>
    <row r="11336" spans="8:9" x14ac:dyDescent="0.2">
      <c r="H11336" s="6"/>
      <c r="I11336" s="6"/>
    </row>
    <row r="11337" spans="8:9" x14ac:dyDescent="0.2">
      <c r="H11337" s="6"/>
      <c r="I11337" s="6"/>
    </row>
    <row r="11338" spans="8:9" x14ac:dyDescent="0.2">
      <c r="H11338" s="6"/>
      <c r="I11338" s="6"/>
    </row>
    <row r="11339" spans="8:9" x14ac:dyDescent="0.2">
      <c r="H11339" s="6"/>
      <c r="I11339" s="6"/>
    </row>
    <row r="11340" spans="8:9" x14ac:dyDescent="0.2">
      <c r="H11340" s="6"/>
      <c r="I11340" s="6"/>
    </row>
    <row r="11341" spans="8:9" x14ac:dyDescent="0.2">
      <c r="H11341" s="6"/>
      <c r="I11341" s="6"/>
    </row>
    <row r="11342" spans="8:9" x14ac:dyDescent="0.2">
      <c r="H11342" s="6"/>
      <c r="I11342" s="6"/>
    </row>
    <row r="11343" spans="8:9" x14ac:dyDescent="0.2">
      <c r="H11343" s="6"/>
      <c r="I11343" s="6"/>
    </row>
    <row r="11344" spans="8:9" x14ac:dyDescent="0.2">
      <c r="H11344" s="6"/>
      <c r="I11344" s="6"/>
    </row>
    <row r="11345" spans="8:9" x14ac:dyDescent="0.2">
      <c r="H11345" s="6"/>
      <c r="I11345" s="6"/>
    </row>
    <row r="11346" spans="8:9" x14ac:dyDescent="0.2">
      <c r="H11346" s="6"/>
      <c r="I11346" s="6"/>
    </row>
    <row r="11347" spans="8:9" x14ac:dyDescent="0.2">
      <c r="H11347" s="6"/>
      <c r="I11347" s="6"/>
    </row>
    <row r="11348" spans="8:9" x14ac:dyDescent="0.2">
      <c r="H11348" s="6"/>
      <c r="I11348" s="6"/>
    </row>
    <row r="11349" spans="8:9" x14ac:dyDescent="0.2">
      <c r="H11349" s="6"/>
      <c r="I11349" s="6"/>
    </row>
    <row r="11350" spans="8:9" x14ac:dyDescent="0.2">
      <c r="H11350" s="6"/>
      <c r="I11350" s="6"/>
    </row>
    <row r="11351" spans="8:9" x14ac:dyDescent="0.2">
      <c r="H11351" s="6"/>
      <c r="I11351" s="6"/>
    </row>
    <row r="11352" spans="8:9" x14ac:dyDescent="0.2">
      <c r="H11352" s="6"/>
      <c r="I11352" s="6"/>
    </row>
    <row r="11353" spans="8:9" x14ac:dyDescent="0.2">
      <c r="H11353" s="6"/>
      <c r="I11353" s="6"/>
    </row>
    <row r="11354" spans="8:9" x14ac:dyDescent="0.2">
      <c r="H11354" s="6"/>
      <c r="I11354" s="6"/>
    </row>
    <row r="11355" spans="8:9" x14ac:dyDescent="0.2">
      <c r="H11355" s="6"/>
      <c r="I11355" s="6"/>
    </row>
    <row r="11356" spans="8:9" x14ac:dyDescent="0.2">
      <c r="H11356" s="6"/>
      <c r="I11356" s="6"/>
    </row>
    <row r="11357" spans="8:9" x14ac:dyDescent="0.2">
      <c r="H11357" s="6"/>
      <c r="I11357" s="6"/>
    </row>
    <row r="11358" spans="8:9" x14ac:dyDescent="0.2">
      <c r="H11358" s="6"/>
      <c r="I11358" s="6"/>
    </row>
    <row r="11359" spans="8:9" x14ac:dyDescent="0.2">
      <c r="H11359" s="6"/>
      <c r="I11359" s="6"/>
    </row>
    <row r="11360" spans="8:9" x14ac:dyDescent="0.2">
      <c r="H11360" s="6"/>
      <c r="I11360" s="6"/>
    </row>
    <row r="11361" spans="8:9" x14ac:dyDescent="0.2">
      <c r="H11361" s="6"/>
      <c r="I11361" s="6"/>
    </row>
    <row r="11362" spans="8:9" x14ac:dyDescent="0.2">
      <c r="H11362" s="6"/>
      <c r="I11362" s="6"/>
    </row>
    <row r="11363" spans="8:9" x14ac:dyDescent="0.2">
      <c r="H11363" s="6"/>
      <c r="I11363" s="6"/>
    </row>
    <row r="11364" spans="8:9" x14ac:dyDescent="0.2">
      <c r="H11364" s="6"/>
      <c r="I11364" s="6"/>
    </row>
    <row r="11365" spans="8:9" x14ac:dyDescent="0.2">
      <c r="H11365" s="6"/>
      <c r="I11365" s="6"/>
    </row>
    <row r="11366" spans="8:9" x14ac:dyDescent="0.2">
      <c r="H11366" s="6"/>
      <c r="I11366" s="6"/>
    </row>
    <row r="11367" spans="8:9" x14ac:dyDescent="0.2">
      <c r="H11367" s="6"/>
      <c r="I11367" s="6"/>
    </row>
    <row r="11368" spans="8:9" x14ac:dyDescent="0.2">
      <c r="H11368" s="6"/>
      <c r="I11368" s="6"/>
    </row>
    <row r="11369" spans="8:9" x14ac:dyDescent="0.2">
      <c r="H11369" s="6"/>
      <c r="I11369" s="6"/>
    </row>
    <row r="11370" spans="8:9" x14ac:dyDescent="0.2">
      <c r="H11370" s="6"/>
      <c r="I11370" s="6"/>
    </row>
    <row r="11371" spans="8:9" x14ac:dyDescent="0.2">
      <c r="H11371" s="6"/>
      <c r="I11371" s="6"/>
    </row>
    <row r="11372" spans="8:9" x14ac:dyDescent="0.2">
      <c r="H11372" s="6"/>
      <c r="I11372" s="6"/>
    </row>
    <row r="11373" spans="8:9" x14ac:dyDescent="0.2">
      <c r="H11373" s="6"/>
      <c r="I11373" s="6"/>
    </row>
    <row r="11374" spans="8:9" x14ac:dyDescent="0.2">
      <c r="H11374" s="6"/>
      <c r="I11374" s="6"/>
    </row>
    <row r="11375" spans="8:9" x14ac:dyDescent="0.2">
      <c r="H11375" s="6"/>
      <c r="I11375" s="6"/>
    </row>
    <row r="11376" spans="8:9" x14ac:dyDescent="0.2">
      <c r="H11376" s="6"/>
      <c r="I11376" s="6"/>
    </row>
    <row r="11377" spans="8:9" x14ac:dyDescent="0.2">
      <c r="H11377" s="6"/>
      <c r="I11377" s="6"/>
    </row>
    <row r="11378" spans="8:9" x14ac:dyDescent="0.2">
      <c r="H11378" s="6"/>
      <c r="I11378" s="6"/>
    </row>
    <row r="11379" spans="8:9" x14ac:dyDescent="0.2">
      <c r="H11379" s="6"/>
      <c r="I11379" s="6"/>
    </row>
    <row r="11380" spans="8:9" x14ac:dyDescent="0.2">
      <c r="H11380" s="6"/>
      <c r="I11380" s="6"/>
    </row>
    <row r="11381" spans="8:9" x14ac:dyDescent="0.2">
      <c r="H11381" s="6"/>
      <c r="I11381" s="6"/>
    </row>
    <row r="11382" spans="8:9" x14ac:dyDescent="0.2">
      <c r="H11382" s="6"/>
      <c r="I11382" s="6"/>
    </row>
    <row r="11383" spans="8:9" x14ac:dyDescent="0.2">
      <c r="H11383" s="6"/>
      <c r="I11383" s="6"/>
    </row>
    <row r="11384" spans="8:9" x14ac:dyDescent="0.2">
      <c r="H11384" s="6"/>
      <c r="I11384" s="6"/>
    </row>
    <row r="11385" spans="8:9" x14ac:dyDescent="0.2">
      <c r="H11385" s="6"/>
      <c r="I11385" s="6"/>
    </row>
    <row r="11386" spans="8:9" x14ac:dyDescent="0.2">
      <c r="H11386" s="6"/>
      <c r="I11386" s="6"/>
    </row>
    <row r="11387" spans="8:9" x14ac:dyDescent="0.2">
      <c r="H11387" s="6"/>
      <c r="I11387" s="6"/>
    </row>
    <row r="11388" spans="8:9" x14ac:dyDescent="0.2">
      <c r="H11388" s="6"/>
      <c r="I11388" s="6"/>
    </row>
    <row r="11389" spans="8:9" x14ac:dyDescent="0.2">
      <c r="H11389" s="6"/>
      <c r="I11389" s="6"/>
    </row>
    <row r="11390" spans="8:9" x14ac:dyDescent="0.2">
      <c r="H11390" s="6"/>
      <c r="I11390" s="6"/>
    </row>
    <row r="11391" spans="8:9" x14ac:dyDescent="0.2">
      <c r="H11391" s="6"/>
      <c r="I11391" s="6"/>
    </row>
    <row r="11392" spans="8:9" x14ac:dyDescent="0.2">
      <c r="H11392" s="6"/>
      <c r="I11392" s="6"/>
    </row>
    <row r="11393" spans="8:9" x14ac:dyDescent="0.2">
      <c r="H11393" s="6"/>
      <c r="I11393" s="6"/>
    </row>
    <row r="11394" spans="8:9" x14ac:dyDescent="0.2">
      <c r="H11394" s="6"/>
      <c r="I11394" s="6"/>
    </row>
    <row r="11395" spans="8:9" x14ac:dyDescent="0.2">
      <c r="H11395" s="6"/>
      <c r="I11395" s="6"/>
    </row>
    <row r="11396" spans="8:9" x14ac:dyDescent="0.2">
      <c r="H11396" s="6"/>
      <c r="I11396" s="6"/>
    </row>
    <row r="11397" spans="8:9" x14ac:dyDescent="0.2">
      <c r="H11397" s="6"/>
      <c r="I11397" s="6"/>
    </row>
    <row r="11398" spans="8:9" x14ac:dyDescent="0.2">
      <c r="H11398" s="6"/>
      <c r="I11398" s="6"/>
    </row>
    <row r="11399" spans="8:9" x14ac:dyDescent="0.2">
      <c r="H11399" s="6"/>
      <c r="I11399" s="6"/>
    </row>
    <row r="11400" spans="8:9" x14ac:dyDescent="0.2">
      <c r="H11400" s="6"/>
      <c r="I11400" s="6"/>
    </row>
    <row r="11401" spans="8:9" x14ac:dyDescent="0.2">
      <c r="H11401" s="6"/>
      <c r="I11401" s="6"/>
    </row>
    <row r="11402" spans="8:9" x14ac:dyDescent="0.2">
      <c r="H11402" s="6"/>
      <c r="I11402" s="6"/>
    </row>
    <row r="11403" spans="8:9" x14ac:dyDescent="0.2">
      <c r="H11403" s="6"/>
      <c r="I11403" s="6"/>
    </row>
    <row r="11404" spans="8:9" x14ac:dyDescent="0.2">
      <c r="H11404" s="6"/>
      <c r="I11404" s="6"/>
    </row>
    <row r="11405" spans="8:9" x14ac:dyDescent="0.2">
      <c r="H11405" s="6"/>
      <c r="I11405" s="6"/>
    </row>
    <row r="11406" spans="8:9" x14ac:dyDescent="0.2">
      <c r="H11406" s="6"/>
      <c r="I11406" s="6"/>
    </row>
    <row r="11407" spans="8:9" x14ac:dyDescent="0.2">
      <c r="H11407" s="6"/>
      <c r="I11407" s="6"/>
    </row>
    <row r="11408" spans="8:9" x14ac:dyDescent="0.2">
      <c r="H11408" s="6"/>
      <c r="I11408" s="6"/>
    </row>
    <row r="11409" spans="8:9" x14ac:dyDescent="0.2">
      <c r="H11409" s="6"/>
      <c r="I11409" s="6"/>
    </row>
    <row r="11410" spans="8:9" x14ac:dyDescent="0.2">
      <c r="H11410" s="6"/>
      <c r="I11410" s="6"/>
    </row>
    <row r="11411" spans="8:9" x14ac:dyDescent="0.2">
      <c r="H11411" s="6"/>
      <c r="I11411" s="6"/>
    </row>
    <row r="11412" spans="8:9" x14ac:dyDescent="0.2">
      <c r="H11412" s="6"/>
      <c r="I11412" s="6"/>
    </row>
    <row r="11413" spans="8:9" x14ac:dyDescent="0.2">
      <c r="H11413" s="6"/>
      <c r="I11413" s="6"/>
    </row>
    <row r="11414" spans="8:9" x14ac:dyDescent="0.2">
      <c r="H11414" s="6"/>
      <c r="I11414" s="6"/>
    </row>
    <row r="11415" spans="8:9" x14ac:dyDescent="0.2">
      <c r="H11415" s="6"/>
      <c r="I11415" s="6"/>
    </row>
    <row r="11416" spans="8:9" x14ac:dyDescent="0.2">
      <c r="H11416" s="6"/>
      <c r="I11416" s="6"/>
    </row>
    <row r="11417" spans="8:9" x14ac:dyDescent="0.2">
      <c r="H11417" s="6"/>
      <c r="I11417" s="6"/>
    </row>
    <row r="11418" spans="8:9" x14ac:dyDescent="0.2">
      <c r="H11418" s="6"/>
      <c r="I11418" s="6"/>
    </row>
    <row r="11419" spans="8:9" x14ac:dyDescent="0.2">
      <c r="H11419" s="6"/>
      <c r="I11419" s="6"/>
    </row>
    <row r="11420" spans="8:9" x14ac:dyDescent="0.2">
      <c r="H11420" s="6"/>
      <c r="I11420" s="6"/>
    </row>
    <row r="11421" spans="8:9" x14ac:dyDescent="0.2">
      <c r="H11421" s="6"/>
      <c r="I11421" s="6"/>
    </row>
    <row r="11422" spans="8:9" x14ac:dyDescent="0.2">
      <c r="H11422" s="6"/>
      <c r="I11422" s="6"/>
    </row>
    <row r="11423" spans="8:9" x14ac:dyDescent="0.2">
      <c r="H11423" s="6"/>
      <c r="I11423" s="6"/>
    </row>
    <row r="11424" spans="8:9" x14ac:dyDescent="0.2">
      <c r="H11424" s="6"/>
      <c r="I11424" s="6"/>
    </row>
    <row r="11425" spans="8:9" x14ac:dyDescent="0.2">
      <c r="H11425" s="6"/>
      <c r="I11425" s="6"/>
    </row>
    <row r="11426" spans="8:9" x14ac:dyDescent="0.2">
      <c r="H11426" s="6"/>
      <c r="I11426" s="6"/>
    </row>
    <row r="11427" spans="8:9" x14ac:dyDescent="0.2">
      <c r="H11427" s="6"/>
      <c r="I11427" s="6"/>
    </row>
    <row r="11428" spans="8:9" x14ac:dyDescent="0.2">
      <c r="H11428" s="6"/>
      <c r="I11428" s="6"/>
    </row>
    <row r="11429" spans="8:9" x14ac:dyDescent="0.2">
      <c r="H11429" s="6"/>
      <c r="I11429" s="6"/>
    </row>
    <row r="11430" spans="8:9" x14ac:dyDescent="0.2">
      <c r="H11430" s="6"/>
      <c r="I11430" s="6"/>
    </row>
    <row r="11431" spans="8:9" x14ac:dyDescent="0.2">
      <c r="H11431" s="6"/>
      <c r="I11431" s="6"/>
    </row>
    <row r="11432" spans="8:9" x14ac:dyDescent="0.2">
      <c r="H11432" s="6"/>
      <c r="I11432" s="6"/>
    </row>
    <row r="11433" spans="8:9" x14ac:dyDescent="0.2">
      <c r="H11433" s="6"/>
      <c r="I11433" s="6"/>
    </row>
    <row r="11434" spans="8:9" x14ac:dyDescent="0.2">
      <c r="H11434" s="6"/>
      <c r="I11434" s="6"/>
    </row>
    <row r="11435" spans="8:9" x14ac:dyDescent="0.2">
      <c r="H11435" s="6"/>
      <c r="I11435" s="6"/>
    </row>
    <row r="11436" spans="8:9" x14ac:dyDescent="0.2">
      <c r="H11436" s="6"/>
      <c r="I11436" s="6"/>
    </row>
    <row r="11437" spans="8:9" x14ac:dyDescent="0.2">
      <c r="H11437" s="6"/>
      <c r="I11437" s="6"/>
    </row>
    <row r="11438" spans="8:9" x14ac:dyDescent="0.2">
      <c r="H11438" s="6"/>
      <c r="I11438" s="6"/>
    </row>
    <row r="11439" spans="8:9" x14ac:dyDescent="0.2">
      <c r="H11439" s="6"/>
      <c r="I11439" s="6"/>
    </row>
    <row r="11440" spans="8:9" x14ac:dyDescent="0.2">
      <c r="H11440" s="6"/>
      <c r="I11440" s="6"/>
    </row>
    <row r="11441" spans="8:9" x14ac:dyDescent="0.2">
      <c r="H11441" s="6"/>
      <c r="I11441" s="6"/>
    </row>
    <row r="11442" spans="8:9" x14ac:dyDescent="0.2">
      <c r="H11442" s="6"/>
      <c r="I11442" s="6"/>
    </row>
    <row r="11443" spans="8:9" x14ac:dyDescent="0.2">
      <c r="H11443" s="6"/>
      <c r="I11443" s="6"/>
    </row>
    <row r="11444" spans="8:9" x14ac:dyDescent="0.2">
      <c r="H11444" s="6"/>
      <c r="I11444" s="6"/>
    </row>
    <row r="11445" spans="8:9" x14ac:dyDescent="0.2">
      <c r="H11445" s="6"/>
      <c r="I11445" s="6"/>
    </row>
    <row r="11446" spans="8:9" x14ac:dyDescent="0.2">
      <c r="H11446" s="6"/>
      <c r="I11446" s="6"/>
    </row>
    <row r="11447" spans="8:9" x14ac:dyDescent="0.2">
      <c r="H11447" s="6"/>
      <c r="I11447" s="6"/>
    </row>
    <row r="11448" spans="8:9" x14ac:dyDescent="0.2">
      <c r="H11448" s="6"/>
      <c r="I11448" s="6"/>
    </row>
    <row r="11449" spans="8:9" x14ac:dyDescent="0.2">
      <c r="H11449" s="6"/>
      <c r="I11449" s="6"/>
    </row>
    <row r="11450" spans="8:9" x14ac:dyDescent="0.2">
      <c r="H11450" s="6"/>
      <c r="I11450" s="6"/>
    </row>
    <row r="11451" spans="8:9" x14ac:dyDescent="0.2">
      <c r="H11451" s="6"/>
      <c r="I11451" s="6"/>
    </row>
    <row r="11452" spans="8:9" x14ac:dyDescent="0.2">
      <c r="H11452" s="6"/>
      <c r="I11452" s="6"/>
    </row>
    <row r="11453" spans="8:9" x14ac:dyDescent="0.2">
      <c r="H11453" s="6"/>
      <c r="I11453" s="6"/>
    </row>
    <row r="11454" spans="8:9" x14ac:dyDescent="0.2">
      <c r="H11454" s="6"/>
      <c r="I11454" s="6"/>
    </row>
    <row r="11455" spans="8:9" x14ac:dyDescent="0.2">
      <c r="H11455" s="6"/>
      <c r="I11455" s="6"/>
    </row>
    <row r="11456" spans="8:9" x14ac:dyDescent="0.2">
      <c r="H11456" s="6"/>
      <c r="I11456" s="6"/>
    </row>
    <row r="11457" spans="8:9" x14ac:dyDescent="0.2">
      <c r="H11457" s="6"/>
      <c r="I11457" s="6"/>
    </row>
    <row r="11458" spans="8:9" x14ac:dyDescent="0.2">
      <c r="H11458" s="6"/>
      <c r="I11458" s="6"/>
    </row>
    <row r="11459" spans="8:9" x14ac:dyDescent="0.2">
      <c r="H11459" s="6"/>
      <c r="I11459" s="6"/>
    </row>
    <row r="11460" spans="8:9" x14ac:dyDescent="0.2">
      <c r="H11460" s="6"/>
      <c r="I11460" s="6"/>
    </row>
    <row r="11461" spans="8:9" x14ac:dyDescent="0.2">
      <c r="H11461" s="6"/>
      <c r="I11461" s="6"/>
    </row>
    <row r="11462" spans="8:9" x14ac:dyDescent="0.2">
      <c r="H11462" s="6"/>
      <c r="I11462" s="6"/>
    </row>
    <row r="11463" spans="8:9" x14ac:dyDescent="0.2">
      <c r="H11463" s="6"/>
      <c r="I11463" s="6"/>
    </row>
    <row r="11464" spans="8:9" x14ac:dyDescent="0.2">
      <c r="H11464" s="6"/>
      <c r="I11464" s="6"/>
    </row>
    <row r="11465" spans="8:9" x14ac:dyDescent="0.2">
      <c r="H11465" s="6"/>
      <c r="I11465" s="6"/>
    </row>
    <row r="11466" spans="8:9" x14ac:dyDescent="0.2">
      <c r="H11466" s="6"/>
      <c r="I11466" s="6"/>
    </row>
    <row r="11467" spans="8:9" x14ac:dyDescent="0.2">
      <c r="H11467" s="6"/>
      <c r="I11467" s="6"/>
    </row>
    <row r="11468" spans="8:9" x14ac:dyDescent="0.2">
      <c r="H11468" s="6"/>
      <c r="I11468" s="6"/>
    </row>
    <row r="11469" spans="8:9" x14ac:dyDescent="0.2">
      <c r="H11469" s="6"/>
      <c r="I11469" s="6"/>
    </row>
    <row r="11470" spans="8:9" x14ac:dyDescent="0.2">
      <c r="H11470" s="6"/>
      <c r="I11470" s="6"/>
    </row>
    <row r="11471" spans="8:9" x14ac:dyDescent="0.2">
      <c r="H11471" s="6"/>
      <c r="I11471" s="6"/>
    </row>
    <row r="11472" spans="8:9" x14ac:dyDescent="0.2">
      <c r="H11472" s="6"/>
      <c r="I11472" s="6"/>
    </row>
    <row r="11473" spans="8:9" x14ac:dyDescent="0.2">
      <c r="H11473" s="6"/>
      <c r="I11473" s="6"/>
    </row>
    <row r="11474" spans="8:9" x14ac:dyDescent="0.2">
      <c r="H11474" s="6"/>
      <c r="I11474" s="6"/>
    </row>
    <row r="11475" spans="8:9" x14ac:dyDescent="0.2">
      <c r="H11475" s="6"/>
      <c r="I11475" s="6"/>
    </row>
    <row r="11476" spans="8:9" x14ac:dyDescent="0.2">
      <c r="H11476" s="6"/>
      <c r="I11476" s="6"/>
    </row>
    <row r="11477" spans="8:9" x14ac:dyDescent="0.2">
      <c r="H11477" s="6"/>
      <c r="I11477" s="6"/>
    </row>
    <row r="11478" spans="8:9" x14ac:dyDescent="0.2">
      <c r="H11478" s="6"/>
      <c r="I11478" s="6"/>
    </row>
    <row r="11479" spans="8:9" x14ac:dyDescent="0.2">
      <c r="H11479" s="6"/>
      <c r="I11479" s="6"/>
    </row>
    <row r="11480" spans="8:9" x14ac:dyDescent="0.2">
      <c r="H11480" s="6"/>
      <c r="I11480" s="6"/>
    </row>
    <row r="11481" spans="8:9" x14ac:dyDescent="0.2">
      <c r="H11481" s="6"/>
      <c r="I11481" s="6"/>
    </row>
    <row r="11482" spans="8:9" x14ac:dyDescent="0.2">
      <c r="H11482" s="6"/>
      <c r="I11482" s="6"/>
    </row>
    <row r="11483" spans="8:9" x14ac:dyDescent="0.2">
      <c r="H11483" s="6"/>
      <c r="I11483" s="6"/>
    </row>
    <row r="11484" spans="8:9" x14ac:dyDescent="0.2">
      <c r="H11484" s="6"/>
      <c r="I11484" s="6"/>
    </row>
    <row r="11485" spans="8:9" x14ac:dyDescent="0.2">
      <c r="H11485" s="6"/>
      <c r="I11485" s="6"/>
    </row>
    <row r="11486" spans="8:9" x14ac:dyDescent="0.2">
      <c r="H11486" s="6"/>
      <c r="I11486" s="6"/>
    </row>
    <row r="11487" spans="8:9" x14ac:dyDescent="0.2">
      <c r="H11487" s="6"/>
      <c r="I11487" s="6"/>
    </row>
    <row r="11488" spans="8:9" x14ac:dyDescent="0.2">
      <c r="H11488" s="6"/>
      <c r="I11488" s="6"/>
    </row>
    <row r="11489" spans="8:9" x14ac:dyDescent="0.2">
      <c r="H11489" s="6"/>
      <c r="I11489" s="6"/>
    </row>
    <row r="11490" spans="8:9" x14ac:dyDescent="0.2">
      <c r="H11490" s="6"/>
      <c r="I11490" s="6"/>
    </row>
    <row r="11491" spans="8:9" x14ac:dyDescent="0.2">
      <c r="H11491" s="6"/>
      <c r="I11491" s="6"/>
    </row>
    <row r="11492" spans="8:9" x14ac:dyDescent="0.2">
      <c r="H11492" s="6"/>
      <c r="I11492" s="6"/>
    </row>
    <row r="11493" spans="8:9" x14ac:dyDescent="0.2">
      <c r="H11493" s="6"/>
      <c r="I11493" s="6"/>
    </row>
    <row r="11494" spans="8:9" x14ac:dyDescent="0.2">
      <c r="H11494" s="6"/>
      <c r="I11494" s="6"/>
    </row>
    <row r="11495" spans="8:9" x14ac:dyDescent="0.2">
      <c r="H11495" s="6"/>
      <c r="I11495" s="6"/>
    </row>
    <row r="11496" spans="8:9" x14ac:dyDescent="0.2">
      <c r="H11496" s="6"/>
      <c r="I11496" s="6"/>
    </row>
    <row r="11497" spans="8:9" x14ac:dyDescent="0.2">
      <c r="H11497" s="6"/>
      <c r="I11497" s="6"/>
    </row>
    <row r="11498" spans="8:9" x14ac:dyDescent="0.2">
      <c r="H11498" s="6"/>
      <c r="I11498" s="6"/>
    </row>
    <row r="11499" spans="8:9" x14ac:dyDescent="0.2">
      <c r="H11499" s="6"/>
      <c r="I11499" s="6"/>
    </row>
    <row r="11500" spans="8:9" x14ac:dyDescent="0.2">
      <c r="H11500" s="6"/>
      <c r="I11500" s="6"/>
    </row>
    <row r="11501" spans="8:9" x14ac:dyDescent="0.2">
      <c r="H11501" s="6"/>
      <c r="I11501" s="6"/>
    </row>
    <row r="11502" spans="8:9" x14ac:dyDescent="0.2">
      <c r="H11502" s="6"/>
      <c r="I11502" s="6"/>
    </row>
    <row r="11503" spans="8:9" x14ac:dyDescent="0.2">
      <c r="H11503" s="6"/>
      <c r="I11503" s="6"/>
    </row>
    <row r="11504" spans="8:9" x14ac:dyDescent="0.2">
      <c r="H11504" s="6"/>
      <c r="I11504" s="6"/>
    </row>
    <row r="11505" spans="8:9" x14ac:dyDescent="0.2">
      <c r="H11505" s="6"/>
      <c r="I11505" s="6"/>
    </row>
    <row r="11506" spans="8:9" x14ac:dyDescent="0.2">
      <c r="H11506" s="6"/>
      <c r="I11506" s="6"/>
    </row>
    <row r="11507" spans="8:9" x14ac:dyDescent="0.2">
      <c r="H11507" s="6"/>
      <c r="I11507" s="6"/>
    </row>
    <row r="11508" spans="8:9" x14ac:dyDescent="0.2">
      <c r="H11508" s="6"/>
      <c r="I11508" s="6"/>
    </row>
    <row r="11509" spans="8:9" x14ac:dyDescent="0.2">
      <c r="H11509" s="6"/>
      <c r="I11509" s="6"/>
    </row>
    <row r="11510" spans="8:9" x14ac:dyDescent="0.2">
      <c r="H11510" s="6"/>
      <c r="I11510" s="6"/>
    </row>
    <row r="11511" spans="8:9" x14ac:dyDescent="0.2">
      <c r="H11511" s="6"/>
      <c r="I11511" s="6"/>
    </row>
    <row r="11512" spans="8:9" x14ac:dyDescent="0.2">
      <c r="H11512" s="6"/>
      <c r="I11512" s="6"/>
    </row>
    <row r="11513" spans="8:9" x14ac:dyDescent="0.2">
      <c r="H11513" s="6"/>
      <c r="I11513" s="6"/>
    </row>
    <row r="11514" spans="8:9" x14ac:dyDescent="0.2">
      <c r="H11514" s="6"/>
      <c r="I11514" s="6"/>
    </row>
    <row r="11515" spans="8:9" x14ac:dyDescent="0.2">
      <c r="H11515" s="6"/>
      <c r="I11515" s="6"/>
    </row>
    <row r="11516" spans="8:9" x14ac:dyDescent="0.2">
      <c r="H11516" s="6"/>
      <c r="I11516" s="6"/>
    </row>
    <row r="11517" spans="8:9" x14ac:dyDescent="0.2">
      <c r="H11517" s="6"/>
      <c r="I11517" s="6"/>
    </row>
    <row r="11518" spans="8:9" x14ac:dyDescent="0.2">
      <c r="H11518" s="6"/>
      <c r="I11518" s="6"/>
    </row>
    <row r="11519" spans="8:9" x14ac:dyDescent="0.2">
      <c r="H11519" s="6"/>
      <c r="I11519" s="6"/>
    </row>
    <row r="11520" spans="8:9" x14ac:dyDescent="0.2">
      <c r="H11520" s="6"/>
      <c r="I11520" s="6"/>
    </row>
    <row r="11521" spans="8:9" x14ac:dyDescent="0.2">
      <c r="H11521" s="6"/>
      <c r="I11521" s="6"/>
    </row>
    <row r="11522" spans="8:9" x14ac:dyDescent="0.2">
      <c r="H11522" s="6"/>
      <c r="I11522" s="6"/>
    </row>
    <row r="11523" spans="8:9" x14ac:dyDescent="0.2">
      <c r="H11523" s="6"/>
      <c r="I11523" s="6"/>
    </row>
    <row r="11524" spans="8:9" x14ac:dyDescent="0.2">
      <c r="H11524" s="6"/>
      <c r="I11524" s="6"/>
    </row>
    <row r="11525" spans="8:9" x14ac:dyDescent="0.2">
      <c r="H11525" s="6"/>
      <c r="I11525" s="6"/>
    </row>
    <row r="11526" spans="8:9" x14ac:dyDescent="0.2">
      <c r="H11526" s="6"/>
      <c r="I11526" s="6"/>
    </row>
    <row r="11527" spans="8:9" x14ac:dyDescent="0.2">
      <c r="H11527" s="6"/>
      <c r="I11527" s="6"/>
    </row>
    <row r="11528" spans="8:9" x14ac:dyDescent="0.2">
      <c r="H11528" s="6"/>
      <c r="I11528" s="6"/>
    </row>
    <row r="11529" spans="8:9" x14ac:dyDescent="0.2">
      <c r="H11529" s="6"/>
      <c r="I11529" s="6"/>
    </row>
    <row r="11530" spans="8:9" x14ac:dyDescent="0.2">
      <c r="H11530" s="6"/>
      <c r="I11530" s="6"/>
    </row>
    <row r="11531" spans="8:9" x14ac:dyDescent="0.2">
      <c r="H11531" s="6"/>
      <c r="I11531" s="6"/>
    </row>
    <row r="11532" spans="8:9" x14ac:dyDescent="0.2">
      <c r="H11532" s="6"/>
      <c r="I11532" s="6"/>
    </row>
    <row r="11533" spans="8:9" x14ac:dyDescent="0.2">
      <c r="H11533" s="6"/>
      <c r="I11533" s="6"/>
    </row>
    <row r="11534" spans="8:9" x14ac:dyDescent="0.2">
      <c r="H11534" s="6"/>
      <c r="I11534" s="6"/>
    </row>
    <row r="11535" spans="8:9" x14ac:dyDescent="0.2">
      <c r="H11535" s="6"/>
      <c r="I11535" s="6"/>
    </row>
    <row r="11536" spans="8:9" x14ac:dyDescent="0.2">
      <c r="H11536" s="6"/>
      <c r="I11536" s="6"/>
    </row>
    <row r="11537" spans="8:9" x14ac:dyDescent="0.2">
      <c r="H11537" s="6"/>
      <c r="I11537" s="6"/>
    </row>
    <row r="11538" spans="8:9" x14ac:dyDescent="0.2">
      <c r="H11538" s="6"/>
      <c r="I11538" s="6"/>
    </row>
    <row r="11539" spans="8:9" x14ac:dyDescent="0.2">
      <c r="H11539" s="6"/>
      <c r="I11539" s="6"/>
    </row>
    <row r="11540" spans="8:9" x14ac:dyDescent="0.2">
      <c r="H11540" s="6"/>
      <c r="I11540" s="6"/>
    </row>
    <row r="11541" spans="8:9" x14ac:dyDescent="0.2">
      <c r="H11541" s="6"/>
      <c r="I11541" s="6"/>
    </row>
    <row r="11542" spans="8:9" x14ac:dyDescent="0.2">
      <c r="H11542" s="6"/>
      <c r="I11542" s="6"/>
    </row>
    <row r="11543" spans="8:9" x14ac:dyDescent="0.2">
      <c r="H11543" s="6"/>
      <c r="I11543" s="6"/>
    </row>
    <row r="11544" spans="8:9" x14ac:dyDescent="0.2">
      <c r="H11544" s="6"/>
      <c r="I11544" s="6"/>
    </row>
    <row r="11545" spans="8:9" x14ac:dyDescent="0.2">
      <c r="H11545" s="6"/>
      <c r="I11545" s="6"/>
    </row>
    <row r="11546" spans="8:9" x14ac:dyDescent="0.2">
      <c r="H11546" s="6"/>
      <c r="I11546" s="6"/>
    </row>
    <row r="11547" spans="8:9" x14ac:dyDescent="0.2">
      <c r="H11547" s="6"/>
      <c r="I11547" s="6"/>
    </row>
    <row r="11548" spans="8:9" x14ac:dyDescent="0.2">
      <c r="H11548" s="6"/>
      <c r="I11548" s="6"/>
    </row>
    <row r="11549" spans="8:9" x14ac:dyDescent="0.2">
      <c r="H11549" s="6"/>
      <c r="I11549" s="6"/>
    </row>
    <row r="11550" spans="8:9" x14ac:dyDescent="0.2">
      <c r="H11550" s="6"/>
      <c r="I11550" s="6"/>
    </row>
    <row r="11551" spans="8:9" x14ac:dyDescent="0.2">
      <c r="H11551" s="6"/>
      <c r="I11551" s="6"/>
    </row>
    <row r="11552" spans="8:9" x14ac:dyDescent="0.2">
      <c r="H11552" s="6"/>
      <c r="I11552" s="6"/>
    </row>
    <row r="11553" spans="8:9" x14ac:dyDescent="0.2">
      <c r="H11553" s="6"/>
      <c r="I11553" s="6"/>
    </row>
    <row r="11554" spans="8:9" x14ac:dyDescent="0.2">
      <c r="H11554" s="6"/>
      <c r="I11554" s="6"/>
    </row>
    <row r="11555" spans="8:9" x14ac:dyDescent="0.2">
      <c r="H11555" s="6"/>
      <c r="I11555" s="6"/>
    </row>
    <row r="11556" spans="8:9" x14ac:dyDescent="0.2">
      <c r="H11556" s="6"/>
      <c r="I11556" s="6"/>
    </row>
    <row r="11557" spans="8:9" x14ac:dyDescent="0.2">
      <c r="H11557" s="6"/>
      <c r="I11557" s="6"/>
    </row>
    <row r="11558" spans="8:9" x14ac:dyDescent="0.2">
      <c r="H11558" s="6"/>
      <c r="I11558" s="6"/>
    </row>
    <row r="11559" spans="8:9" x14ac:dyDescent="0.2">
      <c r="H11559" s="6"/>
      <c r="I11559" s="6"/>
    </row>
    <row r="11560" spans="8:9" x14ac:dyDescent="0.2">
      <c r="H11560" s="6"/>
      <c r="I11560" s="6"/>
    </row>
    <row r="11561" spans="8:9" x14ac:dyDescent="0.2">
      <c r="H11561" s="6"/>
      <c r="I11561" s="6"/>
    </row>
    <row r="11562" spans="8:9" x14ac:dyDescent="0.2">
      <c r="H11562" s="6"/>
      <c r="I11562" s="6"/>
    </row>
    <row r="11563" spans="8:9" x14ac:dyDescent="0.2">
      <c r="H11563" s="6"/>
      <c r="I11563" s="6"/>
    </row>
    <row r="11564" spans="8:9" x14ac:dyDescent="0.2">
      <c r="H11564" s="6"/>
      <c r="I11564" s="6"/>
    </row>
    <row r="11565" spans="8:9" x14ac:dyDescent="0.2">
      <c r="H11565" s="6"/>
      <c r="I11565" s="6"/>
    </row>
    <row r="11566" spans="8:9" x14ac:dyDescent="0.2">
      <c r="H11566" s="6"/>
      <c r="I11566" s="6"/>
    </row>
    <row r="11567" spans="8:9" x14ac:dyDescent="0.2">
      <c r="H11567" s="6"/>
      <c r="I11567" s="6"/>
    </row>
    <row r="11568" spans="8:9" x14ac:dyDescent="0.2">
      <c r="H11568" s="6"/>
      <c r="I11568" s="6"/>
    </row>
    <row r="11569" spans="8:9" x14ac:dyDescent="0.2">
      <c r="H11569" s="6"/>
      <c r="I11569" s="6"/>
    </row>
    <row r="11570" spans="8:9" x14ac:dyDescent="0.2">
      <c r="H11570" s="6"/>
      <c r="I11570" s="6"/>
    </row>
    <row r="11571" spans="8:9" x14ac:dyDescent="0.2">
      <c r="H11571" s="6"/>
      <c r="I11571" s="6"/>
    </row>
    <row r="11572" spans="8:9" x14ac:dyDescent="0.2">
      <c r="H11572" s="6"/>
      <c r="I11572" s="6"/>
    </row>
    <row r="11573" spans="8:9" x14ac:dyDescent="0.2">
      <c r="H11573" s="6"/>
      <c r="I11573" s="6"/>
    </row>
    <row r="11574" spans="8:9" x14ac:dyDescent="0.2">
      <c r="H11574" s="6"/>
      <c r="I11574" s="6"/>
    </row>
    <row r="11575" spans="8:9" x14ac:dyDescent="0.2">
      <c r="H11575" s="6"/>
      <c r="I11575" s="6"/>
    </row>
    <row r="11576" spans="8:9" x14ac:dyDescent="0.2">
      <c r="H11576" s="6"/>
      <c r="I11576" s="6"/>
    </row>
    <row r="11577" spans="8:9" x14ac:dyDescent="0.2">
      <c r="H11577" s="6"/>
      <c r="I11577" s="6"/>
    </row>
    <row r="11578" spans="8:9" x14ac:dyDescent="0.2">
      <c r="H11578" s="6"/>
      <c r="I11578" s="6"/>
    </row>
    <row r="11579" spans="8:9" x14ac:dyDescent="0.2">
      <c r="H11579" s="6"/>
      <c r="I11579" s="6"/>
    </row>
    <row r="11580" spans="8:9" x14ac:dyDescent="0.2">
      <c r="H11580" s="6"/>
      <c r="I11580" s="6"/>
    </row>
    <row r="11581" spans="8:9" x14ac:dyDescent="0.2">
      <c r="H11581" s="6"/>
      <c r="I11581" s="6"/>
    </row>
    <row r="11582" spans="8:9" x14ac:dyDescent="0.2">
      <c r="H11582" s="6"/>
      <c r="I11582" s="6"/>
    </row>
    <row r="11583" spans="8:9" x14ac:dyDescent="0.2">
      <c r="H11583" s="6"/>
      <c r="I11583" s="6"/>
    </row>
    <row r="11584" spans="8:9" x14ac:dyDescent="0.2">
      <c r="H11584" s="6"/>
      <c r="I11584" s="6"/>
    </row>
    <row r="11585" spans="8:9" x14ac:dyDescent="0.2">
      <c r="H11585" s="6"/>
      <c r="I11585" s="6"/>
    </row>
    <row r="11586" spans="8:9" x14ac:dyDescent="0.2">
      <c r="H11586" s="6"/>
      <c r="I11586" s="6"/>
    </row>
    <row r="11587" spans="8:9" x14ac:dyDescent="0.2">
      <c r="H11587" s="6"/>
      <c r="I11587" s="6"/>
    </row>
    <row r="11588" spans="8:9" x14ac:dyDescent="0.2">
      <c r="H11588" s="6"/>
      <c r="I11588" s="6"/>
    </row>
    <row r="11589" spans="8:9" x14ac:dyDescent="0.2">
      <c r="H11589" s="6"/>
      <c r="I11589" s="6"/>
    </row>
    <row r="11590" spans="8:9" x14ac:dyDescent="0.2">
      <c r="H11590" s="6"/>
      <c r="I11590" s="6"/>
    </row>
    <row r="11591" spans="8:9" x14ac:dyDescent="0.2">
      <c r="H11591" s="6"/>
      <c r="I11591" s="6"/>
    </row>
    <row r="11592" spans="8:9" x14ac:dyDescent="0.2">
      <c r="H11592" s="6"/>
      <c r="I11592" s="6"/>
    </row>
    <row r="11593" spans="8:9" x14ac:dyDescent="0.2">
      <c r="H11593" s="6"/>
      <c r="I11593" s="6"/>
    </row>
    <row r="11594" spans="8:9" x14ac:dyDescent="0.2">
      <c r="H11594" s="6"/>
      <c r="I11594" s="6"/>
    </row>
    <row r="11595" spans="8:9" x14ac:dyDescent="0.2">
      <c r="H11595" s="6"/>
      <c r="I11595" s="6"/>
    </row>
    <row r="11596" spans="8:9" x14ac:dyDescent="0.2">
      <c r="H11596" s="6"/>
      <c r="I11596" s="6"/>
    </row>
    <row r="11597" spans="8:9" x14ac:dyDescent="0.2">
      <c r="H11597" s="6"/>
      <c r="I11597" s="6"/>
    </row>
    <row r="11598" spans="8:9" x14ac:dyDescent="0.2">
      <c r="H11598" s="6"/>
      <c r="I11598" s="6"/>
    </row>
    <row r="11599" spans="8:9" x14ac:dyDescent="0.2">
      <c r="H11599" s="6"/>
      <c r="I11599" s="6"/>
    </row>
    <row r="11600" spans="8:9" x14ac:dyDescent="0.2">
      <c r="H11600" s="6"/>
      <c r="I11600" s="6"/>
    </row>
    <row r="11601" spans="8:9" x14ac:dyDescent="0.2">
      <c r="H11601" s="6"/>
      <c r="I11601" s="6"/>
    </row>
    <row r="11602" spans="8:9" x14ac:dyDescent="0.2">
      <c r="H11602" s="6"/>
      <c r="I11602" s="6"/>
    </row>
    <row r="11603" spans="8:9" x14ac:dyDescent="0.2">
      <c r="H11603" s="6"/>
      <c r="I11603" s="6"/>
    </row>
    <row r="11604" spans="8:9" x14ac:dyDescent="0.2">
      <c r="H11604" s="6"/>
      <c r="I11604" s="6"/>
    </row>
    <row r="11605" spans="8:9" x14ac:dyDescent="0.2">
      <c r="H11605" s="6"/>
      <c r="I11605" s="6"/>
    </row>
    <row r="11606" spans="8:9" x14ac:dyDescent="0.2">
      <c r="H11606" s="6"/>
      <c r="I11606" s="6"/>
    </row>
    <row r="11607" spans="8:9" x14ac:dyDescent="0.2">
      <c r="H11607" s="6"/>
      <c r="I11607" s="6"/>
    </row>
    <row r="11608" spans="8:9" x14ac:dyDescent="0.2">
      <c r="H11608" s="6"/>
      <c r="I11608" s="6"/>
    </row>
    <row r="11609" spans="8:9" x14ac:dyDescent="0.2">
      <c r="H11609" s="6"/>
      <c r="I11609" s="6"/>
    </row>
    <row r="11610" spans="8:9" x14ac:dyDescent="0.2">
      <c r="H11610" s="6"/>
      <c r="I11610" s="6"/>
    </row>
    <row r="11611" spans="8:9" x14ac:dyDescent="0.2">
      <c r="H11611" s="6"/>
      <c r="I11611" s="6"/>
    </row>
    <row r="11612" spans="8:9" x14ac:dyDescent="0.2">
      <c r="H11612" s="6"/>
      <c r="I11612" s="6"/>
    </row>
    <row r="11613" spans="8:9" x14ac:dyDescent="0.2">
      <c r="H11613" s="6"/>
      <c r="I11613" s="6"/>
    </row>
    <row r="11614" spans="8:9" x14ac:dyDescent="0.2">
      <c r="H11614" s="6"/>
      <c r="I11614" s="6"/>
    </row>
    <row r="11615" spans="8:9" x14ac:dyDescent="0.2">
      <c r="H11615" s="6"/>
      <c r="I11615" s="6"/>
    </row>
    <row r="11616" spans="8:9" x14ac:dyDescent="0.2">
      <c r="H11616" s="6"/>
      <c r="I11616" s="6"/>
    </row>
    <row r="11617" spans="8:9" x14ac:dyDescent="0.2">
      <c r="H11617" s="6"/>
      <c r="I11617" s="6"/>
    </row>
    <row r="11618" spans="8:9" x14ac:dyDescent="0.2">
      <c r="H11618" s="6"/>
      <c r="I11618" s="6"/>
    </row>
    <row r="11619" spans="8:9" x14ac:dyDescent="0.2">
      <c r="H11619" s="6"/>
      <c r="I11619" s="6"/>
    </row>
    <row r="11620" spans="8:9" x14ac:dyDescent="0.2">
      <c r="H11620" s="6"/>
      <c r="I11620" s="6"/>
    </row>
    <row r="11621" spans="8:9" x14ac:dyDescent="0.2">
      <c r="H11621" s="6"/>
      <c r="I11621" s="6"/>
    </row>
    <row r="11622" spans="8:9" x14ac:dyDescent="0.2">
      <c r="H11622" s="6"/>
      <c r="I11622" s="6"/>
    </row>
    <row r="11623" spans="8:9" x14ac:dyDescent="0.2">
      <c r="H11623" s="6"/>
      <c r="I11623" s="6"/>
    </row>
    <row r="11624" spans="8:9" x14ac:dyDescent="0.2">
      <c r="H11624" s="6"/>
      <c r="I11624" s="6"/>
    </row>
    <row r="11625" spans="8:9" x14ac:dyDescent="0.2">
      <c r="H11625" s="6"/>
      <c r="I11625" s="6"/>
    </row>
    <row r="11626" spans="8:9" x14ac:dyDescent="0.2">
      <c r="H11626" s="6"/>
      <c r="I11626" s="6"/>
    </row>
    <row r="11627" spans="8:9" x14ac:dyDescent="0.2">
      <c r="H11627" s="6"/>
      <c r="I11627" s="6"/>
    </row>
    <row r="11628" spans="8:9" x14ac:dyDescent="0.2">
      <c r="H11628" s="6"/>
      <c r="I11628" s="6"/>
    </row>
    <row r="11629" spans="8:9" x14ac:dyDescent="0.2">
      <c r="H11629" s="6"/>
      <c r="I11629" s="6"/>
    </row>
    <row r="11630" spans="8:9" x14ac:dyDescent="0.2">
      <c r="H11630" s="6"/>
      <c r="I11630" s="6"/>
    </row>
    <row r="11631" spans="8:9" x14ac:dyDescent="0.2">
      <c r="H11631" s="6"/>
      <c r="I11631" s="6"/>
    </row>
    <row r="11632" spans="8:9" x14ac:dyDescent="0.2">
      <c r="H11632" s="6"/>
      <c r="I11632" s="6"/>
    </row>
    <row r="11633" spans="8:9" x14ac:dyDescent="0.2">
      <c r="H11633" s="6"/>
      <c r="I11633" s="6"/>
    </row>
    <row r="11634" spans="8:9" x14ac:dyDescent="0.2">
      <c r="H11634" s="6"/>
      <c r="I11634" s="6"/>
    </row>
    <row r="11635" spans="8:9" x14ac:dyDescent="0.2">
      <c r="H11635" s="6"/>
      <c r="I11635" s="6"/>
    </row>
    <row r="11636" spans="8:9" x14ac:dyDescent="0.2">
      <c r="H11636" s="6"/>
      <c r="I11636" s="6"/>
    </row>
    <row r="11637" spans="8:9" x14ac:dyDescent="0.2">
      <c r="H11637" s="6"/>
      <c r="I11637" s="6"/>
    </row>
    <row r="11638" spans="8:9" x14ac:dyDescent="0.2">
      <c r="H11638" s="6"/>
      <c r="I11638" s="6"/>
    </row>
    <row r="11639" spans="8:9" x14ac:dyDescent="0.2">
      <c r="H11639" s="6"/>
      <c r="I11639" s="6"/>
    </row>
    <row r="11640" spans="8:9" x14ac:dyDescent="0.2">
      <c r="H11640" s="6"/>
      <c r="I11640" s="6"/>
    </row>
    <row r="11641" spans="8:9" x14ac:dyDescent="0.2">
      <c r="H11641" s="6"/>
      <c r="I11641" s="6"/>
    </row>
    <row r="11642" spans="8:9" x14ac:dyDescent="0.2">
      <c r="H11642" s="6"/>
      <c r="I11642" s="6"/>
    </row>
    <row r="11643" spans="8:9" x14ac:dyDescent="0.2">
      <c r="H11643" s="6"/>
      <c r="I11643" s="6"/>
    </row>
    <row r="11644" spans="8:9" x14ac:dyDescent="0.2">
      <c r="H11644" s="6"/>
      <c r="I11644" s="6"/>
    </row>
    <row r="11645" spans="8:9" x14ac:dyDescent="0.2">
      <c r="H11645" s="6"/>
      <c r="I11645" s="6"/>
    </row>
    <row r="11646" spans="8:9" x14ac:dyDescent="0.2">
      <c r="H11646" s="6"/>
      <c r="I11646" s="6"/>
    </row>
    <row r="11647" spans="8:9" x14ac:dyDescent="0.2">
      <c r="H11647" s="6"/>
      <c r="I11647" s="6"/>
    </row>
    <row r="11648" spans="8:9" x14ac:dyDescent="0.2">
      <c r="H11648" s="6"/>
      <c r="I11648" s="6"/>
    </row>
    <row r="11649" spans="8:9" x14ac:dyDescent="0.2">
      <c r="H11649" s="6"/>
      <c r="I11649" s="6"/>
    </row>
    <row r="11650" spans="8:9" x14ac:dyDescent="0.2">
      <c r="H11650" s="6"/>
      <c r="I11650" s="6"/>
    </row>
    <row r="11651" spans="8:9" x14ac:dyDescent="0.2">
      <c r="H11651" s="6"/>
      <c r="I11651" s="6"/>
    </row>
    <row r="11652" spans="8:9" x14ac:dyDescent="0.2">
      <c r="H11652" s="6"/>
      <c r="I11652" s="6"/>
    </row>
    <row r="11653" spans="8:9" x14ac:dyDescent="0.2">
      <c r="H11653" s="6"/>
      <c r="I11653" s="6"/>
    </row>
    <row r="11654" spans="8:9" x14ac:dyDescent="0.2">
      <c r="H11654" s="6"/>
      <c r="I11654" s="6"/>
    </row>
    <row r="11655" spans="8:9" x14ac:dyDescent="0.2">
      <c r="H11655" s="6"/>
      <c r="I11655" s="6"/>
    </row>
    <row r="11656" spans="8:9" x14ac:dyDescent="0.2">
      <c r="H11656" s="6"/>
      <c r="I11656" s="6"/>
    </row>
    <row r="11657" spans="8:9" x14ac:dyDescent="0.2">
      <c r="H11657" s="6"/>
      <c r="I11657" s="6"/>
    </row>
    <row r="11658" spans="8:9" x14ac:dyDescent="0.2">
      <c r="H11658" s="6"/>
      <c r="I11658" s="6"/>
    </row>
    <row r="11659" spans="8:9" x14ac:dyDescent="0.2">
      <c r="H11659" s="6"/>
      <c r="I11659" s="6"/>
    </row>
    <row r="11660" spans="8:9" x14ac:dyDescent="0.2">
      <c r="H11660" s="6"/>
      <c r="I11660" s="6"/>
    </row>
    <row r="11661" spans="8:9" x14ac:dyDescent="0.2">
      <c r="H11661" s="6"/>
      <c r="I11661" s="6"/>
    </row>
    <row r="11662" spans="8:9" x14ac:dyDescent="0.2">
      <c r="H11662" s="6"/>
      <c r="I11662" s="6"/>
    </row>
    <row r="11663" spans="8:9" x14ac:dyDescent="0.2">
      <c r="H11663" s="6"/>
      <c r="I11663" s="6"/>
    </row>
    <row r="11664" spans="8:9" x14ac:dyDescent="0.2">
      <c r="H11664" s="6"/>
      <c r="I11664" s="6"/>
    </row>
    <row r="11665" spans="8:9" x14ac:dyDescent="0.2">
      <c r="H11665" s="6"/>
      <c r="I11665" s="6"/>
    </row>
    <row r="11666" spans="8:9" x14ac:dyDescent="0.2">
      <c r="H11666" s="6"/>
      <c r="I11666" s="6"/>
    </row>
    <row r="11667" spans="8:9" x14ac:dyDescent="0.2">
      <c r="H11667" s="6"/>
      <c r="I11667" s="6"/>
    </row>
    <row r="11668" spans="8:9" x14ac:dyDescent="0.2">
      <c r="H11668" s="6"/>
      <c r="I11668" s="6"/>
    </row>
    <row r="11669" spans="8:9" x14ac:dyDescent="0.2">
      <c r="H11669" s="6"/>
      <c r="I11669" s="6"/>
    </row>
    <row r="11670" spans="8:9" x14ac:dyDescent="0.2">
      <c r="H11670" s="6"/>
      <c r="I11670" s="6"/>
    </row>
    <row r="11671" spans="8:9" x14ac:dyDescent="0.2">
      <c r="H11671" s="6"/>
      <c r="I11671" s="6"/>
    </row>
    <row r="11672" spans="8:9" x14ac:dyDescent="0.2">
      <c r="H11672" s="6"/>
      <c r="I11672" s="6"/>
    </row>
    <row r="11673" spans="8:9" x14ac:dyDescent="0.2">
      <c r="H11673" s="6"/>
      <c r="I11673" s="6"/>
    </row>
    <row r="11674" spans="8:9" x14ac:dyDescent="0.2">
      <c r="H11674" s="6"/>
      <c r="I11674" s="6"/>
    </row>
    <row r="11675" spans="8:9" x14ac:dyDescent="0.2">
      <c r="H11675" s="6"/>
      <c r="I11675" s="6"/>
    </row>
    <row r="11676" spans="8:9" x14ac:dyDescent="0.2">
      <c r="H11676" s="6"/>
      <c r="I11676" s="6"/>
    </row>
    <row r="11677" spans="8:9" x14ac:dyDescent="0.2">
      <c r="H11677" s="6"/>
      <c r="I11677" s="6"/>
    </row>
    <row r="11678" spans="8:9" x14ac:dyDescent="0.2">
      <c r="H11678" s="6"/>
      <c r="I11678" s="6"/>
    </row>
    <row r="11679" spans="8:9" x14ac:dyDescent="0.2">
      <c r="H11679" s="6"/>
      <c r="I11679" s="6"/>
    </row>
    <row r="11680" spans="8:9" x14ac:dyDescent="0.2">
      <c r="H11680" s="6"/>
      <c r="I11680" s="6"/>
    </row>
    <row r="11681" spans="8:9" x14ac:dyDescent="0.2">
      <c r="H11681" s="6"/>
      <c r="I11681" s="6"/>
    </row>
    <row r="11682" spans="8:9" x14ac:dyDescent="0.2">
      <c r="H11682" s="6"/>
      <c r="I11682" s="6"/>
    </row>
    <row r="11683" spans="8:9" x14ac:dyDescent="0.2">
      <c r="H11683" s="6"/>
      <c r="I11683" s="6"/>
    </row>
    <row r="11684" spans="8:9" x14ac:dyDescent="0.2">
      <c r="H11684" s="6"/>
      <c r="I11684" s="6"/>
    </row>
    <row r="11685" spans="8:9" x14ac:dyDescent="0.2">
      <c r="H11685" s="6"/>
      <c r="I11685" s="6"/>
    </row>
    <row r="11686" spans="8:9" x14ac:dyDescent="0.2">
      <c r="H11686" s="6"/>
      <c r="I11686" s="6"/>
    </row>
    <row r="11687" spans="8:9" x14ac:dyDescent="0.2">
      <c r="H11687" s="6"/>
      <c r="I11687" s="6"/>
    </row>
    <row r="11688" spans="8:9" x14ac:dyDescent="0.2">
      <c r="H11688" s="6"/>
      <c r="I11688" s="6"/>
    </row>
    <row r="11689" spans="8:9" x14ac:dyDescent="0.2">
      <c r="H11689" s="6"/>
      <c r="I11689" s="6"/>
    </row>
    <row r="11690" spans="8:9" x14ac:dyDescent="0.2">
      <c r="H11690" s="6"/>
      <c r="I11690" s="6"/>
    </row>
    <row r="11691" spans="8:9" x14ac:dyDescent="0.2">
      <c r="H11691" s="6"/>
      <c r="I11691" s="6"/>
    </row>
    <row r="11692" spans="8:9" x14ac:dyDescent="0.2">
      <c r="H11692" s="6"/>
      <c r="I11692" s="6"/>
    </row>
    <row r="11693" spans="8:9" x14ac:dyDescent="0.2">
      <c r="H11693" s="6"/>
      <c r="I11693" s="6"/>
    </row>
    <row r="11694" spans="8:9" x14ac:dyDescent="0.2">
      <c r="H11694" s="6"/>
      <c r="I11694" s="6"/>
    </row>
    <row r="11695" spans="8:9" x14ac:dyDescent="0.2">
      <c r="H11695" s="6"/>
      <c r="I11695" s="6"/>
    </row>
    <row r="11696" spans="8:9" x14ac:dyDescent="0.2">
      <c r="H11696" s="6"/>
      <c r="I11696" s="6"/>
    </row>
    <row r="11697" spans="8:9" x14ac:dyDescent="0.2">
      <c r="H11697" s="6"/>
      <c r="I11697" s="6"/>
    </row>
    <row r="11698" spans="8:9" x14ac:dyDescent="0.2">
      <c r="H11698" s="6"/>
      <c r="I11698" s="6"/>
    </row>
    <row r="11699" spans="8:9" x14ac:dyDescent="0.2">
      <c r="H11699" s="6"/>
      <c r="I11699" s="6"/>
    </row>
    <row r="11700" spans="8:9" x14ac:dyDescent="0.2">
      <c r="H11700" s="6"/>
      <c r="I11700" s="6"/>
    </row>
    <row r="11701" spans="8:9" x14ac:dyDescent="0.2">
      <c r="H11701" s="6"/>
      <c r="I11701" s="6"/>
    </row>
    <row r="11702" spans="8:9" x14ac:dyDescent="0.2">
      <c r="H11702" s="6"/>
      <c r="I11702" s="6"/>
    </row>
    <row r="11703" spans="8:9" x14ac:dyDescent="0.2">
      <c r="H11703" s="6"/>
      <c r="I11703" s="6"/>
    </row>
    <row r="11704" spans="8:9" x14ac:dyDescent="0.2">
      <c r="H11704" s="6"/>
      <c r="I11704" s="6"/>
    </row>
    <row r="11705" spans="8:9" x14ac:dyDescent="0.2">
      <c r="H11705" s="6"/>
      <c r="I11705" s="6"/>
    </row>
    <row r="11706" spans="8:9" x14ac:dyDescent="0.2">
      <c r="H11706" s="6"/>
      <c r="I11706" s="6"/>
    </row>
    <row r="11707" spans="8:9" x14ac:dyDescent="0.2">
      <c r="H11707" s="6"/>
      <c r="I11707" s="6"/>
    </row>
    <row r="11708" spans="8:9" x14ac:dyDescent="0.2">
      <c r="H11708" s="6"/>
      <c r="I11708" s="6"/>
    </row>
    <row r="11709" spans="8:9" x14ac:dyDescent="0.2">
      <c r="H11709" s="6"/>
      <c r="I11709" s="6"/>
    </row>
    <row r="11710" spans="8:9" x14ac:dyDescent="0.2">
      <c r="H11710" s="6"/>
      <c r="I11710" s="6"/>
    </row>
    <row r="11711" spans="8:9" x14ac:dyDescent="0.2">
      <c r="H11711" s="6"/>
      <c r="I11711" s="6"/>
    </row>
    <row r="11712" spans="8:9" x14ac:dyDescent="0.2">
      <c r="H11712" s="6"/>
      <c r="I11712" s="6"/>
    </row>
    <row r="11713" spans="8:9" x14ac:dyDescent="0.2">
      <c r="H11713" s="6"/>
      <c r="I11713" s="6"/>
    </row>
    <row r="11714" spans="8:9" x14ac:dyDescent="0.2">
      <c r="H11714" s="6"/>
      <c r="I11714" s="6"/>
    </row>
    <row r="11715" spans="8:9" x14ac:dyDescent="0.2">
      <c r="H11715" s="6"/>
      <c r="I11715" s="6"/>
    </row>
    <row r="11716" spans="8:9" x14ac:dyDescent="0.2">
      <c r="H11716" s="6"/>
      <c r="I11716" s="6"/>
    </row>
    <row r="11717" spans="8:9" x14ac:dyDescent="0.2">
      <c r="H11717" s="6"/>
      <c r="I11717" s="6"/>
    </row>
    <row r="11718" spans="8:9" x14ac:dyDescent="0.2">
      <c r="H11718" s="6"/>
      <c r="I11718" s="6"/>
    </row>
    <row r="11719" spans="8:9" x14ac:dyDescent="0.2">
      <c r="H11719" s="6"/>
      <c r="I11719" s="6"/>
    </row>
    <row r="11720" spans="8:9" x14ac:dyDescent="0.2">
      <c r="H11720" s="6"/>
      <c r="I11720" s="6"/>
    </row>
    <row r="11721" spans="8:9" x14ac:dyDescent="0.2">
      <c r="H11721" s="6"/>
      <c r="I11721" s="6"/>
    </row>
    <row r="11722" spans="8:9" x14ac:dyDescent="0.2">
      <c r="H11722" s="6"/>
      <c r="I11722" s="6"/>
    </row>
    <row r="11723" spans="8:9" x14ac:dyDescent="0.2">
      <c r="H11723" s="6"/>
      <c r="I11723" s="6"/>
    </row>
    <row r="11724" spans="8:9" x14ac:dyDescent="0.2">
      <c r="H11724" s="6"/>
      <c r="I11724" s="6"/>
    </row>
    <row r="11725" spans="8:9" x14ac:dyDescent="0.2">
      <c r="H11725" s="6"/>
      <c r="I11725" s="6"/>
    </row>
    <row r="11726" spans="8:9" x14ac:dyDescent="0.2">
      <c r="H11726" s="6"/>
      <c r="I11726" s="6"/>
    </row>
    <row r="11727" spans="8:9" x14ac:dyDescent="0.2">
      <c r="H11727" s="6"/>
      <c r="I11727" s="6"/>
    </row>
    <row r="11728" spans="8:9" x14ac:dyDescent="0.2">
      <c r="H11728" s="6"/>
      <c r="I11728" s="6"/>
    </row>
    <row r="11729" spans="8:9" x14ac:dyDescent="0.2">
      <c r="H11729" s="6"/>
      <c r="I11729" s="6"/>
    </row>
    <row r="11730" spans="8:9" x14ac:dyDescent="0.2">
      <c r="H11730" s="6"/>
      <c r="I11730" s="6"/>
    </row>
    <row r="11731" spans="8:9" x14ac:dyDescent="0.2">
      <c r="H11731" s="6"/>
      <c r="I11731" s="6"/>
    </row>
    <row r="11732" spans="8:9" x14ac:dyDescent="0.2">
      <c r="H11732" s="6"/>
      <c r="I11732" s="6"/>
    </row>
    <row r="11733" spans="8:9" x14ac:dyDescent="0.2">
      <c r="H11733" s="6"/>
      <c r="I11733" s="6"/>
    </row>
    <row r="11734" spans="8:9" x14ac:dyDescent="0.2">
      <c r="H11734" s="6"/>
      <c r="I11734" s="6"/>
    </row>
    <row r="11735" spans="8:9" x14ac:dyDescent="0.2">
      <c r="H11735" s="6"/>
      <c r="I11735" s="6"/>
    </row>
    <row r="11736" spans="8:9" x14ac:dyDescent="0.2">
      <c r="H11736" s="6"/>
      <c r="I11736" s="6"/>
    </row>
    <row r="11737" spans="8:9" x14ac:dyDescent="0.2">
      <c r="H11737" s="6"/>
      <c r="I11737" s="6"/>
    </row>
    <row r="11738" spans="8:9" x14ac:dyDescent="0.2">
      <c r="H11738" s="6"/>
      <c r="I11738" s="6"/>
    </row>
    <row r="11739" spans="8:9" x14ac:dyDescent="0.2">
      <c r="H11739" s="6"/>
      <c r="I11739" s="6"/>
    </row>
    <row r="11740" spans="8:9" x14ac:dyDescent="0.2">
      <c r="H11740" s="6"/>
      <c r="I11740" s="6"/>
    </row>
    <row r="11741" spans="8:9" x14ac:dyDescent="0.2">
      <c r="H11741" s="6"/>
      <c r="I11741" s="6"/>
    </row>
    <row r="11742" spans="8:9" x14ac:dyDescent="0.2">
      <c r="H11742" s="6"/>
      <c r="I11742" s="6"/>
    </row>
    <row r="11743" spans="8:9" x14ac:dyDescent="0.2">
      <c r="H11743" s="6"/>
      <c r="I11743" s="6"/>
    </row>
    <row r="11744" spans="8:9" x14ac:dyDescent="0.2">
      <c r="H11744" s="6"/>
      <c r="I11744" s="6"/>
    </row>
    <row r="11745" spans="8:9" x14ac:dyDescent="0.2">
      <c r="H11745" s="6"/>
      <c r="I11745" s="6"/>
    </row>
    <row r="11746" spans="8:9" x14ac:dyDescent="0.2">
      <c r="H11746" s="6"/>
      <c r="I11746" s="6"/>
    </row>
    <row r="11747" spans="8:9" x14ac:dyDescent="0.2">
      <c r="H11747" s="6"/>
      <c r="I11747" s="6"/>
    </row>
    <row r="11748" spans="8:9" x14ac:dyDescent="0.2">
      <c r="H11748" s="6"/>
      <c r="I11748" s="6"/>
    </row>
    <row r="11749" spans="8:9" x14ac:dyDescent="0.2">
      <c r="H11749" s="6"/>
      <c r="I11749" s="6"/>
    </row>
    <row r="11750" spans="8:9" x14ac:dyDescent="0.2">
      <c r="H11750" s="6"/>
      <c r="I11750" s="6"/>
    </row>
    <row r="11751" spans="8:9" x14ac:dyDescent="0.2">
      <c r="H11751" s="6"/>
      <c r="I11751" s="6"/>
    </row>
    <row r="11752" spans="8:9" x14ac:dyDescent="0.2">
      <c r="H11752" s="6"/>
      <c r="I11752" s="6"/>
    </row>
    <row r="11753" spans="8:9" x14ac:dyDescent="0.2">
      <c r="H11753" s="6"/>
      <c r="I11753" s="6"/>
    </row>
    <row r="11754" spans="8:9" x14ac:dyDescent="0.2">
      <c r="H11754" s="6"/>
      <c r="I11754" s="6"/>
    </row>
    <row r="11755" spans="8:9" x14ac:dyDescent="0.2">
      <c r="H11755" s="6"/>
      <c r="I11755" s="6"/>
    </row>
    <row r="11756" spans="8:9" x14ac:dyDescent="0.2">
      <c r="H11756" s="6"/>
      <c r="I11756" s="6"/>
    </row>
    <row r="11757" spans="8:9" x14ac:dyDescent="0.2">
      <c r="H11757" s="6"/>
      <c r="I11757" s="6"/>
    </row>
    <row r="11758" spans="8:9" x14ac:dyDescent="0.2">
      <c r="H11758" s="6"/>
      <c r="I11758" s="6"/>
    </row>
    <row r="11759" spans="8:9" x14ac:dyDescent="0.2">
      <c r="H11759" s="6"/>
      <c r="I11759" s="6"/>
    </row>
    <row r="11760" spans="8:9" x14ac:dyDescent="0.2">
      <c r="H11760" s="6"/>
      <c r="I11760" s="6"/>
    </row>
    <row r="11761" spans="8:9" x14ac:dyDescent="0.2">
      <c r="H11761" s="6"/>
      <c r="I11761" s="6"/>
    </row>
    <row r="11762" spans="8:9" x14ac:dyDescent="0.2">
      <c r="H11762" s="6"/>
      <c r="I11762" s="6"/>
    </row>
    <row r="11763" spans="8:9" x14ac:dyDescent="0.2">
      <c r="H11763" s="6"/>
      <c r="I11763" s="6"/>
    </row>
    <row r="11764" spans="8:9" x14ac:dyDescent="0.2">
      <c r="H11764" s="6"/>
      <c r="I11764" s="6"/>
    </row>
    <row r="11765" spans="8:9" x14ac:dyDescent="0.2">
      <c r="H11765" s="6"/>
      <c r="I11765" s="6"/>
    </row>
    <row r="11766" spans="8:9" x14ac:dyDescent="0.2">
      <c r="H11766" s="6"/>
      <c r="I11766" s="6"/>
    </row>
    <row r="11767" spans="8:9" x14ac:dyDescent="0.2">
      <c r="H11767" s="6"/>
      <c r="I11767" s="6"/>
    </row>
    <row r="11768" spans="8:9" x14ac:dyDescent="0.2">
      <c r="H11768" s="6"/>
      <c r="I11768" s="6"/>
    </row>
    <row r="11769" spans="8:9" x14ac:dyDescent="0.2">
      <c r="H11769" s="6"/>
      <c r="I11769" s="6"/>
    </row>
    <row r="11770" spans="8:9" x14ac:dyDescent="0.2">
      <c r="H11770" s="6"/>
      <c r="I11770" s="6"/>
    </row>
    <row r="11771" spans="8:9" x14ac:dyDescent="0.2">
      <c r="H11771" s="6"/>
      <c r="I11771" s="6"/>
    </row>
    <row r="11772" spans="8:9" x14ac:dyDescent="0.2">
      <c r="H11772" s="6"/>
      <c r="I11772" s="6"/>
    </row>
    <row r="11773" spans="8:9" x14ac:dyDescent="0.2">
      <c r="H11773" s="6"/>
      <c r="I11773" s="6"/>
    </row>
    <row r="11774" spans="8:9" x14ac:dyDescent="0.2">
      <c r="H11774" s="6"/>
      <c r="I11774" s="6"/>
    </row>
    <row r="11775" spans="8:9" x14ac:dyDescent="0.2">
      <c r="H11775" s="6"/>
      <c r="I11775" s="6"/>
    </row>
    <row r="11776" spans="8:9" x14ac:dyDescent="0.2">
      <c r="H11776" s="6"/>
      <c r="I11776" s="6"/>
    </row>
    <row r="11777" spans="8:9" x14ac:dyDescent="0.2">
      <c r="H11777" s="6"/>
      <c r="I11777" s="6"/>
    </row>
    <row r="11778" spans="8:9" x14ac:dyDescent="0.2">
      <c r="H11778" s="6"/>
      <c r="I11778" s="6"/>
    </row>
    <row r="11779" spans="8:9" x14ac:dyDescent="0.2">
      <c r="H11779" s="6"/>
      <c r="I11779" s="6"/>
    </row>
    <row r="11780" spans="8:9" x14ac:dyDescent="0.2">
      <c r="H11780" s="6"/>
      <c r="I11780" s="6"/>
    </row>
    <row r="11781" spans="8:9" x14ac:dyDescent="0.2">
      <c r="H11781" s="6"/>
      <c r="I11781" s="6"/>
    </row>
    <row r="11782" spans="8:9" x14ac:dyDescent="0.2">
      <c r="H11782" s="6"/>
      <c r="I11782" s="6"/>
    </row>
    <row r="11783" spans="8:9" x14ac:dyDescent="0.2">
      <c r="H11783" s="6"/>
      <c r="I11783" s="6"/>
    </row>
    <row r="11784" spans="8:9" x14ac:dyDescent="0.2">
      <c r="H11784" s="6"/>
      <c r="I11784" s="6"/>
    </row>
    <row r="11785" spans="8:9" x14ac:dyDescent="0.2">
      <c r="H11785" s="6"/>
      <c r="I11785" s="6"/>
    </row>
    <row r="11786" spans="8:9" x14ac:dyDescent="0.2">
      <c r="H11786" s="6"/>
      <c r="I11786" s="6"/>
    </row>
    <row r="11787" spans="8:9" x14ac:dyDescent="0.2">
      <c r="H11787" s="6"/>
      <c r="I11787" s="6"/>
    </row>
    <row r="11788" spans="8:9" x14ac:dyDescent="0.2">
      <c r="H11788" s="6"/>
      <c r="I11788" s="6"/>
    </row>
    <row r="11789" spans="8:9" x14ac:dyDescent="0.2">
      <c r="H11789" s="6"/>
      <c r="I11789" s="6"/>
    </row>
    <row r="11790" spans="8:9" x14ac:dyDescent="0.2">
      <c r="H11790" s="6"/>
      <c r="I11790" s="6"/>
    </row>
    <row r="11791" spans="8:9" x14ac:dyDescent="0.2">
      <c r="H11791" s="6"/>
      <c r="I11791" s="6"/>
    </row>
    <row r="11792" spans="8:9" x14ac:dyDescent="0.2">
      <c r="H11792" s="6"/>
      <c r="I11792" s="6"/>
    </row>
    <row r="11793" spans="8:9" x14ac:dyDescent="0.2">
      <c r="H11793" s="6"/>
      <c r="I11793" s="6"/>
    </row>
    <row r="11794" spans="8:9" x14ac:dyDescent="0.2">
      <c r="H11794" s="6"/>
      <c r="I11794" s="6"/>
    </row>
    <row r="11795" spans="8:9" x14ac:dyDescent="0.2">
      <c r="H11795" s="6"/>
      <c r="I11795" s="6"/>
    </row>
    <row r="11796" spans="8:9" x14ac:dyDescent="0.2">
      <c r="H11796" s="6"/>
      <c r="I11796" s="6"/>
    </row>
    <row r="11797" spans="8:9" x14ac:dyDescent="0.2">
      <c r="H11797" s="6"/>
      <c r="I11797" s="6"/>
    </row>
    <row r="11798" spans="8:9" x14ac:dyDescent="0.2">
      <c r="H11798" s="6"/>
      <c r="I11798" s="6"/>
    </row>
    <row r="11799" spans="8:9" x14ac:dyDescent="0.2">
      <c r="H11799" s="6"/>
      <c r="I11799" s="6"/>
    </row>
    <row r="11800" spans="8:9" x14ac:dyDescent="0.2">
      <c r="H11800" s="6"/>
      <c r="I11800" s="6"/>
    </row>
    <row r="11801" spans="8:9" x14ac:dyDescent="0.2">
      <c r="H11801" s="6"/>
      <c r="I11801" s="6"/>
    </row>
    <row r="11802" spans="8:9" x14ac:dyDescent="0.2">
      <c r="H11802" s="6"/>
      <c r="I11802" s="6"/>
    </row>
    <row r="11803" spans="8:9" x14ac:dyDescent="0.2">
      <c r="H11803" s="6"/>
      <c r="I11803" s="6"/>
    </row>
    <row r="11804" spans="8:9" x14ac:dyDescent="0.2">
      <c r="H11804" s="6"/>
      <c r="I11804" s="6"/>
    </row>
    <row r="11805" spans="8:9" x14ac:dyDescent="0.2">
      <c r="H11805" s="6"/>
      <c r="I11805" s="6"/>
    </row>
    <row r="11806" spans="8:9" x14ac:dyDescent="0.2">
      <c r="H11806" s="6"/>
      <c r="I11806" s="6"/>
    </row>
    <row r="11807" spans="8:9" x14ac:dyDescent="0.2">
      <c r="H11807" s="6"/>
      <c r="I11807" s="6"/>
    </row>
    <row r="11808" spans="8:9" x14ac:dyDescent="0.2">
      <c r="H11808" s="6"/>
      <c r="I11808" s="6"/>
    </row>
    <row r="11809" spans="8:9" x14ac:dyDescent="0.2">
      <c r="H11809" s="6"/>
      <c r="I11809" s="6"/>
    </row>
    <row r="11810" spans="8:9" x14ac:dyDescent="0.2">
      <c r="H11810" s="6"/>
      <c r="I11810" s="6"/>
    </row>
    <row r="11811" spans="8:9" x14ac:dyDescent="0.2">
      <c r="H11811" s="6"/>
      <c r="I11811" s="6"/>
    </row>
    <row r="11812" spans="8:9" x14ac:dyDescent="0.2">
      <c r="H11812" s="6"/>
      <c r="I11812" s="6"/>
    </row>
    <row r="11813" spans="8:9" x14ac:dyDescent="0.2">
      <c r="H11813" s="6"/>
      <c r="I11813" s="6"/>
    </row>
    <row r="11814" spans="8:9" x14ac:dyDescent="0.2">
      <c r="H11814" s="6"/>
      <c r="I11814" s="6"/>
    </row>
    <row r="11815" spans="8:9" x14ac:dyDescent="0.2">
      <c r="H11815" s="6"/>
      <c r="I11815" s="6"/>
    </row>
    <row r="11816" spans="8:9" x14ac:dyDescent="0.2">
      <c r="H11816" s="6"/>
      <c r="I11816" s="6"/>
    </row>
    <row r="11817" spans="8:9" x14ac:dyDescent="0.2">
      <c r="H11817" s="6"/>
      <c r="I11817" s="6"/>
    </row>
    <row r="11818" spans="8:9" x14ac:dyDescent="0.2">
      <c r="H11818" s="6"/>
      <c r="I11818" s="6"/>
    </row>
    <row r="11819" spans="8:9" x14ac:dyDescent="0.2">
      <c r="H11819" s="6"/>
      <c r="I11819" s="6"/>
    </row>
    <row r="11820" spans="8:9" x14ac:dyDescent="0.2">
      <c r="H11820" s="6"/>
      <c r="I11820" s="6"/>
    </row>
    <row r="11821" spans="8:9" x14ac:dyDescent="0.2">
      <c r="H11821" s="6"/>
      <c r="I11821" s="6"/>
    </row>
    <row r="11822" spans="8:9" x14ac:dyDescent="0.2">
      <c r="H11822" s="6"/>
      <c r="I11822" s="6"/>
    </row>
    <row r="11823" spans="8:9" x14ac:dyDescent="0.2">
      <c r="H11823" s="6"/>
      <c r="I11823" s="6"/>
    </row>
    <row r="11824" spans="8:9" x14ac:dyDescent="0.2">
      <c r="H11824" s="6"/>
      <c r="I11824" s="6"/>
    </row>
    <row r="11825" spans="8:9" x14ac:dyDescent="0.2">
      <c r="H11825" s="6"/>
      <c r="I11825" s="6"/>
    </row>
    <row r="11826" spans="8:9" x14ac:dyDescent="0.2">
      <c r="H11826" s="6"/>
      <c r="I11826" s="6"/>
    </row>
    <row r="11827" spans="8:9" x14ac:dyDescent="0.2">
      <c r="H11827" s="6"/>
      <c r="I11827" s="6"/>
    </row>
    <row r="11828" spans="8:9" x14ac:dyDescent="0.2">
      <c r="H11828" s="6"/>
      <c r="I11828" s="6"/>
    </row>
    <row r="11829" spans="8:9" x14ac:dyDescent="0.2">
      <c r="H11829" s="6"/>
      <c r="I11829" s="6"/>
    </row>
    <row r="11830" spans="8:9" x14ac:dyDescent="0.2">
      <c r="H11830" s="6"/>
      <c r="I11830" s="6"/>
    </row>
    <row r="11831" spans="8:9" x14ac:dyDescent="0.2">
      <c r="H11831" s="6"/>
      <c r="I11831" s="6"/>
    </row>
    <row r="11832" spans="8:9" x14ac:dyDescent="0.2">
      <c r="H11832" s="6"/>
      <c r="I11832" s="6"/>
    </row>
    <row r="11833" spans="8:9" x14ac:dyDescent="0.2">
      <c r="H11833" s="6"/>
      <c r="I11833" s="6"/>
    </row>
    <row r="11834" spans="8:9" x14ac:dyDescent="0.2">
      <c r="H11834" s="6"/>
      <c r="I11834" s="6"/>
    </row>
    <row r="11835" spans="8:9" x14ac:dyDescent="0.2">
      <c r="H11835" s="6"/>
      <c r="I11835" s="6"/>
    </row>
    <row r="11836" spans="8:9" x14ac:dyDescent="0.2">
      <c r="H11836" s="6"/>
      <c r="I11836" s="6"/>
    </row>
    <row r="11837" spans="8:9" x14ac:dyDescent="0.2">
      <c r="H11837" s="6"/>
      <c r="I11837" s="6"/>
    </row>
    <row r="11838" spans="8:9" x14ac:dyDescent="0.2">
      <c r="H11838" s="6"/>
      <c r="I11838" s="6"/>
    </row>
    <row r="11839" spans="8:9" x14ac:dyDescent="0.2">
      <c r="H11839" s="6"/>
      <c r="I11839" s="6"/>
    </row>
    <row r="11840" spans="8:9" x14ac:dyDescent="0.2">
      <c r="H11840" s="6"/>
      <c r="I11840" s="6"/>
    </row>
    <row r="11841" spans="8:9" x14ac:dyDescent="0.2">
      <c r="H11841" s="6"/>
      <c r="I11841" s="6"/>
    </row>
    <row r="11842" spans="8:9" x14ac:dyDescent="0.2">
      <c r="H11842" s="6"/>
      <c r="I11842" s="6"/>
    </row>
    <row r="11843" spans="8:9" x14ac:dyDescent="0.2">
      <c r="H11843" s="6"/>
      <c r="I11843" s="6"/>
    </row>
    <row r="11844" spans="8:9" x14ac:dyDescent="0.2">
      <c r="H11844" s="6"/>
      <c r="I11844" s="6"/>
    </row>
    <row r="11845" spans="8:9" x14ac:dyDescent="0.2">
      <c r="H11845" s="6"/>
      <c r="I11845" s="6"/>
    </row>
    <row r="11846" spans="8:9" x14ac:dyDescent="0.2">
      <c r="H11846" s="6"/>
      <c r="I11846" s="6"/>
    </row>
    <row r="11847" spans="8:9" x14ac:dyDescent="0.2">
      <c r="H11847" s="6"/>
      <c r="I11847" s="6"/>
    </row>
    <row r="11848" spans="8:9" x14ac:dyDescent="0.2">
      <c r="H11848" s="6"/>
      <c r="I11848" s="6"/>
    </row>
    <row r="11849" spans="8:9" x14ac:dyDescent="0.2">
      <c r="H11849" s="6"/>
      <c r="I11849" s="6"/>
    </row>
    <row r="11850" spans="8:9" x14ac:dyDescent="0.2">
      <c r="H11850" s="6"/>
      <c r="I11850" s="6"/>
    </row>
    <row r="11851" spans="8:9" x14ac:dyDescent="0.2">
      <c r="H11851" s="6"/>
      <c r="I11851" s="6"/>
    </row>
    <row r="11852" spans="8:9" x14ac:dyDescent="0.2">
      <c r="H11852" s="6"/>
      <c r="I11852" s="6"/>
    </row>
    <row r="11853" spans="8:9" x14ac:dyDescent="0.2">
      <c r="H11853" s="6"/>
      <c r="I11853" s="6"/>
    </row>
    <row r="11854" spans="8:9" x14ac:dyDescent="0.2">
      <c r="H11854" s="6"/>
      <c r="I11854" s="6"/>
    </row>
    <row r="11855" spans="8:9" x14ac:dyDescent="0.2">
      <c r="H11855" s="6"/>
      <c r="I11855" s="6"/>
    </row>
    <row r="11856" spans="8:9" x14ac:dyDescent="0.2">
      <c r="H11856" s="6"/>
      <c r="I11856" s="6"/>
    </row>
    <row r="11857" spans="8:9" x14ac:dyDescent="0.2">
      <c r="H11857" s="6"/>
      <c r="I11857" s="6"/>
    </row>
    <row r="11858" spans="8:9" x14ac:dyDescent="0.2">
      <c r="H11858" s="6"/>
      <c r="I11858" s="6"/>
    </row>
    <row r="11859" spans="8:9" x14ac:dyDescent="0.2">
      <c r="H11859" s="6"/>
      <c r="I11859" s="6"/>
    </row>
    <row r="11860" spans="8:9" x14ac:dyDescent="0.2">
      <c r="H11860" s="6"/>
      <c r="I11860" s="6"/>
    </row>
    <row r="11861" spans="8:9" x14ac:dyDescent="0.2">
      <c r="H11861" s="6"/>
      <c r="I11861" s="6"/>
    </row>
    <row r="11862" spans="8:9" x14ac:dyDescent="0.2">
      <c r="H11862" s="6"/>
      <c r="I11862" s="6"/>
    </row>
    <row r="11863" spans="8:9" x14ac:dyDescent="0.2">
      <c r="H11863" s="6"/>
      <c r="I11863" s="6"/>
    </row>
    <row r="11864" spans="8:9" x14ac:dyDescent="0.2">
      <c r="H11864" s="6"/>
      <c r="I11864" s="6"/>
    </row>
    <row r="11865" spans="8:9" x14ac:dyDescent="0.2">
      <c r="H11865" s="6"/>
      <c r="I11865" s="6"/>
    </row>
    <row r="11866" spans="8:9" x14ac:dyDescent="0.2">
      <c r="H11866" s="6"/>
      <c r="I11866" s="6"/>
    </row>
    <row r="11867" spans="8:9" x14ac:dyDescent="0.2">
      <c r="H11867" s="6"/>
      <c r="I11867" s="6"/>
    </row>
    <row r="11868" spans="8:9" x14ac:dyDescent="0.2">
      <c r="H11868" s="6"/>
      <c r="I11868" s="6"/>
    </row>
    <row r="11869" spans="8:9" x14ac:dyDescent="0.2">
      <c r="H11869" s="6"/>
      <c r="I11869" s="6"/>
    </row>
    <row r="11870" spans="8:9" x14ac:dyDescent="0.2">
      <c r="H11870" s="6"/>
      <c r="I11870" s="6"/>
    </row>
    <row r="11871" spans="8:9" x14ac:dyDescent="0.2">
      <c r="H11871" s="6"/>
      <c r="I11871" s="6"/>
    </row>
    <row r="11872" spans="8:9" x14ac:dyDescent="0.2">
      <c r="H11872" s="6"/>
      <c r="I11872" s="6"/>
    </row>
    <row r="11873" spans="8:9" x14ac:dyDescent="0.2">
      <c r="H11873" s="6"/>
      <c r="I11873" s="6"/>
    </row>
    <row r="11874" spans="8:9" x14ac:dyDescent="0.2">
      <c r="H11874" s="6"/>
      <c r="I11874" s="6"/>
    </row>
    <row r="11875" spans="8:9" x14ac:dyDescent="0.2">
      <c r="H11875" s="6"/>
      <c r="I11875" s="6"/>
    </row>
    <row r="11876" spans="8:9" x14ac:dyDescent="0.2">
      <c r="H11876" s="6"/>
      <c r="I11876" s="6"/>
    </row>
    <row r="11877" spans="8:9" x14ac:dyDescent="0.2">
      <c r="H11877" s="6"/>
      <c r="I11877" s="6"/>
    </row>
    <row r="11878" spans="8:9" x14ac:dyDescent="0.2">
      <c r="H11878" s="6"/>
      <c r="I11878" s="6"/>
    </row>
    <row r="11879" spans="8:9" x14ac:dyDescent="0.2">
      <c r="H11879" s="6"/>
      <c r="I11879" s="6"/>
    </row>
    <row r="11880" spans="8:9" x14ac:dyDescent="0.2">
      <c r="H11880" s="6"/>
      <c r="I11880" s="6"/>
    </row>
    <row r="11881" spans="8:9" x14ac:dyDescent="0.2">
      <c r="H11881" s="6"/>
      <c r="I11881" s="6"/>
    </row>
    <row r="11882" spans="8:9" x14ac:dyDescent="0.2">
      <c r="H11882" s="6"/>
      <c r="I11882" s="6"/>
    </row>
    <row r="11883" spans="8:9" x14ac:dyDescent="0.2">
      <c r="H11883" s="6"/>
      <c r="I11883" s="6"/>
    </row>
    <row r="11884" spans="8:9" x14ac:dyDescent="0.2">
      <c r="H11884" s="6"/>
      <c r="I11884" s="6"/>
    </row>
    <row r="11885" spans="8:9" x14ac:dyDescent="0.2">
      <c r="H11885" s="6"/>
      <c r="I11885" s="6"/>
    </row>
    <row r="11886" spans="8:9" x14ac:dyDescent="0.2">
      <c r="H11886" s="6"/>
      <c r="I11886" s="6"/>
    </row>
    <row r="11887" spans="8:9" x14ac:dyDescent="0.2">
      <c r="H11887" s="6"/>
      <c r="I11887" s="6"/>
    </row>
    <row r="11888" spans="8:9" x14ac:dyDescent="0.2">
      <c r="H11888" s="6"/>
      <c r="I11888" s="6"/>
    </row>
    <row r="11889" spans="8:9" x14ac:dyDescent="0.2">
      <c r="H11889" s="6"/>
      <c r="I11889" s="6"/>
    </row>
    <row r="11890" spans="8:9" x14ac:dyDescent="0.2">
      <c r="H11890" s="6"/>
      <c r="I11890" s="6"/>
    </row>
    <row r="11891" spans="8:9" x14ac:dyDescent="0.2">
      <c r="H11891" s="6"/>
      <c r="I11891" s="6"/>
    </row>
    <row r="11892" spans="8:9" x14ac:dyDescent="0.2">
      <c r="H11892" s="6"/>
      <c r="I11892" s="6"/>
    </row>
    <row r="11893" spans="8:9" x14ac:dyDescent="0.2">
      <c r="H11893" s="6"/>
      <c r="I11893" s="6"/>
    </row>
    <row r="11894" spans="8:9" x14ac:dyDescent="0.2">
      <c r="H11894" s="6"/>
      <c r="I11894" s="6"/>
    </row>
    <row r="11895" spans="8:9" x14ac:dyDescent="0.2">
      <c r="H11895" s="6"/>
      <c r="I11895" s="6"/>
    </row>
    <row r="11896" spans="8:9" x14ac:dyDescent="0.2">
      <c r="H11896" s="6"/>
      <c r="I11896" s="6"/>
    </row>
    <row r="11897" spans="8:9" x14ac:dyDescent="0.2">
      <c r="H11897" s="6"/>
      <c r="I11897" s="6"/>
    </row>
    <row r="11898" spans="8:9" x14ac:dyDescent="0.2">
      <c r="H11898" s="6"/>
      <c r="I11898" s="6"/>
    </row>
    <row r="11899" spans="8:9" x14ac:dyDescent="0.2">
      <c r="H11899" s="6"/>
      <c r="I11899" s="6"/>
    </row>
    <row r="11900" spans="8:9" x14ac:dyDescent="0.2">
      <c r="H11900" s="6"/>
      <c r="I11900" s="6"/>
    </row>
    <row r="11901" spans="8:9" x14ac:dyDescent="0.2">
      <c r="H11901" s="6"/>
      <c r="I11901" s="6"/>
    </row>
    <row r="11902" spans="8:9" x14ac:dyDescent="0.2">
      <c r="H11902" s="6"/>
      <c r="I11902" s="6"/>
    </row>
    <row r="11903" spans="8:9" x14ac:dyDescent="0.2">
      <c r="H11903" s="6"/>
      <c r="I11903" s="6"/>
    </row>
    <row r="11904" spans="8:9" x14ac:dyDescent="0.2">
      <c r="H11904" s="6"/>
      <c r="I11904" s="6"/>
    </row>
    <row r="11905" spans="8:9" x14ac:dyDescent="0.2">
      <c r="H11905" s="6"/>
      <c r="I11905" s="6"/>
    </row>
    <row r="11906" spans="8:9" x14ac:dyDescent="0.2">
      <c r="H11906" s="6"/>
      <c r="I11906" s="6"/>
    </row>
    <row r="11907" spans="8:9" x14ac:dyDescent="0.2">
      <c r="H11907" s="6"/>
      <c r="I11907" s="6"/>
    </row>
    <row r="11908" spans="8:9" x14ac:dyDescent="0.2">
      <c r="H11908" s="6"/>
      <c r="I11908" s="6"/>
    </row>
    <row r="11909" spans="8:9" x14ac:dyDescent="0.2">
      <c r="H11909" s="6"/>
      <c r="I11909" s="6"/>
    </row>
    <row r="11910" spans="8:9" x14ac:dyDescent="0.2">
      <c r="H11910" s="6"/>
      <c r="I11910" s="6"/>
    </row>
    <row r="11911" spans="8:9" x14ac:dyDescent="0.2">
      <c r="H11911" s="6"/>
      <c r="I11911" s="6"/>
    </row>
    <row r="11912" spans="8:9" x14ac:dyDescent="0.2">
      <c r="H11912" s="6"/>
      <c r="I11912" s="6"/>
    </row>
    <row r="11913" spans="8:9" x14ac:dyDescent="0.2">
      <c r="H11913" s="6"/>
      <c r="I11913" s="6"/>
    </row>
    <row r="11914" spans="8:9" x14ac:dyDescent="0.2">
      <c r="H11914" s="6"/>
      <c r="I11914" s="6"/>
    </row>
    <row r="11915" spans="8:9" x14ac:dyDescent="0.2">
      <c r="H11915" s="6"/>
      <c r="I11915" s="6"/>
    </row>
    <row r="11916" spans="8:9" x14ac:dyDescent="0.2">
      <c r="H11916" s="6"/>
      <c r="I11916" s="6"/>
    </row>
    <row r="11917" spans="8:9" x14ac:dyDescent="0.2">
      <c r="H11917" s="6"/>
      <c r="I11917" s="6"/>
    </row>
    <row r="11918" spans="8:9" x14ac:dyDescent="0.2">
      <c r="H11918" s="6"/>
      <c r="I11918" s="6"/>
    </row>
    <row r="11919" spans="8:9" x14ac:dyDescent="0.2">
      <c r="H11919" s="6"/>
      <c r="I11919" s="6"/>
    </row>
    <row r="11920" spans="8:9" x14ac:dyDescent="0.2">
      <c r="H11920" s="6"/>
      <c r="I11920" s="6"/>
    </row>
    <row r="11921" spans="8:9" x14ac:dyDescent="0.2">
      <c r="H11921" s="6"/>
      <c r="I11921" s="6"/>
    </row>
    <row r="11922" spans="8:9" x14ac:dyDescent="0.2">
      <c r="H11922" s="6"/>
      <c r="I11922" s="6"/>
    </row>
    <row r="11923" spans="8:9" x14ac:dyDescent="0.2">
      <c r="H11923" s="6"/>
      <c r="I11923" s="6"/>
    </row>
    <row r="11924" spans="8:9" x14ac:dyDescent="0.2">
      <c r="H11924" s="6"/>
      <c r="I11924" s="6"/>
    </row>
    <row r="11925" spans="8:9" x14ac:dyDescent="0.2">
      <c r="H11925" s="6"/>
      <c r="I11925" s="6"/>
    </row>
    <row r="11926" spans="8:9" x14ac:dyDescent="0.2">
      <c r="H11926" s="6"/>
      <c r="I11926" s="6"/>
    </row>
    <row r="11927" spans="8:9" x14ac:dyDescent="0.2">
      <c r="H11927" s="6"/>
      <c r="I11927" s="6"/>
    </row>
    <row r="11928" spans="8:9" x14ac:dyDescent="0.2">
      <c r="H11928" s="6"/>
      <c r="I11928" s="6"/>
    </row>
    <row r="11929" spans="8:9" x14ac:dyDescent="0.2">
      <c r="H11929" s="6"/>
      <c r="I11929" s="6"/>
    </row>
    <row r="11930" spans="8:9" x14ac:dyDescent="0.2">
      <c r="H11930" s="6"/>
      <c r="I11930" s="6"/>
    </row>
    <row r="11931" spans="8:9" x14ac:dyDescent="0.2">
      <c r="H11931" s="6"/>
      <c r="I11931" s="6"/>
    </row>
    <row r="11932" spans="8:9" x14ac:dyDescent="0.2">
      <c r="H11932" s="6"/>
      <c r="I11932" s="6"/>
    </row>
    <row r="11933" spans="8:9" x14ac:dyDescent="0.2">
      <c r="H11933" s="6"/>
      <c r="I11933" s="6"/>
    </row>
    <row r="11934" spans="8:9" x14ac:dyDescent="0.2">
      <c r="H11934" s="6"/>
      <c r="I11934" s="6"/>
    </row>
    <row r="11935" spans="8:9" x14ac:dyDescent="0.2">
      <c r="H11935" s="6"/>
      <c r="I11935" s="6"/>
    </row>
    <row r="11936" spans="8:9" x14ac:dyDescent="0.2">
      <c r="H11936" s="6"/>
      <c r="I11936" s="6"/>
    </row>
    <row r="11937" spans="8:9" x14ac:dyDescent="0.2">
      <c r="H11937" s="6"/>
      <c r="I11937" s="6"/>
    </row>
    <row r="11938" spans="8:9" x14ac:dyDescent="0.2">
      <c r="H11938" s="6"/>
      <c r="I11938" s="6"/>
    </row>
    <row r="11939" spans="8:9" x14ac:dyDescent="0.2">
      <c r="H11939" s="6"/>
      <c r="I11939" s="6"/>
    </row>
    <row r="11940" spans="8:9" x14ac:dyDescent="0.2">
      <c r="H11940" s="6"/>
      <c r="I11940" s="6"/>
    </row>
    <row r="11941" spans="8:9" x14ac:dyDescent="0.2">
      <c r="H11941" s="6"/>
      <c r="I11941" s="6"/>
    </row>
    <row r="11942" spans="8:9" x14ac:dyDescent="0.2">
      <c r="H11942" s="6"/>
      <c r="I11942" s="6"/>
    </row>
    <row r="11943" spans="8:9" x14ac:dyDescent="0.2">
      <c r="H11943" s="6"/>
      <c r="I11943" s="6"/>
    </row>
    <row r="11944" spans="8:9" x14ac:dyDescent="0.2">
      <c r="H11944" s="6"/>
      <c r="I11944" s="6"/>
    </row>
    <row r="11945" spans="8:9" x14ac:dyDescent="0.2">
      <c r="H11945" s="6"/>
      <c r="I11945" s="6"/>
    </row>
    <row r="11946" spans="8:9" x14ac:dyDescent="0.2">
      <c r="H11946" s="6"/>
      <c r="I11946" s="6"/>
    </row>
    <row r="11947" spans="8:9" x14ac:dyDescent="0.2">
      <c r="H11947" s="6"/>
      <c r="I11947" s="6"/>
    </row>
    <row r="11948" spans="8:9" x14ac:dyDescent="0.2">
      <c r="H11948" s="6"/>
      <c r="I11948" s="6"/>
    </row>
    <row r="11949" spans="8:9" x14ac:dyDescent="0.2">
      <c r="H11949" s="6"/>
      <c r="I11949" s="6"/>
    </row>
    <row r="11950" spans="8:9" x14ac:dyDescent="0.2">
      <c r="H11950" s="6"/>
      <c r="I11950" s="6"/>
    </row>
    <row r="11951" spans="8:9" x14ac:dyDescent="0.2">
      <c r="H11951" s="6"/>
      <c r="I11951" s="6"/>
    </row>
    <row r="11952" spans="8:9" x14ac:dyDescent="0.2">
      <c r="H11952" s="6"/>
      <c r="I11952" s="6"/>
    </row>
    <row r="11953" spans="8:9" x14ac:dyDescent="0.2">
      <c r="H11953" s="6"/>
      <c r="I11953" s="6"/>
    </row>
    <row r="11954" spans="8:9" x14ac:dyDescent="0.2">
      <c r="H11954" s="6"/>
      <c r="I11954" s="6"/>
    </row>
    <row r="11955" spans="8:9" x14ac:dyDescent="0.2">
      <c r="H11955" s="6"/>
      <c r="I11955" s="6"/>
    </row>
    <row r="11956" spans="8:9" x14ac:dyDescent="0.2">
      <c r="H11956" s="6"/>
      <c r="I11956" s="6"/>
    </row>
    <row r="11957" spans="8:9" x14ac:dyDescent="0.2">
      <c r="H11957" s="6"/>
      <c r="I11957" s="6"/>
    </row>
    <row r="11958" spans="8:9" x14ac:dyDescent="0.2">
      <c r="H11958" s="6"/>
      <c r="I11958" s="6"/>
    </row>
    <row r="11959" spans="8:9" x14ac:dyDescent="0.2">
      <c r="H11959" s="6"/>
      <c r="I11959" s="6"/>
    </row>
    <row r="11960" spans="8:9" x14ac:dyDescent="0.2">
      <c r="H11960" s="6"/>
      <c r="I11960" s="6"/>
    </row>
    <row r="11961" spans="8:9" x14ac:dyDescent="0.2">
      <c r="H11961" s="6"/>
      <c r="I11961" s="6"/>
    </row>
    <row r="11962" spans="8:9" x14ac:dyDescent="0.2">
      <c r="H11962" s="6"/>
      <c r="I11962" s="6"/>
    </row>
    <row r="11963" spans="8:9" x14ac:dyDescent="0.2">
      <c r="H11963" s="6"/>
      <c r="I11963" s="6"/>
    </row>
    <row r="11964" spans="8:9" x14ac:dyDescent="0.2">
      <c r="H11964" s="6"/>
      <c r="I11964" s="6"/>
    </row>
    <row r="11965" spans="8:9" x14ac:dyDescent="0.2">
      <c r="H11965" s="6"/>
      <c r="I11965" s="6"/>
    </row>
    <row r="11966" spans="8:9" x14ac:dyDescent="0.2">
      <c r="H11966" s="6"/>
      <c r="I11966" s="6"/>
    </row>
    <row r="11967" spans="8:9" x14ac:dyDescent="0.2">
      <c r="H11967" s="6"/>
      <c r="I11967" s="6"/>
    </row>
    <row r="11968" spans="8:9" x14ac:dyDescent="0.2">
      <c r="H11968" s="6"/>
      <c r="I11968" s="6"/>
    </row>
    <row r="11969" spans="8:9" x14ac:dyDescent="0.2">
      <c r="H11969" s="6"/>
      <c r="I11969" s="6"/>
    </row>
    <row r="11970" spans="8:9" x14ac:dyDescent="0.2">
      <c r="H11970" s="6"/>
      <c r="I11970" s="6"/>
    </row>
    <row r="11971" spans="8:9" x14ac:dyDescent="0.2">
      <c r="H11971" s="6"/>
      <c r="I11971" s="6"/>
    </row>
    <row r="11972" spans="8:9" x14ac:dyDescent="0.2">
      <c r="H11972" s="6"/>
      <c r="I11972" s="6"/>
    </row>
    <row r="11973" spans="8:9" x14ac:dyDescent="0.2">
      <c r="H11973" s="6"/>
      <c r="I11973" s="6"/>
    </row>
    <row r="11974" spans="8:9" x14ac:dyDescent="0.2">
      <c r="H11974" s="6"/>
      <c r="I11974" s="6"/>
    </row>
    <row r="11975" spans="8:9" x14ac:dyDescent="0.2">
      <c r="H11975" s="6"/>
      <c r="I11975" s="6"/>
    </row>
    <row r="11976" spans="8:9" x14ac:dyDescent="0.2">
      <c r="H11976" s="6"/>
      <c r="I11976" s="6"/>
    </row>
    <row r="11977" spans="8:9" x14ac:dyDescent="0.2">
      <c r="H11977" s="6"/>
      <c r="I11977" s="6"/>
    </row>
    <row r="11978" spans="8:9" x14ac:dyDescent="0.2">
      <c r="H11978" s="6"/>
      <c r="I11978" s="6"/>
    </row>
    <row r="11979" spans="8:9" x14ac:dyDescent="0.2">
      <c r="H11979" s="6"/>
      <c r="I11979" s="6"/>
    </row>
    <row r="11980" spans="8:9" x14ac:dyDescent="0.2">
      <c r="H11980" s="6"/>
      <c r="I11980" s="6"/>
    </row>
    <row r="11981" spans="8:9" x14ac:dyDescent="0.2">
      <c r="H11981" s="6"/>
      <c r="I11981" s="6"/>
    </row>
    <row r="11982" spans="8:9" x14ac:dyDescent="0.2">
      <c r="H11982" s="6"/>
      <c r="I11982" s="6"/>
    </row>
    <row r="11983" spans="8:9" x14ac:dyDescent="0.2">
      <c r="H11983" s="6"/>
      <c r="I11983" s="6"/>
    </row>
    <row r="11984" spans="8:9" x14ac:dyDescent="0.2">
      <c r="H11984" s="6"/>
      <c r="I11984" s="6"/>
    </row>
    <row r="11985" spans="8:9" x14ac:dyDescent="0.2">
      <c r="H11985" s="6"/>
      <c r="I11985" s="6"/>
    </row>
    <row r="11986" spans="8:9" x14ac:dyDescent="0.2">
      <c r="H11986" s="6"/>
      <c r="I11986" s="6"/>
    </row>
    <row r="11987" spans="8:9" x14ac:dyDescent="0.2">
      <c r="H11987" s="6"/>
      <c r="I11987" s="6"/>
    </row>
    <row r="11988" spans="8:9" x14ac:dyDescent="0.2">
      <c r="H11988" s="6"/>
      <c r="I11988" s="6"/>
    </row>
    <row r="11989" spans="8:9" x14ac:dyDescent="0.2">
      <c r="H11989" s="6"/>
      <c r="I11989" s="6"/>
    </row>
    <row r="11990" spans="8:9" x14ac:dyDescent="0.2">
      <c r="H11990" s="6"/>
      <c r="I11990" s="6"/>
    </row>
    <row r="11991" spans="8:9" x14ac:dyDescent="0.2">
      <c r="H11991" s="6"/>
      <c r="I11991" s="6"/>
    </row>
    <row r="11992" spans="8:9" x14ac:dyDescent="0.2">
      <c r="H11992" s="6"/>
      <c r="I11992" s="6"/>
    </row>
    <row r="11993" spans="8:9" x14ac:dyDescent="0.2">
      <c r="H11993" s="6"/>
      <c r="I11993" s="6"/>
    </row>
    <row r="11994" spans="8:9" x14ac:dyDescent="0.2">
      <c r="H11994" s="6"/>
      <c r="I11994" s="6"/>
    </row>
    <row r="11995" spans="8:9" x14ac:dyDescent="0.2">
      <c r="H11995" s="6"/>
      <c r="I11995" s="6"/>
    </row>
    <row r="11996" spans="8:9" x14ac:dyDescent="0.2">
      <c r="H11996" s="6"/>
      <c r="I11996" s="6"/>
    </row>
    <row r="11997" spans="8:9" x14ac:dyDescent="0.2">
      <c r="H11997" s="6"/>
      <c r="I11997" s="6"/>
    </row>
    <row r="11998" spans="8:9" x14ac:dyDescent="0.2">
      <c r="H11998" s="6"/>
      <c r="I11998" s="6"/>
    </row>
    <row r="11999" spans="8:9" x14ac:dyDescent="0.2">
      <c r="H11999" s="6"/>
      <c r="I11999" s="6"/>
    </row>
    <row r="12000" spans="8:9" x14ac:dyDescent="0.2">
      <c r="H12000" s="6"/>
      <c r="I12000" s="6"/>
    </row>
    <row r="12001" spans="8:9" x14ac:dyDescent="0.2">
      <c r="H12001" s="6"/>
      <c r="I12001" s="6"/>
    </row>
    <row r="12002" spans="8:9" x14ac:dyDescent="0.2">
      <c r="H12002" s="6"/>
      <c r="I12002" s="6"/>
    </row>
    <row r="12003" spans="8:9" x14ac:dyDescent="0.2">
      <c r="H12003" s="6"/>
      <c r="I12003" s="6"/>
    </row>
    <row r="12004" spans="8:9" x14ac:dyDescent="0.2">
      <c r="H12004" s="6"/>
      <c r="I12004" s="6"/>
    </row>
    <row r="12005" spans="8:9" x14ac:dyDescent="0.2">
      <c r="H12005" s="6"/>
      <c r="I12005" s="6"/>
    </row>
    <row r="12006" spans="8:9" x14ac:dyDescent="0.2">
      <c r="H12006" s="6"/>
      <c r="I12006" s="6"/>
    </row>
    <row r="12007" spans="8:9" x14ac:dyDescent="0.2">
      <c r="H12007" s="6"/>
      <c r="I12007" s="6"/>
    </row>
    <row r="12008" spans="8:9" x14ac:dyDescent="0.2">
      <c r="H12008" s="6"/>
      <c r="I12008" s="6"/>
    </row>
    <row r="12009" spans="8:9" x14ac:dyDescent="0.2">
      <c r="H12009" s="6"/>
      <c r="I12009" s="6"/>
    </row>
    <row r="12010" spans="8:9" x14ac:dyDescent="0.2">
      <c r="H12010" s="6"/>
      <c r="I12010" s="6"/>
    </row>
    <row r="12011" spans="8:9" x14ac:dyDescent="0.2">
      <c r="H12011" s="6"/>
      <c r="I12011" s="6"/>
    </row>
    <row r="12012" spans="8:9" x14ac:dyDescent="0.2">
      <c r="H12012" s="6"/>
      <c r="I12012" s="6"/>
    </row>
    <row r="12013" spans="8:9" x14ac:dyDescent="0.2">
      <c r="H12013" s="6"/>
      <c r="I12013" s="6"/>
    </row>
    <row r="12014" spans="8:9" x14ac:dyDescent="0.2">
      <c r="H12014" s="6"/>
      <c r="I12014" s="6"/>
    </row>
    <row r="12015" spans="8:9" x14ac:dyDescent="0.2">
      <c r="H12015" s="6"/>
      <c r="I12015" s="6"/>
    </row>
    <row r="12016" spans="8:9" x14ac:dyDescent="0.2">
      <c r="H12016" s="6"/>
      <c r="I12016" s="6"/>
    </row>
    <row r="12017" spans="8:9" x14ac:dyDescent="0.2">
      <c r="H12017" s="6"/>
      <c r="I12017" s="6"/>
    </row>
    <row r="12018" spans="8:9" x14ac:dyDescent="0.2">
      <c r="H12018" s="6"/>
      <c r="I12018" s="6"/>
    </row>
    <row r="12019" spans="8:9" x14ac:dyDescent="0.2">
      <c r="H12019" s="6"/>
      <c r="I12019" s="6"/>
    </row>
    <row r="12020" spans="8:9" x14ac:dyDescent="0.2">
      <c r="H12020" s="6"/>
      <c r="I12020" s="6"/>
    </row>
    <row r="12021" spans="8:9" x14ac:dyDescent="0.2">
      <c r="H12021" s="6"/>
      <c r="I12021" s="6"/>
    </row>
    <row r="12022" spans="8:9" x14ac:dyDescent="0.2">
      <c r="H12022" s="6"/>
      <c r="I12022" s="6"/>
    </row>
    <row r="12023" spans="8:9" x14ac:dyDescent="0.2">
      <c r="H12023" s="6"/>
      <c r="I12023" s="6"/>
    </row>
    <row r="12024" spans="8:9" x14ac:dyDescent="0.2">
      <c r="H12024" s="6"/>
      <c r="I12024" s="6"/>
    </row>
    <row r="12025" spans="8:9" x14ac:dyDescent="0.2">
      <c r="H12025" s="6"/>
      <c r="I12025" s="6"/>
    </row>
    <row r="12026" spans="8:9" x14ac:dyDescent="0.2">
      <c r="H12026" s="6"/>
      <c r="I12026" s="6"/>
    </row>
    <row r="12027" spans="8:9" x14ac:dyDescent="0.2">
      <c r="H12027" s="6"/>
      <c r="I12027" s="6"/>
    </row>
    <row r="12028" spans="8:9" x14ac:dyDescent="0.2">
      <c r="H12028" s="6"/>
      <c r="I12028" s="6"/>
    </row>
    <row r="12029" spans="8:9" x14ac:dyDescent="0.2">
      <c r="H12029" s="6"/>
      <c r="I12029" s="6"/>
    </row>
    <row r="12030" spans="8:9" x14ac:dyDescent="0.2">
      <c r="H12030" s="6"/>
      <c r="I12030" s="6"/>
    </row>
    <row r="12031" spans="8:9" x14ac:dyDescent="0.2">
      <c r="H12031" s="6"/>
      <c r="I12031" s="6"/>
    </row>
    <row r="12032" spans="8:9" x14ac:dyDescent="0.2">
      <c r="H12032" s="6"/>
      <c r="I12032" s="6"/>
    </row>
    <row r="12033" spans="8:9" x14ac:dyDescent="0.2">
      <c r="H12033" s="6"/>
      <c r="I12033" s="6"/>
    </row>
    <row r="12034" spans="8:9" x14ac:dyDescent="0.2">
      <c r="H12034" s="6"/>
      <c r="I12034" s="6"/>
    </row>
    <row r="12035" spans="8:9" x14ac:dyDescent="0.2">
      <c r="H12035" s="6"/>
      <c r="I12035" s="6"/>
    </row>
    <row r="12036" spans="8:9" x14ac:dyDescent="0.2">
      <c r="H12036" s="6"/>
      <c r="I12036" s="6"/>
    </row>
    <row r="12037" spans="8:9" x14ac:dyDescent="0.2">
      <c r="H12037" s="6"/>
      <c r="I12037" s="6"/>
    </row>
    <row r="12038" spans="8:9" x14ac:dyDescent="0.2">
      <c r="H12038" s="6"/>
      <c r="I12038" s="6"/>
    </row>
    <row r="12039" spans="8:9" x14ac:dyDescent="0.2">
      <c r="H12039" s="6"/>
      <c r="I12039" s="6"/>
    </row>
    <row r="12040" spans="8:9" x14ac:dyDescent="0.2">
      <c r="H12040" s="6"/>
      <c r="I12040" s="6"/>
    </row>
    <row r="12041" spans="8:9" x14ac:dyDescent="0.2">
      <c r="H12041" s="6"/>
      <c r="I12041" s="6"/>
    </row>
    <row r="12042" spans="8:9" x14ac:dyDescent="0.2">
      <c r="H12042" s="6"/>
      <c r="I12042" s="6"/>
    </row>
    <row r="12043" spans="8:9" x14ac:dyDescent="0.2">
      <c r="H12043" s="6"/>
      <c r="I12043" s="6"/>
    </row>
    <row r="12044" spans="8:9" x14ac:dyDescent="0.2">
      <c r="H12044" s="6"/>
      <c r="I12044" s="6"/>
    </row>
    <row r="12045" spans="8:9" x14ac:dyDescent="0.2">
      <c r="H12045" s="6"/>
      <c r="I12045" s="6"/>
    </row>
    <row r="12046" spans="8:9" x14ac:dyDescent="0.2">
      <c r="H12046" s="6"/>
      <c r="I12046" s="6"/>
    </row>
    <row r="12047" spans="8:9" x14ac:dyDescent="0.2">
      <c r="H12047" s="6"/>
      <c r="I12047" s="6"/>
    </row>
    <row r="12048" spans="8:9" x14ac:dyDescent="0.2">
      <c r="H12048" s="6"/>
      <c r="I12048" s="6"/>
    </row>
    <row r="12049" spans="8:9" x14ac:dyDescent="0.2">
      <c r="H12049" s="6"/>
      <c r="I12049" s="6"/>
    </row>
    <row r="12050" spans="8:9" x14ac:dyDescent="0.2">
      <c r="H12050" s="6"/>
      <c r="I12050" s="6"/>
    </row>
    <row r="12051" spans="8:9" x14ac:dyDescent="0.2">
      <c r="H12051" s="6"/>
      <c r="I12051" s="6"/>
    </row>
    <row r="12052" spans="8:9" x14ac:dyDescent="0.2">
      <c r="H12052" s="6"/>
      <c r="I12052" s="6"/>
    </row>
    <row r="12053" spans="8:9" x14ac:dyDescent="0.2">
      <c r="H12053" s="6"/>
      <c r="I12053" s="6"/>
    </row>
    <row r="12054" spans="8:9" x14ac:dyDescent="0.2">
      <c r="H12054" s="6"/>
      <c r="I12054" s="6"/>
    </row>
    <row r="12055" spans="8:9" x14ac:dyDescent="0.2">
      <c r="H12055" s="6"/>
      <c r="I12055" s="6"/>
    </row>
    <row r="12056" spans="8:9" x14ac:dyDescent="0.2">
      <c r="H12056" s="6"/>
      <c r="I12056" s="6"/>
    </row>
    <row r="12057" spans="8:9" x14ac:dyDescent="0.2">
      <c r="H12057" s="6"/>
      <c r="I12057" s="6"/>
    </row>
    <row r="12058" spans="8:9" x14ac:dyDescent="0.2">
      <c r="H12058" s="6"/>
      <c r="I12058" s="6"/>
    </row>
    <row r="12059" spans="8:9" x14ac:dyDescent="0.2">
      <c r="H12059" s="6"/>
      <c r="I12059" s="6"/>
    </row>
    <row r="12060" spans="8:9" x14ac:dyDescent="0.2">
      <c r="H12060" s="6"/>
      <c r="I12060" s="6"/>
    </row>
    <row r="12061" spans="8:9" x14ac:dyDescent="0.2">
      <c r="H12061" s="6"/>
      <c r="I12061" s="6"/>
    </row>
    <row r="12062" spans="8:9" x14ac:dyDescent="0.2">
      <c r="H12062" s="6"/>
      <c r="I12062" s="6"/>
    </row>
    <row r="12063" spans="8:9" x14ac:dyDescent="0.2">
      <c r="H12063" s="6"/>
      <c r="I12063" s="6"/>
    </row>
    <row r="12064" spans="8:9" x14ac:dyDescent="0.2">
      <c r="H12064" s="6"/>
      <c r="I12064" s="6"/>
    </row>
    <row r="12065" spans="8:9" x14ac:dyDescent="0.2">
      <c r="H12065" s="6"/>
      <c r="I12065" s="6"/>
    </row>
    <row r="12066" spans="8:9" x14ac:dyDescent="0.2">
      <c r="H12066" s="6"/>
      <c r="I12066" s="6"/>
    </row>
    <row r="12067" spans="8:9" x14ac:dyDescent="0.2">
      <c r="H12067" s="6"/>
      <c r="I12067" s="6"/>
    </row>
    <row r="12068" spans="8:9" x14ac:dyDescent="0.2">
      <c r="H12068" s="6"/>
      <c r="I12068" s="6"/>
    </row>
    <row r="12069" spans="8:9" x14ac:dyDescent="0.2">
      <c r="H12069" s="6"/>
      <c r="I12069" s="6"/>
    </row>
    <row r="12070" spans="8:9" x14ac:dyDescent="0.2">
      <c r="H12070" s="6"/>
      <c r="I12070" s="6"/>
    </row>
    <row r="12071" spans="8:9" x14ac:dyDescent="0.2">
      <c r="H12071" s="6"/>
      <c r="I12071" s="6"/>
    </row>
    <row r="12072" spans="8:9" x14ac:dyDescent="0.2">
      <c r="H12072" s="6"/>
      <c r="I12072" s="6"/>
    </row>
    <row r="12073" spans="8:9" x14ac:dyDescent="0.2">
      <c r="H12073" s="6"/>
      <c r="I12073" s="6"/>
    </row>
    <row r="12074" spans="8:9" x14ac:dyDescent="0.2">
      <c r="H12074" s="6"/>
      <c r="I12074" s="6"/>
    </row>
    <row r="12075" spans="8:9" x14ac:dyDescent="0.2">
      <c r="H12075" s="6"/>
      <c r="I12075" s="6"/>
    </row>
    <row r="12076" spans="8:9" x14ac:dyDescent="0.2">
      <c r="H12076" s="6"/>
      <c r="I12076" s="6"/>
    </row>
    <row r="12077" spans="8:9" x14ac:dyDescent="0.2">
      <c r="H12077" s="6"/>
      <c r="I12077" s="6"/>
    </row>
    <row r="12078" spans="8:9" x14ac:dyDescent="0.2">
      <c r="H12078" s="6"/>
      <c r="I12078" s="6"/>
    </row>
    <row r="12079" spans="8:9" x14ac:dyDescent="0.2">
      <c r="H12079" s="6"/>
      <c r="I12079" s="6"/>
    </row>
    <row r="12080" spans="8:9" x14ac:dyDescent="0.2">
      <c r="H12080" s="6"/>
      <c r="I12080" s="6"/>
    </row>
    <row r="12081" spans="8:9" x14ac:dyDescent="0.2">
      <c r="H12081" s="6"/>
      <c r="I12081" s="6"/>
    </row>
    <row r="12082" spans="8:9" x14ac:dyDescent="0.2">
      <c r="H12082" s="6"/>
      <c r="I12082" s="6"/>
    </row>
    <row r="12083" spans="8:9" x14ac:dyDescent="0.2">
      <c r="H12083" s="6"/>
      <c r="I12083" s="6"/>
    </row>
    <row r="12084" spans="8:9" x14ac:dyDescent="0.2">
      <c r="H12084" s="6"/>
      <c r="I12084" s="6"/>
    </row>
    <row r="12085" spans="8:9" x14ac:dyDescent="0.2">
      <c r="H12085" s="6"/>
      <c r="I12085" s="6"/>
    </row>
    <row r="12086" spans="8:9" x14ac:dyDescent="0.2">
      <c r="H12086" s="6"/>
      <c r="I12086" s="6"/>
    </row>
    <row r="12087" spans="8:9" x14ac:dyDescent="0.2">
      <c r="H12087" s="6"/>
      <c r="I12087" s="6"/>
    </row>
    <row r="12088" spans="8:9" x14ac:dyDescent="0.2">
      <c r="H12088" s="6"/>
      <c r="I12088" s="6"/>
    </row>
    <row r="12089" spans="8:9" x14ac:dyDescent="0.2">
      <c r="H12089" s="6"/>
      <c r="I12089" s="6"/>
    </row>
    <row r="12090" spans="8:9" x14ac:dyDescent="0.2">
      <c r="H12090" s="6"/>
      <c r="I12090" s="6"/>
    </row>
    <row r="12091" spans="8:9" x14ac:dyDescent="0.2">
      <c r="H12091" s="6"/>
      <c r="I12091" s="6"/>
    </row>
    <row r="12092" spans="8:9" x14ac:dyDescent="0.2">
      <c r="H12092" s="6"/>
      <c r="I12092" s="6"/>
    </row>
    <row r="12093" spans="8:9" x14ac:dyDescent="0.2">
      <c r="H12093" s="6"/>
      <c r="I12093" s="6"/>
    </row>
    <row r="12094" spans="8:9" x14ac:dyDescent="0.2">
      <c r="H12094" s="6"/>
      <c r="I12094" s="6"/>
    </row>
    <row r="12095" spans="8:9" x14ac:dyDescent="0.2">
      <c r="H12095" s="6"/>
      <c r="I12095" s="6"/>
    </row>
    <row r="12096" spans="8:9" x14ac:dyDescent="0.2">
      <c r="H12096" s="6"/>
      <c r="I12096" s="6"/>
    </row>
    <row r="12097" spans="8:9" x14ac:dyDescent="0.2">
      <c r="H12097" s="6"/>
      <c r="I12097" s="6"/>
    </row>
    <row r="12098" spans="8:9" x14ac:dyDescent="0.2">
      <c r="H12098" s="6"/>
      <c r="I12098" s="6"/>
    </row>
    <row r="12099" spans="8:9" x14ac:dyDescent="0.2">
      <c r="H12099" s="6"/>
      <c r="I12099" s="6"/>
    </row>
    <row r="12100" spans="8:9" x14ac:dyDescent="0.2">
      <c r="H12100" s="6"/>
      <c r="I12100" s="6"/>
    </row>
    <row r="12101" spans="8:9" x14ac:dyDescent="0.2">
      <c r="H12101" s="6"/>
      <c r="I12101" s="6"/>
    </row>
    <row r="12102" spans="8:9" x14ac:dyDescent="0.2">
      <c r="H12102" s="6"/>
      <c r="I12102" s="6"/>
    </row>
    <row r="12103" spans="8:9" x14ac:dyDescent="0.2">
      <c r="H12103" s="6"/>
      <c r="I12103" s="6"/>
    </row>
    <row r="12104" spans="8:9" x14ac:dyDescent="0.2">
      <c r="H12104" s="6"/>
      <c r="I12104" s="6"/>
    </row>
    <row r="12105" spans="8:9" x14ac:dyDescent="0.2">
      <c r="H12105" s="6"/>
      <c r="I12105" s="6"/>
    </row>
    <row r="12106" spans="8:9" x14ac:dyDescent="0.2">
      <c r="H12106" s="6"/>
      <c r="I12106" s="6"/>
    </row>
    <row r="12107" spans="8:9" x14ac:dyDescent="0.2">
      <c r="H12107" s="6"/>
      <c r="I12107" s="6"/>
    </row>
    <row r="12108" spans="8:9" x14ac:dyDescent="0.2">
      <c r="H12108" s="6"/>
      <c r="I12108" s="6"/>
    </row>
    <row r="12109" spans="8:9" x14ac:dyDescent="0.2">
      <c r="H12109" s="6"/>
      <c r="I12109" s="6"/>
    </row>
    <row r="12110" spans="8:9" x14ac:dyDescent="0.2">
      <c r="H12110" s="6"/>
      <c r="I12110" s="6"/>
    </row>
    <row r="12111" spans="8:9" x14ac:dyDescent="0.2">
      <c r="H12111" s="6"/>
      <c r="I12111" s="6"/>
    </row>
    <row r="12112" spans="8:9" x14ac:dyDescent="0.2">
      <c r="H12112" s="6"/>
      <c r="I12112" s="6"/>
    </row>
    <row r="12113" spans="8:9" x14ac:dyDescent="0.2">
      <c r="H12113" s="6"/>
      <c r="I12113" s="6"/>
    </row>
    <row r="12114" spans="8:9" x14ac:dyDescent="0.2">
      <c r="H12114" s="6"/>
      <c r="I12114" s="6"/>
    </row>
    <row r="12115" spans="8:9" x14ac:dyDescent="0.2">
      <c r="H12115" s="6"/>
      <c r="I12115" s="6"/>
    </row>
    <row r="12116" spans="8:9" x14ac:dyDescent="0.2">
      <c r="H12116" s="6"/>
      <c r="I12116" s="6"/>
    </row>
    <row r="12117" spans="8:9" x14ac:dyDescent="0.2">
      <c r="H12117" s="6"/>
      <c r="I12117" s="6"/>
    </row>
    <row r="12118" spans="8:9" x14ac:dyDescent="0.2">
      <c r="H12118" s="6"/>
      <c r="I12118" s="6"/>
    </row>
    <row r="12119" spans="8:9" x14ac:dyDescent="0.2">
      <c r="H12119" s="6"/>
      <c r="I12119" s="6"/>
    </row>
    <row r="12120" spans="8:9" x14ac:dyDescent="0.2">
      <c r="H12120" s="6"/>
      <c r="I12120" s="6"/>
    </row>
    <row r="12121" spans="8:9" x14ac:dyDescent="0.2">
      <c r="H12121" s="6"/>
      <c r="I12121" s="6"/>
    </row>
    <row r="12122" spans="8:9" x14ac:dyDescent="0.2">
      <c r="H12122" s="6"/>
      <c r="I12122" s="6"/>
    </row>
    <row r="12123" spans="8:9" x14ac:dyDescent="0.2">
      <c r="H12123" s="6"/>
      <c r="I12123" s="6"/>
    </row>
    <row r="12124" spans="8:9" x14ac:dyDescent="0.2">
      <c r="H12124" s="6"/>
      <c r="I12124" s="6"/>
    </row>
    <row r="12125" spans="8:9" x14ac:dyDescent="0.2">
      <c r="H12125" s="6"/>
      <c r="I12125" s="6"/>
    </row>
    <row r="12126" spans="8:9" x14ac:dyDescent="0.2">
      <c r="H12126" s="6"/>
      <c r="I12126" s="6"/>
    </row>
    <row r="12127" spans="8:9" x14ac:dyDescent="0.2">
      <c r="H12127" s="6"/>
      <c r="I12127" s="6"/>
    </row>
    <row r="12128" spans="8:9" x14ac:dyDescent="0.2">
      <c r="H12128" s="6"/>
      <c r="I12128" s="6"/>
    </row>
    <row r="12129" spans="8:9" x14ac:dyDescent="0.2">
      <c r="H12129" s="6"/>
      <c r="I12129" s="6"/>
    </row>
    <row r="12130" spans="8:9" x14ac:dyDescent="0.2">
      <c r="H12130" s="6"/>
      <c r="I12130" s="6"/>
    </row>
    <row r="12131" spans="8:9" x14ac:dyDescent="0.2">
      <c r="H12131" s="6"/>
      <c r="I12131" s="6"/>
    </row>
    <row r="12132" spans="8:9" x14ac:dyDescent="0.2">
      <c r="H12132" s="6"/>
      <c r="I12132" s="6"/>
    </row>
    <row r="12133" spans="8:9" x14ac:dyDescent="0.2">
      <c r="H12133" s="6"/>
      <c r="I12133" s="6"/>
    </row>
    <row r="12134" spans="8:9" x14ac:dyDescent="0.2">
      <c r="H12134" s="6"/>
      <c r="I12134" s="6"/>
    </row>
    <row r="12135" spans="8:9" x14ac:dyDescent="0.2">
      <c r="H12135" s="6"/>
      <c r="I12135" s="6"/>
    </row>
    <row r="12136" spans="8:9" x14ac:dyDescent="0.2">
      <c r="H12136" s="6"/>
      <c r="I12136" s="6"/>
    </row>
    <row r="12137" spans="8:9" x14ac:dyDescent="0.2">
      <c r="H12137" s="6"/>
      <c r="I12137" s="6"/>
    </row>
    <row r="12138" spans="8:9" x14ac:dyDescent="0.2">
      <c r="H12138" s="6"/>
      <c r="I12138" s="6"/>
    </row>
    <row r="12139" spans="8:9" x14ac:dyDescent="0.2">
      <c r="H12139" s="6"/>
      <c r="I12139" s="6"/>
    </row>
    <row r="12140" spans="8:9" x14ac:dyDescent="0.2">
      <c r="H12140" s="6"/>
      <c r="I12140" s="6"/>
    </row>
    <row r="12141" spans="8:9" x14ac:dyDescent="0.2">
      <c r="H12141" s="6"/>
      <c r="I12141" s="6"/>
    </row>
    <row r="12142" spans="8:9" x14ac:dyDescent="0.2">
      <c r="H12142" s="6"/>
      <c r="I12142" s="6"/>
    </row>
    <row r="12143" spans="8:9" x14ac:dyDescent="0.2">
      <c r="H12143" s="6"/>
      <c r="I12143" s="6"/>
    </row>
    <row r="12144" spans="8:9" x14ac:dyDescent="0.2">
      <c r="H12144" s="6"/>
      <c r="I12144" s="6"/>
    </row>
    <row r="12145" spans="8:9" x14ac:dyDescent="0.2">
      <c r="H12145" s="6"/>
      <c r="I12145" s="6"/>
    </row>
    <row r="12146" spans="8:9" x14ac:dyDescent="0.2">
      <c r="H12146" s="6"/>
      <c r="I12146" s="6"/>
    </row>
    <row r="12147" spans="8:9" x14ac:dyDescent="0.2">
      <c r="H12147" s="6"/>
      <c r="I12147" s="6"/>
    </row>
    <row r="12148" spans="8:9" x14ac:dyDescent="0.2">
      <c r="H12148" s="6"/>
      <c r="I12148" s="6"/>
    </row>
    <row r="12149" spans="8:9" x14ac:dyDescent="0.2">
      <c r="H12149" s="6"/>
      <c r="I12149" s="6"/>
    </row>
    <row r="12150" spans="8:9" x14ac:dyDescent="0.2">
      <c r="H12150" s="6"/>
      <c r="I12150" s="6"/>
    </row>
    <row r="12151" spans="8:9" x14ac:dyDescent="0.2">
      <c r="H12151" s="6"/>
      <c r="I12151" s="6"/>
    </row>
    <row r="12152" spans="8:9" x14ac:dyDescent="0.2">
      <c r="H12152" s="6"/>
      <c r="I12152" s="6"/>
    </row>
    <row r="12153" spans="8:9" x14ac:dyDescent="0.2">
      <c r="H12153" s="6"/>
      <c r="I12153" s="6"/>
    </row>
    <row r="12154" spans="8:9" x14ac:dyDescent="0.2">
      <c r="H12154" s="6"/>
      <c r="I12154" s="6"/>
    </row>
    <row r="12155" spans="8:9" x14ac:dyDescent="0.2">
      <c r="H12155" s="6"/>
      <c r="I12155" s="6"/>
    </row>
    <row r="12156" spans="8:9" x14ac:dyDescent="0.2">
      <c r="H12156" s="6"/>
      <c r="I12156" s="6"/>
    </row>
    <row r="12157" spans="8:9" x14ac:dyDescent="0.2">
      <c r="H12157" s="6"/>
      <c r="I12157" s="6"/>
    </row>
    <row r="12158" spans="8:9" x14ac:dyDescent="0.2">
      <c r="H12158" s="6"/>
      <c r="I12158" s="6"/>
    </row>
    <row r="12159" spans="8:9" x14ac:dyDescent="0.2">
      <c r="H12159" s="6"/>
      <c r="I12159" s="6"/>
    </row>
    <row r="12160" spans="8:9" x14ac:dyDescent="0.2">
      <c r="H12160" s="6"/>
      <c r="I12160" s="6"/>
    </row>
    <row r="12161" spans="8:9" x14ac:dyDescent="0.2">
      <c r="H12161" s="6"/>
      <c r="I12161" s="6"/>
    </row>
    <row r="12162" spans="8:9" x14ac:dyDescent="0.2">
      <c r="H12162" s="6"/>
      <c r="I12162" s="6"/>
    </row>
    <row r="12163" spans="8:9" x14ac:dyDescent="0.2">
      <c r="H12163" s="6"/>
      <c r="I12163" s="6"/>
    </row>
    <row r="12164" spans="8:9" x14ac:dyDescent="0.2">
      <c r="H12164" s="6"/>
      <c r="I12164" s="6"/>
    </row>
    <row r="12165" spans="8:9" x14ac:dyDescent="0.2">
      <c r="H12165" s="6"/>
      <c r="I12165" s="6"/>
    </row>
    <row r="12166" spans="8:9" x14ac:dyDescent="0.2">
      <c r="H12166" s="6"/>
      <c r="I12166" s="6"/>
    </row>
    <row r="12167" spans="8:9" x14ac:dyDescent="0.2">
      <c r="H12167" s="6"/>
      <c r="I12167" s="6"/>
    </row>
    <row r="12168" spans="8:9" x14ac:dyDescent="0.2">
      <c r="H12168" s="6"/>
      <c r="I12168" s="6"/>
    </row>
    <row r="12169" spans="8:9" x14ac:dyDescent="0.2">
      <c r="H12169" s="6"/>
      <c r="I12169" s="6"/>
    </row>
    <row r="12170" spans="8:9" x14ac:dyDescent="0.2">
      <c r="H12170" s="6"/>
      <c r="I12170" s="6"/>
    </row>
    <row r="12171" spans="8:9" x14ac:dyDescent="0.2">
      <c r="H12171" s="6"/>
      <c r="I12171" s="6"/>
    </row>
    <row r="12172" spans="8:9" x14ac:dyDescent="0.2">
      <c r="H12172" s="6"/>
      <c r="I12172" s="6"/>
    </row>
    <row r="12173" spans="8:9" x14ac:dyDescent="0.2">
      <c r="H12173" s="6"/>
      <c r="I12173" s="6"/>
    </row>
    <row r="12174" spans="8:9" x14ac:dyDescent="0.2">
      <c r="H12174" s="6"/>
      <c r="I12174" s="6"/>
    </row>
    <row r="12175" spans="8:9" x14ac:dyDescent="0.2">
      <c r="H12175" s="6"/>
      <c r="I12175" s="6"/>
    </row>
    <row r="12176" spans="8:9" x14ac:dyDescent="0.2">
      <c r="H12176" s="6"/>
      <c r="I12176" s="6"/>
    </row>
    <row r="12177" spans="8:9" x14ac:dyDescent="0.2">
      <c r="H12177" s="6"/>
      <c r="I12177" s="6"/>
    </row>
    <row r="12178" spans="8:9" x14ac:dyDescent="0.2">
      <c r="H12178" s="6"/>
      <c r="I12178" s="6"/>
    </row>
    <row r="12179" spans="8:9" x14ac:dyDescent="0.2">
      <c r="H12179" s="6"/>
      <c r="I12179" s="6"/>
    </row>
    <row r="12180" spans="8:9" x14ac:dyDescent="0.2">
      <c r="H12180" s="6"/>
      <c r="I12180" s="6"/>
    </row>
    <row r="12181" spans="8:9" x14ac:dyDescent="0.2">
      <c r="H12181" s="6"/>
      <c r="I12181" s="6"/>
    </row>
    <row r="12182" spans="8:9" x14ac:dyDescent="0.2">
      <c r="H12182" s="6"/>
      <c r="I12182" s="6"/>
    </row>
    <row r="12183" spans="8:9" x14ac:dyDescent="0.2">
      <c r="H12183" s="6"/>
      <c r="I12183" s="6"/>
    </row>
    <row r="12184" spans="8:9" x14ac:dyDescent="0.2">
      <c r="H12184" s="6"/>
      <c r="I12184" s="6"/>
    </row>
    <row r="12185" spans="8:9" x14ac:dyDescent="0.2">
      <c r="H12185" s="6"/>
      <c r="I12185" s="6"/>
    </row>
    <row r="12186" spans="8:9" x14ac:dyDescent="0.2">
      <c r="H12186" s="6"/>
      <c r="I12186" s="6"/>
    </row>
    <row r="12187" spans="8:9" x14ac:dyDescent="0.2">
      <c r="H12187" s="6"/>
      <c r="I12187" s="6"/>
    </row>
    <row r="12188" spans="8:9" x14ac:dyDescent="0.2">
      <c r="H12188" s="6"/>
      <c r="I12188" s="6"/>
    </row>
    <row r="12189" spans="8:9" x14ac:dyDescent="0.2">
      <c r="H12189" s="6"/>
      <c r="I12189" s="6"/>
    </row>
    <row r="12190" spans="8:9" x14ac:dyDescent="0.2">
      <c r="H12190" s="6"/>
      <c r="I12190" s="6"/>
    </row>
    <row r="12191" spans="8:9" x14ac:dyDescent="0.2">
      <c r="H12191" s="6"/>
      <c r="I12191" s="6"/>
    </row>
    <row r="12192" spans="8:9" x14ac:dyDescent="0.2">
      <c r="H12192" s="6"/>
      <c r="I12192" s="6"/>
    </row>
    <row r="12193" spans="8:9" x14ac:dyDescent="0.2">
      <c r="H12193" s="6"/>
      <c r="I12193" s="6"/>
    </row>
    <row r="12194" spans="8:9" x14ac:dyDescent="0.2">
      <c r="H12194" s="6"/>
      <c r="I12194" s="6"/>
    </row>
    <row r="12195" spans="8:9" x14ac:dyDescent="0.2">
      <c r="H12195" s="6"/>
      <c r="I12195" s="6"/>
    </row>
    <row r="12196" spans="8:9" x14ac:dyDescent="0.2">
      <c r="H12196" s="6"/>
      <c r="I12196" s="6"/>
    </row>
    <row r="12197" spans="8:9" x14ac:dyDescent="0.2">
      <c r="H12197" s="6"/>
      <c r="I12197" s="6"/>
    </row>
    <row r="12198" spans="8:9" x14ac:dyDescent="0.2">
      <c r="H12198" s="6"/>
      <c r="I12198" s="6"/>
    </row>
    <row r="12199" spans="8:9" x14ac:dyDescent="0.2">
      <c r="H12199" s="6"/>
      <c r="I12199" s="6"/>
    </row>
    <row r="12200" spans="8:9" x14ac:dyDescent="0.2">
      <c r="H12200" s="6"/>
      <c r="I12200" s="6"/>
    </row>
    <row r="12201" spans="8:9" x14ac:dyDescent="0.2">
      <c r="H12201" s="6"/>
      <c r="I12201" s="6"/>
    </row>
    <row r="12202" spans="8:9" x14ac:dyDescent="0.2">
      <c r="H12202" s="6"/>
      <c r="I12202" s="6"/>
    </row>
    <row r="12203" spans="8:9" x14ac:dyDescent="0.2">
      <c r="H12203" s="6"/>
      <c r="I12203" s="6"/>
    </row>
    <row r="12204" spans="8:9" x14ac:dyDescent="0.2">
      <c r="H12204" s="6"/>
      <c r="I12204" s="6"/>
    </row>
    <row r="12205" spans="8:9" x14ac:dyDescent="0.2">
      <c r="H12205" s="6"/>
      <c r="I12205" s="6"/>
    </row>
    <row r="12206" spans="8:9" x14ac:dyDescent="0.2">
      <c r="H12206" s="6"/>
      <c r="I12206" s="6"/>
    </row>
    <row r="12207" spans="8:9" x14ac:dyDescent="0.2">
      <c r="H12207" s="6"/>
      <c r="I12207" s="6"/>
    </row>
    <row r="12208" spans="8:9" x14ac:dyDescent="0.2">
      <c r="H12208" s="6"/>
      <c r="I12208" s="6"/>
    </row>
    <row r="12209" spans="8:9" x14ac:dyDescent="0.2">
      <c r="H12209" s="6"/>
      <c r="I12209" s="6"/>
    </row>
    <row r="12210" spans="8:9" x14ac:dyDescent="0.2">
      <c r="H12210" s="6"/>
      <c r="I12210" s="6"/>
    </row>
    <row r="12211" spans="8:9" x14ac:dyDescent="0.2">
      <c r="H12211" s="6"/>
      <c r="I12211" s="6"/>
    </row>
    <row r="12212" spans="8:9" x14ac:dyDescent="0.2">
      <c r="H12212" s="6"/>
      <c r="I12212" s="6"/>
    </row>
    <row r="12213" spans="8:9" x14ac:dyDescent="0.2">
      <c r="H12213" s="6"/>
      <c r="I12213" s="6"/>
    </row>
    <row r="12214" spans="8:9" x14ac:dyDescent="0.2">
      <c r="H12214" s="6"/>
      <c r="I12214" s="6"/>
    </row>
    <row r="12215" spans="8:9" x14ac:dyDescent="0.2">
      <c r="H12215" s="6"/>
      <c r="I12215" s="6"/>
    </row>
    <row r="12216" spans="8:9" x14ac:dyDescent="0.2">
      <c r="H12216" s="6"/>
      <c r="I12216" s="6"/>
    </row>
    <row r="12217" spans="8:9" x14ac:dyDescent="0.2">
      <c r="H12217" s="6"/>
      <c r="I12217" s="6"/>
    </row>
    <row r="12218" spans="8:9" x14ac:dyDescent="0.2">
      <c r="H12218" s="6"/>
      <c r="I12218" s="6"/>
    </row>
    <row r="12219" spans="8:9" x14ac:dyDescent="0.2">
      <c r="H12219" s="6"/>
      <c r="I12219" s="6"/>
    </row>
    <row r="12220" spans="8:9" x14ac:dyDescent="0.2">
      <c r="H12220" s="6"/>
      <c r="I12220" s="6"/>
    </row>
    <row r="12221" spans="8:9" x14ac:dyDescent="0.2">
      <c r="H12221" s="6"/>
      <c r="I12221" s="6"/>
    </row>
    <row r="12222" spans="8:9" x14ac:dyDescent="0.2">
      <c r="H12222" s="6"/>
      <c r="I12222" s="6"/>
    </row>
    <row r="12223" spans="8:9" x14ac:dyDescent="0.2">
      <c r="H12223" s="6"/>
      <c r="I12223" s="6"/>
    </row>
    <row r="12224" spans="8:9" x14ac:dyDescent="0.2">
      <c r="H12224" s="6"/>
      <c r="I12224" s="6"/>
    </row>
    <row r="12225" spans="8:9" x14ac:dyDescent="0.2">
      <c r="H12225" s="6"/>
      <c r="I12225" s="6"/>
    </row>
    <row r="12226" spans="8:9" x14ac:dyDescent="0.2">
      <c r="H12226" s="6"/>
      <c r="I12226" s="6"/>
    </row>
    <row r="12227" spans="8:9" x14ac:dyDescent="0.2">
      <c r="H12227" s="6"/>
      <c r="I12227" s="6"/>
    </row>
    <row r="12228" spans="8:9" x14ac:dyDescent="0.2">
      <c r="H12228" s="6"/>
      <c r="I12228" s="6"/>
    </row>
    <row r="12229" spans="8:9" x14ac:dyDescent="0.2">
      <c r="H12229" s="6"/>
      <c r="I12229" s="6"/>
    </row>
    <row r="12230" spans="8:9" x14ac:dyDescent="0.2">
      <c r="H12230" s="6"/>
      <c r="I12230" s="6"/>
    </row>
    <row r="12231" spans="8:9" x14ac:dyDescent="0.2">
      <c r="H12231" s="6"/>
      <c r="I12231" s="6"/>
    </row>
    <row r="12232" spans="8:9" x14ac:dyDescent="0.2">
      <c r="H12232" s="6"/>
      <c r="I12232" s="6"/>
    </row>
    <row r="12233" spans="8:9" x14ac:dyDescent="0.2">
      <c r="H12233" s="6"/>
      <c r="I12233" s="6"/>
    </row>
    <row r="12234" spans="8:9" x14ac:dyDescent="0.2">
      <c r="H12234" s="6"/>
      <c r="I12234" s="6"/>
    </row>
    <row r="12235" spans="8:9" x14ac:dyDescent="0.2">
      <c r="H12235" s="6"/>
      <c r="I12235" s="6"/>
    </row>
    <row r="12236" spans="8:9" x14ac:dyDescent="0.2">
      <c r="H12236" s="6"/>
      <c r="I12236" s="6"/>
    </row>
    <row r="12237" spans="8:9" x14ac:dyDescent="0.2">
      <c r="H12237" s="6"/>
      <c r="I12237" s="6"/>
    </row>
    <row r="12238" spans="8:9" x14ac:dyDescent="0.2">
      <c r="H12238" s="6"/>
      <c r="I12238" s="6"/>
    </row>
    <row r="12239" spans="8:9" x14ac:dyDescent="0.2">
      <c r="H12239" s="6"/>
      <c r="I12239" s="6"/>
    </row>
    <row r="12240" spans="8:9" x14ac:dyDescent="0.2">
      <c r="H12240" s="6"/>
      <c r="I12240" s="6"/>
    </row>
    <row r="12241" spans="8:9" x14ac:dyDescent="0.2">
      <c r="H12241" s="6"/>
      <c r="I12241" s="6"/>
    </row>
    <row r="12242" spans="8:9" x14ac:dyDescent="0.2">
      <c r="H12242" s="6"/>
      <c r="I12242" s="6"/>
    </row>
    <row r="12243" spans="8:9" x14ac:dyDescent="0.2">
      <c r="H12243" s="6"/>
      <c r="I12243" s="6"/>
    </row>
    <row r="12244" spans="8:9" x14ac:dyDescent="0.2">
      <c r="H12244" s="6"/>
      <c r="I12244" s="6"/>
    </row>
    <row r="12245" spans="8:9" x14ac:dyDescent="0.2">
      <c r="H12245" s="6"/>
      <c r="I12245" s="6"/>
    </row>
    <row r="12246" spans="8:9" x14ac:dyDescent="0.2">
      <c r="H12246" s="6"/>
      <c r="I12246" s="6"/>
    </row>
    <row r="12247" spans="8:9" x14ac:dyDescent="0.2">
      <c r="H12247" s="6"/>
      <c r="I12247" s="6"/>
    </row>
    <row r="12248" spans="8:9" x14ac:dyDescent="0.2">
      <c r="H12248" s="6"/>
      <c r="I12248" s="6"/>
    </row>
    <row r="12249" spans="8:9" x14ac:dyDescent="0.2">
      <c r="H12249" s="6"/>
      <c r="I12249" s="6"/>
    </row>
    <row r="12250" spans="8:9" x14ac:dyDescent="0.2">
      <c r="H12250" s="6"/>
      <c r="I12250" s="6"/>
    </row>
    <row r="12251" spans="8:9" x14ac:dyDescent="0.2">
      <c r="H12251" s="6"/>
      <c r="I12251" s="6"/>
    </row>
    <row r="12252" spans="8:9" x14ac:dyDescent="0.2">
      <c r="H12252" s="6"/>
      <c r="I12252" s="6"/>
    </row>
    <row r="12253" spans="8:9" x14ac:dyDescent="0.2">
      <c r="H12253" s="6"/>
      <c r="I12253" s="6"/>
    </row>
    <row r="12254" spans="8:9" x14ac:dyDescent="0.2">
      <c r="H12254" s="6"/>
      <c r="I12254" s="6"/>
    </row>
    <row r="12255" spans="8:9" x14ac:dyDescent="0.2">
      <c r="H12255" s="6"/>
      <c r="I12255" s="6"/>
    </row>
    <row r="12256" spans="8:9" x14ac:dyDescent="0.2">
      <c r="H12256" s="6"/>
      <c r="I12256" s="6"/>
    </row>
    <row r="12257" spans="8:9" x14ac:dyDescent="0.2">
      <c r="H12257" s="6"/>
      <c r="I12257" s="6"/>
    </row>
    <row r="12258" spans="8:9" x14ac:dyDescent="0.2">
      <c r="H12258" s="6"/>
      <c r="I12258" s="6"/>
    </row>
    <row r="12259" spans="8:9" x14ac:dyDescent="0.2">
      <c r="H12259" s="6"/>
      <c r="I12259" s="6"/>
    </row>
    <row r="12260" spans="8:9" x14ac:dyDescent="0.2">
      <c r="H12260" s="6"/>
      <c r="I12260" s="6"/>
    </row>
    <row r="12261" spans="8:9" x14ac:dyDescent="0.2">
      <c r="H12261" s="6"/>
      <c r="I12261" s="6"/>
    </row>
    <row r="12262" spans="8:9" x14ac:dyDescent="0.2">
      <c r="H12262" s="6"/>
      <c r="I12262" s="6"/>
    </row>
    <row r="12263" spans="8:9" x14ac:dyDescent="0.2">
      <c r="H12263" s="6"/>
      <c r="I12263" s="6"/>
    </row>
    <row r="12264" spans="8:9" x14ac:dyDescent="0.2">
      <c r="H12264" s="6"/>
      <c r="I12264" s="6"/>
    </row>
    <row r="12265" spans="8:9" x14ac:dyDescent="0.2">
      <c r="H12265" s="6"/>
      <c r="I12265" s="6"/>
    </row>
    <row r="12266" spans="8:9" x14ac:dyDescent="0.2">
      <c r="H12266" s="6"/>
      <c r="I12266" s="6"/>
    </row>
    <row r="12267" spans="8:9" x14ac:dyDescent="0.2">
      <c r="H12267" s="6"/>
      <c r="I12267" s="6"/>
    </row>
    <row r="12268" spans="8:9" x14ac:dyDescent="0.2">
      <c r="H12268" s="6"/>
      <c r="I12268" s="6"/>
    </row>
    <row r="12269" spans="8:9" x14ac:dyDescent="0.2">
      <c r="H12269" s="6"/>
      <c r="I12269" s="6"/>
    </row>
    <row r="12270" spans="8:9" x14ac:dyDescent="0.2">
      <c r="H12270" s="6"/>
      <c r="I12270" s="6"/>
    </row>
    <row r="12271" spans="8:9" x14ac:dyDescent="0.2">
      <c r="H12271" s="6"/>
      <c r="I12271" s="6"/>
    </row>
    <row r="12272" spans="8:9" x14ac:dyDescent="0.2">
      <c r="H12272" s="6"/>
      <c r="I12272" s="6"/>
    </row>
    <row r="12273" spans="8:9" x14ac:dyDescent="0.2">
      <c r="H12273" s="6"/>
      <c r="I12273" s="6"/>
    </row>
    <row r="12274" spans="8:9" x14ac:dyDescent="0.2">
      <c r="H12274" s="6"/>
      <c r="I12274" s="6"/>
    </row>
    <row r="12275" spans="8:9" x14ac:dyDescent="0.2">
      <c r="H12275" s="6"/>
      <c r="I12275" s="6"/>
    </row>
    <row r="12276" spans="8:9" x14ac:dyDescent="0.2">
      <c r="H12276" s="6"/>
      <c r="I12276" s="6"/>
    </row>
    <row r="12277" spans="8:9" x14ac:dyDescent="0.2">
      <c r="H12277" s="6"/>
      <c r="I12277" s="6"/>
    </row>
    <row r="12278" spans="8:9" x14ac:dyDescent="0.2">
      <c r="H12278" s="6"/>
      <c r="I12278" s="6"/>
    </row>
    <row r="12279" spans="8:9" x14ac:dyDescent="0.2">
      <c r="H12279" s="6"/>
      <c r="I12279" s="6"/>
    </row>
    <row r="12280" spans="8:9" x14ac:dyDescent="0.2">
      <c r="H12280" s="6"/>
      <c r="I12280" s="6"/>
    </row>
    <row r="12281" spans="8:9" x14ac:dyDescent="0.2">
      <c r="H12281" s="6"/>
      <c r="I12281" s="6"/>
    </row>
    <row r="12282" spans="8:9" x14ac:dyDescent="0.2">
      <c r="H12282" s="6"/>
      <c r="I12282" s="6"/>
    </row>
    <row r="12283" spans="8:9" x14ac:dyDescent="0.2">
      <c r="H12283" s="6"/>
      <c r="I12283" s="6"/>
    </row>
    <row r="12284" spans="8:9" x14ac:dyDescent="0.2">
      <c r="H12284" s="6"/>
      <c r="I12284" s="6"/>
    </row>
    <row r="12285" spans="8:9" x14ac:dyDescent="0.2">
      <c r="H12285" s="6"/>
      <c r="I12285" s="6"/>
    </row>
    <row r="12286" spans="8:9" x14ac:dyDescent="0.2">
      <c r="H12286" s="6"/>
      <c r="I12286" s="6"/>
    </row>
    <row r="12287" spans="8:9" x14ac:dyDescent="0.2">
      <c r="H12287" s="6"/>
      <c r="I12287" s="6"/>
    </row>
    <row r="12288" spans="8:9" x14ac:dyDescent="0.2">
      <c r="H12288" s="6"/>
      <c r="I12288" s="6"/>
    </row>
    <row r="12289" spans="8:9" x14ac:dyDescent="0.2">
      <c r="H12289" s="6"/>
      <c r="I12289" s="6"/>
    </row>
    <row r="12290" spans="8:9" x14ac:dyDescent="0.2">
      <c r="H12290" s="6"/>
      <c r="I12290" s="6"/>
    </row>
    <row r="12291" spans="8:9" x14ac:dyDescent="0.2">
      <c r="H12291" s="6"/>
      <c r="I12291" s="6"/>
    </row>
    <row r="12292" spans="8:9" x14ac:dyDescent="0.2">
      <c r="H12292" s="6"/>
      <c r="I12292" s="6"/>
    </row>
    <row r="12293" spans="8:9" x14ac:dyDescent="0.2">
      <c r="H12293" s="6"/>
      <c r="I12293" s="6"/>
    </row>
    <row r="12294" spans="8:9" x14ac:dyDescent="0.2">
      <c r="H12294" s="6"/>
      <c r="I12294" s="6"/>
    </row>
    <row r="12295" spans="8:9" x14ac:dyDescent="0.2">
      <c r="H12295" s="6"/>
      <c r="I12295" s="6"/>
    </row>
    <row r="12296" spans="8:9" x14ac:dyDescent="0.2">
      <c r="H12296" s="6"/>
      <c r="I12296" s="6"/>
    </row>
    <row r="12297" spans="8:9" x14ac:dyDescent="0.2">
      <c r="H12297" s="6"/>
      <c r="I12297" s="6"/>
    </row>
    <row r="12298" spans="8:9" x14ac:dyDescent="0.2">
      <c r="H12298" s="6"/>
      <c r="I12298" s="6"/>
    </row>
    <row r="12299" spans="8:9" x14ac:dyDescent="0.2">
      <c r="H12299" s="6"/>
      <c r="I12299" s="6"/>
    </row>
    <row r="12300" spans="8:9" x14ac:dyDescent="0.2">
      <c r="H12300" s="6"/>
      <c r="I12300" s="6"/>
    </row>
    <row r="12301" spans="8:9" x14ac:dyDescent="0.2">
      <c r="H12301" s="6"/>
      <c r="I12301" s="6"/>
    </row>
    <row r="12302" spans="8:9" x14ac:dyDescent="0.2">
      <c r="H12302" s="6"/>
      <c r="I12302" s="6"/>
    </row>
    <row r="12303" spans="8:9" x14ac:dyDescent="0.2">
      <c r="H12303" s="6"/>
      <c r="I12303" s="6"/>
    </row>
    <row r="12304" spans="8:9" x14ac:dyDescent="0.2">
      <c r="H12304" s="6"/>
      <c r="I12304" s="6"/>
    </row>
    <row r="12305" spans="8:9" x14ac:dyDescent="0.2">
      <c r="H12305" s="6"/>
      <c r="I12305" s="6"/>
    </row>
    <row r="12306" spans="8:9" x14ac:dyDescent="0.2">
      <c r="H12306" s="6"/>
      <c r="I12306" s="6"/>
    </row>
    <row r="12307" spans="8:9" x14ac:dyDescent="0.2">
      <c r="H12307" s="6"/>
      <c r="I12307" s="6"/>
    </row>
    <row r="12308" spans="8:9" x14ac:dyDescent="0.2">
      <c r="H12308" s="6"/>
      <c r="I12308" s="6"/>
    </row>
    <row r="12309" spans="8:9" x14ac:dyDescent="0.2">
      <c r="H12309" s="6"/>
      <c r="I12309" s="6"/>
    </row>
    <row r="12310" spans="8:9" x14ac:dyDescent="0.2">
      <c r="H12310" s="6"/>
      <c r="I12310" s="6"/>
    </row>
    <row r="12311" spans="8:9" x14ac:dyDescent="0.2">
      <c r="H12311" s="6"/>
      <c r="I12311" s="6"/>
    </row>
    <row r="12312" spans="8:9" x14ac:dyDescent="0.2">
      <c r="H12312" s="6"/>
      <c r="I12312" s="6"/>
    </row>
    <row r="12313" spans="8:9" x14ac:dyDescent="0.2">
      <c r="H12313" s="6"/>
      <c r="I12313" s="6"/>
    </row>
    <row r="12314" spans="8:9" x14ac:dyDescent="0.2">
      <c r="H12314" s="6"/>
      <c r="I12314" s="6"/>
    </row>
    <row r="12315" spans="8:9" x14ac:dyDescent="0.2">
      <c r="H12315" s="6"/>
      <c r="I12315" s="6"/>
    </row>
    <row r="12316" spans="8:9" x14ac:dyDescent="0.2">
      <c r="H12316" s="6"/>
      <c r="I12316" s="6"/>
    </row>
    <row r="12317" spans="8:9" x14ac:dyDescent="0.2">
      <c r="H12317" s="6"/>
      <c r="I12317" s="6"/>
    </row>
    <row r="12318" spans="8:9" x14ac:dyDescent="0.2">
      <c r="H12318" s="6"/>
      <c r="I12318" s="6"/>
    </row>
    <row r="12319" spans="8:9" x14ac:dyDescent="0.2">
      <c r="H12319" s="6"/>
      <c r="I12319" s="6"/>
    </row>
    <row r="12320" spans="8:9" x14ac:dyDescent="0.2">
      <c r="H12320" s="6"/>
      <c r="I12320" s="6"/>
    </row>
    <row r="12321" spans="8:9" x14ac:dyDescent="0.2">
      <c r="H12321" s="6"/>
      <c r="I12321" s="6"/>
    </row>
    <row r="12322" spans="8:9" x14ac:dyDescent="0.2">
      <c r="H12322" s="6"/>
      <c r="I12322" s="6"/>
    </row>
    <row r="12323" spans="8:9" x14ac:dyDescent="0.2">
      <c r="H12323" s="6"/>
      <c r="I12323" s="6"/>
    </row>
    <row r="12324" spans="8:9" x14ac:dyDescent="0.2">
      <c r="H12324" s="6"/>
      <c r="I12324" s="6"/>
    </row>
    <row r="12325" spans="8:9" x14ac:dyDescent="0.2">
      <c r="H12325" s="6"/>
      <c r="I12325" s="6"/>
    </row>
    <row r="12326" spans="8:9" x14ac:dyDescent="0.2">
      <c r="H12326" s="6"/>
      <c r="I12326" s="6"/>
    </row>
    <row r="12327" spans="8:9" x14ac:dyDescent="0.2">
      <c r="H12327" s="6"/>
      <c r="I12327" s="6"/>
    </row>
    <row r="12328" spans="8:9" x14ac:dyDescent="0.2">
      <c r="H12328" s="6"/>
      <c r="I12328" s="6"/>
    </row>
    <row r="12329" spans="8:9" x14ac:dyDescent="0.2">
      <c r="H12329" s="6"/>
      <c r="I12329" s="6"/>
    </row>
    <row r="12330" spans="8:9" x14ac:dyDescent="0.2">
      <c r="H12330" s="6"/>
      <c r="I12330" s="6"/>
    </row>
    <row r="12331" spans="8:9" x14ac:dyDescent="0.2">
      <c r="H12331" s="6"/>
      <c r="I12331" s="6"/>
    </row>
    <row r="12332" spans="8:9" x14ac:dyDescent="0.2">
      <c r="H12332" s="6"/>
      <c r="I12332" s="6"/>
    </row>
    <row r="12333" spans="8:9" x14ac:dyDescent="0.2">
      <c r="H12333" s="6"/>
      <c r="I12333" s="6"/>
    </row>
    <row r="12334" spans="8:9" x14ac:dyDescent="0.2">
      <c r="H12334" s="6"/>
      <c r="I12334" s="6"/>
    </row>
    <row r="12335" spans="8:9" x14ac:dyDescent="0.2">
      <c r="H12335" s="6"/>
      <c r="I12335" s="6"/>
    </row>
    <row r="12336" spans="8:9" x14ac:dyDescent="0.2">
      <c r="H12336" s="6"/>
      <c r="I12336" s="6"/>
    </row>
    <row r="12337" spans="8:9" x14ac:dyDescent="0.2">
      <c r="H12337" s="6"/>
      <c r="I12337" s="6"/>
    </row>
    <row r="12338" spans="8:9" x14ac:dyDescent="0.2">
      <c r="H12338" s="6"/>
      <c r="I12338" s="6"/>
    </row>
    <row r="12339" spans="8:9" x14ac:dyDescent="0.2">
      <c r="H12339" s="6"/>
      <c r="I12339" s="6"/>
    </row>
    <row r="12340" spans="8:9" x14ac:dyDescent="0.2">
      <c r="H12340" s="6"/>
      <c r="I12340" s="6"/>
    </row>
    <row r="12341" spans="8:9" x14ac:dyDescent="0.2">
      <c r="H12341" s="6"/>
      <c r="I12341" s="6"/>
    </row>
    <row r="12342" spans="8:9" x14ac:dyDescent="0.2">
      <c r="H12342" s="6"/>
      <c r="I12342" s="6"/>
    </row>
    <row r="12343" spans="8:9" x14ac:dyDescent="0.2">
      <c r="H12343" s="6"/>
      <c r="I12343" s="6"/>
    </row>
    <row r="12344" spans="8:9" x14ac:dyDescent="0.2">
      <c r="H12344" s="6"/>
      <c r="I12344" s="6"/>
    </row>
    <row r="12345" spans="8:9" x14ac:dyDescent="0.2">
      <c r="H12345" s="6"/>
      <c r="I12345" s="6"/>
    </row>
    <row r="12346" spans="8:9" x14ac:dyDescent="0.2">
      <c r="H12346" s="6"/>
      <c r="I12346" s="6"/>
    </row>
    <row r="12347" spans="8:9" x14ac:dyDescent="0.2">
      <c r="H12347" s="6"/>
      <c r="I12347" s="6"/>
    </row>
    <row r="12348" spans="8:9" x14ac:dyDescent="0.2">
      <c r="H12348" s="6"/>
      <c r="I12348" s="6"/>
    </row>
    <row r="12349" spans="8:9" x14ac:dyDescent="0.2">
      <c r="H12349" s="6"/>
      <c r="I12349" s="6"/>
    </row>
    <row r="12350" spans="8:9" x14ac:dyDescent="0.2">
      <c r="H12350" s="6"/>
      <c r="I12350" s="6"/>
    </row>
    <row r="12351" spans="8:9" x14ac:dyDescent="0.2">
      <c r="H12351" s="6"/>
      <c r="I12351" s="6"/>
    </row>
    <row r="12352" spans="8:9" x14ac:dyDescent="0.2">
      <c r="H12352" s="6"/>
      <c r="I12352" s="6"/>
    </row>
    <row r="12353" spans="8:9" x14ac:dyDescent="0.2">
      <c r="H12353" s="6"/>
      <c r="I12353" s="6"/>
    </row>
    <row r="12354" spans="8:9" x14ac:dyDescent="0.2">
      <c r="H12354" s="6"/>
      <c r="I12354" s="6"/>
    </row>
    <row r="12355" spans="8:9" x14ac:dyDescent="0.2">
      <c r="H12355" s="6"/>
      <c r="I12355" s="6"/>
    </row>
    <row r="12356" spans="8:9" x14ac:dyDescent="0.2">
      <c r="H12356" s="6"/>
      <c r="I12356" s="6"/>
    </row>
    <row r="12357" spans="8:9" x14ac:dyDescent="0.2">
      <c r="H12357" s="6"/>
      <c r="I12357" s="6"/>
    </row>
    <row r="12358" spans="8:9" x14ac:dyDescent="0.2">
      <c r="H12358" s="6"/>
      <c r="I12358" s="6"/>
    </row>
    <row r="12359" spans="8:9" x14ac:dyDescent="0.2">
      <c r="H12359" s="6"/>
      <c r="I12359" s="6"/>
    </row>
    <row r="12360" spans="8:9" x14ac:dyDescent="0.2">
      <c r="H12360" s="6"/>
      <c r="I12360" s="6"/>
    </row>
    <row r="12361" spans="8:9" x14ac:dyDescent="0.2">
      <c r="H12361" s="6"/>
      <c r="I12361" s="6"/>
    </row>
    <row r="12362" spans="8:9" x14ac:dyDescent="0.2">
      <c r="H12362" s="6"/>
      <c r="I12362" s="6"/>
    </row>
    <row r="12363" spans="8:9" x14ac:dyDescent="0.2">
      <c r="H12363" s="6"/>
      <c r="I12363" s="6"/>
    </row>
    <row r="12364" spans="8:9" x14ac:dyDescent="0.2">
      <c r="H12364" s="6"/>
      <c r="I12364" s="6"/>
    </row>
    <row r="12365" spans="8:9" x14ac:dyDescent="0.2">
      <c r="H12365" s="6"/>
      <c r="I12365" s="6"/>
    </row>
    <row r="12366" spans="8:9" x14ac:dyDescent="0.2">
      <c r="H12366" s="6"/>
      <c r="I12366" s="6"/>
    </row>
    <row r="12367" spans="8:9" x14ac:dyDescent="0.2">
      <c r="H12367" s="6"/>
      <c r="I12367" s="6"/>
    </row>
    <row r="12368" spans="8:9" x14ac:dyDescent="0.2">
      <c r="H12368" s="6"/>
      <c r="I12368" s="6"/>
    </row>
    <row r="12369" spans="8:9" x14ac:dyDescent="0.2">
      <c r="H12369" s="6"/>
      <c r="I12369" s="6"/>
    </row>
    <row r="12370" spans="8:9" x14ac:dyDescent="0.2">
      <c r="H12370" s="6"/>
      <c r="I12370" s="6"/>
    </row>
    <row r="12371" spans="8:9" x14ac:dyDescent="0.2">
      <c r="H12371" s="6"/>
      <c r="I12371" s="6"/>
    </row>
    <row r="12372" spans="8:9" x14ac:dyDescent="0.2">
      <c r="H12372" s="6"/>
      <c r="I12372" s="6"/>
    </row>
    <row r="12373" spans="8:9" x14ac:dyDescent="0.2">
      <c r="H12373" s="6"/>
      <c r="I12373" s="6"/>
    </row>
    <row r="12374" spans="8:9" x14ac:dyDescent="0.2">
      <c r="H12374" s="6"/>
      <c r="I12374" s="6"/>
    </row>
    <row r="12375" spans="8:9" x14ac:dyDescent="0.2">
      <c r="H12375" s="6"/>
      <c r="I12375" s="6"/>
    </row>
    <row r="12376" spans="8:9" x14ac:dyDescent="0.2">
      <c r="H12376" s="6"/>
      <c r="I12376" s="6"/>
    </row>
    <row r="12377" spans="8:9" x14ac:dyDescent="0.2">
      <c r="H12377" s="6"/>
      <c r="I12377" s="6"/>
    </row>
    <row r="12378" spans="8:9" x14ac:dyDescent="0.2">
      <c r="H12378" s="6"/>
      <c r="I12378" s="6"/>
    </row>
    <row r="12379" spans="8:9" x14ac:dyDescent="0.2">
      <c r="H12379" s="6"/>
      <c r="I12379" s="6"/>
    </row>
    <row r="12380" spans="8:9" x14ac:dyDescent="0.2">
      <c r="H12380" s="6"/>
      <c r="I12380" s="6"/>
    </row>
    <row r="12381" spans="8:9" x14ac:dyDescent="0.2">
      <c r="H12381" s="6"/>
      <c r="I12381" s="6"/>
    </row>
    <row r="12382" spans="8:9" x14ac:dyDescent="0.2">
      <c r="H12382" s="6"/>
      <c r="I12382" s="6"/>
    </row>
    <row r="12383" spans="8:9" x14ac:dyDescent="0.2">
      <c r="H12383" s="6"/>
      <c r="I12383" s="6"/>
    </row>
    <row r="12384" spans="8:9" x14ac:dyDescent="0.2">
      <c r="H12384" s="6"/>
      <c r="I12384" s="6"/>
    </row>
    <row r="12385" spans="8:9" x14ac:dyDescent="0.2">
      <c r="H12385" s="6"/>
      <c r="I12385" s="6"/>
    </row>
    <row r="12386" spans="8:9" x14ac:dyDescent="0.2">
      <c r="H12386" s="6"/>
      <c r="I12386" s="6"/>
    </row>
    <row r="12387" spans="8:9" x14ac:dyDescent="0.2">
      <c r="H12387" s="6"/>
      <c r="I12387" s="6"/>
    </row>
    <row r="12388" spans="8:9" x14ac:dyDescent="0.2">
      <c r="H12388" s="6"/>
      <c r="I12388" s="6"/>
    </row>
    <row r="12389" spans="8:9" x14ac:dyDescent="0.2">
      <c r="H12389" s="6"/>
      <c r="I12389" s="6"/>
    </row>
    <row r="12390" spans="8:9" x14ac:dyDescent="0.2">
      <c r="H12390" s="6"/>
      <c r="I12390" s="6"/>
    </row>
    <row r="12391" spans="8:9" x14ac:dyDescent="0.2">
      <c r="H12391" s="6"/>
      <c r="I12391" s="6"/>
    </row>
    <row r="12392" spans="8:9" x14ac:dyDescent="0.2">
      <c r="H12392" s="6"/>
      <c r="I12392" s="6"/>
    </row>
    <row r="12393" spans="8:9" x14ac:dyDescent="0.2">
      <c r="H12393" s="6"/>
      <c r="I12393" s="6"/>
    </row>
    <row r="12394" spans="8:9" x14ac:dyDescent="0.2">
      <c r="H12394" s="6"/>
      <c r="I12394" s="6"/>
    </row>
    <row r="12395" spans="8:9" x14ac:dyDescent="0.2">
      <c r="H12395" s="6"/>
      <c r="I12395" s="6"/>
    </row>
    <row r="12396" spans="8:9" x14ac:dyDescent="0.2">
      <c r="H12396" s="6"/>
      <c r="I12396" s="6"/>
    </row>
    <row r="12397" spans="8:9" x14ac:dyDescent="0.2">
      <c r="H12397" s="6"/>
      <c r="I12397" s="6"/>
    </row>
    <row r="12398" spans="8:9" x14ac:dyDescent="0.2">
      <c r="H12398" s="6"/>
      <c r="I12398" s="6"/>
    </row>
    <row r="12399" spans="8:9" x14ac:dyDescent="0.2">
      <c r="H12399" s="6"/>
      <c r="I12399" s="6"/>
    </row>
    <row r="12400" spans="8:9" x14ac:dyDescent="0.2">
      <c r="H12400" s="6"/>
      <c r="I12400" s="6"/>
    </row>
    <row r="12401" spans="8:9" x14ac:dyDescent="0.2">
      <c r="H12401" s="6"/>
      <c r="I12401" s="6"/>
    </row>
    <row r="12402" spans="8:9" x14ac:dyDescent="0.2">
      <c r="H12402" s="6"/>
      <c r="I12402" s="6"/>
    </row>
    <row r="12403" spans="8:9" x14ac:dyDescent="0.2">
      <c r="H12403" s="6"/>
      <c r="I12403" s="6"/>
    </row>
    <row r="12404" spans="8:9" x14ac:dyDescent="0.2">
      <c r="H12404" s="6"/>
      <c r="I12404" s="6"/>
    </row>
    <row r="12405" spans="8:9" x14ac:dyDescent="0.2">
      <c r="H12405" s="6"/>
      <c r="I12405" s="6"/>
    </row>
    <row r="12406" spans="8:9" x14ac:dyDescent="0.2">
      <c r="H12406" s="6"/>
      <c r="I12406" s="6"/>
    </row>
    <row r="12407" spans="8:9" x14ac:dyDescent="0.2">
      <c r="H12407" s="6"/>
      <c r="I12407" s="6"/>
    </row>
    <row r="12408" spans="8:9" x14ac:dyDescent="0.2">
      <c r="H12408" s="6"/>
      <c r="I12408" s="6"/>
    </row>
    <row r="12409" spans="8:9" x14ac:dyDescent="0.2">
      <c r="H12409" s="6"/>
      <c r="I12409" s="6"/>
    </row>
    <row r="12410" spans="8:9" x14ac:dyDescent="0.2">
      <c r="H12410" s="6"/>
      <c r="I12410" s="6"/>
    </row>
    <row r="12411" spans="8:9" x14ac:dyDescent="0.2">
      <c r="H12411" s="6"/>
      <c r="I12411" s="6"/>
    </row>
    <row r="12412" spans="8:9" x14ac:dyDescent="0.2">
      <c r="H12412" s="6"/>
      <c r="I12412" s="6"/>
    </row>
    <row r="12413" spans="8:9" x14ac:dyDescent="0.2">
      <c r="H12413" s="6"/>
      <c r="I12413" s="6"/>
    </row>
    <row r="12414" spans="8:9" x14ac:dyDescent="0.2">
      <c r="H12414" s="6"/>
      <c r="I12414" s="6"/>
    </row>
    <row r="12415" spans="8:9" x14ac:dyDescent="0.2">
      <c r="H12415" s="6"/>
      <c r="I12415" s="6"/>
    </row>
    <row r="12416" spans="8:9" x14ac:dyDescent="0.2">
      <c r="H12416" s="6"/>
      <c r="I12416" s="6"/>
    </row>
    <row r="12417" spans="8:9" x14ac:dyDescent="0.2">
      <c r="H12417" s="6"/>
      <c r="I12417" s="6"/>
    </row>
    <row r="12418" spans="8:9" x14ac:dyDescent="0.2">
      <c r="H12418" s="6"/>
      <c r="I12418" s="6"/>
    </row>
    <row r="12419" spans="8:9" x14ac:dyDescent="0.2">
      <c r="H12419" s="6"/>
      <c r="I12419" s="6"/>
    </row>
    <row r="12420" spans="8:9" x14ac:dyDescent="0.2">
      <c r="H12420" s="6"/>
      <c r="I12420" s="6"/>
    </row>
    <row r="12421" spans="8:9" x14ac:dyDescent="0.2">
      <c r="H12421" s="6"/>
      <c r="I12421" s="6"/>
    </row>
    <row r="12422" spans="8:9" x14ac:dyDescent="0.2">
      <c r="H12422" s="6"/>
      <c r="I12422" s="6"/>
    </row>
    <row r="12423" spans="8:9" x14ac:dyDescent="0.2">
      <c r="H12423" s="6"/>
      <c r="I12423" s="6"/>
    </row>
    <row r="12424" spans="8:9" x14ac:dyDescent="0.2">
      <c r="H12424" s="6"/>
      <c r="I12424" s="6"/>
    </row>
    <row r="12425" spans="8:9" x14ac:dyDescent="0.2">
      <c r="H12425" s="6"/>
      <c r="I12425" s="6"/>
    </row>
    <row r="12426" spans="8:9" x14ac:dyDescent="0.2">
      <c r="H12426" s="6"/>
      <c r="I12426" s="6"/>
    </row>
    <row r="12427" spans="8:9" x14ac:dyDescent="0.2">
      <c r="H12427" s="6"/>
      <c r="I12427" s="6"/>
    </row>
    <row r="12428" spans="8:9" x14ac:dyDescent="0.2">
      <c r="H12428" s="6"/>
      <c r="I12428" s="6"/>
    </row>
    <row r="12429" spans="8:9" x14ac:dyDescent="0.2">
      <c r="H12429" s="6"/>
      <c r="I12429" s="6"/>
    </row>
    <row r="12430" spans="8:9" x14ac:dyDescent="0.2">
      <c r="H12430" s="6"/>
      <c r="I12430" s="6"/>
    </row>
    <row r="12431" spans="8:9" x14ac:dyDescent="0.2">
      <c r="H12431" s="6"/>
      <c r="I12431" s="6"/>
    </row>
    <row r="12432" spans="8:9" x14ac:dyDescent="0.2">
      <c r="H12432" s="6"/>
      <c r="I12432" s="6"/>
    </row>
    <row r="12433" spans="8:9" x14ac:dyDescent="0.2">
      <c r="H12433" s="6"/>
      <c r="I12433" s="6"/>
    </row>
    <row r="12434" spans="8:9" x14ac:dyDescent="0.2">
      <c r="H12434" s="6"/>
      <c r="I12434" s="6"/>
    </row>
    <row r="12435" spans="8:9" x14ac:dyDescent="0.2">
      <c r="H12435" s="6"/>
      <c r="I12435" s="6"/>
    </row>
    <row r="12436" spans="8:9" x14ac:dyDescent="0.2">
      <c r="H12436" s="6"/>
      <c r="I12436" s="6"/>
    </row>
    <row r="12437" spans="8:9" x14ac:dyDescent="0.2">
      <c r="H12437" s="6"/>
      <c r="I12437" s="6"/>
    </row>
    <row r="12438" spans="8:9" x14ac:dyDescent="0.2">
      <c r="H12438" s="6"/>
      <c r="I12438" s="6"/>
    </row>
    <row r="12439" spans="8:9" x14ac:dyDescent="0.2">
      <c r="H12439" s="6"/>
      <c r="I12439" s="6"/>
    </row>
    <row r="12440" spans="8:9" x14ac:dyDescent="0.2">
      <c r="H12440" s="6"/>
      <c r="I12440" s="6"/>
    </row>
    <row r="12441" spans="8:9" x14ac:dyDescent="0.2">
      <c r="H12441" s="6"/>
      <c r="I12441" s="6"/>
    </row>
    <row r="12442" spans="8:9" x14ac:dyDescent="0.2">
      <c r="H12442" s="6"/>
      <c r="I12442" s="6"/>
    </row>
    <row r="12443" spans="8:9" x14ac:dyDescent="0.2">
      <c r="H12443" s="6"/>
      <c r="I12443" s="6"/>
    </row>
    <row r="12444" spans="8:9" x14ac:dyDescent="0.2">
      <c r="H12444" s="6"/>
      <c r="I12444" s="6"/>
    </row>
    <row r="12445" spans="8:9" x14ac:dyDescent="0.2">
      <c r="H12445" s="6"/>
      <c r="I12445" s="6"/>
    </row>
    <row r="12446" spans="8:9" x14ac:dyDescent="0.2">
      <c r="H12446" s="6"/>
      <c r="I12446" s="6"/>
    </row>
    <row r="12447" spans="8:9" x14ac:dyDescent="0.2">
      <c r="H12447" s="6"/>
      <c r="I12447" s="6"/>
    </row>
    <row r="12448" spans="8:9" x14ac:dyDescent="0.2">
      <c r="H12448" s="6"/>
      <c r="I12448" s="6"/>
    </row>
    <row r="12449" spans="8:9" x14ac:dyDescent="0.2">
      <c r="H12449" s="6"/>
      <c r="I12449" s="6"/>
    </row>
    <row r="12450" spans="8:9" x14ac:dyDescent="0.2">
      <c r="H12450" s="6"/>
      <c r="I12450" s="6"/>
    </row>
    <row r="12451" spans="8:9" x14ac:dyDescent="0.2">
      <c r="H12451" s="6"/>
      <c r="I12451" s="6"/>
    </row>
    <row r="12452" spans="8:9" x14ac:dyDescent="0.2">
      <c r="H12452" s="6"/>
      <c r="I12452" s="6"/>
    </row>
    <row r="12453" spans="8:9" x14ac:dyDescent="0.2">
      <c r="H12453" s="6"/>
      <c r="I12453" s="6"/>
    </row>
    <row r="12454" spans="8:9" x14ac:dyDescent="0.2">
      <c r="H12454" s="6"/>
      <c r="I12454" s="6"/>
    </row>
    <row r="12455" spans="8:9" x14ac:dyDescent="0.2">
      <c r="H12455" s="6"/>
      <c r="I12455" s="6"/>
    </row>
    <row r="12456" spans="8:9" x14ac:dyDescent="0.2">
      <c r="H12456" s="6"/>
      <c r="I12456" s="6"/>
    </row>
    <row r="12457" spans="8:9" x14ac:dyDescent="0.2">
      <c r="H12457" s="6"/>
      <c r="I12457" s="6"/>
    </row>
    <row r="12458" spans="8:9" x14ac:dyDescent="0.2">
      <c r="H12458" s="6"/>
      <c r="I12458" s="6"/>
    </row>
    <row r="12459" spans="8:9" x14ac:dyDescent="0.2">
      <c r="H12459" s="6"/>
      <c r="I12459" s="6"/>
    </row>
    <row r="12460" spans="8:9" x14ac:dyDescent="0.2">
      <c r="H12460" s="6"/>
      <c r="I12460" s="6"/>
    </row>
    <row r="12461" spans="8:9" x14ac:dyDescent="0.2">
      <c r="H12461" s="6"/>
      <c r="I12461" s="6"/>
    </row>
    <row r="12462" spans="8:9" x14ac:dyDescent="0.2">
      <c r="H12462" s="6"/>
      <c r="I12462" s="6"/>
    </row>
    <row r="12463" spans="8:9" x14ac:dyDescent="0.2">
      <c r="H12463" s="6"/>
      <c r="I12463" s="6"/>
    </row>
    <row r="12464" spans="8:9" x14ac:dyDescent="0.2">
      <c r="H12464" s="6"/>
      <c r="I12464" s="6"/>
    </row>
    <row r="12465" spans="8:9" x14ac:dyDescent="0.2">
      <c r="H12465" s="6"/>
      <c r="I12465" s="6"/>
    </row>
    <row r="12466" spans="8:9" x14ac:dyDescent="0.2">
      <c r="H12466" s="6"/>
      <c r="I12466" s="6"/>
    </row>
    <row r="12467" spans="8:9" x14ac:dyDescent="0.2">
      <c r="H12467" s="6"/>
      <c r="I12467" s="6"/>
    </row>
    <row r="12468" spans="8:9" x14ac:dyDescent="0.2">
      <c r="H12468" s="6"/>
      <c r="I12468" s="6"/>
    </row>
    <row r="12469" spans="8:9" x14ac:dyDescent="0.2">
      <c r="H12469" s="6"/>
      <c r="I12469" s="6"/>
    </row>
    <row r="12470" spans="8:9" x14ac:dyDescent="0.2">
      <c r="H12470" s="6"/>
      <c r="I12470" s="6"/>
    </row>
    <row r="12471" spans="8:9" x14ac:dyDescent="0.2">
      <c r="H12471" s="6"/>
      <c r="I12471" s="6"/>
    </row>
    <row r="12472" spans="8:9" x14ac:dyDescent="0.2">
      <c r="H12472" s="6"/>
      <c r="I12472" s="6"/>
    </row>
    <row r="12473" spans="8:9" x14ac:dyDescent="0.2">
      <c r="H12473" s="6"/>
      <c r="I12473" s="6"/>
    </row>
    <row r="12474" spans="8:9" x14ac:dyDescent="0.2">
      <c r="H12474" s="6"/>
      <c r="I12474" s="6"/>
    </row>
    <row r="12475" spans="8:9" x14ac:dyDescent="0.2">
      <c r="H12475" s="6"/>
      <c r="I12475" s="6"/>
    </row>
    <row r="12476" spans="8:9" x14ac:dyDescent="0.2">
      <c r="H12476" s="6"/>
      <c r="I12476" s="6"/>
    </row>
    <row r="12477" spans="8:9" x14ac:dyDescent="0.2">
      <c r="H12477" s="6"/>
      <c r="I12477" s="6"/>
    </row>
    <row r="12478" spans="8:9" x14ac:dyDescent="0.2">
      <c r="H12478" s="6"/>
      <c r="I12478" s="6"/>
    </row>
    <row r="12479" spans="8:9" x14ac:dyDescent="0.2">
      <c r="H12479" s="6"/>
      <c r="I12479" s="6"/>
    </row>
    <row r="12480" spans="8:9" x14ac:dyDescent="0.2">
      <c r="H12480" s="6"/>
      <c r="I12480" s="6"/>
    </row>
    <row r="12481" spans="8:9" x14ac:dyDescent="0.2">
      <c r="H12481" s="6"/>
      <c r="I12481" s="6"/>
    </row>
    <row r="12482" spans="8:9" x14ac:dyDescent="0.2">
      <c r="H12482" s="6"/>
      <c r="I12482" s="6"/>
    </row>
    <row r="12483" spans="8:9" x14ac:dyDescent="0.2">
      <c r="H12483" s="6"/>
      <c r="I12483" s="6"/>
    </row>
    <row r="12484" spans="8:9" x14ac:dyDescent="0.2">
      <c r="H12484" s="6"/>
      <c r="I12484" s="6"/>
    </row>
    <row r="12485" spans="8:9" x14ac:dyDescent="0.2">
      <c r="H12485" s="6"/>
      <c r="I12485" s="6"/>
    </row>
    <row r="12486" spans="8:9" x14ac:dyDescent="0.2">
      <c r="H12486" s="6"/>
      <c r="I12486" s="6"/>
    </row>
    <row r="12487" spans="8:9" x14ac:dyDescent="0.2">
      <c r="H12487" s="6"/>
      <c r="I12487" s="6"/>
    </row>
    <row r="12488" spans="8:9" x14ac:dyDescent="0.2">
      <c r="H12488" s="6"/>
      <c r="I12488" s="6"/>
    </row>
    <row r="12489" spans="8:9" x14ac:dyDescent="0.2">
      <c r="H12489" s="6"/>
      <c r="I12489" s="6"/>
    </row>
    <row r="12490" spans="8:9" x14ac:dyDescent="0.2">
      <c r="H12490" s="6"/>
      <c r="I12490" s="6"/>
    </row>
    <row r="12491" spans="8:9" x14ac:dyDescent="0.2">
      <c r="H12491" s="6"/>
      <c r="I12491" s="6"/>
    </row>
    <row r="12492" spans="8:9" x14ac:dyDescent="0.2">
      <c r="H12492" s="6"/>
      <c r="I12492" s="6"/>
    </row>
    <row r="12493" spans="8:9" x14ac:dyDescent="0.2">
      <c r="H12493" s="6"/>
      <c r="I12493" s="6"/>
    </row>
    <row r="12494" spans="8:9" x14ac:dyDescent="0.2">
      <c r="H12494" s="6"/>
      <c r="I12494" s="6"/>
    </row>
    <row r="12495" spans="8:9" x14ac:dyDescent="0.2">
      <c r="H12495" s="6"/>
      <c r="I12495" s="6"/>
    </row>
    <row r="12496" spans="8:9" x14ac:dyDescent="0.2">
      <c r="H12496" s="6"/>
      <c r="I12496" s="6"/>
    </row>
    <row r="12497" spans="8:9" x14ac:dyDescent="0.2">
      <c r="H12497" s="6"/>
      <c r="I12497" s="6"/>
    </row>
    <row r="12498" spans="8:9" x14ac:dyDescent="0.2">
      <c r="H12498" s="6"/>
      <c r="I12498" s="6"/>
    </row>
    <row r="12499" spans="8:9" x14ac:dyDescent="0.2">
      <c r="H12499" s="6"/>
      <c r="I12499" s="6"/>
    </row>
    <row r="12500" spans="8:9" x14ac:dyDescent="0.2">
      <c r="H12500" s="6"/>
      <c r="I12500" s="6"/>
    </row>
    <row r="12501" spans="8:9" x14ac:dyDescent="0.2">
      <c r="H12501" s="6"/>
      <c r="I12501" s="6"/>
    </row>
    <row r="12502" spans="8:9" x14ac:dyDescent="0.2">
      <c r="H12502" s="6"/>
      <c r="I12502" s="6"/>
    </row>
    <row r="12503" spans="8:9" x14ac:dyDescent="0.2">
      <c r="H12503" s="6"/>
      <c r="I12503" s="6"/>
    </row>
    <row r="12504" spans="8:9" x14ac:dyDescent="0.2">
      <c r="H12504" s="6"/>
      <c r="I12504" s="6"/>
    </row>
    <row r="12505" spans="8:9" x14ac:dyDescent="0.2">
      <c r="H12505" s="6"/>
      <c r="I12505" s="6"/>
    </row>
    <row r="12506" spans="8:9" x14ac:dyDescent="0.2">
      <c r="H12506" s="6"/>
      <c r="I12506" s="6"/>
    </row>
    <row r="12507" spans="8:9" x14ac:dyDescent="0.2">
      <c r="H12507" s="6"/>
      <c r="I12507" s="6"/>
    </row>
    <row r="12508" spans="8:9" x14ac:dyDescent="0.2">
      <c r="H12508" s="6"/>
      <c r="I12508" s="6"/>
    </row>
    <row r="12509" spans="8:9" x14ac:dyDescent="0.2">
      <c r="H12509" s="6"/>
      <c r="I12509" s="6"/>
    </row>
    <row r="12510" spans="8:9" x14ac:dyDescent="0.2">
      <c r="H12510" s="6"/>
      <c r="I12510" s="6"/>
    </row>
    <row r="12511" spans="8:9" x14ac:dyDescent="0.2">
      <c r="H12511" s="6"/>
      <c r="I12511" s="6"/>
    </row>
    <row r="12512" spans="8:9" x14ac:dyDescent="0.2">
      <c r="H12512" s="6"/>
      <c r="I12512" s="6"/>
    </row>
    <row r="12513" spans="8:9" x14ac:dyDescent="0.2">
      <c r="H12513" s="6"/>
      <c r="I12513" s="6"/>
    </row>
    <row r="12514" spans="8:9" x14ac:dyDescent="0.2">
      <c r="H12514" s="6"/>
      <c r="I12514" s="6"/>
    </row>
    <row r="12515" spans="8:9" x14ac:dyDescent="0.2">
      <c r="H12515" s="6"/>
      <c r="I12515" s="6"/>
    </row>
    <row r="12516" spans="8:9" x14ac:dyDescent="0.2">
      <c r="H12516" s="6"/>
      <c r="I12516" s="6"/>
    </row>
    <row r="12517" spans="8:9" x14ac:dyDescent="0.2">
      <c r="H12517" s="6"/>
      <c r="I12517" s="6"/>
    </row>
    <row r="12518" spans="8:9" x14ac:dyDescent="0.2">
      <c r="H12518" s="6"/>
      <c r="I12518" s="6"/>
    </row>
    <row r="12519" spans="8:9" x14ac:dyDescent="0.2">
      <c r="H12519" s="6"/>
      <c r="I12519" s="6"/>
    </row>
    <row r="12520" spans="8:9" x14ac:dyDescent="0.2">
      <c r="H12520" s="6"/>
      <c r="I12520" s="6"/>
    </row>
    <row r="12521" spans="8:9" x14ac:dyDescent="0.2">
      <c r="H12521" s="6"/>
      <c r="I12521" s="6"/>
    </row>
    <row r="12522" spans="8:9" x14ac:dyDescent="0.2">
      <c r="H12522" s="6"/>
      <c r="I12522" s="6"/>
    </row>
    <row r="12523" spans="8:9" x14ac:dyDescent="0.2">
      <c r="H12523" s="6"/>
      <c r="I12523" s="6"/>
    </row>
    <row r="12524" spans="8:9" x14ac:dyDescent="0.2">
      <c r="H12524" s="6"/>
      <c r="I12524" s="6"/>
    </row>
    <row r="12525" spans="8:9" x14ac:dyDescent="0.2">
      <c r="H12525" s="6"/>
      <c r="I12525" s="6"/>
    </row>
    <row r="12526" spans="8:9" x14ac:dyDescent="0.2">
      <c r="H12526" s="6"/>
      <c r="I12526" s="6"/>
    </row>
    <row r="12527" spans="8:9" x14ac:dyDescent="0.2">
      <c r="H12527" s="6"/>
      <c r="I12527" s="6"/>
    </row>
    <row r="12528" spans="8:9" x14ac:dyDescent="0.2">
      <c r="H12528" s="6"/>
      <c r="I12528" s="6"/>
    </row>
    <row r="12529" spans="8:9" x14ac:dyDescent="0.2">
      <c r="H12529" s="6"/>
      <c r="I12529" s="6"/>
    </row>
    <row r="12530" spans="8:9" x14ac:dyDescent="0.2">
      <c r="H12530" s="6"/>
      <c r="I12530" s="6"/>
    </row>
    <row r="12531" spans="8:9" x14ac:dyDescent="0.2">
      <c r="H12531" s="6"/>
      <c r="I12531" s="6"/>
    </row>
    <row r="12532" spans="8:9" x14ac:dyDescent="0.2">
      <c r="H12532" s="6"/>
      <c r="I12532" s="6"/>
    </row>
    <row r="12533" spans="8:9" x14ac:dyDescent="0.2">
      <c r="H12533" s="6"/>
      <c r="I12533" s="6"/>
    </row>
    <row r="12534" spans="8:9" x14ac:dyDescent="0.2">
      <c r="H12534" s="6"/>
      <c r="I12534" s="6"/>
    </row>
    <row r="12535" spans="8:9" x14ac:dyDescent="0.2">
      <c r="H12535" s="6"/>
      <c r="I12535" s="6"/>
    </row>
    <row r="12536" spans="8:9" x14ac:dyDescent="0.2">
      <c r="H12536" s="6"/>
      <c r="I12536" s="6"/>
    </row>
    <row r="12537" spans="8:9" x14ac:dyDescent="0.2">
      <c r="H12537" s="6"/>
      <c r="I12537" s="6"/>
    </row>
    <row r="12538" spans="8:9" x14ac:dyDescent="0.2">
      <c r="H12538" s="6"/>
      <c r="I12538" s="6"/>
    </row>
    <row r="12539" spans="8:9" x14ac:dyDescent="0.2">
      <c r="H12539" s="6"/>
      <c r="I12539" s="6"/>
    </row>
    <row r="12540" spans="8:9" x14ac:dyDescent="0.2">
      <c r="H12540" s="6"/>
      <c r="I12540" s="6"/>
    </row>
    <row r="12541" spans="8:9" x14ac:dyDescent="0.2">
      <c r="H12541" s="6"/>
      <c r="I12541" s="6"/>
    </row>
    <row r="12542" spans="8:9" x14ac:dyDescent="0.2">
      <c r="H12542" s="6"/>
      <c r="I12542" s="6"/>
    </row>
    <row r="12543" spans="8:9" x14ac:dyDescent="0.2">
      <c r="H12543" s="6"/>
      <c r="I12543" s="6"/>
    </row>
    <row r="12544" spans="8:9" x14ac:dyDescent="0.2">
      <c r="H12544" s="6"/>
      <c r="I12544" s="6"/>
    </row>
    <row r="12545" spans="8:9" x14ac:dyDescent="0.2">
      <c r="H12545" s="6"/>
      <c r="I12545" s="6"/>
    </row>
    <row r="12546" spans="8:9" x14ac:dyDescent="0.2">
      <c r="H12546" s="6"/>
      <c r="I12546" s="6"/>
    </row>
    <row r="12547" spans="8:9" x14ac:dyDescent="0.2">
      <c r="H12547" s="6"/>
      <c r="I12547" s="6"/>
    </row>
    <row r="12548" spans="8:9" x14ac:dyDescent="0.2">
      <c r="H12548" s="6"/>
      <c r="I12548" s="6"/>
    </row>
    <row r="12549" spans="8:9" x14ac:dyDescent="0.2">
      <c r="H12549" s="6"/>
      <c r="I12549" s="6"/>
    </row>
    <row r="12550" spans="8:9" x14ac:dyDescent="0.2">
      <c r="H12550" s="6"/>
      <c r="I12550" s="6"/>
    </row>
    <row r="12551" spans="8:9" x14ac:dyDescent="0.2">
      <c r="H12551" s="6"/>
      <c r="I12551" s="6"/>
    </row>
    <row r="12552" spans="8:9" x14ac:dyDescent="0.2">
      <c r="H12552" s="6"/>
      <c r="I12552" s="6"/>
    </row>
    <row r="12553" spans="8:9" x14ac:dyDescent="0.2">
      <c r="H12553" s="6"/>
      <c r="I12553" s="6"/>
    </row>
    <row r="12554" spans="8:9" x14ac:dyDescent="0.2">
      <c r="H12554" s="6"/>
      <c r="I12554" s="6"/>
    </row>
    <row r="12555" spans="8:9" x14ac:dyDescent="0.2">
      <c r="H12555" s="6"/>
      <c r="I12555" s="6"/>
    </row>
    <row r="12556" spans="8:9" x14ac:dyDescent="0.2">
      <c r="H12556" s="6"/>
      <c r="I12556" s="6"/>
    </row>
    <row r="12557" spans="8:9" x14ac:dyDescent="0.2">
      <c r="H12557" s="6"/>
      <c r="I12557" s="6"/>
    </row>
    <row r="12558" spans="8:9" x14ac:dyDescent="0.2">
      <c r="H12558" s="6"/>
      <c r="I12558" s="6"/>
    </row>
    <row r="12559" spans="8:9" x14ac:dyDescent="0.2">
      <c r="H12559" s="6"/>
      <c r="I12559" s="6"/>
    </row>
    <row r="12560" spans="8:9" x14ac:dyDescent="0.2">
      <c r="H12560" s="6"/>
      <c r="I12560" s="6"/>
    </row>
    <row r="12561" spans="8:9" x14ac:dyDescent="0.2">
      <c r="H12561" s="6"/>
      <c r="I12561" s="6"/>
    </row>
    <row r="12562" spans="8:9" x14ac:dyDescent="0.2">
      <c r="H12562" s="6"/>
      <c r="I12562" s="6"/>
    </row>
    <row r="12563" spans="8:9" x14ac:dyDescent="0.2">
      <c r="H12563" s="6"/>
      <c r="I12563" s="6"/>
    </row>
    <row r="12564" spans="8:9" x14ac:dyDescent="0.2">
      <c r="H12564" s="6"/>
      <c r="I12564" s="6"/>
    </row>
    <row r="12565" spans="8:9" x14ac:dyDescent="0.2">
      <c r="H12565" s="6"/>
      <c r="I12565" s="6"/>
    </row>
    <row r="12566" spans="8:9" x14ac:dyDescent="0.2">
      <c r="H12566" s="6"/>
      <c r="I12566" s="6"/>
    </row>
    <row r="12567" spans="8:9" x14ac:dyDescent="0.2">
      <c r="H12567" s="6"/>
      <c r="I12567" s="6"/>
    </row>
    <row r="12568" spans="8:9" x14ac:dyDescent="0.2">
      <c r="H12568" s="6"/>
      <c r="I12568" s="6"/>
    </row>
    <row r="12569" spans="8:9" x14ac:dyDescent="0.2">
      <c r="H12569" s="6"/>
      <c r="I12569" s="6"/>
    </row>
    <row r="12570" spans="8:9" x14ac:dyDescent="0.2">
      <c r="H12570" s="6"/>
      <c r="I12570" s="6"/>
    </row>
    <row r="12571" spans="8:9" x14ac:dyDescent="0.2">
      <c r="H12571" s="6"/>
      <c r="I12571" s="6"/>
    </row>
    <row r="12572" spans="8:9" x14ac:dyDescent="0.2">
      <c r="H12572" s="6"/>
      <c r="I12572" s="6"/>
    </row>
    <row r="12573" spans="8:9" x14ac:dyDescent="0.2">
      <c r="H12573" s="6"/>
      <c r="I12573" s="6"/>
    </row>
    <row r="12574" spans="8:9" x14ac:dyDescent="0.2">
      <c r="H12574" s="6"/>
      <c r="I12574" s="6"/>
    </row>
    <row r="12575" spans="8:9" x14ac:dyDescent="0.2">
      <c r="H12575" s="6"/>
      <c r="I12575" s="6"/>
    </row>
    <row r="12576" spans="8:9" x14ac:dyDescent="0.2">
      <c r="H12576" s="6"/>
      <c r="I12576" s="6"/>
    </row>
    <row r="12577" spans="8:9" x14ac:dyDescent="0.2">
      <c r="H12577" s="6"/>
      <c r="I12577" s="6"/>
    </row>
    <row r="12578" spans="8:9" x14ac:dyDescent="0.2">
      <c r="H12578" s="6"/>
      <c r="I12578" s="6"/>
    </row>
    <row r="12579" spans="8:9" x14ac:dyDescent="0.2">
      <c r="H12579" s="6"/>
      <c r="I12579" s="6"/>
    </row>
    <row r="12580" spans="8:9" x14ac:dyDescent="0.2">
      <c r="H12580" s="6"/>
      <c r="I12580" s="6"/>
    </row>
    <row r="12581" spans="8:9" x14ac:dyDescent="0.2">
      <c r="H12581" s="6"/>
      <c r="I12581" s="6"/>
    </row>
    <row r="12582" spans="8:9" x14ac:dyDescent="0.2">
      <c r="H12582" s="6"/>
      <c r="I12582" s="6"/>
    </row>
    <row r="12583" spans="8:9" x14ac:dyDescent="0.2">
      <c r="H12583" s="6"/>
      <c r="I12583" s="6"/>
    </row>
    <row r="12584" spans="8:9" x14ac:dyDescent="0.2">
      <c r="H12584" s="6"/>
      <c r="I12584" s="6"/>
    </row>
    <row r="12585" spans="8:9" x14ac:dyDescent="0.2">
      <c r="H12585" s="6"/>
      <c r="I12585" s="6"/>
    </row>
    <row r="12586" spans="8:9" x14ac:dyDescent="0.2">
      <c r="H12586" s="6"/>
      <c r="I12586" s="6"/>
    </row>
    <row r="12587" spans="8:9" x14ac:dyDescent="0.2">
      <c r="H12587" s="6"/>
      <c r="I12587" s="6"/>
    </row>
    <row r="12588" spans="8:9" x14ac:dyDescent="0.2">
      <c r="H12588" s="6"/>
      <c r="I12588" s="6"/>
    </row>
    <row r="12589" spans="8:9" x14ac:dyDescent="0.2">
      <c r="H12589" s="6"/>
      <c r="I12589" s="6"/>
    </row>
    <row r="12590" spans="8:9" x14ac:dyDescent="0.2">
      <c r="H12590" s="6"/>
      <c r="I12590" s="6"/>
    </row>
    <row r="12591" spans="8:9" x14ac:dyDescent="0.2">
      <c r="H12591" s="6"/>
      <c r="I12591" s="6"/>
    </row>
    <row r="12592" spans="8:9" x14ac:dyDescent="0.2">
      <c r="H12592" s="6"/>
      <c r="I12592" s="6"/>
    </row>
    <row r="12593" spans="8:9" x14ac:dyDescent="0.2">
      <c r="H12593" s="6"/>
      <c r="I12593" s="6"/>
    </row>
    <row r="12594" spans="8:9" x14ac:dyDescent="0.2">
      <c r="H12594" s="6"/>
      <c r="I12594" s="6"/>
    </row>
    <row r="12595" spans="8:9" x14ac:dyDescent="0.2">
      <c r="H12595" s="6"/>
      <c r="I12595" s="6"/>
    </row>
    <row r="12596" spans="8:9" x14ac:dyDescent="0.2">
      <c r="H12596" s="6"/>
      <c r="I12596" s="6"/>
    </row>
    <row r="12597" spans="8:9" x14ac:dyDescent="0.2">
      <c r="H12597" s="6"/>
      <c r="I12597" s="6"/>
    </row>
    <row r="12598" spans="8:9" x14ac:dyDescent="0.2">
      <c r="H12598" s="6"/>
      <c r="I12598" s="6"/>
    </row>
    <row r="12599" spans="8:9" x14ac:dyDescent="0.2">
      <c r="H12599" s="6"/>
      <c r="I12599" s="6"/>
    </row>
    <row r="12600" spans="8:9" x14ac:dyDescent="0.2">
      <c r="H12600" s="6"/>
      <c r="I12600" s="6"/>
    </row>
    <row r="12601" spans="8:9" x14ac:dyDescent="0.2">
      <c r="H12601" s="6"/>
      <c r="I12601" s="6"/>
    </row>
    <row r="12602" spans="8:9" x14ac:dyDescent="0.2">
      <c r="H12602" s="6"/>
      <c r="I12602" s="6"/>
    </row>
    <row r="12603" spans="8:9" x14ac:dyDescent="0.2">
      <c r="H12603" s="6"/>
      <c r="I12603" s="6"/>
    </row>
    <row r="12604" spans="8:9" x14ac:dyDescent="0.2">
      <c r="H12604" s="6"/>
      <c r="I12604" s="6"/>
    </row>
    <row r="12605" spans="8:9" x14ac:dyDescent="0.2">
      <c r="H12605" s="6"/>
      <c r="I12605" s="6"/>
    </row>
    <row r="12606" spans="8:9" x14ac:dyDescent="0.2">
      <c r="H12606" s="6"/>
      <c r="I12606" s="6"/>
    </row>
    <row r="12607" spans="8:9" x14ac:dyDescent="0.2">
      <c r="H12607" s="6"/>
      <c r="I12607" s="6"/>
    </row>
    <row r="12608" spans="8:9" x14ac:dyDescent="0.2">
      <c r="H12608" s="6"/>
      <c r="I12608" s="6"/>
    </row>
    <row r="12609" spans="8:9" x14ac:dyDescent="0.2">
      <c r="H12609" s="6"/>
      <c r="I12609" s="6"/>
    </row>
    <row r="12610" spans="8:9" x14ac:dyDescent="0.2">
      <c r="H12610" s="6"/>
      <c r="I12610" s="6"/>
    </row>
    <row r="12611" spans="8:9" x14ac:dyDescent="0.2">
      <c r="H12611" s="6"/>
      <c r="I12611" s="6"/>
    </row>
    <row r="12612" spans="8:9" x14ac:dyDescent="0.2">
      <c r="H12612" s="6"/>
      <c r="I12612" s="6"/>
    </row>
    <row r="12613" spans="8:9" x14ac:dyDescent="0.2">
      <c r="H12613" s="6"/>
      <c r="I12613" s="6"/>
    </row>
    <row r="12614" spans="8:9" x14ac:dyDescent="0.2">
      <c r="H12614" s="6"/>
      <c r="I12614" s="6"/>
    </row>
    <row r="12615" spans="8:9" x14ac:dyDescent="0.2">
      <c r="H12615" s="6"/>
      <c r="I12615" s="6"/>
    </row>
    <row r="12616" spans="8:9" x14ac:dyDescent="0.2">
      <c r="H12616" s="6"/>
      <c r="I12616" s="6"/>
    </row>
    <row r="12617" spans="8:9" x14ac:dyDescent="0.2">
      <c r="H12617" s="6"/>
      <c r="I12617" s="6"/>
    </row>
    <row r="12618" spans="8:9" x14ac:dyDescent="0.2">
      <c r="H12618" s="6"/>
      <c r="I12618" s="6"/>
    </row>
    <row r="12619" spans="8:9" x14ac:dyDescent="0.2">
      <c r="H12619" s="6"/>
      <c r="I12619" s="6"/>
    </row>
    <row r="12620" spans="8:9" x14ac:dyDescent="0.2">
      <c r="H12620" s="6"/>
      <c r="I12620" s="6"/>
    </row>
    <row r="12621" spans="8:9" x14ac:dyDescent="0.2">
      <c r="H12621" s="6"/>
      <c r="I12621" s="6"/>
    </row>
    <row r="12622" spans="8:9" x14ac:dyDescent="0.2">
      <c r="H12622" s="6"/>
      <c r="I12622" s="6"/>
    </row>
    <row r="12623" spans="8:9" x14ac:dyDescent="0.2">
      <c r="H12623" s="6"/>
      <c r="I12623" s="6"/>
    </row>
    <row r="12624" spans="8:9" x14ac:dyDescent="0.2">
      <c r="H12624" s="6"/>
      <c r="I12624" s="6"/>
    </row>
    <row r="12625" spans="8:9" x14ac:dyDescent="0.2">
      <c r="H12625" s="6"/>
      <c r="I12625" s="6"/>
    </row>
    <row r="12626" spans="8:9" x14ac:dyDescent="0.2">
      <c r="H12626" s="6"/>
      <c r="I12626" s="6"/>
    </row>
    <row r="12627" spans="8:9" x14ac:dyDescent="0.2">
      <c r="H12627" s="6"/>
      <c r="I12627" s="6"/>
    </row>
    <row r="12628" spans="8:9" x14ac:dyDescent="0.2">
      <c r="H12628" s="6"/>
      <c r="I12628" s="6"/>
    </row>
    <row r="12629" spans="8:9" x14ac:dyDescent="0.2">
      <c r="H12629" s="6"/>
      <c r="I12629" s="6"/>
    </row>
    <row r="12630" spans="8:9" x14ac:dyDescent="0.2">
      <c r="H12630" s="6"/>
      <c r="I12630" s="6"/>
    </row>
    <row r="12631" spans="8:9" x14ac:dyDescent="0.2">
      <c r="H12631" s="6"/>
      <c r="I12631" s="6"/>
    </row>
    <row r="12632" spans="8:9" x14ac:dyDescent="0.2">
      <c r="H12632" s="6"/>
      <c r="I12632" s="6"/>
    </row>
    <row r="12633" spans="8:9" x14ac:dyDescent="0.2">
      <c r="H12633" s="6"/>
      <c r="I12633" s="6"/>
    </row>
    <row r="12634" spans="8:9" x14ac:dyDescent="0.2">
      <c r="H12634" s="6"/>
      <c r="I12634" s="6"/>
    </row>
    <row r="12635" spans="8:9" x14ac:dyDescent="0.2">
      <c r="H12635" s="6"/>
      <c r="I12635" s="6"/>
    </row>
    <row r="12636" spans="8:9" x14ac:dyDescent="0.2">
      <c r="H12636" s="6"/>
      <c r="I12636" s="6"/>
    </row>
    <row r="12637" spans="8:9" x14ac:dyDescent="0.2">
      <c r="H12637" s="6"/>
      <c r="I12637" s="6"/>
    </row>
    <row r="12638" spans="8:9" x14ac:dyDescent="0.2">
      <c r="H12638" s="6"/>
      <c r="I12638" s="6"/>
    </row>
    <row r="12639" spans="8:9" x14ac:dyDescent="0.2">
      <c r="H12639" s="6"/>
      <c r="I12639" s="6"/>
    </row>
    <row r="12640" spans="8:9" x14ac:dyDescent="0.2">
      <c r="H12640" s="6"/>
      <c r="I12640" s="6"/>
    </row>
    <row r="12641" spans="8:9" x14ac:dyDescent="0.2">
      <c r="H12641" s="6"/>
      <c r="I12641" s="6"/>
    </row>
    <row r="12642" spans="8:9" x14ac:dyDescent="0.2">
      <c r="H12642" s="6"/>
      <c r="I12642" s="6"/>
    </row>
    <row r="12643" spans="8:9" x14ac:dyDescent="0.2">
      <c r="H12643" s="6"/>
      <c r="I12643" s="6"/>
    </row>
    <row r="12644" spans="8:9" x14ac:dyDescent="0.2">
      <c r="H12644" s="6"/>
      <c r="I12644" s="6"/>
    </row>
    <row r="12645" spans="8:9" x14ac:dyDescent="0.2">
      <c r="H12645" s="6"/>
      <c r="I12645" s="6"/>
    </row>
    <row r="12646" spans="8:9" x14ac:dyDescent="0.2">
      <c r="H12646" s="6"/>
      <c r="I12646" s="6"/>
    </row>
    <row r="12647" spans="8:9" x14ac:dyDescent="0.2">
      <c r="H12647" s="6"/>
      <c r="I12647" s="6"/>
    </row>
    <row r="12648" spans="8:9" x14ac:dyDescent="0.2">
      <c r="H12648" s="6"/>
      <c r="I12648" s="6"/>
    </row>
    <row r="12649" spans="8:9" x14ac:dyDescent="0.2">
      <c r="H12649" s="6"/>
      <c r="I12649" s="6"/>
    </row>
    <row r="12650" spans="8:9" x14ac:dyDescent="0.2">
      <c r="H12650" s="6"/>
      <c r="I12650" s="6"/>
    </row>
    <row r="12651" spans="8:9" x14ac:dyDescent="0.2">
      <c r="H12651" s="6"/>
      <c r="I12651" s="6"/>
    </row>
    <row r="12652" spans="8:9" x14ac:dyDescent="0.2">
      <c r="H12652" s="6"/>
      <c r="I12652" s="6"/>
    </row>
    <row r="12653" spans="8:9" x14ac:dyDescent="0.2">
      <c r="H12653" s="6"/>
      <c r="I12653" s="6"/>
    </row>
    <row r="12654" spans="8:9" x14ac:dyDescent="0.2">
      <c r="H12654" s="6"/>
      <c r="I12654" s="6"/>
    </row>
    <row r="12655" spans="8:9" x14ac:dyDescent="0.2">
      <c r="H12655" s="6"/>
      <c r="I12655" s="6"/>
    </row>
    <row r="12656" spans="8:9" x14ac:dyDescent="0.2">
      <c r="H12656" s="6"/>
      <c r="I12656" s="6"/>
    </row>
    <row r="12657" spans="8:9" x14ac:dyDescent="0.2">
      <c r="H12657" s="6"/>
      <c r="I12657" s="6"/>
    </row>
    <row r="12658" spans="8:9" x14ac:dyDescent="0.2">
      <c r="H12658" s="6"/>
      <c r="I12658" s="6"/>
    </row>
    <row r="12659" spans="8:9" x14ac:dyDescent="0.2">
      <c r="H12659" s="6"/>
      <c r="I12659" s="6"/>
    </row>
    <row r="12660" spans="8:9" x14ac:dyDescent="0.2">
      <c r="H12660" s="6"/>
      <c r="I12660" s="6"/>
    </row>
    <row r="12661" spans="8:9" x14ac:dyDescent="0.2">
      <c r="H12661" s="6"/>
      <c r="I12661" s="6"/>
    </row>
    <row r="12662" spans="8:9" x14ac:dyDescent="0.2">
      <c r="H12662" s="6"/>
      <c r="I12662" s="6"/>
    </row>
    <row r="12663" spans="8:9" x14ac:dyDescent="0.2">
      <c r="H12663" s="6"/>
      <c r="I12663" s="6"/>
    </row>
    <row r="12664" spans="8:9" x14ac:dyDescent="0.2">
      <c r="H12664" s="6"/>
      <c r="I12664" s="6"/>
    </row>
    <row r="12665" spans="8:9" x14ac:dyDescent="0.2">
      <c r="H12665" s="6"/>
      <c r="I12665" s="6"/>
    </row>
    <row r="12666" spans="8:9" x14ac:dyDescent="0.2">
      <c r="H12666" s="6"/>
      <c r="I12666" s="6"/>
    </row>
    <row r="12667" spans="8:9" x14ac:dyDescent="0.2">
      <c r="H12667" s="6"/>
      <c r="I12667" s="6"/>
    </row>
    <row r="12668" spans="8:9" x14ac:dyDescent="0.2">
      <c r="H12668" s="6"/>
      <c r="I12668" s="6"/>
    </row>
    <row r="12669" spans="8:9" x14ac:dyDescent="0.2">
      <c r="H12669" s="6"/>
      <c r="I12669" s="6"/>
    </row>
    <row r="12670" spans="8:9" x14ac:dyDescent="0.2">
      <c r="H12670" s="6"/>
      <c r="I12670" s="6"/>
    </row>
    <row r="12671" spans="8:9" x14ac:dyDescent="0.2">
      <c r="H12671" s="6"/>
      <c r="I12671" s="6"/>
    </row>
    <row r="12672" spans="8:9" x14ac:dyDescent="0.2">
      <c r="H12672" s="6"/>
      <c r="I12672" s="6"/>
    </row>
    <row r="12673" spans="8:9" x14ac:dyDescent="0.2">
      <c r="H12673" s="6"/>
      <c r="I12673" s="6"/>
    </row>
    <row r="12674" spans="8:9" x14ac:dyDescent="0.2">
      <c r="H12674" s="6"/>
      <c r="I12674" s="6"/>
    </row>
    <row r="12675" spans="8:9" x14ac:dyDescent="0.2">
      <c r="H12675" s="6"/>
      <c r="I12675" s="6"/>
    </row>
    <row r="12676" spans="8:9" x14ac:dyDescent="0.2">
      <c r="H12676" s="6"/>
      <c r="I12676" s="6"/>
    </row>
    <row r="12677" spans="8:9" x14ac:dyDescent="0.2">
      <c r="H12677" s="6"/>
      <c r="I12677" s="6"/>
    </row>
    <row r="12678" spans="8:9" x14ac:dyDescent="0.2">
      <c r="H12678" s="6"/>
      <c r="I12678" s="6"/>
    </row>
    <row r="12679" spans="8:9" x14ac:dyDescent="0.2">
      <c r="H12679" s="6"/>
      <c r="I12679" s="6"/>
    </row>
    <row r="12680" spans="8:9" x14ac:dyDescent="0.2">
      <c r="H12680" s="6"/>
      <c r="I12680" s="6"/>
    </row>
    <row r="12681" spans="8:9" x14ac:dyDescent="0.2">
      <c r="H12681" s="6"/>
      <c r="I12681" s="6"/>
    </row>
    <row r="12682" spans="8:9" x14ac:dyDescent="0.2">
      <c r="H12682" s="6"/>
      <c r="I12682" s="6"/>
    </row>
    <row r="12683" spans="8:9" x14ac:dyDescent="0.2">
      <c r="H12683" s="6"/>
      <c r="I12683" s="6"/>
    </row>
    <row r="12684" spans="8:9" x14ac:dyDescent="0.2">
      <c r="H12684" s="6"/>
      <c r="I12684" s="6"/>
    </row>
    <row r="12685" spans="8:9" x14ac:dyDescent="0.2">
      <c r="H12685" s="6"/>
      <c r="I12685" s="6"/>
    </row>
    <row r="12686" spans="8:9" x14ac:dyDescent="0.2">
      <c r="H12686" s="6"/>
      <c r="I12686" s="6"/>
    </row>
    <row r="12687" spans="8:9" x14ac:dyDescent="0.2">
      <c r="H12687" s="6"/>
      <c r="I12687" s="6"/>
    </row>
    <row r="12688" spans="8:9" x14ac:dyDescent="0.2">
      <c r="H12688" s="6"/>
      <c r="I12688" s="6"/>
    </row>
    <row r="12689" spans="8:9" x14ac:dyDescent="0.2">
      <c r="H12689" s="6"/>
      <c r="I12689" s="6"/>
    </row>
    <row r="12690" spans="8:9" x14ac:dyDescent="0.2">
      <c r="H12690" s="6"/>
      <c r="I12690" s="6"/>
    </row>
    <row r="12691" spans="8:9" x14ac:dyDescent="0.2">
      <c r="H12691" s="6"/>
      <c r="I12691" s="6"/>
    </row>
    <row r="12692" spans="8:9" x14ac:dyDescent="0.2">
      <c r="H12692" s="6"/>
      <c r="I12692" s="6"/>
    </row>
    <row r="12693" spans="8:9" x14ac:dyDescent="0.2">
      <c r="H12693" s="6"/>
      <c r="I12693" s="6"/>
    </row>
    <row r="12694" spans="8:9" x14ac:dyDescent="0.2">
      <c r="H12694" s="6"/>
      <c r="I12694" s="6"/>
    </row>
    <row r="12695" spans="8:9" x14ac:dyDescent="0.2">
      <c r="H12695" s="6"/>
      <c r="I12695" s="6"/>
    </row>
    <row r="12696" spans="8:9" x14ac:dyDescent="0.2">
      <c r="H12696" s="6"/>
      <c r="I12696" s="6"/>
    </row>
    <row r="12697" spans="8:9" x14ac:dyDescent="0.2">
      <c r="H12697" s="6"/>
      <c r="I12697" s="6"/>
    </row>
    <row r="12698" spans="8:9" x14ac:dyDescent="0.2">
      <c r="H12698" s="6"/>
      <c r="I12698" s="6"/>
    </row>
    <row r="12699" spans="8:9" x14ac:dyDescent="0.2">
      <c r="H12699" s="6"/>
      <c r="I12699" s="6"/>
    </row>
    <row r="12700" spans="8:9" x14ac:dyDescent="0.2">
      <c r="H12700" s="6"/>
      <c r="I12700" s="6"/>
    </row>
    <row r="12701" spans="8:9" x14ac:dyDescent="0.2">
      <c r="H12701" s="6"/>
      <c r="I12701" s="6"/>
    </row>
    <row r="12702" spans="8:9" x14ac:dyDescent="0.2">
      <c r="H12702" s="6"/>
      <c r="I12702" s="6"/>
    </row>
    <row r="12703" spans="8:9" x14ac:dyDescent="0.2">
      <c r="H12703" s="6"/>
      <c r="I12703" s="6"/>
    </row>
    <row r="12704" spans="8:9" x14ac:dyDescent="0.2">
      <c r="H12704" s="6"/>
      <c r="I12704" s="6"/>
    </row>
    <row r="12705" spans="8:9" x14ac:dyDescent="0.2">
      <c r="H12705" s="6"/>
      <c r="I12705" s="6"/>
    </row>
    <row r="12706" spans="8:9" x14ac:dyDescent="0.2">
      <c r="H12706" s="6"/>
      <c r="I12706" s="6"/>
    </row>
    <row r="12707" spans="8:9" x14ac:dyDescent="0.2">
      <c r="H12707" s="6"/>
      <c r="I12707" s="6"/>
    </row>
    <row r="12708" spans="8:9" x14ac:dyDescent="0.2">
      <c r="H12708" s="6"/>
      <c r="I12708" s="6"/>
    </row>
    <row r="12709" spans="8:9" x14ac:dyDescent="0.2">
      <c r="H12709" s="6"/>
      <c r="I12709" s="6"/>
    </row>
    <row r="12710" spans="8:9" x14ac:dyDescent="0.2">
      <c r="H12710" s="6"/>
      <c r="I12710" s="6"/>
    </row>
    <row r="12711" spans="8:9" x14ac:dyDescent="0.2">
      <c r="H12711" s="6"/>
      <c r="I12711" s="6"/>
    </row>
    <row r="12712" spans="8:9" x14ac:dyDescent="0.2">
      <c r="H12712" s="6"/>
      <c r="I12712" s="6"/>
    </row>
    <row r="12713" spans="8:9" x14ac:dyDescent="0.2">
      <c r="H12713" s="6"/>
      <c r="I12713" s="6"/>
    </row>
    <row r="12714" spans="8:9" x14ac:dyDescent="0.2">
      <c r="H12714" s="6"/>
      <c r="I12714" s="6"/>
    </row>
    <row r="12715" spans="8:9" x14ac:dyDescent="0.2">
      <c r="H12715" s="6"/>
      <c r="I12715" s="6"/>
    </row>
    <row r="12716" spans="8:9" x14ac:dyDescent="0.2">
      <c r="H12716" s="6"/>
      <c r="I12716" s="6"/>
    </row>
    <row r="12717" spans="8:9" x14ac:dyDescent="0.2">
      <c r="H12717" s="6"/>
      <c r="I12717" s="6"/>
    </row>
    <row r="12718" spans="8:9" x14ac:dyDescent="0.2">
      <c r="H12718" s="6"/>
      <c r="I12718" s="6"/>
    </row>
    <row r="12719" spans="8:9" x14ac:dyDescent="0.2">
      <c r="H12719" s="6"/>
      <c r="I12719" s="6"/>
    </row>
    <row r="12720" spans="8:9" x14ac:dyDescent="0.2">
      <c r="H12720" s="6"/>
      <c r="I12720" s="6"/>
    </row>
    <row r="12721" spans="8:9" x14ac:dyDescent="0.2">
      <c r="H12721" s="6"/>
      <c r="I12721" s="6"/>
    </row>
    <row r="12722" spans="8:9" x14ac:dyDescent="0.2">
      <c r="H12722" s="6"/>
      <c r="I12722" s="6"/>
    </row>
    <row r="12723" spans="8:9" x14ac:dyDescent="0.2">
      <c r="H12723" s="6"/>
      <c r="I12723" s="6"/>
    </row>
    <row r="12724" spans="8:9" x14ac:dyDescent="0.2">
      <c r="H12724" s="6"/>
      <c r="I12724" s="6"/>
    </row>
    <row r="12725" spans="8:9" x14ac:dyDescent="0.2">
      <c r="H12725" s="6"/>
      <c r="I12725" s="6"/>
    </row>
    <row r="12726" spans="8:9" x14ac:dyDescent="0.2">
      <c r="H12726" s="6"/>
      <c r="I12726" s="6"/>
    </row>
    <row r="12727" spans="8:9" x14ac:dyDescent="0.2">
      <c r="H12727" s="6"/>
      <c r="I12727" s="6"/>
    </row>
    <row r="12728" spans="8:9" x14ac:dyDescent="0.2">
      <c r="H12728" s="6"/>
      <c r="I12728" s="6"/>
    </row>
    <row r="12729" spans="8:9" x14ac:dyDescent="0.2">
      <c r="H12729" s="6"/>
      <c r="I12729" s="6"/>
    </row>
    <row r="12730" spans="8:9" x14ac:dyDescent="0.2">
      <c r="H12730" s="6"/>
      <c r="I12730" s="6"/>
    </row>
    <row r="12731" spans="8:9" x14ac:dyDescent="0.2">
      <c r="H12731" s="6"/>
      <c r="I12731" s="6"/>
    </row>
    <row r="12732" spans="8:9" x14ac:dyDescent="0.2">
      <c r="H12732" s="6"/>
      <c r="I12732" s="6"/>
    </row>
    <row r="12733" spans="8:9" x14ac:dyDescent="0.2">
      <c r="H12733" s="6"/>
      <c r="I12733" s="6"/>
    </row>
    <row r="12734" spans="8:9" x14ac:dyDescent="0.2">
      <c r="H12734" s="6"/>
      <c r="I12734" s="6"/>
    </row>
    <row r="12735" spans="8:9" x14ac:dyDescent="0.2">
      <c r="H12735" s="6"/>
      <c r="I12735" s="6"/>
    </row>
    <row r="12736" spans="8:9" x14ac:dyDescent="0.2">
      <c r="H12736" s="6"/>
      <c r="I12736" s="6"/>
    </row>
    <row r="12737" spans="8:9" x14ac:dyDescent="0.2">
      <c r="H12737" s="6"/>
      <c r="I12737" s="6"/>
    </row>
    <row r="12738" spans="8:9" x14ac:dyDescent="0.2">
      <c r="H12738" s="6"/>
      <c r="I12738" s="6"/>
    </row>
    <row r="12739" spans="8:9" x14ac:dyDescent="0.2">
      <c r="H12739" s="6"/>
      <c r="I12739" s="6"/>
    </row>
    <row r="12740" spans="8:9" x14ac:dyDescent="0.2">
      <c r="H12740" s="6"/>
      <c r="I12740" s="6"/>
    </row>
    <row r="12741" spans="8:9" x14ac:dyDescent="0.2">
      <c r="H12741" s="6"/>
      <c r="I12741" s="6"/>
    </row>
    <row r="12742" spans="8:9" x14ac:dyDescent="0.2">
      <c r="H12742" s="6"/>
      <c r="I12742" s="6"/>
    </row>
    <row r="12743" spans="8:9" x14ac:dyDescent="0.2">
      <c r="H12743" s="6"/>
      <c r="I12743" s="6"/>
    </row>
    <row r="12744" spans="8:9" x14ac:dyDescent="0.2">
      <c r="H12744" s="6"/>
      <c r="I12744" s="6"/>
    </row>
    <row r="12745" spans="8:9" x14ac:dyDescent="0.2">
      <c r="H12745" s="6"/>
      <c r="I12745" s="6"/>
    </row>
    <row r="12746" spans="8:9" x14ac:dyDescent="0.2">
      <c r="H12746" s="6"/>
      <c r="I12746" s="6"/>
    </row>
    <row r="12747" spans="8:9" x14ac:dyDescent="0.2">
      <c r="H12747" s="6"/>
      <c r="I12747" s="6"/>
    </row>
    <row r="12748" spans="8:9" x14ac:dyDescent="0.2">
      <c r="H12748" s="6"/>
      <c r="I12748" s="6"/>
    </row>
    <row r="12749" spans="8:9" x14ac:dyDescent="0.2">
      <c r="H12749" s="6"/>
      <c r="I12749" s="6"/>
    </row>
    <row r="12750" spans="8:9" x14ac:dyDescent="0.2">
      <c r="H12750" s="6"/>
      <c r="I12750" s="6"/>
    </row>
    <row r="12751" spans="8:9" x14ac:dyDescent="0.2">
      <c r="H12751" s="6"/>
      <c r="I12751" s="6"/>
    </row>
    <row r="12752" spans="8:9" x14ac:dyDescent="0.2">
      <c r="H12752" s="6"/>
      <c r="I12752" s="6"/>
    </row>
    <row r="12753" spans="8:9" x14ac:dyDescent="0.2">
      <c r="H12753" s="6"/>
      <c r="I12753" s="6"/>
    </row>
    <row r="12754" spans="8:9" x14ac:dyDescent="0.2">
      <c r="H12754" s="6"/>
      <c r="I12754" s="6"/>
    </row>
    <row r="12755" spans="8:9" x14ac:dyDescent="0.2">
      <c r="H12755" s="6"/>
      <c r="I12755" s="6"/>
    </row>
    <row r="12756" spans="8:9" x14ac:dyDescent="0.2">
      <c r="H12756" s="6"/>
      <c r="I12756" s="6"/>
    </row>
    <row r="12757" spans="8:9" x14ac:dyDescent="0.2">
      <c r="H12757" s="6"/>
      <c r="I12757" s="6"/>
    </row>
    <row r="12758" spans="8:9" x14ac:dyDescent="0.2">
      <c r="H12758" s="6"/>
      <c r="I12758" s="6"/>
    </row>
    <row r="12759" spans="8:9" x14ac:dyDescent="0.2">
      <c r="H12759" s="6"/>
      <c r="I12759" s="6"/>
    </row>
    <row r="12760" spans="8:9" x14ac:dyDescent="0.2">
      <c r="H12760" s="6"/>
      <c r="I12760" s="6"/>
    </row>
    <row r="12761" spans="8:9" x14ac:dyDescent="0.2">
      <c r="H12761" s="6"/>
      <c r="I12761" s="6"/>
    </row>
    <row r="12762" spans="8:9" x14ac:dyDescent="0.2">
      <c r="H12762" s="6"/>
      <c r="I12762" s="6"/>
    </row>
    <row r="12763" spans="8:9" x14ac:dyDescent="0.2">
      <c r="H12763" s="6"/>
      <c r="I12763" s="6"/>
    </row>
    <row r="12764" spans="8:9" x14ac:dyDescent="0.2">
      <c r="H12764" s="6"/>
      <c r="I12764" s="6"/>
    </row>
    <row r="12765" spans="8:9" x14ac:dyDescent="0.2">
      <c r="H12765" s="6"/>
      <c r="I12765" s="6"/>
    </row>
    <row r="12766" spans="8:9" x14ac:dyDescent="0.2">
      <c r="H12766" s="6"/>
      <c r="I12766" s="6"/>
    </row>
    <row r="12767" spans="8:9" x14ac:dyDescent="0.2">
      <c r="H12767" s="6"/>
      <c r="I12767" s="6"/>
    </row>
    <row r="12768" spans="8:9" x14ac:dyDescent="0.2">
      <c r="H12768" s="6"/>
      <c r="I12768" s="6"/>
    </row>
    <row r="12769" spans="8:9" x14ac:dyDescent="0.2">
      <c r="H12769" s="6"/>
      <c r="I12769" s="6"/>
    </row>
    <row r="12770" spans="8:9" x14ac:dyDescent="0.2">
      <c r="H12770" s="6"/>
      <c r="I12770" s="6"/>
    </row>
    <row r="12771" spans="8:9" x14ac:dyDescent="0.2">
      <c r="H12771" s="6"/>
      <c r="I12771" s="6"/>
    </row>
    <row r="12772" spans="8:9" x14ac:dyDescent="0.2">
      <c r="H12772" s="6"/>
      <c r="I12772" s="6"/>
    </row>
    <row r="12773" spans="8:9" x14ac:dyDescent="0.2">
      <c r="H12773" s="6"/>
      <c r="I12773" s="6"/>
    </row>
    <row r="12774" spans="8:9" x14ac:dyDescent="0.2">
      <c r="H12774" s="6"/>
      <c r="I12774" s="6"/>
    </row>
    <row r="12775" spans="8:9" x14ac:dyDescent="0.2">
      <c r="H12775" s="6"/>
      <c r="I12775" s="6"/>
    </row>
    <row r="12776" spans="8:9" x14ac:dyDescent="0.2">
      <c r="H12776" s="6"/>
      <c r="I12776" s="6"/>
    </row>
    <row r="12777" spans="8:9" x14ac:dyDescent="0.2">
      <c r="H12777" s="6"/>
      <c r="I12777" s="6"/>
    </row>
    <row r="12778" spans="8:9" x14ac:dyDescent="0.2">
      <c r="H12778" s="6"/>
      <c r="I12778" s="6"/>
    </row>
    <row r="12779" spans="8:9" x14ac:dyDescent="0.2">
      <c r="H12779" s="6"/>
      <c r="I12779" s="6"/>
    </row>
    <row r="12780" spans="8:9" x14ac:dyDescent="0.2">
      <c r="H12780" s="6"/>
      <c r="I12780" s="6"/>
    </row>
    <row r="12781" spans="8:9" x14ac:dyDescent="0.2">
      <c r="H12781" s="6"/>
      <c r="I12781" s="6"/>
    </row>
    <row r="12782" spans="8:9" x14ac:dyDescent="0.2">
      <c r="H12782" s="6"/>
      <c r="I12782" s="6"/>
    </row>
    <row r="12783" spans="8:9" x14ac:dyDescent="0.2">
      <c r="H12783" s="6"/>
      <c r="I12783" s="6"/>
    </row>
    <row r="12784" spans="8:9" x14ac:dyDescent="0.2">
      <c r="H12784" s="6"/>
      <c r="I12784" s="6"/>
    </row>
    <row r="12785" spans="8:9" x14ac:dyDescent="0.2">
      <c r="H12785" s="6"/>
      <c r="I12785" s="6"/>
    </row>
    <row r="12786" spans="8:9" x14ac:dyDescent="0.2">
      <c r="H12786" s="6"/>
      <c r="I12786" s="6"/>
    </row>
    <row r="12787" spans="8:9" x14ac:dyDescent="0.2">
      <c r="H12787" s="6"/>
      <c r="I12787" s="6"/>
    </row>
    <row r="12788" spans="8:9" x14ac:dyDescent="0.2">
      <c r="H12788" s="6"/>
      <c r="I12788" s="6"/>
    </row>
    <row r="12789" spans="8:9" x14ac:dyDescent="0.2">
      <c r="H12789" s="6"/>
      <c r="I12789" s="6"/>
    </row>
    <row r="12790" spans="8:9" x14ac:dyDescent="0.2">
      <c r="H12790" s="6"/>
      <c r="I12790" s="6"/>
    </row>
    <row r="12791" spans="8:9" x14ac:dyDescent="0.2">
      <c r="H12791" s="6"/>
      <c r="I12791" s="6"/>
    </row>
    <row r="12792" spans="8:9" x14ac:dyDescent="0.2">
      <c r="H12792" s="6"/>
      <c r="I12792" s="6"/>
    </row>
    <row r="12793" spans="8:9" x14ac:dyDescent="0.2">
      <c r="H12793" s="6"/>
      <c r="I12793" s="6"/>
    </row>
    <row r="12794" spans="8:9" x14ac:dyDescent="0.2">
      <c r="H12794" s="6"/>
      <c r="I12794" s="6"/>
    </row>
    <row r="12795" spans="8:9" x14ac:dyDescent="0.2">
      <c r="H12795" s="6"/>
      <c r="I12795" s="6"/>
    </row>
    <row r="12796" spans="8:9" x14ac:dyDescent="0.2">
      <c r="H12796" s="6"/>
      <c r="I12796" s="6"/>
    </row>
    <row r="12797" spans="8:9" x14ac:dyDescent="0.2">
      <c r="H12797" s="6"/>
      <c r="I12797" s="6"/>
    </row>
    <row r="12798" spans="8:9" x14ac:dyDescent="0.2">
      <c r="H12798" s="6"/>
      <c r="I12798" s="6"/>
    </row>
    <row r="12799" spans="8:9" x14ac:dyDescent="0.2">
      <c r="H12799" s="6"/>
      <c r="I12799" s="6"/>
    </row>
    <row r="12800" spans="8:9" x14ac:dyDescent="0.2">
      <c r="H12800" s="6"/>
      <c r="I12800" s="6"/>
    </row>
    <row r="12801" spans="8:9" x14ac:dyDescent="0.2">
      <c r="H12801" s="6"/>
      <c r="I12801" s="6"/>
    </row>
    <row r="12802" spans="8:9" x14ac:dyDescent="0.2">
      <c r="H12802" s="6"/>
      <c r="I12802" s="6"/>
    </row>
    <row r="12803" spans="8:9" x14ac:dyDescent="0.2">
      <c r="H12803" s="6"/>
      <c r="I12803" s="6"/>
    </row>
    <row r="12804" spans="8:9" x14ac:dyDescent="0.2">
      <c r="H12804" s="6"/>
      <c r="I12804" s="6"/>
    </row>
    <row r="12805" spans="8:9" x14ac:dyDescent="0.2">
      <c r="H12805" s="6"/>
      <c r="I12805" s="6"/>
    </row>
    <row r="12806" spans="8:9" x14ac:dyDescent="0.2">
      <c r="H12806" s="6"/>
      <c r="I12806" s="6"/>
    </row>
    <row r="12807" spans="8:9" x14ac:dyDescent="0.2">
      <c r="H12807" s="6"/>
      <c r="I12807" s="6"/>
    </row>
    <row r="12808" spans="8:9" x14ac:dyDescent="0.2">
      <c r="H12808" s="6"/>
      <c r="I12808" s="6"/>
    </row>
    <row r="12809" spans="8:9" x14ac:dyDescent="0.2">
      <c r="H12809" s="6"/>
      <c r="I12809" s="6"/>
    </row>
    <row r="12810" spans="8:9" x14ac:dyDescent="0.2">
      <c r="H12810" s="6"/>
      <c r="I12810" s="6"/>
    </row>
    <row r="12811" spans="8:9" x14ac:dyDescent="0.2">
      <c r="H12811" s="6"/>
      <c r="I12811" s="6"/>
    </row>
    <row r="12812" spans="8:9" x14ac:dyDescent="0.2">
      <c r="H12812" s="6"/>
      <c r="I12812" s="6"/>
    </row>
    <row r="12813" spans="8:9" x14ac:dyDescent="0.2">
      <c r="H12813" s="6"/>
      <c r="I12813" s="6"/>
    </row>
    <row r="12814" spans="8:9" x14ac:dyDescent="0.2">
      <c r="H12814" s="6"/>
      <c r="I12814" s="6"/>
    </row>
    <row r="12815" spans="8:9" x14ac:dyDescent="0.2">
      <c r="H12815" s="6"/>
      <c r="I12815" s="6"/>
    </row>
    <row r="12816" spans="8:9" x14ac:dyDescent="0.2">
      <c r="H12816" s="6"/>
      <c r="I12816" s="6"/>
    </row>
    <row r="12817" spans="8:9" x14ac:dyDescent="0.2">
      <c r="H12817" s="6"/>
      <c r="I12817" s="6"/>
    </row>
    <row r="12818" spans="8:9" x14ac:dyDescent="0.2">
      <c r="H12818" s="6"/>
      <c r="I12818" s="6"/>
    </row>
    <row r="12819" spans="8:9" x14ac:dyDescent="0.2">
      <c r="H12819" s="6"/>
      <c r="I12819" s="6"/>
    </row>
    <row r="12820" spans="8:9" x14ac:dyDescent="0.2">
      <c r="H12820" s="6"/>
      <c r="I12820" s="6"/>
    </row>
    <row r="12821" spans="8:9" x14ac:dyDescent="0.2">
      <c r="H12821" s="6"/>
      <c r="I12821" s="6"/>
    </row>
    <row r="12822" spans="8:9" x14ac:dyDescent="0.2">
      <c r="H12822" s="6"/>
      <c r="I12822" s="6"/>
    </row>
    <row r="12823" spans="8:9" x14ac:dyDescent="0.2">
      <c r="H12823" s="6"/>
      <c r="I12823" s="6"/>
    </row>
    <row r="12824" spans="8:9" x14ac:dyDescent="0.2">
      <c r="H12824" s="6"/>
      <c r="I12824" s="6"/>
    </row>
    <row r="12825" spans="8:9" x14ac:dyDescent="0.2">
      <c r="H12825" s="6"/>
      <c r="I12825" s="6"/>
    </row>
    <row r="12826" spans="8:9" x14ac:dyDescent="0.2">
      <c r="H12826" s="6"/>
      <c r="I12826" s="6"/>
    </row>
    <row r="12827" spans="8:9" x14ac:dyDescent="0.2">
      <c r="H12827" s="6"/>
      <c r="I12827" s="6"/>
    </row>
    <row r="12828" spans="8:9" x14ac:dyDescent="0.2">
      <c r="H12828" s="6"/>
      <c r="I12828" s="6"/>
    </row>
    <row r="12829" spans="8:9" x14ac:dyDescent="0.2">
      <c r="H12829" s="6"/>
      <c r="I12829" s="6"/>
    </row>
    <row r="12830" spans="8:9" x14ac:dyDescent="0.2">
      <c r="H12830" s="6"/>
      <c r="I12830" s="6"/>
    </row>
    <row r="12831" spans="8:9" x14ac:dyDescent="0.2">
      <c r="H12831" s="6"/>
      <c r="I12831" s="6"/>
    </row>
    <row r="12832" spans="8:9" x14ac:dyDescent="0.2">
      <c r="H12832" s="6"/>
      <c r="I12832" s="6"/>
    </row>
    <row r="12833" spans="8:9" x14ac:dyDescent="0.2">
      <c r="H12833" s="6"/>
      <c r="I12833" s="6"/>
    </row>
    <row r="12834" spans="8:9" x14ac:dyDescent="0.2">
      <c r="H12834" s="6"/>
      <c r="I12834" s="6"/>
    </row>
    <row r="12835" spans="8:9" x14ac:dyDescent="0.2">
      <c r="H12835" s="6"/>
      <c r="I12835" s="6"/>
    </row>
    <row r="12836" spans="8:9" x14ac:dyDescent="0.2">
      <c r="H12836" s="6"/>
      <c r="I12836" s="6"/>
    </row>
    <row r="12837" spans="8:9" x14ac:dyDescent="0.2">
      <c r="H12837" s="6"/>
      <c r="I12837" s="6"/>
    </row>
    <row r="12838" spans="8:9" x14ac:dyDescent="0.2">
      <c r="H12838" s="6"/>
      <c r="I12838" s="6"/>
    </row>
    <row r="12839" spans="8:9" x14ac:dyDescent="0.2">
      <c r="H12839" s="6"/>
      <c r="I12839" s="6"/>
    </row>
    <row r="12840" spans="8:9" x14ac:dyDescent="0.2">
      <c r="H12840" s="6"/>
      <c r="I12840" s="6"/>
    </row>
    <row r="12841" spans="8:9" x14ac:dyDescent="0.2">
      <c r="H12841" s="6"/>
      <c r="I12841" s="6"/>
    </row>
    <row r="12842" spans="8:9" x14ac:dyDescent="0.2">
      <c r="H12842" s="6"/>
      <c r="I12842" s="6"/>
    </row>
    <row r="12843" spans="8:9" x14ac:dyDescent="0.2">
      <c r="H12843" s="6"/>
      <c r="I12843" s="6"/>
    </row>
    <row r="12844" spans="8:9" x14ac:dyDescent="0.2">
      <c r="H12844" s="6"/>
      <c r="I12844" s="6"/>
    </row>
    <row r="12845" spans="8:9" x14ac:dyDescent="0.2">
      <c r="H12845" s="6"/>
      <c r="I12845" s="6"/>
    </row>
    <row r="12846" spans="8:9" x14ac:dyDescent="0.2">
      <c r="H12846" s="6"/>
      <c r="I12846" s="6"/>
    </row>
    <row r="12847" spans="8:9" x14ac:dyDescent="0.2">
      <c r="H12847" s="6"/>
      <c r="I12847" s="6"/>
    </row>
    <row r="12848" spans="8:9" x14ac:dyDescent="0.2">
      <c r="H12848" s="6"/>
      <c r="I12848" s="6"/>
    </row>
    <row r="12849" spans="8:9" x14ac:dyDescent="0.2">
      <c r="H12849" s="6"/>
      <c r="I12849" s="6"/>
    </row>
    <row r="12850" spans="8:9" x14ac:dyDescent="0.2">
      <c r="H12850" s="6"/>
      <c r="I12850" s="6"/>
    </row>
    <row r="12851" spans="8:9" x14ac:dyDescent="0.2">
      <c r="H12851" s="6"/>
      <c r="I12851" s="6"/>
    </row>
    <row r="12852" spans="8:9" x14ac:dyDescent="0.2">
      <c r="H12852" s="6"/>
      <c r="I12852" s="6"/>
    </row>
    <row r="12853" spans="8:9" x14ac:dyDescent="0.2">
      <c r="H12853" s="6"/>
      <c r="I12853" s="6"/>
    </row>
    <row r="12854" spans="8:9" x14ac:dyDescent="0.2">
      <c r="H12854" s="6"/>
      <c r="I12854" s="6"/>
    </row>
    <row r="12855" spans="8:9" x14ac:dyDescent="0.2">
      <c r="H12855" s="6"/>
      <c r="I12855" s="6"/>
    </row>
    <row r="12856" spans="8:9" x14ac:dyDescent="0.2">
      <c r="H12856" s="6"/>
      <c r="I12856" s="6"/>
    </row>
    <row r="12857" spans="8:9" x14ac:dyDescent="0.2">
      <c r="H12857" s="6"/>
      <c r="I12857" s="6"/>
    </row>
    <row r="12858" spans="8:9" x14ac:dyDescent="0.2">
      <c r="H12858" s="6"/>
      <c r="I12858" s="6"/>
    </row>
    <row r="12859" spans="8:9" x14ac:dyDescent="0.2">
      <c r="H12859" s="6"/>
      <c r="I12859" s="6"/>
    </row>
    <row r="12860" spans="8:9" x14ac:dyDescent="0.2">
      <c r="H12860" s="6"/>
      <c r="I12860" s="6"/>
    </row>
    <row r="12861" spans="8:9" x14ac:dyDescent="0.2">
      <c r="H12861" s="6"/>
      <c r="I12861" s="6"/>
    </row>
    <row r="12862" spans="8:9" x14ac:dyDescent="0.2">
      <c r="H12862" s="6"/>
      <c r="I12862" s="6"/>
    </row>
    <row r="12863" spans="8:9" x14ac:dyDescent="0.2">
      <c r="H12863" s="6"/>
      <c r="I12863" s="6"/>
    </row>
    <row r="12864" spans="8:9" x14ac:dyDescent="0.2">
      <c r="H12864" s="6"/>
      <c r="I12864" s="6"/>
    </row>
    <row r="12865" spans="8:9" x14ac:dyDescent="0.2">
      <c r="H12865" s="6"/>
      <c r="I12865" s="6"/>
    </row>
    <row r="12866" spans="8:9" x14ac:dyDescent="0.2">
      <c r="H12866" s="6"/>
      <c r="I12866" s="6"/>
    </row>
    <row r="12867" spans="8:9" x14ac:dyDescent="0.2">
      <c r="H12867" s="6"/>
      <c r="I12867" s="6"/>
    </row>
    <row r="12868" spans="8:9" x14ac:dyDescent="0.2">
      <c r="H12868" s="6"/>
      <c r="I12868" s="6"/>
    </row>
    <row r="12869" spans="8:9" x14ac:dyDescent="0.2">
      <c r="H12869" s="6"/>
      <c r="I12869" s="6"/>
    </row>
    <row r="12870" spans="8:9" x14ac:dyDescent="0.2">
      <c r="H12870" s="6"/>
      <c r="I12870" s="6"/>
    </row>
    <row r="12871" spans="8:9" x14ac:dyDescent="0.2">
      <c r="H12871" s="6"/>
      <c r="I12871" s="6"/>
    </row>
    <row r="12872" spans="8:9" x14ac:dyDescent="0.2">
      <c r="H12872" s="6"/>
      <c r="I12872" s="6"/>
    </row>
    <row r="12873" spans="8:9" x14ac:dyDescent="0.2">
      <c r="H12873" s="6"/>
      <c r="I12873" s="6"/>
    </row>
    <row r="12874" spans="8:9" x14ac:dyDescent="0.2">
      <c r="H12874" s="6"/>
      <c r="I12874" s="6"/>
    </row>
    <row r="12875" spans="8:9" x14ac:dyDescent="0.2">
      <c r="H12875" s="6"/>
      <c r="I12875" s="6"/>
    </row>
    <row r="12876" spans="8:9" x14ac:dyDescent="0.2">
      <c r="H12876" s="6"/>
      <c r="I12876" s="6"/>
    </row>
    <row r="12877" spans="8:9" x14ac:dyDescent="0.2">
      <c r="H12877" s="6"/>
      <c r="I12877" s="6"/>
    </row>
    <row r="12878" spans="8:9" x14ac:dyDescent="0.2">
      <c r="H12878" s="6"/>
      <c r="I12878" s="6"/>
    </row>
    <row r="12879" spans="8:9" x14ac:dyDescent="0.2">
      <c r="H12879" s="6"/>
      <c r="I12879" s="6"/>
    </row>
    <row r="12880" spans="8:9" x14ac:dyDescent="0.2">
      <c r="H12880" s="6"/>
      <c r="I12880" s="6"/>
    </row>
    <row r="12881" spans="8:9" x14ac:dyDescent="0.2">
      <c r="H12881" s="6"/>
      <c r="I12881" s="6"/>
    </row>
    <row r="12882" spans="8:9" x14ac:dyDescent="0.2">
      <c r="H12882" s="6"/>
      <c r="I12882" s="6"/>
    </row>
    <row r="12883" spans="8:9" x14ac:dyDescent="0.2">
      <c r="H12883" s="6"/>
      <c r="I12883" s="6"/>
    </row>
    <row r="12884" spans="8:9" x14ac:dyDescent="0.2">
      <c r="H12884" s="6"/>
      <c r="I12884" s="6"/>
    </row>
    <row r="12885" spans="8:9" x14ac:dyDescent="0.2">
      <c r="H12885" s="6"/>
      <c r="I12885" s="6"/>
    </row>
    <row r="12886" spans="8:9" x14ac:dyDescent="0.2">
      <c r="H12886" s="6"/>
      <c r="I12886" s="6"/>
    </row>
    <row r="12887" spans="8:9" x14ac:dyDescent="0.2">
      <c r="H12887" s="6"/>
      <c r="I12887" s="6"/>
    </row>
    <row r="12888" spans="8:9" x14ac:dyDescent="0.2">
      <c r="H12888" s="6"/>
      <c r="I12888" s="6"/>
    </row>
    <row r="12889" spans="8:9" x14ac:dyDescent="0.2">
      <c r="H12889" s="6"/>
      <c r="I12889" s="6"/>
    </row>
    <row r="12890" spans="8:9" x14ac:dyDescent="0.2">
      <c r="H12890" s="6"/>
      <c r="I12890" s="6"/>
    </row>
    <row r="12891" spans="8:9" x14ac:dyDescent="0.2">
      <c r="H12891" s="6"/>
      <c r="I12891" s="6"/>
    </row>
    <row r="12892" spans="8:9" x14ac:dyDescent="0.2">
      <c r="H12892" s="6"/>
      <c r="I12892" s="6"/>
    </row>
    <row r="12893" spans="8:9" x14ac:dyDescent="0.2">
      <c r="H12893" s="6"/>
      <c r="I12893" s="6"/>
    </row>
    <row r="12894" spans="8:9" x14ac:dyDescent="0.2">
      <c r="H12894" s="6"/>
      <c r="I12894" s="6"/>
    </row>
    <row r="12895" spans="8:9" x14ac:dyDescent="0.2">
      <c r="H12895" s="6"/>
      <c r="I12895" s="6"/>
    </row>
    <row r="12896" spans="8:9" x14ac:dyDescent="0.2">
      <c r="H12896" s="6"/>
      <c r="I12896" s="6"/>
    </row>
    <row r="12897" spans="8:9" x14ac:dyDescent="0.2">
      <c r="H12897" s="6"/>
      <c r="I12897" s="6"/>
    </row>
    <row r="12898" spans="8:9" x14ac:dyDescent="0.2">
      <c r="H12898" s="6"/>
      <c r="I12898" s="6"/>
    </row>
    <row r="12899" spans="8:9" x14ac:dyDescent="0.2">
      <c r="H12899" s="6"/>
      <c r="I12899" s="6"/>
    </row>
    <row r="12900" spans="8:9" x14ac:dyDescent="0.2">
      <c r="H12900" s="6"/>
      <c r="I12900" s="6"/>
    </row>
    <row r="12901" spans="8:9" x14ac:dyDescent="0.2">
      <c r="H12901" s="6"/>
      <c r="I12901" s="6"/>
    </row>
    <row r="12902" spans="8:9" x14ac:dyDescent="0.2">
      <c r="H12902" s="6"/>
      <c r="I12902" s="6"/>
    </row>
    <row r="12903" spans="8:9" x14ac:dyDescent="0.2">
      <c r="H12903" s="6"/>
      <c r="I12903" s="6"/>
    </row>
    <row r="12904" spans="8:9" x14ac:dyDescent="0.2">
      <c r="H12904" s="6"/>
      <c r="I12904" s="6"/>
    </row>
    <row r="12905" spans="8:9" x14ac:dyDescent="0.2">
      <c r="H12905" s="6"/>
      <c r="I12905" s="6"/>
    </row>
    <row r="12906" spans="8:9" x14ac:dyDescent="0.2">
      <c r="H12906" s="6"/>
      <c r="I12906" s="6"/>
    </row>
    <row r="12907" spans="8:9" x14ac:dyDescent="0.2">
      <c r="H12907" s="6"/>
      <c r="I12907" s="6"/>
    </row>
    <row r="12908" spans="8:9" x14ac:dyDescent="0.2">
      <c r="H12908" s="6"/>
      <c r="I12908" s="6"/>
    </row>
    <row r="12909" spans="8:9" x14ac:dyDescent="0.2">
      <c r="H12909" s="6"/>
      <c r="I12909" s="6"/>
    </row>
    <row r="12910" spans="8:9" x14ac:dyDescent="0.2">
      <c r="H12910" s="6"/>
      <c r="I12910" s="6"/>
    </row>
    <row r="12911" spans="8:9" x14ac:dyDescent="0.2">
      <c r="H12911" s="6"/>
      <c r="I12911" s="6"/>
    </row>
    <row r="12912" spans="8:9" x14ac:dyDescent="0.2">
      <c r="H12912" s="6"/>
      <c r="I12912" s="6"/>
    </row>
    <row r="12913" spans="8:9" x14ac:dyDescent="0.2">
      <c r="H12913" s="6"/>
      <c r="I12913" s="6"/>
    </row>
    <row r="12914" spans="8:9" x14ac:dyDescent="0.2">
      <c r="H12914" s="6"/>
      <c r="I12914" s="6"/>
    </row>
    <row r="12915" spans="8:9" x14ac:dyDescent="0.2">
      <c r="H12915" s="6"/>
      <c r="I12915" s="6"/>
    </row>
    <row r="12916" spans="8:9" x14ac:dyDescent="0.2">
      <c r="H12916" s="6"/>
      <c r="I12916" s="6"/>
    </row>
    <row r="12917" spans="8:9" x14ac:dyDescent="0.2">
      <c r="H12917" s="6"/>
      <c r="I12917" s="6"/>
    </row>
    <row r="12918" spans="8:9" x14ac:dyDescent="0.2">
      <c r="H12918" s="6"/>
      <c r="I12918" s="6"/>
    </row>
    <row r="12919" spans="8:9" x14ac:dyDescent="0.2">
      <c r="H12919" s="6"/>
      <c r="I12919" s="6"/>
    </row>
    <row r="12920" spans="8:9" x14ac:dyDescent="0.2">
      <c r="H12920" s="6"/>
      <c r="I12920" s="6"/>
    </row>
    <row r="12921" spans="8:9" x14ac:dyDescent="0.2">
      <c r="H12921" s="6"/>
      <c r="I12921" s="6"/>
    </row>
    <row r="12922" spans="8:9" x14ac:dyDescent="0.2">
      <c r="H12922" s="6"/>
      <c r="I12922" s="6"/>
    </row>
    <row r="12923" spans="8:9" x14ac:dyDescent="0.2">
      <c r="H12923" s="6"/>
      <c r="I12923" s="6"/>
    </row>
    <row r="12924" spans="8:9" x14ac:dyDescent="0.2">
      <c r="H12924" s="6"/>
      <c r="I12924" s="6"/>
    </row>
    <row r="12925" spans="8:9" x14ac:dyDescent="0.2">
      <c r="H12925" s="6"/>
      <c r="I12925" s="6"/>
    </row>
    <row r="12926" spans="8:9" x14ac:dyDescent="0.2">
      <c r="H12926" s="6"/>
      <c r="I12926" s="6"/>
    </row>
    <row r="12927" spans="8:9" x14ac:dyDescent="0.2">
      <c r="H12927" s="6"/>
      <c r="I12927" s="6"/>
    </row>
    <row r="12928" spans="8:9" x14ac:dyDescent="0.2">
      <c r="H12928" s="6"/>
      <c r="I12928" s="6"/>
    </row>
    <row r="12929" spans="8:9" x14ac:dyDescent="0.2">
      <c r="H12929" s="6"/>
      <c r="I12929" s="6"/>
    </row>
    <row r="12930" spans="8:9" x14ac:dyDescent="0.2">
      <c r="H12930" s="6"/>
      <c r="I12930" s="6"/>
    </row>
    <row r="12931" spans="8:9" x14ac:dyDescent="0.2">
      <c r="H12931" s="6"/>
      <c r="I12931" s="6"/>
    </row>
    <row r="12932" spans="8:9" x14ac:dyDescent="0.2">
      <c r="H12932" s="6"/>
      <c r="I12932" s="6"/>
    </row>
    <row r="12933" spans="8:9" x14ac:dyDescent="0.2">
      <c r="H12933" s="6"/>
      <c r="I12933" s="6"/>
    </row>
    <row r="12934" spans="8:9" x14ac:dyDescent="0.2">
      <c r="H12934" s="6"/>
      <c r="I12934" s="6"/>
    </row>
    <row r="12935" spans="8:9" x14ac:dyDescent="0.2">
      <c r="H12935" s="6"/>
      <c r="I12935" s="6"/>
    </row>
    <row r="12936" spans="8:9" x14ac:dyDescent="0.2">
      <c r="H12936" s="6"/>
      <c r="I12936" s="6"/>
    </row>
    <row r="12937" spans="8:9" x14ac:dyDescent="0.2">
      <c r="H12937" s="6"/>
      <c r="I12937" s="6"/>
    </row>
    <row r="12938" spans="8:9" x14ac:dyDescent="0.2">
      <c r="H12938" s="6"/>
      <c r="I12938" s="6"/>
    </row>
    <row r="12939" spans="8:9" x14ac:dyDescent="0.2">
      <c r="H12939" s="6"/>
      <c r="I12939" s="6"/>
    </row>
    <row r="12940" spans="8:9" x14ac:dyDescent="0.2">
      <c r="H12940" s="6"/>
      <c r="I12940" s="6"/>
    </row>
    <row r="12941" spans="8:9" x14ac:dyDescent="0.2">
      <c r="H12941" s="6"/>
      <c r="I12941" s="6"/>
    </row>
    <row r="12942" spans="8:9" x14ac:dyDescent="0.2">
      <c r="H12942" s="6"/>
      <c r="I12942" s="6"/>
    </row>
    <row r="12943" spans="8:9" x14ac:dyDescent="0.2">
      <c r="H12943" s="6"/>
      <c r="I12943" s="6"/>
    </row>
    <row r="12944" spans="8:9" x14ac:dyDescent="0.2">
      <c r="H12944" s="6"/>
      <c r="I12944" s="6"/>
    </row>
    <row r="12945" spans="8:9" x14ac:dyDescent="0.2">
      <c r="H12945" s="6"/>
      <c r="I12945" s="6"/>
    </row>
    <row r="12946" spans="8:9" x14ac:dyDescent="0.2">
      <c r="H12946" s="6"/>
      <c r="I12946" s="6"/>
    </row>
    <row r="12947" spans="8:9" x14ac:dyDescent="0.2">
      <c r="H12947" s="6"/>
      <c r="I12947" s="6"/>
    </row>
    <row r="12948" spans="8:9" x14ac:dyDescent="0.2">
      <c r="H12948" s="6"/>
      <c r="I12948" s="6"/>
    </row>
    <row r="12949" spans="8:9" x14ac:dyDescent="0.2">
      <c r="H12949" s="6"/>
      <c r="I12949" s="6"/>
    </row>
    <row r="12950" spans="8:9" x14ac:dyDescent="0.2">
      <c r="H12950" s="6"/>
      <c r="I12950" s="6"/>
    </row>
    <row r="12951" spans="8:9" x14ac:dyDescent="0.2">
      <c r="H12951" s="6"/>
      <c r="I12951" s="6"/>
    </row>
    <row r="12952" spans="8:9" x14ac:dyDescent="0.2">
      <c r="H12952" s="6"/>
      <c r="I12952" s="6"/>
    </row>
    <row r="12953" spans="8:9" x14ac:dyDescent="0.2">
      <c r="H12953" s="6"/>
      <c r="I12953" s="6"/>
    </row>
    <row r="12954" spans="8:9" x14ac:dyDescent="0.2">
      <c r="H12954" s="6"/>
      <c r="I12954" s="6"/>
    </row>
    <row r="12955" spans="8:9" x14ac:dyDescent="0.2">
      <c r="H12955" s="6"/>
      <c r="I12955" s="6"/>
    </row>
    <row r="12956" spans="8:9" x14ac:dyDescent="0.2">
      <c r="H12956" s="6"/>
      <c r="I12956" s="6"/>
    </row>
    <row r="12957" spans="8:9" x14ac:dyDescent="0.2">
      <c r="H12957" s="6"/>
      <c r="I12957" s="6"/>
    </row>
    <row r="12958" spans="8:9" x14ac:dyDescent="0.2">
      <c r="H12958" s="6"/>
      <c r="I12958" s="6"/>
    </row>
    <row r="12959" spans="8:9" x14ac:dyDescent="0.2">
      <c r="H12959" s="6"/>
      <c r="I12959" s="6"/>
    </row>
    <row r="12960" spans="8:9" x14ac:dyDescent="0.2">
      <c r="H12960" s="6"/>
      <c r="I12960" s="6"/>
    </row>
    <row r="12961" spans="8:9" x14ac:dyDescent="0.2">
      <c r="H12961" s="6"/>
      <c r="I12961" s="6"/>
    </row>
    <row r="12962" spans="8:9" x14ac:dyDescent="0.2">
      <c r="H12962" s="6"/>
      <c r="I12962" s="6"/>
    </row>
    <row r="12963" spans="8:9" x14ac:dyDescent="0.2">
      <c r="H12963" s="6"/>
      <c r="I12963" s="6"/>
    </row>
    <row r="12964" spans="8:9" x14ac:dyDescent="0.2">
      <c r="H12964" s="6"/>
      <c r="I12964" s="6"/>
    </row>
    <row r="12965" spans="8:9" x14ac:dyDescent="0.2">
      <c r="H12965" s="6"/>
      <c r="I12965" s="6"/>
    </row>
    <row r="12966" spans="8:9" x14ac:dyDescent="0.2">
      <c r="H12966" s="6"/>
      <c r="I12966" s="6"/>
    </row>
    <row r="12967" spans="8:9" x14ac:dyDescent="0.2">
      <c r="H12967" s="6"/>
      <c r="I12967" s="6"/>
    </row>
    <row r="12968" spans="8:9" x14ac:dyDescent="0.2">
      <c r="H12968" s="6"/>
      <c r="I12968" s="6"/>
    </row>
    <row r="12969" spans="8:9" x14ac:dyDescent="0.2">
      <c r="H12969" s="6"/>
      <c r="I12969" s="6"/>
    </row>
    <row r="12970" spans="8:9" x14ac:dyDescent="0.2">
      <c r="H12970" s="6"/>
      <c r="I12970" s="6"/>
    </row>
    <row r="12971" spans="8:9" x14ac:dyDescent="0.2">
      <c r="H12971" s="6"/>
      <c r="I12971" s="6"/>
    </row>
    <row r="12972" spans="8:9" x14ac:dyDescent="0.2">
      <c r="H12972" s="6"/>
      <c r="I12972" s="6"/>
    </row>
    <row r="12973" spans="8:9" x14ac:dyDescent="0.2">
      <c r="H12973" s="6"/>
      <c r="I12973" s="6"/>
    </row>
    <row r="12974" spans="8:9" x14ac:dyDescent="0.2">
      <c r="H12974" s="6"/>
      <c r="I12974" s="6"/>
    </row>
    <row r="12975" spans="8:9" x14ac:dyDescent="0.2">
      <c r="H12975" s="6"/>
      <c r="I12975" s="6"/>
    </row>
    <row r="12976" spans="8:9" x14ac:dyDescent="0.2">
      <c r="H12976" s="6"/>
      <c r="I12976" s="6"/>
    </row>
    <row r="12977" spans="8:9" x14ac:dyDescent="0.2">
      <c r="H12977" s="6"/>
      <c r="I12977" s="6"/>
    </row>
    <row r="12978" spans="8:9" x14ac:dyDescent="0.2">
      <c r="H12978" s="6"/>
      <c r="I12978" s="6"/>
    </row>
    <row r="12979" spans="8:9" x14ac:dyDescent="0.2">
      <c r="H12979" s="6"/>
      <c r="I12979" s="6"/>
    </row>
    <row r="12980" spans="8:9" x14ac:dyDescent="0.2">
      <c r="H12980" s="6"/>
      <c r="I12980" s="6"/>
    </row>
    <row r="12981" spans="8:9" x14ac:dyDescent="0.2">
      <c r="H12981" s="6"/>
      <c r="I12981" s="6"/>
    </row>
    <row r="12982" spans="8:9" x14ac:dyDescent="0.2">
      <c r="H12982" s="6"/>
      <c r="I12982" s="6"/>
    </row>
    <row r="12983" spans="8:9" x14ac:dyDescent="0.2">
      <c r="H12983" s="6"/>
      <c r="I12983" s="6"/>
    </row>
    <row r="12984" spans="8:9" x14ac:dyDescent="0.2">
      <c r="H12984" s="6"/>
      <c r="I12984" s="6"/>
    </row>
    <row r="12985" spans="8:9" x14ac:dyDescent="0.2">
      <c r="H12985" s="6"/>
      <c r="I12985" s="6"/>
    </row>
    <row r="12986" spans="8:9" x14ac:dyDescent="0.2">
      <c r="H12986" s="6"/>
      <c r="I12986" s="6"/>
    </row>
    <row r="12987" spans="8:9" x14ac:dyDescent="0.2">
      <c r="H12987" s="6"/>
      <c r="I12987" s="6"/>
    </row>
    <row r="12988" spans="8:9" x14ac:dyDescent="0.2">
      <c r="H12988" s="6"/>
      <c r="I12988" s="6"/>
    </row>
    <row r="12989" spans="8:9" x14ac:dyDescent="0.2">
      <c r="H12989" s="6"/>
      <c r="I12989" s="6"/>
    </row>
    <row r="12990" spans="8:9" x14ac:dyDescent="0.2">
      <c r="H12990" s="6"/>
      <c r="I12990" s="6"/>
    </row>
    <row r="12991" spans="8:9" x14ac:dyDescent="0.2">
      <c r="H12991" s="6"/>
      <c r="I12991" s="6"/>
    </row>
    <row r="12992" spans="8:9" x14ac:dyDescent="0.2">
      <c r="H12992" s="6"/>
      <c r="I12992" s="6"/>
    </row>
    <row r="12993" spans="8:9" x14ac:dyDescent="0.2">
      <c r="H12993" s="6"/>
      <c r="I12993" s="6"/>
    </row>
    <row r="12994" spans="8:9" x14ac:dyDescent="0.2">
      <c r="H12994" s="6"/>
      <c r="I12994" s="6"/>
    </row>
    <row r="12995" spans="8:9" x14ac:dyDescent="0.2">
      <c r="H12995" s="6"/>
      <c r="I12995" s="6"/>
    </row>
    <row r="12996" spans="8:9" x14ac:dyDescent="0.2">
      <c r="H12996" s="6"/>
      <c r="I12996" s="6"/>
    </row>
    <row r="12997" spans="8:9" x14ac:dyDescent="0.2">
      <c r="H12997" s="6"/>
      <c r="I12997" s="6"/>
    </row>
    <row r="12998" spans="8:9" x14ac:dyDescent="0.2">
      <c r="H12998" s="6"/>
      <c r="I12998" s="6"/>
    </row>
    <row r="12999" spans="8:9" x14ac:dyDescent="0.2">
      <c r="H12999" s="6"/>
      <c r="I12999" s="6"/>
    </row>
    <row r="13000" spans="8:9" x14ac:dyDescent="0.2">
      <c r="H13000" s="6"/>
      <c r="I13000" s="6"/>
    </row>
    <row r="13001" spans="8:9" x14ac:dyDescent="0.2">
      <c r="H13001" s="6"/>
      <c r="I13001" s="6"/>
    </row>
    <row r="13002" spans="8:9" x14ac:dyDescent="0.2">
      <c r="H13002" s="6"/>
      <c r="I13002" s="6"/>
    </row>
    <row r="13003" spans="8:9" x14ac:dyDescent="0.2">
      <c r="H13003" s="6"/>
      <c r="I13003" s="6"/>
    </row>
    <row r="13004" spans="8:9" x14ac:dyDescent="0.2">
      <c r="H13004" s="6"/>
      <c r="I13004" s="6"/>
    </row>
    <row r="13005" spans="8:9" x14ac:dyDescent="0.2">
      <c r="H13005" s="6"/>
      <c r="I13005" s="6"/>
    </row>
    <row r="13006" spans="8:9" x14ac:dyDescent="0.2">
      <c r="H13006" s="6"/>
      <c r="I13006" s="6"/>
    </row>
    <row r="13007" spans="8:9" x14ac:dyDescent="0.2">
      <c r="H13007" s="6"/>
      <c r="I13007" s="6"/>
    </row>
    <row r="13008" spans="8:9" x14ac:dyDescent="0.2">
      <c r="H13008" s="6"/>
      <c r="I13008" s="6"/>
    </row>
    <row r="13009" spans="8:9" x14ac:dyDescent="0.2">
      <c r="H13009" s="6"/>
      <c r="I13009" s="6"/>
    </row>
    <row r="13010" spans="8:9" x14ac:dyDescent="0.2">
      <c r="H13010" s="6"/>
      <c r="I13010" s="6"/>
    </row>
    <row r="13011" spans="8:9" x14ac:dyDescent="0.2">
      <c r="H13011" s="6"/>
      <c r="I13011" s="6"/>
    </row>
    <row r="13012" spans="8:9" x14ac:dyDescent="0.2">
      <c r="H13012" s="6"/>
      <c r="I13012" s="6"/>
    </row>
    <row r="13013" spans="8:9" x14ac:dyDescent="0.2">
      <c r="H13013" s="6"/>
      <c r="I13013" s="6"/>
    </row>
    <row r="13014" spans="8:9" x14ac:dyDescent="0.2">
      <c r="H13014" s="6"/>
      <c r="I13014" s="6"/>
    </row>
    <row r="13015" spans="8:9" x14ac:dyDescent="0.2">
      <c r="H13015" s="6"/>
      <c r="I13015" s="6"/>
    </row>
    <row r="13016" spans="8:9" x14ac:dyDescent="0.2">
      <c r="H13016" s="6"/>
      <c r="I13016" s="6"/>
    </row>
    <row r="13017" spans="8:9" x14ac:dyDescent="0.2">
      <c r="H13017" s="6"/>
      <c r="I13017" s="6"/>
    </row>
    <row r="13018" spans="8:9" x14ac:dyDescent="0.2">
      <c r="H13018" s="6"/>
      <c r="I13018" s="6"/>
    </row>
    <row r="13019" spans="8:9" x14ac:dyDescent="0.2">
      <c r="H13019" s="6"/>
      <c r="I13019" s="6"/>
    </row>
    <row r="13020" spans="8:9" x14ac:dyDescent="0.2">
      <c r="H13020" s="6"/>
      <c r="I13020" s="6"/>
    </row>
    <row r="13021" spans="8:9" x14ac:dyDescent="0.2">
      <c r="H13021" s="6"/>
      <c r="I13021" s="6"/>
    </row>
    <row r="13022" spans="8:9" x14ac:dyDescent="0.2">
      <c r="H13022" s="6"/>
      <c r="I13022" s="6"/>
    </row>
    <row r="13023" spans="8:9" x14ac:dyDescent="0.2">
      <c r="H13023" s="6"/>
      <c r="I13023" s="6"/>
    </row>
    <row r="13024" spans="8:9" x14ac:dyDescent="0.2">
      <c r="H13024" s="6"/>
      <c r="I13024" s="6"/>
    </row>
    <row r="13025" spans="8:9" x14ac:dyDescent="0.2">
      <c r="H13025" s="6"/>
      <c r="I13025" s="6"/>
    </row>
    <row r="13026" spans="8:9" x14ac:dyDescent="0.2">
      <c r="H13026" s="6"/>
      <c r="I13026" s="6"/>
    </row>
    <row r="13027" spans="8:9" x14ac:dyDescent="0.2">
      <c r="H13027" s="6"/>
      <c r="I13027" s="6"/>
    </row>
    <row r="13028" spans="8:9" x14ac:dyDescent="0.2">
      <c r="H13028" s="6"/>
      <c r="I13028" s="6"/>
    </row>
    <row r="13029" spans="8:9" x14ac:dyDescent="0.2">
      <c r="H13029" s="6"/>
      <c r="I13029" s="6"/>
    </row>
    <row r="13030" spans="8:9" x14ac:dyDescent="0.2">
      <c r="H13030" s="6"/>
      <c r="I13030" s="6"/>
    </row>
    <row r="13031" spans="8:9" x14ac:dyDescent="0.2">
      <c r="H13031" s="6"/>
      <c r="I13031" s="6"/>
    </row>
    <row r="13032" spans="8:9" x14ac:dyDescent="0.2">
      <c r="H13032" s="6"/>
      <c r="I13032" s="6"/>
    </row>
    <row r="13033" spans="8:9" x14ac:dyDescent="0.2">
      <c r="H13033" s="6"/>
      <c r="I13033" s="6"/>
    </row>
    <row r="13034" spans="8:9" x14ac:dyDescent="0.2">
      <c r="H13034" s="6"/>
      <c r="I13034" s="6"/>
    </row>
    <row r="13035" spans="8:9" x14ac:dyDescent="0.2">
      <c r="H13035" s="6"/>
      <c r="I13035" s="6"/>
    </row>
    <row r="13036" spans="8:9" x14ac:dyDescent="0.2">
      <c r="H13036" s="6"/>
      <c r="I13036" s="6"/>
    </row>
    <row r="13037" spans="8:9" x14ac:dyDescent="0.2">
      <c r="H13037" s="6"/>
      <c r="I13037" s="6"/>
    </row>
    <row r="13038" spans="8:9" x14ac:dyDescent="0.2">
      <c r="H13038" s="6"/>
      <c r="I13038" s="6"/>
    </row>
    <row r="13039" spans="8:9" x14ac:dyDescent="0.2">
      <c r="H13039" s="6"/>
      <c r="I13039" s="6"/>
    </row>
    <row r="13040" spans="8:9" x14ac:dyDescent="0.2">
      <c r="H13040" s="6"/>
      <c r="I13040" s="6"/>
    </row>
    <row r="13041" spans="8:9" x14ac:dyDescent="0.2">
      <c r="H13041" s="6"/>
      <c r="I13041" s="6"/>
    </row>
    <row r="13042" spans="8:9" x14ac:dyDescent="0.2">
      <c r="H13042" s="6"/>
      <c r="I13042" s="6"/>
    </row>
    <row r="13043" spans="8:9" x14ac:dyDescent="0.2">
      <c r="H13043" s="6"/>
      <c r="I13043" s="6"/>
    </row>
    <row r="13044" spans="8:9" x14ac:dyDescent="0.2">
      <c r="H13044" s="6"/>
      <c r="I13044" s="6"/>
    </row>
    <row r="13045" spans="8:9" x14ac:dyDescent="0.2">
      <c r="H13045" s="6"/>
      <c r="I13045" s="6"/>
    </row>
    <row r="13046" spans="8:9" x14ac:dyDescent="0.2">
      <c r="H13046" s="6"/>
      <c r="I13046" s="6"/>
    </row>
    <row r="13047" spans="8:9" x14ac:dyDescent="0.2">
      <c r="H13047" s="6"/>
      <c r="I13047" s="6"/>
    </row>
    <row r="13048" spans="8:9" x14ac:dyDescent="0.2">
      <c r="H13048" s="6"/>
      <c r="I13048" s="6"/>
    </row>
    <row r="13049" spans="8:9" x14ac:dyDescent="0.2">
      <c r="H13049" s="6"/>
      <c r="I13049" s="6"/>
    </row>
    <row r="13050" spans="8:9" x14ac:dyDescent="0.2">
      <c r="H13050" s="6"/>
      <c r="I13050" s="6"/>
    </row>
    <row r="13051" spans="8:9" x14ac:dyDescent="0.2">
      <c r="H13051" s="6"/>
      <c r="I13051" s="6"/>
    </row>
    <row r="13052" spans="8:9" x14ac:dyDescent="0.2">
      <c r="H13052" s="6"/>
      <c r="I13052" s="6"/>
    </row>
    <row r="13053" spans="8:9" x14ac:dyDescent="0.2">
      <c r="H13053" s="6"/>
      <c r="I13053" s="6"/>
    </row>
    <row r="13054" spans="8:9" x14ac:dyDescent="0.2">
      <c r="H13054" s="6"/>
      <c r="I13054" s="6"/>
    </row>
    <row r="13055" spans="8:9" x14ac:dyDescent="0.2">
      <c r="H13055" s="6"/>
      <c r="I13055" s="6"/>
    </row>
    <row r="13056" spans="8:9" x14ac:dyDescent="0.2">
      <c r="H13056" s="6"/>
      <c r="I13056" s="6"/>
    </row>
    <row r="13057" spans="8:9" x14ac:dyDescent="0.2">
      <c r="H13057" s="6"/>
      <c r="I13057" s="6"/>
    </row>
    <row r="13058" spans="8:9" x14ac:dyDescent="0.2">
      <c r="H13058" s="6"/>
      <c r="I13058" s="6"/>
    </row>
    <row r="13059" spans="8:9" x14ac:dyDescent="0.2">
      <c r="H13059" s="6"/>
      <c r="I13059" s="6"/>
    </row>
    <row r="13060" spans="8:9" x14ac:dyDescent="0.2">
      <c r="H13060" s="6"/>
      <c r="I13060" s="6"/>
    </row>
    <row r="13061" spans="8:9" x14ac:dyDescent="0.2">
      <c r="H13061" s="6"/>
    </row>
    <row r="13062" spans="8:9" x14ac:dyDescent="0.2">
      <c r="H13062" s="6"/>
      <c r="I13062" s="6"/>
    </row>
    <row r="13063" spans="8:9" x14ac:dyDescent="0.2">
      <c r="H13063" s="6"/>
      <c r="I13063" s="6"/>
    </row>
    <row r="13064" spans="8:9" x14ac:dyDescent="0.2">
      <c r="H13064" s="6"/>
      <c r="I13064" s="6"/>
    </row>
    <row r="13065" spans="8:9" x14ac:dyDescent="0.2">
      <c r="H13065" s="6"/>
      <c r="I13065" s="6"/>
    </row>
    <row r="13066" spans="8:9" x14ac:dyDescent="0.2">
      <c r="H13066" s="6"/>
      <c r="I13066" s="6"/>
    </row>
    <row r="13067" spans="8:9" x14ac:dyDescent="0.2">
      <c r="H13067" s="6"/>
      <c r="I13067" s="6"/>
    </row>
    <row r="13068" spans="8:9" x14ac:dyDescent="0.2">
      <c r="H13068" s="6"/>
      <c r="I13068" s="6"/>
    </row>
    <row r="13069" spans="8:9" x14ac:dyDescent="0.2">
      <c r="H13069" s="6"/>
      <c r="I13069" s="6"/>
    </row>
    <row r="13070" spans="8:9" x14ac:dyDescent="0.2">
      <c r="H13070" s="6"/>
      <c r="I13070" s="6"/>
    </row>
    <row r="13071" spans="8:9" x14ac:dyDescent="0.2">
      <c r="H13071" s="6"/>
      <c r="I13071" s="6"/>
    </row>
    <row r="13072" spans="8:9" x14ac:dyDescent="0.2">
      <c r="H13072" s="6"/>
      <c r="I13072" s="6"/>
    </row>
    <row r="13073" spans="8:9" x14ac:dyDescent="0.2">
      <c r="H13073" s="6"/>
      <c r="I13073" s="6"/>
    </row>
    <row r="13074" spans="8:9" x14ac:dyDescent="0.2">
      <c r="H13074" s="6"/>
      <c r="I13074" s="6"/>
    </row>
    <row r="13075" spans="8:9" x14ac:dyDescent="0.2">
      <c r="H13075" s="6"/>
      <c r="I13075" s="6"/>
    </row>
    <row r="13076" spans="8:9" x14ac:dyDescent="0.2">
      <c r="H13076" s="6"/>
      <c r="I13076" s="6"/>
    </row>
    <row r="13077" spans="8:9" x14ac:dyDescent="0.2">
      <c r="H13077" s="6"/>
      <c r="I13077" s="6"/>
    </row>
    <row r="13078" spans="8:9" x14ac:dyDescent="0.2">
      <c r="H13078" s="6"/>
      <c r="I13078" s="6"/>
    </row>
    <row r="13079" spans="8:9" x14ac:dyDescent="0.2">
      <c r="H13079" s="6"/>
      <c r="I13079" s="6"/>
    </row>
    <row r="13080" spans="8:9" x14ac:dyDescent="0.2">
      <c r="H13080" s="6"/>
      <c r="I13080" s="6"/>
    </row>
    <row r="13081" spans="8:9" x14ac:dyDescent="0.2">
      <c r="H13081" s="6"/>
      <c r="I13081" s="6"/>
    </row>
    <row r="13082" spans="8:9" x14ac:dyDescent="0.2">
      <c r="H13082" s="6"/>
      <c r="I13082" s="6"/>
    </row>
    <row r="13083" spans="8:9" x14ac:dyDescent="0.2">
      <c r="H13083" s="6"/>
      <c r="I13083" s="6"/>
    </row>
    <row r="13084" spans="8:9" x14ac:dyDescent="0.2">
      <c r="H13084" s="6"/>
      <c r="I13084" s="6"/>
    </row>
    <row r="13085" spans="8:9" x14ac:dyDescent="0.2">
      <c r="H13085" s="6"/>
      <c r="I13085" s="6"/>
    </row>
    <row r="13086" spans="8:9" x14ac:dyDescent="0.2">
      <c r="H13086" s="6"/>
      <c r="I13086" s="6"/>
    </row>
    <row r="13087" spans="8:9" x14ac:dyDescent="0.2">
      <c r="H13087" s="6"/>
      <c r="I13087" s="6"/>
    </row>
    <row r="13088" spans="8:9" x14ac:dyDescent="0.2">
      <c r="H13088" s="6"/>
      <c r="I13088" s="6"/>
    </row>
    <row r="13089" spans="8:9" x14ac:dyDescent="0.2">
      <c r="H13089" s="6"/>
      <c r="I13089" s="6"/>
    </row>
    <row r="13090" spans="8:9" x14ac:dyDescent="0.2">
      <c r="H13090" s="6"/>
      <c r="I13090" s="6"/>
    </row>
    <row r="13091" spans="8:9" x14ac:dyDescent="0.2">
      <c r="H13091" s="6"/>
      <c r="I13091" s="6"/>
    </row>
    <row r="13092" spans="8:9" x14ac:dyDescent="0.2">
      <c r="H13092" s="6"/>
      <c r="I13092" s="6"/>
    </row>
    <row r="13093" spans="8:9" x14ac:dyDescent="0.2">
      <c r="H13093" s="6"/>
      <c r="I13093" s="6"/>
    </row>
    <row r="13094" spans="8:9" x14ac:dyDescent="0.2">
      <c r="H13094" s="6"/>
      <c r="I13094" s="6"/>
    </row>
    <row r="13095" spans="8:9" x14ac:dyDescent="0.2">
      <c r="H13095" s="6"/>
      <c r="I13095" s="6"/>
    </row>
    <row r="13096" spans="8:9" x14ac:dyDescent="0.2">
      <c r="H13096" s="6"/>
      <c r="I13096" s="6"/>
    </row>
    <row r="13097" spans="8:9" x14ac:dyDescent="0.2">
      <c r="H13097" s="6"/>
      <c r="I13097" s="6"/>
    </row>
    <row r="13098" spans="8:9" x14ac:dyDescent="0.2">
      <c r="H13098" s="6"/>
      <c r="I13098" s="6"/>
    </row>
    <row r="13099" spans="8:9" x14ac:dyDescent="0.2">
      <c r="H13099" s="6"/>
      <c r="I13099" s="6"/>
    </row>
    <row r="13100" spans="8:9" x14ac:dyDescent="0.2">
      <c r="H13100" s="6"/>
      <c r="I13100" s="6"/>
    </row>
    <row r="13101" spans="8:9" x14ac:dyDescent="0.2">
      <c r="H13101" s="6"/>
      <c r="I13101" s="6"/>
    </row>
    <row r="13102" spans="8:9" x14ac:dyDescent="0.2">
      <c r="H13102" s="6"/>
      <c r="I13102" s="6"/>
    </row>
    <row r="13103" spans="8:9" x14ac:dyDescent="0.2">
      <c r="H13103" s="6"/>
      <c r="I13103" s="6"/>
    </row>
    <row r="13104" spans="8:9" x14ac:dyDescent="0.2">
      <c r="H13104" s="6"/>
      <c r="I13104" s="6"/>
    </row>
    <row r="13105" spans="8:9" x14ac:dyDescent="0.2">
      <c r="H13105" s="6"/>
      <c r="I13105" s="6"/>
    </row>
    <row r="13106" spans="8:9" x14ac:dyDescent="0.2">
      <c r="H13106" s="6"/>
      <c r="I13106" s="6"/>
    </row>
    <row r="13107" spans="8:9" x14ac:dyDescent="0.2">
      <c r="H13107" s="6"/>
      <c r="I13107" s="6"/>
    </row>
    <row r="13108" spans="8:9" x14ac:dyDescent="0.2">
      <c r="H13108" s="6"/>
      <c r="I13108" s="6"/>
    </row>
    <row r="13109" spans="8:9" x14ac:dyDescent="0.2">
      <c r="H13109" s="6"/>
      <c r="I13109" s="6"/>
    </row>
    <row r="13110" spans="8:9" x14ac:dyDescent="0.2">
      <c r="H13110" s="6"/>
      <c r="I13110" s="6"/>
    </row>
    <row r="13111" spans="8:9" x14ac:dyDescent="0.2">
      <c r="H13111" s="6"/>
      <c r="I13111" s="6"/>
    </row>
    <row r="13112" spans="8:9" x14ac:dyDescent="0.2">
      <c r="H13112" s="6"/>
      <c r="I13112" s="6"/>
    </row>
    <row r="13113" spans="8:9" x14ac:dyDescent="0.2">
      <c r="H13113" s="6"/>
      <c r="I13113" s="6"/>
    </row>
    <row r="13114" spans="8:9" x14ac:dyDescent="0.2">
      <c r="H13114" s="6"/>
      <c r="I13114" s="6"/>
    </row>
    <row r="13115" spans="8:9" x14ac:dyDescent="0.2">
      <c r="H13115" s="6"/>
      <c r="I13115" s="6"/>
    </row>
    <row r="13116" spans="8:9" x14ac:dyDescent="0.2">
      <c r="H13116" s="6"/>
      <c r="I13116" s="6"/>
    </row>
    <row r="13117" spans="8:9" x14ac:dyDescent="0.2">
      <c r="H13117" s="6"/>
      <c r="I13117" s="6"/>
    </row>
    <row r="13118" spans="8:9" x14ac:dyDescent="0.2">
      <c r="H13118" s="6"/>
      <c r="I13118" s="6"/>
    </row>
    <row r="13119" spans="8:9" x14ac:dyDescent="0.2">
      <c r="H13119" s="6"/>
      <c r="I13119" s="6"/>
    </row>
    <row r="13120" spans="8:9" x14ac:dyDescent="0.2">
      <c r="H13120" s="6"/>
      <c r="I13120" s="6"/>
    </row>
    <row r="13121" spans="8:9" x14ac:dyDescent="0.2">
      <c r="H13121" s="6"/>
      <c r="I13121" s="6"/>
    </row>
    <row r="13122" spans="8:9" x14ac:dyDescent="0.2">
      <c r="H13122" s="6"/>
      <c r="I13122" s="6"/>
    </row>
    <row r="13123" spans="8:9" x14ac:dyDescent="0.2">
      <c r="H13123" s="6"/>
      <c r="I13123" s="6"/>
    </row>
    <row r="13124" spans="8:9" x14ac:dyDescent="0.2">
      <c r="H13124" s="6"/>
      <c r="I13124" s="6"/>
    </row>
    <row r="13125" spans="8:9" x14ac:dyDescent="0.2">
      <c r="H13125" s="6"/>
      <c r="I13125" s="6"/>
    </row>
    <row r="13126" spans="8:9" x14ac:dyDescent="0.2">
      <c r="H13126" s="6"/>
      <c r="I13126" s="6"/>
    </row>
    <row r="13127" spans="8:9" x14ac:dyDescent="0.2">
      <c r="H13127" s="6"/>
      <c r="I13127" s="6"/>
    </row>
    <row r="13128" spans="8:9" x14ac:dyDescent="0.2">
      <c r="H13128" s="6"/>
      <c r="I13128" s="6"/>
    </row>
    <row r="13129" spans="8:9" x14ac:dyDescent="0.2">
      <c r="H13129" s="6"/>
      <c r="I13129" s="6"/>
    </row>
    <row r="13130" spans="8:9" x14ac:dyDescent="0.2">
      <c r="H13130" s="6"/>
      <c r="I13130" s="6"/>
    </row>
    <row r="13131" spans="8:9" x14ac:dyDescent="0.2">
      <c r="H13131" s="6"/>
      <c r="I13131" s="6"/>
    </row>
    <row r="13132" spans="8:9" x14ac:dyDescent="0.2">
      <c r="H13132" s="6"/>
      <c r="I13132" s="6"/>
    </row>
    <row r="13133" spans="8:9" x14ac:dyDescent="0.2">
      <c r="H13133" s="6"/>
      <c r="I13133" s="6"/>
    </row>
    <row r="13134" spans="8:9" x14ac:dyDescent="0.2">
      <c r="H13134" s="6"/>
      <c r="I13134" s="6"/>
    </row>
    <row r="13135" spans="8:9" x14ac:dyDescent="0.2">
      <c r="H13135" s="6"/>
      <c r="I13135" s="6"/>
    </row>
    <row r="13136" spans="8:9" x14ac:dyDescent="0.2">
      <c r="H13136" s="6"/>
      <c r="I13136" s="6"/>
    </row>
    <row r="13137" spans="8:9" x14ac:dyDescent="0.2">
      <c r="H13137" s="6"/>
      <c r="I13137" s="6"/>
    </row>
    <row r="13138" spans="8:9" x14ac:dyDescent="0.2">
      <c r="H13138" s="6"/>
      <c r="I13138" s="6"/>
    </row>
    <row r="13139" spans="8:9" x14ac:dyDescent="0.2">
      <c r="H13139" s="6"/>
      <c r="I13139" s="6"/>
    </row>
    <row r="13140" spans="8:9" x14ac:dyDescent="0.2">
      <c r="H13140" s="6"/>
      <c r="I13140" s="6"/>
    </row>
    <row r="13141" spans="8:9" x14ac:dyDescent="0.2">
      <c r="H13141" s="6"/>
      <c r="I13141" s="6"/>
    </row>
    <row r="13142" spans="8:9" x14ac:dyDescent="0.2">
      <c r="H13142" s="6"/>
      <c r="I13142" s="6"/>
    </row>
    <row r="13143" spans="8:9" x14ac:dyDescent="0.2">
      <c r="H13143" s="6"/>
      <c r="I13143" s="6"/>
    </row>
    <row r="13144" spans="8:9" x14ac:dyDescent="0.2">
      <c r="H13144" s="6"/>
      <c r="I13144" s="6"/>
    </row>
    <row r="13145" spans="8:9" x14ac:dyDescent="0.2">
      <c r="H13145" s="6"/>
      <c r="I13145" s="6"/>
    </row>
    <row r="13146" spans="8:9" x14ac:dyDescent="0.2">
      <c r="H13146" s="6"/>
      <c r="I13146" s="6"/>
    </row>
    <row r="13147" spans="8:9" x14ac:dyDescent="0.2">
      <c r="H13147" s="6"/>
      <c r="I13147" s="6"/>
    </row>
    <row r="13148" spans="8:9" x14ac:dyDescent="0.2">
      <c r="H13148" s="6"/>
      <c r="I13148" s="6"/>
    </row>
    <row r="13149" spans="8:9" x14ac:dyDescent="0.2">
      <c r="H13149" s="6"/>
      <c r="I13149" s="6"/>
    </row>
    <row r="13150" spans="8:9" x14ac:dyDescent="0.2">
      <c r="H13150" s="6"/>
      <c r="I13150" s="6"/>
    </row>
    <row r="13151" spans="8:9" x14ac:dyDescent="0.2">
      <c r="H13151" s="6"/>
      <c r="I13151" s="6"/>
    </row>
    <row r="13152" spans="8:9" x14ac:dyDescent="0.2">
      <c r="H13152" s="6"/>
      <c r="I13152" s="6"/>
    </row>
    <row r="13153" spans="8:9" x14ac:dyDescent="0.2">
      <c r="H13153" s="6"/>
      <c r="I13153" s="6"/>
    </row>
    <row r="13154" spans="8:9" x14ac:dyDescent="0.2">
      <c r="H13154" s="6"/>
      <c r="I13154" s="6"/>
    </row>
    <row r="13155" spans="8:9" x14ac:dyDescent="0.2">
      <c r="H13155" s="6"/>
      <c r="I13155" s="6"/>
    </row>
    <row r="13156" spans="8:9" x14ac:dyDescent="0.2">
      <c r="H13156" s="6"/>
      <c r="I13156" s="6"/>
    </row>
    <row r="13157" spans="8:9" x14ac:dyDescent="0.2">
      <c r="H13157" s="6"/>
      <c r="I13157" s="6"/>
    </row>
    <row r="13158" spans="8:9" x14ac:dyDescent="0.2">
      <c r="H13158" s="6"/>
      <c r="I13158" s="6"/>
    </row>
    <row r="13159" spans="8:9" x14ac:dyDescent="0.2">
      <c r="H13159" s="6"/>
      <c r="I13159" s="6"/>
    </row>
    <row r="13160" spans="8:9" x14ac:dyDescent="0.2">
      <c r="H13160" s="6"/>
      <c r="I13160" s="6"/>
    </row>
    <row r="13161" spans="8:9" x14ac:dyDescent="0.2">
      <c r="H13161" s="6"/>
      <c r="I13161" s="6"/>
    </row>
    <row r="13162" spans="8:9" x14ac:dyDescent="0.2">
      <c r="H13162" s="6"/>
      <c r="I13162" s="6"/>
    </row>
    <row r="13163" spans="8:9" x14ac:dyDescent="0.2">
      <c r="H13163" s="6"/>
      <c r="I13163" s="6"/>
    </row>
    <row r="13164" spans="8:9" x14ac:dyDescent="0.2">
      <c r="H13164" s="6"/>
      <c r="I13164" s="6"/>
    </row>
    <row r="13165" spans="8:9" x14ac:dyDescent="0.2">
      <c r="H13165" s="6"/>
      <c r="I13165" s="6"/>
    </row>
    <row r="13166" spans="8:9" x14ac:dyDescent="0.2">
      <c r="H13166" s="6"/>
      <c r="I13166" s="6"/>
    </row>
    <row r="13167" spans="8:9" x14ac:dyDescent="0.2">
      <c r="H13167" s="6"/>
      <c r="I13167" s="6"/>
    </row>
    <row r="13168" spans="8:9" x14ac:dyDescent="0.2">
      <c r="H13168" s="6"/>
      <c r="I13168" s="6"/>
    </row>
    <row r="13169" spans="8:9" x14ac:dyDescent="0.2">
      <c r="H13169" s="6"/>
      <c r="I13169" s="6"/>
    </row>
    <row r="13170" spans="8:9" x14ac:dyDescent="0.2">
      <c r="H13170" s="6"/>
      <c r="I13170" s="6"/>
    </row>
    <row r="13171" spans="8:9" x14ac:dyDescent="0.2">
      <c r="H13171" s="6"/>
      <c r="I13171" s="6"/>
    </row>
    <row r="13172" spans="8:9" x14ac:dyDescent="0.2">
      <c r="H13172" s="6"/>
      <c r="I13172" s="6"/>
    </row>
    <row r="13173" spans="8:9" x14ac:dyDescent="0.2">
      <c r="H13173" s="6"/>
      <c r="I13173" s="6"/>
    </row>
    <row r="13174" spans="8:9" x14ac:dyDescent="0.2">
      <c r="H13174" s="6"/>
      <c r="I13174" s="6"/>
    </row>
    <row r="13175" spans="8:9" x14ac:dyDescent="0.2">
      <c r="H13175" s="6"/>
      <c r="I13175" s="6"/>
    </row>
    <row r="13176" spans="8:9" x14ac:dyDescent="0.2">
      <c r="H13176" s="6"/>
      <c r="I13176" s="6"/>
    </row>
    <row r="13177" spans="8:9" x14ac:dyDescent="0.2">
      <c r="H13177" s="6"/>
      <c r="I13177" s="6"/>
    </row>
    <row r="13178" spans="8:9" x14ac:dyDescent="0.2">
      <c r="H13178" s="6"/>
      <c r="I13178" s="6"/>
    </row>
    <row r="13179" spans="8:9" x14ac:dyDescent="0.2">
      <c r="H13179" s="6"/>
      <c r="I13179" s="6"/>
    </row>
    <row r="13180" spans="8:9" x14ac:dyDescent="0.2">
      <c r="H13180" s="6"/>
      <c r="I13180" s="6"/>
    </row>
    <row r="13181" spans="8:9" x14ac:dyDescent="0.2">
      <c r="H13181" s="6"/>
      <c r="I13181" s="6"/>
    </row>
    <row r="13182" spans="8:9" x14ac:dyDescent="0.2">
      <c r="H13182" s="6"/>
      <c r="I13182" s="6"/>
    </row>
    <row r="13183" spans="8:9" x14ac:dyDescent="0.2">
      <c r="H13183" s="6"/>
      <c r="I13183" s="6"/>
    </row>
    <row r="13184" spans="8:9" x14ac:dyDescent="0.2">
      <c r="H13184" s="6"/>
      <c r="I13184" s="6"/>
    </row>
    <row r="13185" spans="8:9" x14ac:dyDescent="0.2">
      <c r="H13185" s="6"/>
      <c r="I13185" s="6"/>
    </row>
    <row r="13186" spans="8:9" x14ac:dyDescent="0.2">
      <c r="H13186" s="6"/>
      <c r="I13186" s="6"/>
    </row>
    <row r="13187" spans="8:9" x14ac:dyDescent="0.2">
      <c r="H13187" s="6"/>
      <c r="I13187" s="6"/>
    </row>
    <row r="13188" spans="8:9" x14ac:dyDescent="0.2">
      <c r="H13188" s="6"/>
      <c r="I13188" s="6"/>
    </row>
    <row r="13189" spans="8:9" x14ac:dyDescent="0.2">
      <c r="H13189" s="6"/>
      <c r="I13189" s="6"/>
    </row>
    <row r="13190" spans="8:9" x14ac:dyDescent="0.2">
      <c r="H13190" s="6"/>
      <c r="I13190" s="6"/>
    </row>
    <row r="13191" spans="8:9" x14ac:dyDescent="0.2">
      <c r="H13191" s="6"/>
      <c r="I13191" s="6"/>
    </row>
    <row r="13192" spans="8:9" x14ac:dyDescent="0.2">
      <c r="H13192" s="6"/>
      <c r="I13192" s="6"/>
    </row>
    <row r="13193" spans="8:9" x14ac:dyDescent="0.2">
      <c r="H13193" s="6"/>
      <c r="I13193" s="6"/>
    </row>
    <row r="13194" spans="8:9" x14ac:dyDescent="0.2">
      <c r="H13194" s="6"/>
      <c r="I13194" s="6"/>
    </row>
    <row r="13195" spans="8:9" x14ac:dyDescent="0.2">
      <c r="H13195" s="6"/>
      <c r="I13195" s="6"/>
    </row>
    <row r="13196" spans="8:9" x14ac:dyDescent="0.2">
      <c r="H13196" s="6"/>
      <c r="I13196" s="6"/>
    </row>
    <row r="13197" spans="8:9" x14ac:dyDescent="0.2">
      <c r="H13197" s="6"/>
      <c r="I13197" s="6"/>
    </row>
    <row r="13198" spans="8:9" x14ac:dyDescent="0.2">
      <c r="H13198" s="6"/>
      <c r="I13198" s="6"/>
    </row>
    <row r="13199" spans="8:9" x14ac:dyDescent="0.2">
      <c r="H13199" s="6"/>
      <c r="I13199" s="6"/>
    </row>
    <row r="13200" spans="8:9" x14ac:dyDescent="0.2">
      <c r="H13200" s="6"/>
      <c r="I13200" s="6"/>
    </row>
    <row r="13201" spans="8:9" x14ac:dyDescent="0.2">
      <c r="H13201" s="6"/>
      <c r="I13201" s="6"/>
    </row>
    <row r="13202" spans="8:9" x14ac:dyDescent="0.2">
      <c r="H13202" s="6"/>
      <c r="I13202" s="6"/>
    </row>
    <row r="13203" spans="8:9" x14ac:dyDescent="0.2">
      <c r="H13203" s="6"/>
      <c r="I13203" s="6"/>
    </row>
    <row r="13204" spans="8:9" x14ac:dyDescent="0.2">
      <c r="H13204" s="6"/>
      <c r="I13204" s="6"/>
    </row>
    <row r="13205" spans="8:9" x14ac:dyDescent="0.2">
      <c r="H13205" s="6"/>
      <c r="I13205" s="6"/>
    </row>
    <row r="13206" spans="8:9" x14ac:dyDescent="0.2">
      <c r="H13206" s="6"/>
      <c r="I13206" s="6"/>
    </row>
    <row r="13207" spans="8:9" x14ac:dyDescent="0.2">
      <c r="H13207" s="6"/>
      <c r="I13207" s="6"/>
    </row>
    <row r="13208" spans="8:9" x14ac:dyDescent="0.2">
      <c r="H13208" s="6"/>
      <c r="I13208" s="6"/>
    </row>
    <row r="13209" spans="8:9" x14ac:dyDescent="0.2">
      <c r="H13209" s="6"/>
      <c r="I13209" s="6"/>
    </row>
    <row r="13210" spans="8:9" x14ac:dyDescent="0.2">
      <c r="H13210" s="6"/>
      <c r="I13210" s="6"/>
    </row>
    <row r="13211" spans="8:9" x14ac:dyDescent="0.2">
      <c r="H13211" s="6"/>
      <c r="I13211" s="6"/>
    </row>
    <row r="13212" spans="8:9" x14ac:dyDescent="0.2">
      <c r="H13212" s="6"/>
      <c r="I13212" s="6"/>
    </row>
    <row r="13213" spans="8:9" x14ac:dyDescent="0.2">
      <c r="H13213" s="6"/>
      <c r="I13213" s="6"/>
    </row>
    <row r="13214" spans="8:9" x14ac:dyDescent="0.2">
      <c r="H13214" s="6"/>
      <c r="I13214" s="6"/>
    </row>
    <row r="13215" spans="8:9" x14ac:dyDescent="0.2">
      <c r="H13215" s="6"/>
      <c r="I13215" s="6"/>
    </row>
    <row r="13216" spans="8:9" x14ac:dyDescent="0.2">
      <c r="H13216" s="6"/>
      <c r="I13216" s="6"/>
    </row>
    <row r="13217" spans="8:9" x14ac:dyDescent="0.2">
      <c r="H13217" s="6"/>
      <c r="I13217" s="6"/>
    </row>
    <row r="13218" spans="8:9" x14ac:dyDescent="0.2">
      <c r="H13218" s="6"/>
      <c r="I13218" s="6"/>
    </row>
    <row r="13219" spans="8:9" x14ac:dyDescent="0.2">
      <c r="H13219" s="6"/>
      <c r="I13219" s="6"/>
    </row>
    <row r="13220" spans="8:9" x14ac:dyDescent="0.2">
      <c r="H13220" s="6"/>
      <c r="I13220" s="6"/>
    </row>
    <row r="13221" spans="8:9" x14ac:dyDescent="0.2">
      <c r="H13221" s="6"/>
      <c r="I13221" s="6"/>
    </row>
    <row r="13222" spans="8:9" x14ac:dyDescent="0.2">
      <c r="H13222" s="6"/>
      <c r="I13222" s="6"/>
    </row>
    <row r="13223" spans="8:9" x14ac:dyDescent="0.2">
      <c r="H13223" s="6"/>
      <c r="I13223" s="6"/>
    </row>
    <row r="13224" spans="8:9" x14ac:dyDescent="0.2">
      <c r="H13224" s="6"/>
      <c r="I13224" s="6"/>
    </row>
    <row r="13225" spans="8:9" x14ac:dyDescent="0.2">
      <c r="H13225" s="6"/>
      <c r="I13225" s="6"/>
    </row>
    <row r="13226" spans="8:9" x14ac:dyDescent="0.2">
      <c r="H13226" s="6"/>
      <c r="I13226" s="6"/>
    </row>
    <row r="13227" spans="8:9" x14ac:dyDescent="0.2">
      <c r="H13227" s="6"/>
      <c r="I13227" s="6"/>
    </row>
    <row r="13228" spans="8:9" x14ac:dyDescent="0.2">
      <c r="H13228" s="6"/>
      <c r="I13228" s="6"/>
    </row>
    <row r="13229" spans="8:9" x14ac:dyDescent="0.2">
      <c r="H13229" s="6"/>
      <c r="I13229" s="6"/>
    </row>
    <row r="13230" spans="8:9" x14ac:dyDescent="0.2">
      <c r="H13230" s="6"/>
      <c r="I13230" s="6"/>
    </row>
    <row r="13231" spans="8:9" x14ac:dyDescent="0.2">
      <c r="H13231" s="6"/>
      <c r="I13231" s="6"/>
    </row>
    <row r="13232" spans="8:9" x14ac:dyDescent="0.2">
      <c r="H13232" s="6"/>
      <c r="I13232" s="6"/>
    </row>
    <row r="13233" spans="8:9" x14ac:dyDescent="0.2">
      <c r="H13233" s="6"/>
      <c r="I13233" s="6"/>
    </row>
    <row r="13234" spans="8:9" x14ac:dyDescent="0.2">
      <c r="H13234" s="6"/>
      <c r="I13234" s="6"/>
    </row>
    <row r="13235" spans="8:9" x14ac:dyDescent="0.2">
      <c r="H13235" s="6"/>
      <c r="I13235" s="6"/>
    </row>
    <row r="13236" spans="8:9" x14ac:dyDescent="0.2">
      <c r="H13236" s="6"/>
      <c r="I13236" s="6"/>
    </row>
    <row r="13237" spans="8:9" x14ac:dyDescent="0.2">
      <c r="H13237" s="6"/>
      <c r="I13237" s="6"/>
    </row>
    <row r="13238" spans="8:9" x14ac:dyDescent="0.2">
      <c r="H13238" s="6"/>
      <c r="I13238" s="6"/>
    </row>
    <row r="13239" spans="8:9" x14ac:dyDescent="0.2">
      <c r="H13239" s="6"/>
      <c r="I13239" s="6"/>
    </row>
    <row r="13240" spans="8:9" x14ac:dyDescent="0.2">
      <c r="H13240" s="6"/>
      <c r="I13240" s="6"/>
    </row>
    <row r="13241" spans="8:9" x14ac:dyDescent="0.2">
      <c r="H13241" s="6"/>
      <c r="I13241" s="6"/>
    </row>
    <row r="13242" spans="8:9" x14ac:dyDescent="0.2">
      <c r="H13242" s="6"/>
      <c r="I13242" s="6"/>
    </row>
    <row r="13243" spans="8:9" x14ac:dyDescent="0.2">
      <c r="H13243" s="6"/>
      <c r="I13243" s="6"/>
    </row>
    <row r="13244" spans="8:9" x14ac:dyDescent="0.2">
      <c r="H13244" s="6"/>
      <c r="I13244" s="6"/>
    </row>
    <row r="13245" spans="8:9" x14ac:dyDescent="0.2">
      <c r="H13245" s="6"/>
      <c r="I13245" s="6"/>
    </row>
    <row r="13246" spans="8:9" x14ac:dyDescent="0.2">
      <c r="H13246" s="6"/>
      <c r="I13246" s="6"/>
    </row>
    <row r="13247" spans="8:9" x14ac:dyDescent="0.2">
      <c r="H13247" s="6"/>
      <c r="I13247" s="6"/>
    </row>
    <row r="13248" spans="8:9" x14ac:dyDescent="0.2">
      <c r="H13248" s="6"/>
      <c r="I13248" s="6"/>
    </row>
    <row r="13249" spans="8:9" x14ac:dyDescent="0.2">
      <c r="H13249" s="6"/>
      <c r="I13249" s="6"/>
    </row>
    <row r="13250" spans="8:9" x14ac:dyDescent="0.2">
      <c r="H13250" s="6"/>
      <c r="I13250" s="6"/>
    </row>
    <row r="13251" spans="8:9" x14ac:dyDescent="0.2">
      <c r="H13251" s="6"/>
      <c r="I13251" s="6"/>
    </row>
    <row r="13252" spans="8:9" x14ac:dyDescent="0.2">
      <c r="H13252" s="6"/>
      <c r="I13252" s="6"/>
    </row>
    <row r="13253" spans="8:9" x14ac:dyDescent="0.2">
      <c r="H13253" s="6"/>
      <c r="I13253" s="6"/>
    </row>
    <row r="13254" spans="8:9" x14ac:dyDescent="0.2">
      <c r="H13254" s="6"/>
      <c r="I13254" s="6"/>
    </row>
    <row r="13255" spans="8:9" x14ac:dyDescent="0.2">
      <c r="H13255" s="6"/>
      <c r="I13255" s="6"/>
    </row>
    <row r="13256" spans="8:9" x14ac:dyDescent="0.2">
      <c r="H13256" s="6"/>
      <c r="I13256" s="6"/>
    </row>
    <row r="13257" spans="8:9" x14ac:dyDescent="0.2">
      <c r="H13257" s="6"/>
      <c r="I13257" s="6"/>
    </row>
    <row r="13258" spans="8:9" x14ac:dyDescent="0.2">
      <c r="H13258" s="6"/>
      <c r="I13258" s="6"/>
    </row>
    <row r="13259" spans="8:9" x14ac:dyDescent="0.2">
      <c r="H13259" s="6"/>
      <c r="I13259" s="6"/>
    </row>
    <row r="13260" spans="8:9" x14ac:dyDescent="0.2">
      <c r="H13260" s="6"/>
      <c r="I13260" s="6"/>
    </row>
    <row r="13261" spans="8:9" x14ac:dyDescent="0.2">
      <c r="H13261" s="6"/>
      <c r="I13261" s="6"/>
    </row>
    <row r="13262" spans="8:9" x14ac:dyDescent="0.2">
      <c r="H13262" s="6"/>
      <c r="I13262" s="6"/>
    </row>
    <row r="13263" spans="8:9" x14ac:dyDescent="0.2">
      <c r="H13263" s="6"/>
      <c r="I13263" s="6"/>
    </row>
    <row r="13264" spans="8:9" x14ac:dyDescent="0.2">
      <c r="H13264" s="6"/>
      <c r="I13264" s="6"/>
    </row>
    <row r="13265" spans="8:9" x14ac:dyDescent="0.2">
      <c r="H13265" s="6"/>
      <c r="I13265" s="6"/>
    </row>
    <row r="13266" spans="8:9" x14ac:dyDescent="0.2">
      <c r="H13266" s="6"/>
      <c r="I13266" s="6"/>
    </row>
    <row r="13267" spans="8:9" x14ac:dyDescent="0.2">
      <c r="H13267" s="6"/>
      <c r="I13267" s="6"/>
    </row>
    <row r="13268" spans="8:9" x14ac:dyDescent="0.2">
      <c r="H13268" s="6"/>
      <c r="I13268" s="6"/>
    </row>
    <row r="13269" spans="8:9" x14ac:dyDescent="0.2">
      <c r="H13269" s="6"/>
      <c r="I13269" s="6"/>
    </row>
    <row r="13270" spans="8:9" x14ac:dyDescent="0.2">
      <c r="H13270" s="6"/>
      <c r="I13270" s="6"/>
    </row>
    <row r="13271" spans="8:9" x14ac:dyDescent="0.2">
      <c r="H13271" s="6"/>
      <c r="I13271" s="6"/>
    </row>
    <row r="13272" spans="8:9" x14ac:dyDescent="0.2">
      <c r="H13272" s="6"/>
      <c r="I13272" s="6"/>
    </row>
    <row r="13273" spans="8:9" x14ac:dyDescent="0.2">
      <c r="H13273" s="6"/>
      <c r="I13273" s="6"/>
    </row>
    <row r="13274" spans="8:9" x14ac:dyDescent="0.2">
      <c r="H13274" s="6"/>
      <c r="I13274" s="6"/>
    </row>
    <row r="13275" spans="8:9" x14ac:dyDescent="0.2">
      <c r="H13275" s="6"/>
      <c r="I13275" s="6"/>
    </row>
    <row r="13276" spans="8:9" x14ac:dyDescent="0.2">
      <c r="H13276" s="6"/>
      <c r="I13276" s="6"/>
    </row>
    <row r="13277" spans="8:9" x14ac:dyDescent="0.2">
      <c r="H13277" s="6"/>
      <c r="I13277" s="6"/>
    </row>
    <row r="13278" spans="8:9" x14ac:dyDescent="0.2">
      <c r="H13278" s="6"/>
      <c r="I13278" s="6"/>
    </row>
    <row r="13279" spans="8:9" x14ac:dyDescent="0.2">
      <c r="H13279" s="6"/>
      <c r="I13279" s="6"/>
    </row>
    <row r="13280" spans="8:9" x14ac:dyDescent="0.2">
      <c r="H13280" s="6"/>
      <c r="I13280" s="6"/>
    </row>
    <row r="13281" spans="8:9" x14ac:dyDescent="0.2">
      <c r="H13281" s="6"/>
      <c r="I13281" s="6"/>
    </row>
    <row r="13282" spans="8:9" x14ac:dyDescent="0.2">
      <c r="H13282" s="6"/>
      <c r="I13282" s="6"/>
    </row>
    <row r="13283" spans="8:9" x14ac:dyDescent="0.2">
      <c r="H13283" s="6"/>
      <c r="I13283" s="6"/>
    </row>
    <row r="13284" spans="8:9" x14ac:dyDescent="0.2">
      <c r="H13284" s="6"/>
      <c r="I13284" s="6"/>
    </row>
    <row r="13285" spans="8:9" x14ac:dyDescent="0.2">
      <c r="H13285" s="6"/>
      <c r="I13285" s="6"/>
    </row>
    <row r="13286" spans="8:9" x14ac:dyDescent="0.2">
      <c r="H13286" s="6"/>
      <c r="I13286" s="6"/>
    </row>
    <row r="13287" spans="8:9" x14ac:dyDescent="0.2">
      <c r="H13287" s="6"/>
      <c r="I13287" s="6"/>
    </row>
    <row r="13288" spans="8:9" x14ac:dyDescent="0.2">
      <c r="H13288" s="6"/>
      <c r="I13288" s="6"/>
    </row>
    <row r="13289" spans="8:9" x14ac:dyDescent="0.2">
      <c r="H13289" s="6"/>
      <c r="I13289" s="6"/>
    </row>
    <row r="13290" spans="8:9" x14ac:dyDescent="0.2">
      <c r="H13290" s="6"/>
      <c r="I13290" s="6"/>
    </row>
    <row r="13291" spans="8:9" x14ac:dyDescent="0.2">
      <c r="H13291" s="6"/>
      <c r="I13291" s="6"/>
    </row>
    <row r="13292" spans="8:9" x14ac:dyDescent="0.2">
      <c r="H13292" s="6"/>
      <c r="I13292" s="6"/>
    </row>
    <row r="13293" spans="8:9" x14ac:dyDescent="0.2">
      <c r="H13293" s="6"/>
      <c r="I13293" s="6"/>
    </row>
    <row r="13294" spans="8:9" x14ac:dyDescent="0.2">
      <c r="H13294" s="6"/>
      <c r="I13294" s="6"/>
    </row>
    <row r="13295" spans="8:9" x14ac:dyDescent="0.2">
      <c r="H13295" s="6"/>
      <c r="I13295" s="6"/>
    </row>
    <row r="13296" spans="8:9" x14ac:dyDescent="0.2">
      <c r="H13296" s="6"/>
      <c r="I13296" s="6"/>
    </row>
    <row r="13297" spans="8:9" x14ac:dyDescent="0.2">
      <c r="H13297" s="6"/>
      <c r="I13297" s="6"/>
    </row>
    <row r="13298" spans="8:9" x14ac:dyDescent="0.2">
      <c r="H13298" s="6"/>
      <c r="I13298" s="6"/>
    </row>
    <row r="13299" spans="8:9" x14ac:dyDescent="0.2">
      <c r="H13299" s="6"/>
      <c r="I13299" s="6"/>
    </row>
    <row r="13300" spans="8:9" x14ac:dyDescent="0.2">
      <c r="H13300" s="6"/>
      <c r="I13300" s="6"/>
    </row>
    <row r="13301" spans="8:9" x14ac:dyDescent="0.2">
      <c r="H13301" s="6"/>
      <c r="I13301" s="6"/>
    </row>
    <row r="13302" spans="8:9" x14ac:dyDescent="0.2">
      <c r="H13302" s="6"/>
      <c r="I13302" s="6"/>
    </row>
    <row r="13303" spans="8:9" x14ac:dyDescent="0.2">
      <c r="H13303" s="6"/>
      <c r="I13303" s="6"/>
    </row>
    <row r="13304" spans="8:9" x14ac:dyDescent="0.2">
      <c r="H13304" s="6"/>
      <c r="I13304" s="6"/>
    </row>
    <row r="13305" spans="8:9" x14ac:dyDescent="0.2">
      <c r="H13305" s="6"/>
      <c r="I13305" s="6"/>
    </row>
    <row r="13306" spans="8:9" x14ac:dyDescent="0.2">
      <c r="H13306" s="6"/>
      <c r="I13306" s="6"/>
    </row>
    <row r="13307" spans="8:9" x14ac:dyDescent="0.2">
      <c r="H13307" s="6"/>
      <c r="I13307" s="6"/>
    </row>
    <row r="13308" spans="8:9" x14ac:dyDescent="0.2">
      <c r="H13308" s="6"/>
      <c r="I13308" s="6"/>
    </row>
    <row r="13309" spans="8:9" x14ac:dyDescent="0.2">
      <c r="H13309" s="6"/>
      <c r="I13309" s="6"/>
    </row>
    <row r="13310" spans="8:9" x14ac:dyDescent="0.2">
      <c r="H13310" s="6"/>
      <c r="I13310" s="6"/>
    </row>
    <row r="13311" spans="8:9" x14ac:dyDescent="0.2">
      <c r="H13311" s="6"/>
      <c r="I13311" s="6"/>
    </row>
    <row r="13312" spans="8:9" x14ac:dyDescent="0.2">
      <c r="H13312" s="6"/>
      <c r="I13312" s="6"/>
    </row>
    <row r="13313" spans="8:9" x14ac:dyDescent="0.2">
      <c r="H13313" s="6"/>
      <c r="I13313" s="6"/>
    </row>
    <row r="13314" spans="8:9" x14ac:dyDescent="0.2">
      <c r="H13314" s="6"/>
      <c r="I13314" s="6"/>
    </row>
    <row r="13315" spans="8:9" x14ac:dyDescent="0.2">
      <c r="H13315" s="6"/>
      <c r="I13315" s="6"/>
    </row>
    <row r="13316" spans="8:9" x14ac:dyDescent="0.2">
      <c r="H13316" s="6"/>
      <c r="I13316" s="6"/>
    </row>
    <row r="13317" spans="8:9" x14ac:dyDescent="0.2">
      <c r="H13317" s="6"/>
      <c r="I13317" s="6"/>
    </row>
    <row r="13318" spans="8:9" x14ac:dyDescent="0.2">
      <c r="H13318" s="6"/>
      <c r="I13318" s="6"/>
    </row>
    <row r="13319" spans="8:9" x14ac:dyDescent="0.2">
      <c r="H13319" s="6"/>
      <c r="I13319" s="6"/>
    </row>
    <row r="13320" spans="8:9" x14ac:dyDescent="0.2">
      <c r="H13320" s="6"/>
      <c r="I13320" s="6"/>
    </row>
    <row r="13321" spans="8:9" x14ac:dyDescent="0.2">
      <c r="H13321" s="6"/>
      <c r="I13321" s="6"/>
    </row>
    <row r="13322" spans="8:9" x14ac:dyDescent="0.2">
      <c r="H13322" s="6"/>
      <c r="I13322" s="6"/>
    </row>
    <row r="13323" spans="8:9" x14ac:dyDescent="0.2">
      <c r="H13323" s="6"/>
      <c r="I13323" s="6"/>
    </row>
    <row r="13324" spans="8:9" x14ac:dyDescent="0.2">
      <c r="H13324" s="6"/>
      <c r="I13324" s="6"/>
    </row>
    <row r="13325" spans="8:9" x14ac:dyDescent="0.2">
      <c r="H13325" s="6"/>
      <c r="I13325" s="6"/>
    </row>
    <row r="13326" spans="8:9" x14ac:dyDescent="0.2">
      <c r="H13326" s="6"/>
      <c r="I13326" s="6"/>
    </row>
    <row r="13327" spans="8:9" x14ac:dyDescent="0.2">
      <c r="H13327" s="6"/>
      <c r="I13327" s="6"/>
    </row>
    <row r="13328" spans="8:9" x14ac:dyDescent="0.2">
      <c r="H13328" s="6"/>
      <c r="I13328" s="6"/>
    </row>
    <row r="13329" spans="8:9" x14ac:dyDescent="0.2">
      <c r="H13329" s="6"/>
      <c r="I13329" s="6"/>
    </row>
    <row r="13330" spans="8:9" x14ac:dyDescent="0.2">
      <c r="H13330" s="6"/>
      <c r="I13330" s="6"/>
    </row>
    <row r="13331" spans="8:9" x14ac:dyDescent="0.2">
      <c r="H13331" s="6"/>
      <c r="I13331" s="6"/>
    </row>
    <row r="13332" spans="8:9" x14ac:dyDescent="0.2">
      <c r="H13332" s="6"/>
      <c r="I13332" s="6"/>
    </row>
    <row r="13333" spans="8:9" x14ac:dyDescent="0.2">
      <c r="H13333" s="6"/>
      <c r="I13333" s="6"/>
    </row>
    <row r="13334" spans="8:9" x14ac:dyDescent="0.2">
      <c r="H13334" s="6"/>
      <c r="I13334" s="6"/>
    </row>
    <row r="13335" spans="8:9" x14ac:dyDescent="0.2">
      <c r="H13335" s="6"/>
      <c r="I13335" s="6"/>
    </row>
    <row r="13336" spans="8:9" x14ac:dyDescent="0.2">
      <c r="H13336" s="6"/>
      <c r="I13336" s="6"/>
    </row>
    <row r="13337" spans="8:9" x14ac:dyDescent="0.2">
      <c r="H13337" s="6"/>
      <c r="I13337" s="6"/>
    </row>
    <row r="13338" spans="8:9" x14ac:dyDescent="0.2">
      <c r="H13338" s="6"/>
      <c r="I13338" s="6"/>
    </row>
    <row r="13339" spans="8:9" x14ac:dyDescent="0.2">
      <c r="H13339" s="6"/>
      <c r="I13339" s="6"/>
    </row>
    <row r="13340" spans="8:9" x14ac:dyDescent="0.2">
      <c r="H13340" s="6"/>
      <c r="I13340" s="6"/>
    </row>
    <row r="13341" spans="8:9" x14ac:dyDescent="0.2">
      <c r="H13341" s="6"/>
      <c r="I13341" s="6"/>
    </row>
    <row r="13342" spans="8:9" x14ac:dyDescent="0.2">
      <c r="H13342" s="6"/>
      <c r="I13342" s="6"/>
    </row>
    <row r="13343" spans="8:9" x14ac:dyDescent="0.2">
      <c r="H13343" s="6"/>
      <c r="I13343" s="6"/>
    </row>
    <row r="13344" spans="8:9" x14ac:dyDescent="0.2">
      <c r="H13344" s="6"/>
      <c r="I13344" s="6"/>
    </row>
    <row r="13345" spans="8:9" x14ac:dyDescent="0.2">
      <c r="H13345" s="6"/>
      <c r="I13345" s="6"/>
    </row>
    <row r="13346" spans="8:9" x14ac:dyDescent="0.2">
      <c r="H13346" s="6"/>
      <c r="I13346" s="6"/>
    </row>
    <row r="13347" spans="8:9" x14ac:dyDescent="0.2">
      <c r="H13347" s="6"/>
      <c r="I13347" s="6"/>
    </row>
    <row r="13348" spans="8:9" x14ac:dyDescent="0.2">
      <c r="H13348" s="6"/>
      <c r="I13348" s="6"/>
    </row>
    <row r="13349" spans="8:9" x14ac:dyDescent="0.2">
      <c r="H13349" s="6"/>
      <c r="I13349" s="6"/>
    </row>
    <row r="13350" spans="8:9" x14ac:dyDescent="0.2">
      <c r="H13350" s="6"/>
      <c r="I13350" s="6"/>
    </row>
    <row r="13351" spans="8:9" x14ac:dyDescent="0.2">
      <c r="H13351" s="6"/>
      <c r="I13351" s="6"/>
    </row>
    <row r="13352" spans="8:9" x14ac:dyDescent="0.2">
      <c r="H13352" s="6"/>
      <c r="I13352" s="6"/>
    </row>
    <row r="13353" spans="8:9" x14ac:dyDescent="0.2">
      <c r="H13353" s="6"/>
      <c r="I13353" s="6"/>
    </row>
    <row r="13354" spans="8:9" x14ac:dyDescent="0.2">
      <c r="H13354" s="6"/>
      <c r="I13354" s="6"/>
    </row>
    <row r="13355" spans="8:9" x14ac:dyDescent="0.2">
      <c r="H13355" s="6"/>
      <c r="I13355" s="6"/>
    </row>
    <row r="13356" spans="8:9" x14ac:dyDescent="0.2">
      <c r="H13356" s="6"/>
      <c r="I13356" s="6"/>
    </row>
    <row r="13357" spans="8:9" x14ac:dyDescent="0.2">
      <c r="H13357" s="6"/>
      <c r="I13357" s="6"/>
    </row>
    <row r="13358" spans="8:9" x14ac:dyDescent="0.2">
      <c r="H13358" s="6"/>
      <c r="I13358" s="6"/>
    </row>
    <row r="13359" spans="8:9" x14ac:dyDescent="0.2">
      <c r="H13359" s="6"/>
      <c r="I13359" s="6"/>
    </row>
    <row r="13360" spans="8:9" x14ac:dyDescent="0.2">
      <c r="H13360" s="6"/>
      <c r="I13360" s="6"/>
    </row>
    <row r="13361" spans="8:9" x14ac:dyDescent="0.2">
      <c r="H13361" s="6"/>
      <c r="I13361" s="6"/>
    </row>
    <row r="13362" spans="8:9" x14ac:dyDescent="0.2">
      <c r="H13362" s="6"/>
      <c r="I13362" s="6"/>
    </row>
    <row r="13363" spans="8:9" x14ac:dyDescent="0.2">
      <c r="H13363" s="6"/>
      <c r="I13363" s="6"/>
    </row>
    <row r="13364" spans="8:9" x14ac:dyDescent="0.2">
      <c r="H13364" s="6"/>
      <c r="I13364" s="6"/>
    </row>
    <row r="13365" spans="8:9" x14ac:dyDescent="0.2">
      <c r="H13365" s="6"/>
      <c r="I13365" s="6"/>
    </row>
    <row r="13366" spans="8:9" x14ac:dyDescent="0.2">
      <c r="H13366" s="6"/>
      <c r="I13366" s="6"/>
    </row>
    <row r="13367" spans="8:9" x14ac:dyDescent="0.2">
      <c r="H13367" s="6"/>
      <c r="I13367" s="6"/>
    </row>
    <row r="13368" spans="8:9" x14ac:dyDescent="0.2">
      <c r="H13368" s="6"/>
      <c r="I13368" s="6"/>
    </row>
    <row r="13369" spans="8:9" x14ac:dyDescent="0.2">
      <c r="H13369" s="6"/>
      <c r="I13369" s="6"/>
    </row>
    <row r="13370" spans="8:9" x14ac:dyDescent="0.2">
      <c r="H13370" s="6"/>
      <c r="I13370" s="6"/>
    </row>
    <row r="13371" spans="8:9" x14ac:dyDescent="0.2">
      <c r="H13371" s="6"/>
      <c r="I13371" s="6"/>
    </row>
    <row r="13372" spans="8:9" x14ac:dyDescent="0.2">
      <c r="H13372" s="6"/>
      <c r="I13372" s="6"/>
    </row>
    <row r="13373" spans="8:9" x14ac:dyDescent="0.2">
      <c r="H13373" s="6"/>
      <c r="I13373" s="6"/>
    </row>
    <row r="13374" spans="8:9" x14ac:dyDescent="0.2">
      <c r="H13374" s="6"/>
      <c r="I13374" s="6"/>
    </row>
    <row r="13375" spans="8:9" x14ac:dyDescent="0.2">
      <c r="H13375" s="6"/>
      <c r="I13375" s="6"/>
    </row>
    <row r="13376" spans="8:9" x14ac:dyDescent="0.2">
      <c r="H13376" s="6"/>
      <c r="I13376" s="6"/>
    </row>
    <row r="13377" spans="8:9" x14ac:dyDescent="0.2">
      <c r="H13377" s="6"/>
      <c r="I13377" s="6"/>
    </row>
    <row r="13378" spans="8:9" x14ac:dyDescent="0.2">
      <c r="H13378" s="6"/>
      <c r="I13378" s="6"/>
    </row>
    <row r="13379" spans="8:9" x14ac:dyDescent="0.2">
      <c r="H13379" s="6"/>
      <c r="I13379" s="6"/>
    </row>
    <row r="13380" spans="8:9" x14ac:dyDescent="0.2">
      <c r="H13380" s="6"/>
      <c r="I13380" s="6"/>
    </row>
    <row r="13381" spans="8:9" x14ac:dyDescent="0.2">
      <c r="H13381" s="6"/>
      <c r="I13381" s="6"/>
    </row>
    <row r="13382" spans="8:9" x14ac:dyDescent="0.2">
      <c r="H13382" s="6"/>
      <c r="I13382" s="6"/>
    </row>
    <row r="13383" spans="8:9" x14ac:dyDescent="0.2">
      <c r="H13383" s="6"/>
      <c r="I13383" s="6"/>
    </row>
    <row r="13384" spans="8:9" x14ac:dyDescent="0.2">
      <c r="H13384" s="6"/>
      <c r="I13384" s="6"/>
    </row>
    <row r="13385" spans="8:9" x14ac:dyDescent="0.2">
      <c r="H13385" s="6"/>
      <c r="I13385" s="6"/>
    </row>
    <row r="13386" spans="8:9" x14ac:dyDescent="0.2">
      <c r="H13386" s="6"/>
      <c r="I13386" s="6"/>
    </row>
    <row r="13387" spans="8:9" x14ac:dyDescent="0.2">
      <c r="H13387" s="6"/>
      <c r="I13387" s="6"/>
    </row>
    <row r="13388" spans="8:9" x14ac:dyDescent="0.2">
      <c r="H13388" s="6"/>
      <c r="I13388" s="6"/>
    </row>
    <row r="13389" spans="8:9" x14ac:dyDescent="0.2">
      <c r="H13389" s="6"/>
      <c r="I13389" s="6"/>
    </row>
    <row r="13390" spans="8:9" x14ac:dyDescent="0.2">
      <c r="H13390" s="6"/>
      <c r="I13390" s="6"/>
    </row>
    <row r="13391" spans="8:9" x14ac:dyDescent="0.2">
      <c r="H13391" s="6"/>
      <c r="I13391" s="6"/>
    </row>
    <row r="13392" spans="8:9" x14ac:dyDescent="0.2">
      <c r="H13392" s="6"/>
      <c r="I13392" s="6"/>
    </row>
    <row r="13393" spans="8:9" x14ac:dyDescent="0.2">
      <c r="H13393" s="6"/>
      <c r="I13393" s="6"/>
    </row>
    <row r="13394" spans="8:9" x14ac:dyDescent="0.2">
      <c r="H13394" s="6"/>
      <c r="I13394" s="6"/>
    </row>
    <row r="13395" spans="8:9" x14ac:dyDescent="0.2">
      <c r="H13395" s="6"/>
      <c r="I13395" s="6"/>
    </row>
    <row r="13396" spans="8:9" x14ac:dyDescent="0.2">
      <c r="H13396" s="6"/>
      <c r="I13396" s="6"/>
    </row>
    <row r="13397" spans="8:9" x14ac:dyDescent="0.2">
      <c r="H13397" s="6"/>
      <c r="I13397" s="6"/>
    </row>
    <row r="13398" spans="8:9" x14ac:dyDescent="0.2">
      <c r="H13398" s="6"/>
      <c r="I13398" s="6"/>
    </row>
    <row r="13399" spans="8:9" x14ac:dyDescent="0.2">
      <c r="H13399" s="6"/>
      <c r="I13399" s="6"/>
    </row>
    <row r="13400" spans="8:9" x14ac:dyDescent="0.2">
      <c r="H13400" s="6"/>
      <c r="I13400" s="6"/>
    </row>
    <row r="13401" spans="8:9" x14ac:dyDescent="0.2">
      <c r="H13401" s="6"/>
      <c r="I13401" s="6"/>
    </row>
    <row r="13402" spans="8:9" x14ac:dyDescent="0.2">
      <c r="H13402" s="6"/>
      <c r="I13402" s="6"/>
    </row>
    <row r="13403" spans="8:9" x14ac:dyDescent="0.2">
      <c r="H13403" s="6"/>
      <c r="I13403" s="6"/>
    </row>
    <row r="13404" spans="8:9" x14ac:dyDescent="0.2">
      <c r="H13404" s="6"/>
      <c r="I13404" s="6"/>
    </row>
    <row r="13405" spans="8:9" x14ac:dyDescent="0.2">
      <c r="H13405" s="6"/>
      <c r="I13405" s="6"/>
    </row>
    <row r="13406" spans="8:9" x14ac:dyDescent="0.2">
      <c r="H13406" s="6"/>
      <c r="I13406" s="6"/>
    </row>
    <row r="13407" spans="8:9" x14ac:dyDescent="0.2">
      <c r="H13407" s="6"/>
      <c r="I13407" s="6"/>
    </row>
    <row r="13408" spans="8:9" x14ac:dyDescent="0.2">
      <c r="H13408" s="6"/>
      <c r="I13408" s="6"/>
    </row>
    <row r="13409" spans="8:9" x14ac:dyDescent="0.2">
      <c r="H13409" s="6"/>
      <c r="I13409" s="6"/>
    </row>
    <row r="13410" spans="8:9" x14ac:dyDescent="0.2">
      <c r="H13410" s="6"/>
      <c r="I13410" s="6"/>
    </row>
    <row r="13411" spans="8:9" x14ac:dyDescent="0.2">
      <c r="H13411" s="6"/>
      <c r="I13411" s="6"/>
    </row>
    <row r="13412" spans="8:9" x14ac:dyDescent="0.2">
      <c r="H13412" s="6"/>
      <c r="I13412" s="6"/>
    </row>
    <row r="13413" spans="8:9" x14ac:dyDescent="0.2">
      <c r="H13413" s="6"/>
      <c r="I13413" s="6"/>
    </row>
    <row r="13414" spans="8:9" x14ac:dyDescent="0.2">
      <c r="H13414" s="6"/>
      <c r="I13414" s="6"/>
    </row>
    <row r="13415" spans="8:9" x14ac:dyDescent="0.2">
      <c r="H13415" s="6"/>
      <c r="I13415" s="6"/>
    </row>
    <row r="13416" spans="8:9" x14ac:dyDescent="0.2">
      <c r="H13416" s="6"/>
      <c r="I13416" s="6"/>
    </row>
    <row r="13417" spans="8:9" x14ac:dyDescent="0.2">
      <c r="H13417" s="6"/>
      <c r="I13417" s="6"/>
    </row>
    <row r="13418" spans="8:9" x14ac:dyDescent="0.2">
      <c r="H13418" s="6"/>
      <c r="I13418" s="6"/>
    </row>
    <row r="13419" spans="8:9" x14ac:dyDescent="0.2">
      <c r="H13419" s="6"/>
      <c r="I13419" s="6"/>
    </row>
    <row r="13420" spans="8:9" x14ac:dyDescent="0.2">
      <c r="H13420" s="6"/>
      <c r="I13420" s="6"/>
    </row>
    <row r="13421" spans="8:9" x14ac:dyDescent="0.2">
      <c r="H13421" s="6"/>
      <c r="I13421" s="6"/>
    </row>
    <row r="13422" spans="8:9" x14ac:dyDescent="0.2">
      <c r="H13422" s="6"/>
      <c r="I13422" s="6"/>
    </row>
    <row r="13423" spans="8:9" x14ac:dyDescent="0.2">
      <c r="H13423" s="6"/>
      <c r="I13423" s="6"/>
    </row>
    <row r="13424" spans="8:9" x14ac:dyDescent="0.2">
      <c r="H13424" s="6"/>
      <c r="I13424" s="6"/>
    </row>
    <row r="13425" spans="8:9" x14ac:dyDescent="0.2">
      <c r="H13425" s="6"/>
      <c r="I13425" s="6"/>
    </row>
    <row r="13426" spans="8:9" x14ac:dyDescent="0.2">
      <c r="H13426" s="6"/>
      <c r="I13426" s="6"/>
    </row>
    <row r="13427" spans="8:9" x14ac:dyDescent="0.2">
      <c r="H13427" s="6"/>
      <c r="I13427" s="6"/>
    </row>
    <row r="13428" spans="8:9" x14ac:dyDescent="0.2">
      <c r="H13428" s="6"/>
      <c r="I13428" s="6"/>
    </row>
    <row r="13429" spans="8:9" x14ac:dyDescent="0.2">
      <c r="H13429" s="6"/>
      <c r="I13429" s="6"/>
    </row>
    <row r="13430" spans="8:9" x14ac:dyDescent="0.2">
      <c r="H13430" s="6"/>
      <c r="I13430" s="6"/>
    </row>
    <row r="13431" spans="8:9" x14ac:dyDescent="0.2">
      <c r="H13431" s="6"/>
      <c r="I13431" s="6"/>
    </row>
    <row r="13432" spans="8:9" x14ac:dyDescent="0.2">
      <c r="H13432" s="6"/>
      <c r="I13432" s="6"/>
    </row>
    <row r="13433" spans="8:9" x14ac:dyDescent="0.2">
      <c r="H13433" s="6"/>
      <c r="I13433" s="6"/>
    </row>
    <row r="13434" spans="8:9" x14ac:dyDescent="0.2">
      <c r="H13434" s="6"/>
      <c r="I13434" s="6"/>
    </row>
    <row r="13435" spans="8:9" x14ac:dyDescent="0.2">
      <c r="H13435" s="6"/>
      <c r="I13435" s="6"/>
    </row>
    <row r="13436" spans="8:9" x14ac:dyDescent="0.2">
      <c r="H13436" s="6"/>
      <c r="I13436" s="6"/>
    </row>
    <row r="13437" spans="8:9" x14ac:dyDescent="0.2">
      <c r="H13437" s="6"/>
      <c r="I13437" s="6"/>
    </row>
    <row r="13438" spans="8:9" x14ac:dyDescent="0.2">
      <c r="H13438" s="6"/>
      <c r="I13438" s="6"/>
    </row>
    <row r="13439" spans="8:9" x14ac:dyDescent="0.2">
      <c r="H13439" s="6"/>
      <c r="I13439" s="6"/>
    </row>
    <row r="13440" spans="8:9" x14ac:dyDescent="0.2">
      <c r="H13440" s="6"/>
      <c r="I13440" s="6"/>
    </row>
    <row r="13441" spans="8:9" x14ac:dyDescent="0.2">
      <c r="H13441" s="6"/>
      <c r="I13441" s="6"/>
    </row>
    <row r="13442" spans="8:9" x14ac:dyDescent="0.2">
      <c r="H13442" s="6"/>
      <c r="I13442" s="6"/>
    </row>
    <row r="13443" spans="8:9" x14ac:dyDescent="0.2">
      <c r="H13443" s="6"/>
      <c r="I13443" s="6"/>
    </row>
    <row r="13444" spans="8:9" x14ac:dyDescent="0.2">
      <c r="H13444" s="6"/>
      <c r="I13444" s="6"/>
    </row>
    <row r="13445" spans="8:9" x14ac:dyDescent="0.2">
      <c r="H13445" s="6"/>
      <c r="I13445" s="6"/>
    </row>
    <row r="13446" spans="8:9" x14ac:dyDescent="0.2">
      <c r="H13446" s="6"/>
      <c r="I13446" s="6"/>
    </row>
    <row r="13447" spans="8:9" x14ac:dyDescent="0.2">
      <c r="H13447" s="6"/>
      <c r="I13447" s="6"/>
    </row>
    <row r="13448" spans="8:9" x14ac:dyDescent="0.2">
      <c r="H13448" s="6"/>
      <c r="I13448" s="6"/>
    </row>
    <row r="13449" spans="8:9" x14ac:dyDescent="0.2">
      <c r="H13449" s="6"/>
      <c r="I13449" s="6"/>
    </row>
    <row r="13450" spans="8:9" x14ac:dyDescent="0.2">
      <c r="H13450" s="6"/>
      <c r="I13450" s="6"/>
    </row>
    <row r="13451" spans="8:9" x14ac:dyDescent="0.2">
      <c r="H13451" s="6"/>
      <c r="I13451" s="6"/>
    </row>
    <row r="13452" spans="8:9" x14ac:dyDescent="0.2">
      <c r="H13452" s="6"/>
      <c r="I13452" s="6"/>
    </row>
    <row r="13453" spans="8:9" x14ac:dyDescent="0.2">
      <c r="H13453" s="6"/>
      <c r="I13453" s="6"/>
    </row>
    <row r="13454" spans="8:9" x14ac:dyDescent="0.2">
      <c r="H13454" s="6"/>
      <c r="I13454" s="6"/>
    </row>
    <row r="13455" spans="8:9" x14ac:dyDescent="0.2">
      <c r="H13455" s="6"/>
      <c r="I13455" s="6"/>
    </row>
    <row r="13456" spans="8:9" x14ac:dyDescent="0.2">
      <c r="H13456" s="6"/>
      <c r="I13456" s="6"/>
    </row>
    <row r="13457" spans="8:9" x14ac:dyDescent="0.2">
      <c r="H13457" s="6"/>
      <c r="I13457" s="6"/>
    </row>
    <row r="13458" spans="8:9" x14ac:dyDescent="0.2">
      <c r="H13458" s="6"/>
      <c r="I13458" s="6"/>
    </row>
    <row r="13459" spans="8:9" x14ac:dyDescent="0.2">
      <c r="H13459" s="6"/>
      <c r="I13459" s="6"/>
    </row>
    <row r="13460" spans="8:9" x14ac:dyDescent="0.2">
      <c r="H13460" s="6"/>
      <c r="I13460" s="6"/>
    </row>
    <row r="13461" spans="8:9" x14ac:dyDescent="0.2">
      <c r="H13461" s="6"/>
      <c r="I13461" s="6"/>
    </row>
    <row r="13462" spans="8:9" x14ac:dyDescent="0.2">
      <c r="H13462" s="6"/>
      <c r="I13462" s="6"/>
    </row>
    <row r="13463" spans="8:9" x14ac:dyDescent="0.2">
      <c r="H13463" s="6"/>
      <c r="I13463" s="6"/>
    </row>
    <row r="13464" spans="8:9" x14ac:dyDescent="0.2">
      <c r="H13464" s="6"/>
      <c r="I13464" s="6"/>
    </row>
    <row r="13465" spans="8:9" x14ac:dyDescent="0.2">
      <c r="H13465" s="6"/>
      <c r="I13465" s="6"/>
    </row>
    <row r="13466" spans="8:9" x14ac:dyDescent="0.2">
      <c r="H13466" s="6"/>
      <c r="I13466" s="6"/>
    </row>
    <row r="13467" spans="8:9" x14ac:dyDescent="0.2">
      <c r="H13467" s="6"/>
      <c r="I13467" s="6"/>
    </row>
    <row r="13468" spans="8:9" x14ac:dyDescent="0.2">
      <c r="H13468" s="6"/>
      <c r="I13468" s="6"/>
    </row>
    <row r="13469" spans="8:9" x14ac:dyDescent="0.2">
      <c r="H13469" s="6"/>
      <c r="I13469" s="6"/>
    </row>
    <row r="13470" spans="8:9" x14ac:dyDescent="0.2">
      <c r="H13470" s="6"/>
      <c r="I13470" s="6"/>
    </row>
    <row r="13471" spans="8:9" x14ac:dyDescent="0.2">
      <c r="H13471" s="6"/>
      <c r="I13471" s="6"/>
    </row>
    <row r="13472" spans="8:9" x14ac:dyDescent="0.2">
      <c r="H13472" s="6"/>
      <c r="I13472" s="6"/>
    </row>
    <row r="13473" spans="8:9" x14ac:dyDescent="0.2">
      <c r="H13473" s="6"/>
      <c r="I13473" s="6"/>
    </row>
    <row r="13474" spans="8:9" x14ac:dyDescent="0.2">
      <c r="H13474" s="6"/>
      <c r="I13474" s="6"/>
    </row>
    <row r="13475" spans="8:9" x14ac:dyDescent="0.2">
      <c r="H13475" s="6"/>
      <c r="I13475" s="6"/>
    </row>
    <row r="13476" spans="8:9" x14ac:dyDescent="0.2">
      <c r="H13476" s="6"/>
      <c r="I13476" s="6"/>
    </row>
    <row r="13477" spans="8:9" x14ac:dyDescent="0.2">
      <c r="H13477" s="6"/>
      <c r="I13477" s="6"/>
    </row>
    <row r="13478" spans="8:9" x14ac:dyDescent="0.2">
      <c r="H13478" s="6"/>
      <c r="I13478" s="6"/>
    </row>
    <row r="13479" spans="8:9" x14ac:dyDescent="0.2">
      <c r="H13479" s="6"/>
      <c r="I13479" s="6"/>
    </row>
    <row r="13480" spans="8:9" x14ac:dyDescent="0.2">
      <c r="H13480" s="6"/>
      <c r="I13480" s="6"/>
    </row>
    <row r="13481" spans="8:9" x14ac:dyDescent="0.2">
      <c r="H13481" s="6"/>
      <c r="I13481" s="6"/>
    </row>
    <row r="13482" spans="8:9" x14ac:dyDescent="0.2">
      <c r="H13482" s="6"/>
      <c r="I13482" s="6"/>
    </row>
    <row r="13483" spans="8:9" x14ac:dyDescent="0.2">
      <c r="H13483" s="6"/>
      <c r="I13483" s="6"/>
    </row>
    <row r="13484" spans="8:9" x14ac:dyDescent="0.2">
      <c r="H13484" s="6"/>
      <c r="I13484" s="6"/>
    </row>
    <row r="13485" spans="8:9" x14ac:dyDescent="0.2">
      <c r="H13485" s="6"/>
      <c r="I13485" s="6"/>
    </row>
    <row r="13486" spans="8:9" x14ac:dyDescent="0.2">
      <c r="H13486" s="6"/>
      <c r="I13486" s="6"/>
    </row>
    <row r="13487" spans="8:9" x14ac:dyDescent="0.2">
      <c r="H13487" s="6"/>
      <c r="I13487" s="6"/>
    </row>
    <row r="13488" spans="8:9" x14ac:dyDescent="0.2">
      <c r="H13488" s="6"/>
      <c r="I13488" s="6"/>
    </row>
    <row r="13489" spans="8:9" x14ac:dyDescent="0.2">
      <c r="H13489" s="6"/>
      <c r="I13489" s="6"/>
    </row>
    <row r="13490" spans="8:9" x14ac:dyDescent="0.2">
      <c r="H13490" s="6"/>
      <c r="I13490" s="6"/>
    </row>
    <row r="13491" spans="8:9" x14ac:dyDescent="0.2">
      <c r="H13491" s="6"/>
      <c r="I13491" s="6"/>
    </row>
    <row r="13492" spans="8:9" x14ac:dyDescent="0.2">
      <c r="H13492" s="6"/>
      <c r="I13492" s="6"/>
    </row>
    <row r="13493" spans="8:9" x14ac:dyDescent="0.2">
      <c r="H13493" s="6"/>
      <c r="I13493" s="6"/>
    </row>
    <row r="13494" spans="8:9" x14ac:dyDescent="0.2">
      <c r="H13494" s="6"/>
      <c r="I13494" s="6"/>
    </row>
    <row r="13495" spans="8:9" x14ac:dyDescent="0.2">
      <c r="H13495" s="6"/>
      <c r="I13495" s="6"/>
    </row>
    <row r="13496" spans="8:9" x14ac:dyDescent="0.2">
      <c r="H13496" s="6"/>
      <c r="I13496" s="6"/>
    </row>
    <row r="13497" spans="8:9" x14ac:dyDescent="0.2">
      <c r="H13497" s="6"/>
      <c r="I13497" s="6"/>
    </row>
    <row r="13498" spans="8:9" x14ac:dyDescent="0.2">
      <c r="H13498" s="6"/>
      <c r="I13498" s="6"/>
    </row>
    <row r="13499" spans="8:9" x14ac:dyDescent="0.2">
      <c r="H13499" s="6"/>
      <c r="I13499" s="6"/>
    </row>
    <row r="13500" spans="8:9" x14ac:dyDescent="0.2">
      <c r="H13500" s="6"/>
      <c r="I13500" s="6"/>
    </row>
    <row r="13501" spans="8:9" x14ac:dyDescent="0.2">
      <c r="H13501" s="6"/>
      <c r="I13501" s="6"/>
    </row>
    <row r="13502" spans="8:9" x14ac:dyDescent="0.2">
      <c r="H13502" s="6"/>
      <c r="I13502" s="6"/>
    </row>
    <row r="13503" spans="8:9" x14ac:dyDescent="0.2">
      <c r="H13503" s="6"/>
      <c r="I13503" s="6"/>
    </row>
    <row r="13504" spans="8:9" x14ac:dyDescent="0.2">
      <c r="H13504" s="6"/>
      <c r="I13504" s="6"/>
    </row>
    <row r="13505" spans="8:9" x14ac:dyDescent="0.2">
      <c r="H13505" s="6"/>
      <c r="I13505" s="6"/>
    </row>
    <row r="13506" spans="8:9" x14ac:dyDescent="0.2">
      <c r="H13506" s="6"/>
      <c r="I13506" s="6"/>
    </row>
    <row r="13507" spans="8:9" x14ac:dyDescent="0.2">
      <c r="H13507" s="6"/>
      <c r="I13507" s="6"/>
    </row>
    <row r="13508" spans="8:9" x14ac:dyDescent="0.2">
      <c r="H13508" s="6"/>
      <c r="I13508" s="6"/>
    </row>
    <row r="13509" spans="8:9" x14ac:dyDescent="0.2">
      <c r="H13509" s="6"/>
      <c r="I13509" s="6"/>
    </row>
    <row r="13510" spans="8:9" x14ac:dyDescent="0.2">
      <c r="H13510" s="6"/>
      <c r="I13510" s="6"/>
    </row>
    <row r="13511" spans="8:9" x14ac:dyDescent="0.2">
      <c r="H13511" s="6"/>
      <c r="I13511" s="6"/>
    </row>
    <row r="13512" spans="8:9" x14ac:dyDescent="0.2">
      <c r="H13512" s="6"/>
      <c r="I13512" s="6"/>
    </row>
    <row r="13513" spans="8:9" x14ac:dyDescent="0.2">
      <c r="H13513" s="6"/>
      <c r="I13513" s="6"/>
    </row>
    <row r="13514" spans="8:9" x14ac:dyDescent="0.2">
      <c r="H13514" s="6"/>
      <c r="I13514" s="6"/>
    </row>
    <row r="13515" spans="8:9" x14ac:dyDescent="0.2">
      <c r="H13515" s="6"/>
      <c r="I13515" s="6"/>
    </row>
    <row r="13516" spans="8:9" x14ac:dyDescent="0.2">
      <c r="H13516" s="6"/>
      <c r="I13516" s="6"/>
    </row>
    <row r="13517" spans="8:9" x14ac:dyDescent="0.2">
      <c r="H13517" s="6"/>
      <c r="I13517" s="6"/>
    </row>
    <row r="13518" spans="8:9" x14ac:dyDescent="0.2">
      <c r="H13518" s="6"/>
      <c r="I13518" s="6"/>
    </row>
    <row r="13519" spans="8:9" x14ac:dyDescent="0.2">
      <c r="H13519" s="6"/>
      <c r="I13519" s="6"/>
    </row>
    <row r="13520" spans="8:9" x14ac:dyDescent="0.2">
      <c r="H13520" s="6"/>
      <c r="I13520" s="6"/>
    </row>
    <row r="13521" spans="8:9" x14ac:dyDescent="0.2">
      <c r="H13521" s="6"/>
      <c r="I13521" s="6"/>
    </row>
    <row r="13522" spans="8:9" x14ac:dyDescent="0.2">
      <c r="H13522" s="6"/>
      <c r="I13522" s="6"/>
    </row>
    <row r="13523" spans="8:9" x14ac:dyDescent="0.2">
      <c r="H13523" s="6"/>
      <c r="I13523" s="6"/>
    </row>
    <row r="13524" spans="8:9" x14ac:dyDescent="0.2">
      <c r="H13524" s="6"/>
      <c r="I13524" s="6"/>
    </row>
    <row r="13525" spans="8:9" x14ac:dyDescent="0.2">
      <c r="H13525" s="6"/>
      <c r="I13525" s="6"/>
    </row>
    <row r="13526" spans="8:9" x14ac:dyDescent="0.2">
      <c r="H13526" s="6"/>
      <c r="I13526" s="6"/>
    </row>
    <row r="13527" spans="8:9" x14ac:dyDescent="0.2">
      <c r="H13527" s="6"/>
      <c r="I13527" s="6"/>
    </row>
    <row r="13528" spans="8:9" x14ac:dyDescent="0.2">
      <c r="H13528" s="6"/>
      <c r="I13528" s="6"/>
    </row>
    <row r="13529" spans="8:9" x14ac:dyDescent="0.2">
      <c r="H13529" s="6"/>
      <c r="I13529" s="6"/>
    </row>
    <row r="13530" spans="8:9" x14ac:dyDescent="0.2">
      <c r="H13530" s="6"/>
      <c r="I13530" s="6"/>
    </row>
    <row r="13531" spans="8:9" x14ac:dyDescent="0.2">
      <c r="H13531" s="6"/>
      <c r="I13531" s="6"/>
    </row>
    <row r="13532" spans="8:9" x14ac:dyDescent="0.2">
      <c r="H13532" s="6"/>
      <c r="I13532" s="6"/>
    </row>
    <row r="13533" spans="8:9" x14ac:dyDescent="0.2">
      <c r="H13533" s="6"/>
      <c r="I13533" s="6"/>
    </row>
    <row r="13534" spans="8:9" x14ac:dyDescent="0.2">
      <c r="H13534" s="6"/>
      <c r="I13534" s="6"/>
    </row>
    <row r="13535" spans="8:9" x14ac:dyDescent="0.2">
      <c r="H13535" s="6"/>
      <c r="I13535" s="6"/>
    </row>
    <row r="13536" spans="8:9" x14ac:dyDescent="0.2">
      <c r="H13536" s="6"/>
      <c r="I13536" s="6"/>
    </row>
    <row r="13537" spans="8:9" x14ac:dyDescent="0.2">
      <c r="H13537" s="6"/>
      <c r="I13537" s="6"/>
    </row>
    <row r="13538" spans="8:9" x14ac:dyDescent="0.2">
      <c r="H13538" s="6"/>
      <c r="I13538" s="6"/>
    </row>
    <row r="13539" spans="8:9" x14ac:dyDescent="0.2">
      <c r="H13539" s="6"/>
      <c r="I13539" s="6"/>
    </row>
    <row r="13540" spans="8:9" x14ac:dyDescent="0.2">
      <c r="H13540" s="6"/>
      <c r="I13540" s="6"/>
    </row>
    <row r="13541" spans="8:9" x14ac:dyDescent="0.2">
      <c r="H13541" s="6"/>
      <c r="I13541" s="6"/>
    </row>
    <row r="13542" spans="8:9" x14ac:dyDescent="0.2">
      <c r="H13542" s="6"/>
      <c r="I13542" s="6"/>
    </row>
    <row r="13543" spans="8:9" x14ac:dyDescent="0.2">
      <c r="H13543" s="6"/>
      <c r="I13543" s="6"/>
    </row>
    <row r="13544" spans="8:9" x14ac:dyDescent="0.2">
      <c r="H13544" s="6"/>
      <c r="I13544" s="6"/>
    </row>
    <row r="13545" spans="8:9" x14ac:dyDescent="0.2">
      <c r="H13545" s="6"/>
      <c r="I13545" s="6"/>
    </row>
    <row r="13546" spans="8:9" x14ac:dyDescent="0.2">
      <c r="H13546" s="6"/>
      <c r="I13546" s="6"/>
    </row>
    <row r="13547" spans="8:9" x14ac:dyDescent="0.2">
      <c r="H13547" s="6"/>
      <c r="I13547" s="6"/>
    </row>
    <row r="13548" spans="8:9" x14ac:dyDescent="0.2">
      <c r="H13548" s="6"/>
      <c r="I13548" s="6"/>
    </row>
    <row r="13549" spans="8:9" x14ac:dyDescent="0.2">
      <c r="H13549" s="6"/>
      <c r="I13549" s="6"/>
    </row>
    <row r="13550" spans="8:9" x14ac:dyDescent="0.2">
      <c r="H13550" s="6"/>
      <c r="I13550" s="6"/>
    </row>
    <row r="13551" spans="8:9" x14ac:dyDescent="0.2">
      <c r="H13551" s="6"/>
      <c r="I13551" s="6"/>
    </row>
    <row r="13552" spans="8:9" x14ac:dyDescent="0.2">
      <c r="H13552" s="6"/>
      <c r="I13552" s="6"/>
    </row>
    <row r="13553" spans="8:9" x14ac:dyDescent="0.2">
      <c r="H13553" s="6"/>
      <c r="I13553" s="6"/>
    </row>
    <row r="13554" spans="8:9" x14ac:dyDescent="0.2">
      <c r="H13554" s="6"/>
      <c r="I13554" s="6"/>
    </row>
    <row r="13555" spans="8:9" x14ac:dyDescent="0.2">
      <c r="H13555" s="6"/>
      <c r="I13555" s="6"/>
    </row>
    <row r="13556" spans="8:9" x14ac:dyDescent="0.2">
      <c r="H13556" s="6"/>
      <c r="I13556" s="6"/>
    </row>
    <row r="13557" spans="8:9" x14ac:dyDescent="0.2">
      <c r="H13557" s="6"/>
      <c r="I13557" s="6"/>
    </row>
    <row r="13558" spans="8:9" x14ac:dyDescent="0.2">
      <c r="H13558" s="6"/>
      <c r="I13558" s="6"/>
    </row>
    <row r="13559" spans="8:9" x14ac:dyDescent="0.2">
      <c r="H13559" s="6"/>
      <c r="I13559" s="6"/>
    </row>
    <row r="13560" spans="8:9" x14ac:dyDescent="0.2">
      <c r="H13560" s="6"/>
      <c r="I13560" s="6"/>
    </row>
    <row r="13561" spans="8:9" x14ac:dyDescent="0.2">
      <c r="H13561" s="6"/>
      <c r="I13561" s="6"/>
    </row>
    <row r="13562" spans="8:9" x14ac:dyDescent="0.2">
      <c r="H13562" s="6"/>
      <c r="I13562" s="6"/>
    </row>
    <row r="13563" spans="8:9" x14ac:dyDescent="0.2">
      <c r="H13563" s="6"/>
      <c r="I13563" s="6"/>
    </row>
    <row r="13564" spans="8:9" x14ac:dyDescent="0.2">
      <c r="H13564" s="6"/>
      <c r="I13564" s="6"/>
    </row>
    <row r="13565" spans="8:9" x14ac:dyDescent="0.2">
      <c r="H13565" s="6"/>
      <c r="I13565" s="6"/>
    </row>
    <row r="13566" spans="8:9" x14ac:dyDescent="0.2">
      <c r="H13566" s="6"/>
      <c r="I13566" s="6"/>
    </row>
    <row r="13567" spans="8:9" x14ac:dyDescent="0.2">
      <c r="H13567" s="6"/>
      <c r="I13567" s="6"/>
    </row>
    <row r="13568" spans="8:9" x14ac:dyDescent="0.2">
      <c r="H13568" s="6"/>
      <c r="I13568" s="6"/>
    </row>
    <row r="13569" spans="8:9" x14ac:dyDescent="0.2">
      <c r="H13569" s="6"/>
      <c r="I13569" s="6"/>
    </row>
    <row r="13570" spans="8:9" x14ac:dyDescent="0.2">
      <c r="H13570" s="6"/>
      <c r="I13570" s="6"/>
    </row>
    <row r="13571" spans="8:9" x14ac:dyDescent="0.2">
      <c r="H13571" s="6"/>
      <c r="I13571" s="6"/>
    </row>
    <row r="13572" spans="8:9" x14ac:dyDescent="0.2">
      <c r="H13572" s="6"/>
      <c r="I13572" s="6"/>
    </row>
    <row r="13573" spans="8:9" x14ac:dyDescent="0.2">
      <c r="H13573" s="6"/>
      <c r="I13573" s="6"/>
    </row>
    <row r="13574" spans="8:9" x14ac:dyDescent="0.2">
      <c r="H13574" s="6"/>
      <c r="I13574" s="6"/>
    </row>
    <row r="13575" spans="8:9" x14ac:dyDescent="0.2">
      <c r="H13575" s="6"/>
      <c r="I13575" s="6"/>
    </row>
    <row r="13576" spans="8:9" x14ac:dyDescent="0.2">
      <c r="H13576" s="6"/>
      <c r="I13576" s="6"/>
    </row>
    <row r="13577" spans="8:9" x14ac:dyDescent="0.2">
      <c r="H13577" s="6"/>
      <c r="I13577" s="6"/>
    </row>
    <row r="13578" spans="8:9" x14ac:dyDescent="0.2">
      <c r="H13578" s="6"/>
      <c r="I13578" s="6"/>
    </row>
    <row r="13579" spans="8:9" x14ac:dyDescent="0.2">
      <c r="H13579" s="6"/>
      <c r="I13579" s="6"/>
    </row>
    <row r="13580" spans="8:9" x14ac:dyDescent="0.2">
      <c r="H13580" s="6"/>
      <c r="I13580" s="6"/>
    </row>
    <row r="13581" spans="8:9" x14ac:dyDescent="0.2">
      <c r="H13581" s="6"/>
      <c r="I13581" s="6"/>
    </row>
    <row r="13582" spans="8:9" x14ac:dyDescent="0.2">
      <c r="H13582" s="6"/>
      <c r="I13582" s="6"/>
    </row>
    <row r="13583" spans="8:9" x14ac:dyDescent="0.2">
      <c r="H13583" s="6"/>
      <c r="I13583" s="6"/>
    </row>
    <row r="13584" spans="8:9" x14ac:dyDescent="0.2">
      <c r="H13584" s="6"/>
      <c r="I13584" s="6"/>
    </row>
    <row r="13585" spans="8:9" x14ac:dyDescent="0.2">
      <c r="H13585" s="6"/>
      <c r="I13585" s="6"/>
    </row>
    <row r="13586" spans="8:9" x14ac:dyDescent="0.2">
      <c r="H13586" s="6"/>
      <c r="I13586" s="6"/>
    </row>
    <row r="13587" spans="8:9" x14ac:dyDescent="0.2">
      <c r="H13587" s="6"/>
      <c r="I13587" s="6"/>
    </row>
    <row r="13588" spans="8:9" x14ac:dyDescent="0.2">
      <c r="H13588" s="6"/>
      <c r="I13588" s="6"/>
    </row>
    <row r="13589" spans="8:9" x14ac:dyDescent="0.2">
      <c r="H13589" s="6"/>
      <c r="I13589" s="6"/>
    </row>
    <row r="13590" spans="8:9" x14ac:dyDescent="0.2">
      <c r="H13590" s="6"/>
      <c r="I13590" s="6"/>
    </row>
    <row r="13591" spans="8:9" x14ac:dyDescent="0.2">
      <c r="H13591" s="6"/>
      <c r="I13591" s="6"/>
    </row>
    <row r="13592" spans="8:9" x14ac:dyDescent="0.2">
      <c r="H13592" s="6"/>
      <c r="I13592" s="6"/>
    </row>
    <row r="13593" spans="8:9" x14ac:dyDescent="0.2">
      <c r="H13593" s="6"/>
      <c r="I13593" s="6"/>
    </row>
    <row r="13594" spans="8:9" x14ac:dyDescent="0.2">
      <c r="H13594" s="6"/>
      <c r="I13594" s="6"/>
    </row>
    <row r="13595" spans="8:9" x14ac:dyDescent="0.2">
      <c r="H13595" s="6"/>
      <c r="I13595" s="6"/>
    </row>
    <row r="13596" spans="8:9" x14ac:dyDescent="0.2">
      <c r="H13596" s="6"/>
      <c r="I13596" s="6"/>
    </row>
    <row r="13597" spans="8:9" x14ac:dyDescent="0.2">
      <c r="H13597" s="6"/>
    </row>
    <row r="13598" spans="8:9" x14ac:dyDescent="0.2">
      <c r="H13598" s="6"/>
      <c r="I13598" s="6"/>
    </row>
    <row r="13599" spans="8:9" x14ac:dyDescent="0.2">
      <c r="H13599" s="6"/>
      <c r="I13599" s="6"/>
    </row>
    <row r="13600" spans="8:9" x14ac:dyDescent="0.2">
      <c r="H13600" s="6"/>
      <c r="I13600" s="6"/>
    </row>
    <row r="13601" spans="8:9" x14ac:dyDescent="0.2">
      <c r="H13601" s="6"/>
      <c r="I13601" s="6"/>
    </row>
    <row r="13602" spans="8:9" x14ac:dyDescent="0.2">
      <c r="H13602" s="6"/>
      <c r="I13602" s="6"/>
    </row>
    <row r="13603" spans="8:9" x14ac:dyDescent="0.2">
      <c r="H13603" s="6"/>
      <c r="I13603" s="6"/>
    </row>
    <row r="13604" spans="8:9" x14ac:dyDescent="0.2">
      <c r="H13604" s="6"/>
      <c r="I13604" s="6"/>
    </row>
    <row r="13605" spans="8:9" x14ac:dyDescent="0.2">
      <c r="H13605" s="6"/>
      <c r="I13605" s="6"/>
    </row>
    <row r="13606" spans="8:9" x14ac:dyDescent="0.2">
      <c r="H13606" s="6"/>
      <c r="I13606" s="6"/>
    </row>
    <row r="13607" spans="8:9" x14ac:dyDescent="0.2">
      <c r="H13607" s="6"/>
      <c r="I13607" s="6"/>
    </row>
    <row r="13608" spans="8:9" x14ac:dyDescent="0.2">
      <c r="H13608" s="6"/>
      <c r="I13608" s="6"/>
    </row>
    <row r="13609" spans="8:9" x14ac:dyDescent="0.2">
      <c r="H13609" s="6"/>
      <c r="I13609" s="6"/>
    </row>
    <row r="13610" spans="8:9" x14ac:dyDescent="0.2">
      <c r="H13610" s="6"/>
      <c r="I13610" s="6"/>
    </row>
    <row r="13611" spans="8:9" x14ac:dyDescent="0.2">
      <c r="H13611" s="6"/>
      <c r="I13611" s="6"/>
    </row>
    <row r="13612" spans="8:9" x14ac:dyDescent="0.2">
      <c r="H13612" s="6"/>
      <c r="I13612" s="6"/>
    </row>
    <row r="13613" spans="8:9" x14ac:dyDescent="0.2">
      <c r="H13613" s="6"/>
      <c r="I13613" s="6"/>
    </row>
    <row r="13614" spans="8:9" x14ac:dyDescent="0.2">
      <c r="H13614" s="6"/>
      <c r="I13614" s="6"/>
    </row>
    <row r="13615" spans="8:9" x14ac:dyDescent="0.2">
      <c r="H13615" s="6"/>
      <c r="I13615" s="6"/>
    </row>
    <row r="13616" spans="8:9" x14ac:dyDescent="0.2">
      <c r="H13616" s="6"/>
      <c r="I13616" s="6"/>
    </row>
    <row r="13617" spans="8:9" x14ac:dyDescent="0.2">
      <c r="H13617" s="6"/>
      <c r="I13617" s="6"/>
    </row>
    <row r="13618" spans="8:9" x14ac:dyDescent="0.2">
      <c r="H13618" s="6"/>
      <c r="I13618" s="6"/>
    </row>
    <row r="13619" spans="8:9" x14ac:dyDescent="0.2">
      <c r="H13619" s="6"/>
      <c r="I13619" s="6"/>
    </row>
    <row r="13620" spans="8:9" x14ac:dyDescent="0.2">
      <c r="H13620" s="6"/>
      <c r="I13620" s="6"/>
    </row>
    <row r="13621" spans="8:9" x14ac:dyDescent="0.2">
      <c r="H13621" s="6"/>
      <c r="I13621" s="6"/>
    </row>
    <row r="13622" spans="8:9" x14ac:dyDescent="0.2">
      <c r="H13622" s="6"/>
      <c r="I13622" s="6"/>
    </row>
    <row r="13623" spans="8:9" x14ac:dyDescent="0.2">
      <c r="H13623" s="6"/>
      <c r="I13623" s="6"/>
    </row>
    <row r="13624" spans="8:9" x14ac:dyDescent="0.2">
      <c r="H13624" s="6"/>
      <c r="I13624" s="6"/>
    </row>
    <row r="13625" spans="8:9" x14ac:dyDescent="0.2">
      <c r="H13625" s="6"/>
      <c r="I13625" s="6"/>
    </row>
    <row r="13626" spans="8:9" x14ac:dyDescent="0.2">
      <c r="H13626" s="6"/>
      <c r="I13626" s="6"/>
    </row>
    <row r="13627" spans="8:9" x14ac:dyDescent="0.2">
      <c r="H13627" s="6"/>
      <c r="I13627" s="6"/>
    </row>
    <row r="13628" spans="8:9" x14ac:dyDescent="0.2">
      <c r="H13628" s="6"/>
      <c r="I13628" s="6"/>
    </row>
    <row r="13629" spans="8:9" x14ac:dyDescent="0.2">
      <c r="H13629" s="6"/>
      <c r="I13629" s="6"/>
    </row>
    <row r="13630" spans="8:9" x14ac:dyDescent="0.2">
      <c r="H13630" s="6"/>
      <c r="I13630" s="6"/>
    </row>
    <row r="13631" spans="8:9" x14ac:dyDescent="0.2">
      <c r="H13631" s="6"/>
      <c r="I13631" s="6"/>
    </row>
    <row r="13632" spans="8:9" x14ac:dyDescent="0.2">
      <c r="H13632" s="6"/>
      <c r="I13632" s="6"/>
    </row>
    <row r="13633" spans="8:9" x14ac:dyDescent="0.2">
      <c r="H13633" s="6"/>
      <c r="I13633" s="6"/>
    </row>
    <row r="13634" spans="8:9" x14ac:dyDescent="0.2">
      <c r="H13634" s="6"/>
      <c r="I13634" s="6"/>
    </row>
    <row r="13635" spans="8:9" x14ac:dyDescent="0.2">
      <c r="H13635" s="6"/>
      <c r="I13635" s="6"/>
    </row>
    <row r="13636" spans="8:9" x14ac:dyDescent="0.2">
      <c r="H13636" s="6"/>
      <c r="I13636" s="6"/>
    </row>
    <row r="13637" spans="8:9" x14ac:dyDescent="0.2">
      <c r="H13637" s="6"/>
      <c r="I13637" s="6"/>
    </row>
    <row r="13638" spans="8:9" x14ac:dyDescent="0.2">
      <c r="H13638" s="6"/>
      <c r="I13638" s="6"/>
    </row>
    <row r="13639" spans="8:9" x14ac:dyDescent="0.2">
      <c r="H13639" s="6"/>
      <c r="I13639" s="6"/>
    </row>
    <row r="13640" spans="8:9" x14ac:dyDescent="0.2">
      <c r="H13640" s="6"/>
      <c r="I13640" s="6"/>
    </row>
    <row r="13641" spans="8:9" x14ac:dyDescent="0.2">
      <c r="H13641" s="6"/>
      <c r="I13641" s="6"/>
    </row>
    <row r="13642" spans="8:9" x14ac:dyDescent="0.2">
      <c r="H13642" s="6"/>
      <c r="I13642" s="6"/>
    </row>
    <row r="13643" spans="8:9" x14ac:dyDescent="0.2">
      <c r="H13643" s="6"/>
      <c r="I13643" s="6"/>
    </row>
    <row r="13644" spans="8:9" x14ac:dyDescent="0.2">
      <c r="H13644" s="6"/>
      <c r="I13644" s="6"/>
    </row>
    <row r="13645" spans="8:9" x14ac:dyDescent="0.2">
      <c r="H13645" s="6"/>
      <c r="I13645" s="6"/>
    </row>
    <row r="13646" spans="8:9" x14ac:dyDescent="0.2">
      <c r="H13646" s="6"/>
      <c r="I13646" s="6"/>
    </row>
    <row r="13647" spans="8:9" x14ac:dyDescent="0.2">
      <c r="H13647" s="6"/>
      <c r="I13647" s="6"/>
    </row>
    <row r="13648" spans="8:9" x14ac:dyDescent="0.2">
      <c r="H13648" s="6"/>
      <c r="I13648" s="6"/>
    </row>
    <row r="13649" spans="8:9" x14ac:dyDescent="0.2">
      <c r="H13649" s="6"/>
      <c r="I13649" s="6"/>
    </row>
    <row r="13650" spans="8:9" x14ac:dyDescent="0.2">
      <c r="H13650" s="6"/>
      <c r="I13650" s="6"/>
    </row>
    <row r="13651" spans="8:9" x14ac:dyDescent="0.2">
      <c r="H13651" s="6"/>
      <c r="I13651" s="6"/>
    </row>
    <row r="13652" spans="8:9" x14ac:dyDescent="0.2">
      <c r="H13652" s="6"/>
      <c r="I13652" s="6"/>
    </row>
    <row r="13653" spans="8:9" x14ac:dyDescent="0.2">
      <c r="H13653" s="6"/>
      <c r="I13653" s="6"/>
    </row>
    <row r="13654" spans="8:9" x14ac:dyDescent="0.2">
      <c r="H13654" s="6"/>
      <c r="I13654" s="6"/>
    </row>
    <row r="13655" spans="8:9" x14ac:dyDescent="0.2">
      <c r="H13655" s="6"/>
      <c r="I13655" s="6"/>
    </row>
    <row r="13656" spans="8:9" x14ac:dyDescent="0.2">
      <c r="H13656" s="6"/>
      <c r="I13656" s="6"/>
    </row>
    <row r="13657" spans="8:9" x14ac:dyDescent="0.2">
      <c r="H13657" s="6"/>
      <c r="I13657" s="6"/>
    </row>
    <row r="13658" spans="8:9" x14ac:dyDescent="0.2">
      <c r="H13658" s="6"/>
      <c r="I13658" s="6"/>
    </row>
    <row r="13659" spans="8:9" x14ac:dyDescent="0.2">
      <c r="H13659" s="6"/>
      <c r="I13659" s="6"/>
    </row>
    <row r="13660" spans="8:9" x14ac:dyDescent="0.2">
      <c r="H13660" s="6"/>
      <c r="I13660" s="6"/>
    </row>
    <row r="13661" spans="8:9" x14ac:dyDescent="0.2">
      <c r="H13661" s="6"/>
      <c r="I13661" s="6"/>
    </row>
    <row r="13662" spans="8:9" x14ac:dyDescent="0.2">
      <c r="H13662" s="6"/>
      <c r="I13662" s="6"/>
    </row>
    <row r="13663" spans="8:9" x14ac:dyDescent="0.2">
      <c r="H13663" s="6"/>
      <c r="I13663" s="6"/>
    </row>
    <row r="13664" spans="8:9" x14ac:dyDescent="0.2">
      <c r="H13664" s="6"/>
      <c r="I13664" s="6"/>
    </row>
    <row r="13665" spans="8:9" x14ac:dyDescent="0.2">
      <c r="H13665" s="6"/>
      <c r="I13665" s="6"/>
    </row>
    <row r="13666" spans="8:9" x14ac:dyDescent="0.2">
      <c r="H13666" s="6"/>
      <c r="I13666" s="6"/>
    </row>
    <row r="13667" spans="8:9" x14ac:dyDescent="0.2">
      <c r="H13667" s="6"/>
      <c r="I13667" s="6"/>
    </row>
    <row r="13668" spans="8:9" x14ac:dyDescent="0.2">
      <c r="H13668" s="6"/>
      <c r="I13668" s="6"/>
    </row>
    <row r="13669" spans="8:9" x14ac:dyDescent="0.2">
      <c r="H13669" s="6"/>
      <c r="I13669" s="6"/>
    </row>
    <row r="13670" spans="8:9" x14ac:dyDescent="0.2">
      <c r="H13670" s="6"/>
      <c r="I13670" s="6"/>
    </row>
    <row r="13671" spans="8:9" x14ac:dyDescent="0.2">
      <c r="H13671" s="6"/>
      <c r="I13671" s="6"/>
    </row>
    <row r="13672" spans="8:9" x14ac:dyDescent="0.2">
      <c r="H13672" s="6"/>
      <c r="I13672" s="6"/>
    </row>
    <row r="13673" spans="8:9" x14ac:dyDescent="0.2">
      <c r="H13673" s="6"/>
      <c r="I13673" s="6"/>
    </row>
    <row r="13674" spans="8:9" x14ac:dyDescent="0.2">
      <c r="H13674" s="6"/>
      <c r="I13674" s="6"/>
    </row>
    <row r="13675" spans="8:9" x14ac:dyDescent="0.2">
      <c r="H13675" s="6"/>
      <c r="I13675" s="6"/>
    </row>
    <row r="13676" spans="8:9" x14ac:dyDescent="0.2">
      <c r="H13676" s="6"/>
      <c r="I13676" s="6"/>
    </row>
    <row r="13677" spans="8:9" x14ac:dyDescent="0.2">
      <c r="H13677" s="6"/>
      <c r="I13677" s="6"/>
    </row>
    <row r="13678" spans="8:9" x14ac:dyDescent="0.2">
      <c r="H13678" s="6"/>
      <c r="I13678" s="6"/>
    </row>
    <row r="13679" spans="8:9" x14ac:dyDescent="0.2">
      <c r="H13679" s="6"/>
      <c r="I13679" s="6"/>
    </row>
    <row r="13680" spans="8:9" x14ac:dyDescent="0.2">
      <c r="H13680" s="6"/>
      <c r="I13680" s="6"/>
    </row>
    <row r="13681" spans="8:9" x14ac:dyDescent="0.2">
      <c r="H13681" s="6"/>
      <c r="I13681" s="6"/>
    </row>
    <row r="13682" spans="8:9" x14ac:dyDescent="0.2">
      <c r="H13682" s="6"/>
      <c r="I13682" s="6"/>
    </row>
    <row r="13683" spans="8:9" x14ac:dyDescent="0.2">
      <c r="H13683" s="6"/>
      <c r="I13683" s="6"/>
    </row>
    <row r="13684" spans="8:9" x14ac:dyDescent="0.2">
      <c r="H13684" s="6"/>
      <c r="I13684" s="6"/>
    </row>
    <row r="13685" spans="8:9" x14ac:dyDescent="0.2">
      <c r="H13685" s="6"/>
      <c r="I13685" s="6"/>
    </row>
    <row r="13686" spans="8:9" x14ac:dyDescent="0.2">
      <c r="H13686" s="6"/>
      <c r="I13686" s="6"/>
    </row>
    <row r="13687" spans="8:9" x14ac:dyDescent="0.2">
      <c r="H13687" s="6"/>
      <c r="I13687" s="6"/>
    </row>
    <row r="13688" spans="8:9" x14ac:dyDescent="0.2">
      <c r="H13688" s="6"/>
      <c r="I13688" s="6"/>
    </row>
    <row r="13689" spans="8:9" x14ac:dyDescent="0.2">
      <c r="H13689" s="6"/>
      <c r="I13689" s="6"/>
    </row>
    <row r="13690" spans="8:9" x14ac:dyDescent="0.2">
      <c r="H13690" s="6"/>
      <c r="I13690" s="6"/>
    </row>
    <row r="13691" spans="8:9" x14ac:dyDescent="0.2">
      <c r="H13691" s="6"/>
      <c r="I13691" s="6"/>
    </row>
    <row r="13692" spans="8:9" x14ac:dyDescent="0.2">
      <c r="H13692" s="6"/>
      <c r="I13692" s="6"/>
    </row>
    <row r="13693" spans="8:9" x14ac:dyDescent="0.2">
      <c r="H13693" s="6"/>
      <c r="I13693" s="6"/>
    </row>
    <row r="13694" spans="8:9" x14ac:dyDescent="0.2">
      <c r="H13694" s="6"/>
      <c r="I13694" s="6"/>
    </row>
    <row r="13695" spans="8:9" x14ac:dyDescent="0.2">
      <c r="H13695" s="6"/>
      <c r="I13695" s="6"/>
    </row>
    <row r="13696" spans="8:9" x14ac:dyDescent="0.2">
      <c r="H13696" s="6"/>
      <c r="I13696" s="6"/>
    </row>
    <row r="13697" spans="8:9" x14ac:dyDescent="0.2">
      <c r="H13697" s="6"/>
      <c r="I13697" s="6"/>
    </row>
    <row r="13698" spans="8:9" x14ac:dyDescent="0.2">
      <c r="H13698" s="6"/>
      <c r="I13698" s="6"/>
    </row>
    <row r="13699" spans="8:9" x14ac:dyDescent="0.2">
      <c r="H13699" s="6"/>
      <c r="I13699" s="6"/>
    </row>
    <row r="13700" spans="8:9" x14ac:dyDescent="0.2">
      <c r="H13700" s="6"/>
      <c r="I13700" s="6"/>
    </row>
    <row r="13701" spans="8:9" x14ac:dyDescent="0.2">
      <c r="H13701" s="6"/>
      <c r="I13701" s="6"/>
    </row>
    <row r="13702" spans="8:9" x14ac:dyDescent="0.2">
      <c r="H13702" s="6"/>
      <c r="I13702" s="6"/>
    </row>
    <row r="13703" spans="8:9" x14ac:dyDescent="0.2">
      <c r="H13703" s="6"/>
      <c r="I13703" s="6"/>
    </row>
    <row r="13704" spans="8:9" x14ac:dyDescent="0.2">
      <c r="H13704" s="6"/>
      <c r="I13704" s="6"/>
    </row>
    <row r="13705" spans="8:9" x14ac:dyDescent="0.2">
      <c r="H13705" s="6"/>
      <c r="I13705" s="6"/>
    </row>
    <row r="13706" spans="8:9" x14ac:dyDescent="0.2">
      <c r="H13706" s="6"/>
      <c r="I13706" s="6"/>
    </row>
    <row r="13707" spans="8:9" x14ac:dyDescent="0.2">
      <c r="H13707" s="6"/>
      <c r="I13707" s="6"/>
    </row>
    <row r="13708" spans="8:9" x14ac:dyDescent="0.2">
      <c r="H13708" s="6"/>
      <c r="I13708" s="6"/>
    </row>
    <row r="13709" spans="8:9" x14ac:dyDescent="0.2">
      <c r="H13709" s="6"/>
      <c r="I13709" s="6"/>
    </row>
    <row r="13710" spans="8:9" x14ac:dyDescent="0.2">
      <c r="H13710" s="6"/>
      <c r="I13710" s="6"/>
    </row>
    <row r="13711" spans="8:9" x14ac:dyDescent="0.2">
      <c r="H13711" s="6"/>
      <c r="I13711" s="6"/>
    </row>
    <row r="13712" spans="8:9" x14ac:dyDescent="0.2">
      <c r="H13712" s="6"/>
      <c r="I13712" s="6"/>
    </row>
    <row r="13713" spans="8:9" x14ac:dyDescent="0.2">
      <c r="H13713" s="6"/>
      <c r="I13713" s="6"/>
    </row>
    <row r="13714" spans="8:9" x14ac:dyDescent="0.2">
      <c r="H13714" s="6"/>
      <c r="I13714" s="6"/>
    </row>
    <row r="13715" spans="8:9" x14ac:dyDescent="0.2">
      <c r="H13715" s="6"/>
      <c r="I13715" s="6"/>
    </row>
    <row r="13716" spans="8:9" x14ac:dyDescent="0.2">
      <c r="H13716" s="6"/>
      <c r="I13716" s="6"/>
    </row>
    <row r="13717" spans="8:9" x14ac:dyDescent="0.2">
      <c r="H13717" s="6"/>
      <c r="I13717" s="6"/>
    </row>
    <row r="13718" spans="8:9" x14ac:dyDescent="0.2">
      <c r="H13718" s="6"/>
      <c r="I13718" s="6"/>
    </row>
    <row r="13719" spans="8:9" x14ac:dyDescent="0.2">
      <c r="H13719" s="6"/>
      <c r="I13719" s="6"/>
    </row>
    <row r="13720" spans="8:9" x14ac:dyDescent="0.2">
      <c r="H13720" s="6"/>
      <c r="I13720" s="6"/>
    </row>
    <row r="13721" spans="8:9" x14ac:dyDescent="0.2">
      <c r="H13721" s="6"/>
      <c r="I13721" s="6"/>
    </row>
    <row r="13722" spans="8:9" x14ac:dyDescent="0.2">
      <c r="H13722" s="6"/>
      <c r="I13722" s="6"/>
    </row>
    <row r="13723" spans="8:9" x14ac:dyDescent="0.2">
      <c r="H13723" s="6"/>
      <c r="I13723" s="6"/>
    </row>
    <row r="13724" spans="8:9" x14ac:dyDescent="0.2">
      <c r="H13724" s="6"/>
      <c r="I13724" s="6"/>
    </row>
    <row r="13725" spans="8:9" x14ac:dyDescent="0.2">
      <c r="H13725" s="6"/>
      <c r="I13725" s="6"/>
    </row>
    <row r="13726" spans="8:9" x14ac:dyDescent="0.2">
      <c r="H13726" s="6"/>
      <c r="I13726" s="6"/>
    </row>
    <row r="13727" spans="8:9" x14ac:dyDescent="0.2">
      <c r="H13727" s="6"/>
      <c r="I13727" s="6"/>
    </row>
    <row r="13728" spans="8:9" x14ac:dyDescent="0.2">
      <c r="H13728" s="6"/>
      <c r="I13728" s="6"/>
    </row>
    <row r="13729" spans="8:9" x14ac:dyDescent="0.2">
      <c r="H13729" s="6"/>
      <c r="I13729" s="6"/>
    </row>
    <row r="13730" spans="8:9" x14ac:dyDescent="0.2">
      <c r="H13730" s="6"/>
      <c r="I13730" s="6"/>
    </row>
    <row r="13731" spans="8:9" x14ac:dyDescent="0.2">
      <c r="H13731" s="6"/>
      <c r="I13731" s="6"/>
    </row>
    <row r="13732" spans="8:9" x14ac:dyDescent="0.2">
      <c r="H13732" s="6"/>
      <c r="I13732" s="6"/>
    </row>
    <row r="13733" spans="8:9" x14ac:dyDescent="0.2">
      <c r="H13733" s="6"/>
      <c r="I13733" s="6"/>
    </row>
    <row r="13734" spans="8:9" x14ac:dyDescent="0.2">
      <c r="H13734" s="6"/>
      <c r="I13734" s="6"/>
    </row>
    <row r="13735" spans="8:9" x14ac:dyDescent="0.2">
      <c r="H13735" s="6"/>
      <c r="I13735" s="6"/>
    </row>
    <row r="13736" spans="8:9" x14ac:dyDescent="0.2">
      <c r="H13736" s="6"/>
      <c r="I13736" s="6"/>
    </row>
    <row r="13737" spans="8:9" x14ac:dyDescent="0.2">
      <c r="H13737" s="6"/>
      <c r="I13737" s="6"/>
    </row>
    <row r="13738" spans="8:9" x14ac:dyDescent="0.2">
      <c r="H13738" s="6"/>
      <c r="I13738" s="6"/>
    </row>
    <row r="13739" spans="8:9" x14ac:dyDescent="0.2">
      <c r="H13739" s="6"/>
      <c r="I13739" s="6"/>
    </row>
    <row r="13740" spans="8:9" x14ac:dyDescent="0.2">
      <c r="H13740" s="6"/>
      <c r="I13740" s="6"/>
    </row>
    <row r="13741" spans="8:9" x14ac:dyDescent="0.2">
      <c r="H13741" s="6"/>
      <c r="I13741" s="6"/>
    </row>
    <row r="13742" spans="8:9" x14ac:dyDescent="0.2">
      <c r="H13742" s="6"/>
      <c r="I13742" s="6"/>
    </row>
    <row r="13743" spans="8:9" x14ac:dyDescent="0.2">
      <c r="H13743" s="6"/>
      <c r="I13743" s="6"/>
    </row>
    <row r="13744" spans="8:9" x14ac:dyDescent="0.2">
      <c r="H13744" s="6"/>
      <c r="I13744" s="6"/>
    </row>
    <row r="13745" spans="8:9" x14ac:dyDescent="0.2">
      <c r="H13745" s="6"/>
      <c r="I13745" s="6"/>
    </row>
    <row r="13746" spans="8:9" x14ac:dyDescent="0.2">
      <c r="H13746" s="6"/>
      <c r="I13746" s="6"/>
    </row>
    <row r="13747" spans="8:9" x14ac:dyDescent="0.2">
      <c r="H13747" s="6"/>
      <c r="I13747" s="6"/>
    </row>
    <row r="13748" spans="8:9" x14ac:dyDescent="0.2">
      <c r="H13748" s="6"/>
      <c r="I13748" s="6"/>
    </row>
    <row r="13749" spans="8:9" x14ac:dyDescent="0.2">
      <c r="H13749" s="6"/>
      <c r="I13749" s="6"/>
    </row>
    <row r="13750" spans="8:9" x14ac:dyDescent="0.2">
      <c r="H13750" s="6"/>
      <c r="I13750" s="6"/>
    </row>
    <row r="13751" spans="8:9" x14ac:dyDescent="0.2">
      <c r="H13751" s="6"/>
      <c r="I13751" s="6"/>
    </row>
    <row r="13752" spans="8:9" x14ac:dyDescent="0.2">
      <c r="H13752" s="6"/>
      <c r="I13752" s="6"/>
    </row>
    <row r="13753" spans="8:9" x14ac:dyDescent="0.2">
      <c r="H13753" s="6"/>
      <c r="I13753" s="6"/>
    </row>
    <row r="13754" spans="8:9" x14ac:dyDescent="0.2">
      <c r="H13754" s="6"/>
      <c r="I13754" s="6"/>
    </row>
    <row r="13755" spans="8:9" x14ac:dyDescent="0.2">
      <c r="H13755" s="6"/>
      <c r="I13755" s="6"/>
    </row>
    <row r="13756" spans="8:9" x14ac:dyDescent="0.2">
      <c r="H13756" s="6"/>
      <c r="I13756" s="6"/>
    </row>
    <row r="13757" spans="8:9" x14ac:dyDescent="0.2">
      <c r="H13757" s="6"/>
      <c r="I13757" s="6"/>
    </row>
    <row r="13758" spans="8:9" x14ac:dyDescent="0.2">
      <c r="H13758" s="6"/>
      <c r="I13758" s="6"/>
    </row>
    <row r="13759" spans="8:9" x14ac:dyDescent="0.2">
      <c r="H13759" s="6"/>
      <c r="I13759" s="6"/>
    </row>
    <row r="13760" spans="8:9" x14ac:dyDescent="0.2">
      <c r="H13760" s="6"/>
      <c r="I13760" s="6"/>
    </row>
    <row r="13761" spans="8:9" x14ac:dyDescent="0.2">
      <c r="H13761" s="6"/>
      <c r="I13761" s="6"/>
    </row>
    <row r="13762" spans="8:9" x14ac:dyDescent="0.2">
      <c r="H13762" s="6"/>
      <c r="I13762" s="6"/>
    </row>
    <row r="13763" spans="8:9" x14ac:dyDescent="0.2">
      <c r="H13763" s="6"/>
      <c r="I13763" s="6"/>
    </row>
    <row r="13764" spans="8:9" x14ac:dyDescent="0.2">
      <c r="H13764" s="6"/>
      <c r="I13764" s="6"/>
    </row>
    <row r="13765" spans="8:9" x14ac:dyDescent="0.2">
      <c r="H13765" s="6"/>
      <c r="I13765" s="6"/>
    </row>
    <row r="13766" spans="8:9" x14ac:dyDescent="0.2">
      <c r="H13766" s="6"/>
      <c r="I13766" s="6"/>
    </row>
    <row r="13767" spans="8:9" x14ac:dyDescent="0.2">
      <c r="H13767" s="6"/>
      <c r="I13767" s="6"/>
    </row>
    <row r="13768" spans="8:9" x14ac:dyDescent="0.2">
      <c r="H13768" s="6"/>
      <c r="I13768" s="6"/>
    </row>
    <row r="13769" spans="8:9" x14ac:dyDescent="0.2">
      <c r="H13769" s="6"/>
      <c r="I13769" s="6"/>
    </row>
    <row r="13770" spans="8:9" x14ac:dyDescent="0.2">
      <c r="H13770" s="6"/>
      <c r="I13770" s="6"/>
    </row>
    <row r="13771" spans="8:9" x14ac:dyDescent="0.2">
      <c r="H13771" s="6"/>
      <c r="I13771" s="6"/>
    </row>
    <row r="13772" spans="8:9" x14ac:dyDescent="0.2">
      <c r="H13772" s="6"/>
      <c r="I13772" s="6"/>
    </row>
    <row r="13773" spans="8:9" x14ac:dyDescent="0.2">
      <c r="H13773" s="6"/>
      <c r="I13773" s="6"/>
    </row>
    <row r="13774" spans="8:9" x14ac:dyDescent="0.2">
      <c r="H13774" s="6"/>
      <c r="I13774" s="6"/>
    </row>
    <row r="13775" spans="8:9" x14ac:dyDescent="0.2">
      <c r="H13775" s="6"/>
      <c r="I13775" s="6"/>
    </row>
    <row r="13776" spans="8:9" x14ac:dyDescent="0.2">
      <c r="H13776" s="6"/>
      <c r="I13776" s="6"/>
    </row>
    <row r="13777" spans="8:9" x14ac:dyDescent="0.2">
      <c r="H13777" s="6"/>
      <c r="I13777" s="6"/>
    </row>
    <row r="13778" spans="8:9" x14ac:dyDescent="0.2">
      <c r="H13778" s="6"/>
      <c r="I13778" s="6"/>
    </row>
    <row r="13779" spans="8:9" x14ac:dyDescent="0.2">
      <c r="H13779" s="6"/>
      <c r="I13779" s="6"/>
    </row>
    <row r="13780" spans="8:9" x14ac:dyDescent="0.2">
      <c r="H13780" s="6"/>
      <c r="I13780" s="6"/>
    </row>
    <row r="13781" spans="8:9" x14ac:dyDescent="0.2">
      <c r="H13781" s="6"/>
      <c r="I13781" s="6"/>
    </row>
    <row r="13782" spans="8:9" x14ac:dyDescent="0.2">
      <c r="H13782" s="6"/>
      <c r="I13782" s="6"/>
    </row>
    <row r="13783" spans="8:9" x14ac:dyDescent="0.2">
      <c r="H13783" s="6"/>
      <c r="I13783" s="6"/>
    </row>
    <row r="13784" spans="8:9" x14ac:dyDescent="0.2">
      <c r="H13784" s="6"/>
      <c r="I13784" s="6"/>
    </row>
    <row r="13785" spans="8:9" x14ac:dyDescent="0.2">
      <c r="H13785" s="6"/>
      <c r="I13785" s="6"/>
    </row>
    <row r="13786" spans="8:9" x14ac:dyDescent="0.2">
      <c r="H13786" s="6"/>
      <c r="I13786" s="6"/>
    </row>
    <row r="13787" spans="8:9" x14ac:dyDescent="0.2">
      <c r="H13787" s="6"/>
      <c r="I13787" s="6"/>
    </row>
    <row r="13788" spans="8:9" x14ac:dyDescent="0.2">
      <c r="H13788" s="6"/>
      <c r="I13788" s="6"/>
    </row>
    <row r="13789" spans="8:9" x14ac:dyDescent="0.2">
      <c r="H13789" s="6"/>
      <c r="I13789" s="6"/>
    </row>
    <row r="13790" spans="8:9" x14ac:dyDescent="0.2">
      <c r="H13790" s="6"/>
      <c r="I13790" s="6"/>
    </row>
    <row r="13791" spans="8:9" x14ac:dyDescent="0.2">
      <c r="H13791" s="6"/>
      <c r="I13791" s="6"/>
    </row>
    <row r="13792" spans="8:9" x14ac:dyDescent="0.2">
      <c r="H13792" s="6"/>
      <c r="I13792" s="6"/>
    </row>
    <row r="13793" spans="8:9" x14ac:dyDescent="0.2">
      <c r="H13793" s="6"/>
      <c r="I13793" s="6"/>
    </row>
    <row r="13794" spans="8:9" x14ac:dyDescent="0.2">
      <c r="H13794" s="6"/>
      <c r="I13794" s="6"/>
    </row>
    <row r="13795" spans="8:9" x14ac:dyDescent="0.2">
      <c r="H13795" s="6"/>
      <c r="I13795" s="6"/>
    </row>
    <row r="13796" spans="8:9" x14ac:dyDescent="0.2">
      <c r="H13796" s="6"/>
      <c r="I13796" s="6"/>
    </row>
    <row r="13797" spans="8:9" x14ac:dyDescent="0.2">
      <c r="H13797" s="6"/>
      <c r="I13797" s="6"/>
    </row>
    <row r="13798" spans="8:9" x14ac:dyDescent="0.2">
      <c r="H13798" s="6"/>
      <c r="I13798" s="6"/>
    </row>
    <row r="13799" spans="8:9" x14ac:dyDescent="0.2">
      <c r="H13799" s="6"/>
      <c r="I13799" s="6"/>
    </row>
    <row r="13800" spans="8:9" x14ac:dyDescent="0.2">
      <c r="H13800" s="6"/>
      <c r="I13800" s="6"/>
    </row>
    <row r="13801" spans="8:9" x14ac:dyDescent="0.2">
      <c r="H13801" s="6"/>
      <c r="I13801" s="6"/>
    </row>
    <row r="13802" spans="8:9" x14ac:dyDescent="0.2">
      <c r="H13802" s="6"/>
      <c r="I13802" s="6"/>
    </row>
    <row r="13803" spans="8:9" x14ac:dyDescent="0.2">
      <c r="H13803" s="6"/>
      <c r="I13803" s="6"/>
    </row>
    <row r="13804" spans="8:9" x14ac:dyDescent="0.2">
      <c r="H13804" s="6"/>
      <c r="I13804" s="6"/>
    </row>
    <row r="13805" spans="8:9" x14ac:dyDescent="0.2">
      <c r="H13805" s="6"/>
      <c r="I13805" s="6"/>
    </row>
    <row r="13806" spans="8:9" x14ac:dyDescent="0.2">
      <c r="H13806" s="6"/>
      <c r="I13806" s="6"/>
    </row>
    <row r="13807" spans="8:9" x14ac:dyDescent="0.2">
      <c r="H13807" s="6"/>
      <c r="I13807" s="6"/>
    </row>
    <row r="13808" spans="8:9" x14ac:dyDescent="0.2">
      <c r="H13808" s="6"/>
      <c r="I13808" s="6"/>
    </row>
    <row r="13809" spans="8:9" x14ac:dyDescent="0.2">
      <c r="H13809" s="6"/>
      <c r="I13809" s="6"/>
    </row>
    <row r="13810" spans="8:9" x14ac:dyDescent="0.2">
      <c r="H13810" s="6"/>
      <c r="I13810" s="6"/>
    </row>
    <row r="13811" spans="8:9" x14ac:dyDescent="0.2">
      <c r="H13811" s="6"/>
      <c r="I13811" s="6"/>
    </row>
    <row r="13812" spans="8:9" x14ac:dyDescent="0.2">
      <c r="H13812" s="6"/>
      <c r="I13812" s="6"/>
    </row>
    <row r="13813" spans="8:9" x14ac:dyDescent="0.2">
      <c r="H13813" s="6"/>
      <c r="I13813" s="6"/>
    </row>
    <row r="13814" spans="8:9" x14ac:dyDescent="0.2">
      <c r="H13814" s="6"/>
      <c r="I13814" s="6"/>
    </row>
    <row r="13815" spans="8:9" x14ac:dyDescent="0.2">
      <c r="H13815" s="6"/>
      <c r="I13815" s="6"/>
    </row>
    <row r="13816" spans="8:9" x14ac:dyDescent="0.2">
      <c r="H13816" s="6"/>
      <c r="I13816" s="6"/>
    </row>
    <row r="13817" spans="8:9" x14ac:dyDescent="0.2">
      <c r="H13817" s="6"/>
      <c r="I13817" s="6"/>
    </row>
    <row r="13818" spans="8:9" x14ac:dyDescent="0.2">
      <c r="H13818" s="6"/>
      <c r="I13818" s="6"/>
    </row>
    <row r="13819" spans="8:9" x14ac:dyDescent="0.2">
      <c r="H13819" s="6"/>
      <c r="I13819" s="6"/>
    </row>
    <row r="13820" spans="8:9" x14ac:dyDescent="0.2">
      <c r="H13820" s="6"/>
      <c r="I13820" s="6"/>
    </row>
    <row r="13821" spans="8:9" x14ac:dyDescent="0.2">
      <c r="H13821" s="6"/>
      <c r="I13821" s="6"/>
    </row>
    <row r="13822" spans="8:9" x14ac:dyDescent="0.2">
      <c r="H13822" s="6"/>
      <c r="I13822" s="6"/>
    </row>
    <row r="13823" spans="8:9" x14ac:dyDescent="0.2">
      <c r="H13823" s="6"/>
      <c r="I13823" s="6"/>
    </row>
    <row r="13824" spans="8:9" x14ac:dyDescent="0.2">
      <c r="H13824" s="6"/>
      <c r="I13824" s="6"/>
    </row>
    <row r="13825" spans="8:9" x14ac:dyDescent="0.2">
      <c r="H13825" s="6"/>
      <c r="I13825" s="6"/>
    </row>
    <row r="13826" spans="8:9" x14ac:dyDescent="0.2">
      <c r="H13826" s="6"/>
      <c r="I13826" s="6"/>
    </row>
    <row r="13827" spans="8:9" x14ac:dyDescent="0.2">
      <c r="H13827" s="6"/>
      <c r="I13827" s="6"/>
    </row>
    <row r="13828" spans="8:9" x14ac:dyDescent="0.2">
      <c r="H13828" s="6"/>
      <c r="I13828" s="6"/>
    </row>
    <row r="13829" spans="8:9" x14ac:dyDescent="0.2">
      <c r="H13829" s="6"/>
      <c r="I13829" s="6"/>
    </row>
    <row r="13830" spans="8:9" x14ac:dyDescent="0.2">
      <c r="H13830" s="6"/>
      <c r="I13830" s="6"/>
    </row>
    <row r="13831" spans="8:9" x14ac:dyDescent="0.2">
      <c r="H13831" s="6"/>
      <c r="I13831" s="6"/>
    </row>
    <row r="13832" spans="8:9" x14ac:dyDescent="0.2">
      <c r="H13832" s="6"/>
      <c r="I13832" s="6"/>
    </row>
    <row r="13833" spans="8:9" x14ac:dyDescent="0.2">
      <c r="H13833" s="6"/>
      <c r="I13833" s="6"/>
    </row>
    <row r="13834" spans="8:9" x14ac:dyDescent="0.2">
      <c r="H13834" s="6"/>
      <c r="I13834" s="6"/>
    </row>
    <row r="13835" spans="8:9" x14ac:dyDescent="0.2">
      <c r="H13835" s="6"/>
      <c r="I13835" s="6"/>
    </row>
    <row r="13836" spans="8:9" x14ac:dyDescent="0.2">
      <c r="H13836" s="6"/>
      <c r="I13836" s="6"/>
    </row>
    <row r="13837" spans="8:9" x14ac:dyDescent="0.2">
      <c r="H13837" s="6"/>
      <c r="I13837" s="6"/>
    </row>
    <row r="13838" spans="8:9" x14ac:dyDescent="0.2">
      <c r="H13838" s="6"/>
      <c r="I13838" s="6"/>
    </row>
    <row r="13839" spans="8:9" x14ac:dyDescent="0.2">
      <c r="H13839" s="6"/>
      <c r="I13839" s="6"/>
    </row>
    <row r="13840" spans="8:9" x14ac:dyDescent="0.2">
      <c r="H13840" s="6"/>
      <c r="I13840" s="6"/>
    </row>
    <row r="13841" spans="8:9" x14ac:dyDescent="0.2">
      <c r="H13841" s="6"/>
      <c r="I13841" s="6"/>
    </row>
    <row r="13842" spans="8:9" x14ac:dyDescent="0.2">
      <c r="H13842" s="6"/>
      <c r="I13842" s="6"/>
    </row>
    <row r="13843" spans="8:9" x14ac:dyDescent="0.2">
      <c r="H13843" s="6"/>
      <c r="I13843" s="6"/>
    </row>
    <row r="13844" spans="8:9" x14ac:dyDescent="0.2">
      <c r="H13844" s="6"/>
      <c r="I13844" s="6"/>
    </row>
    <row r="13845" spans="8:9" x14ac:dyDescent="0.2">
      <c r="H13845" s="6"/>
      <c r="I13845" s="6"/>
    </row>
    <row r="13846" spans="8:9" x14ac:dyDescent="0.2">
      <c r="H13846" s="6"/>
      <c r="I13846" s="6"/>
    </row>
    <row r="13847" spans="8:9" x14ac:dyDescent="0.2">
      <c r="H13847" s="6"/>
      <c r="I13847" s="6"/>
    </row>
    <row r="13848" spans="8:9" x14ac:dyDescent="0.2">
      <c r="H13848" s="6"/>
      <c r="I13848" s="6"/>
    </row>
    <row r="13849" spans="8:9" x14ac:dyDescent="0.2">
      <c r="H13849" s="6"/>
      <c r="I13849" s="6"/>
    </row>
    <row r="13850" spans="8:9" x14ac:dyDescent="0.2">
      <c r="H13850" s="6"/>
      <c r="I13850" s="6"/>
    </row>
    <row r="13851" spans="8:9" x14ac:dyDescent="0.2">
      <c r="H13851" s="6"/>
      <c r="I13851" s="6"/>
    </row>
    <row r="13852" spans="8:9" x14ac:dyDescent="0.2">
      <c r="H13852" s="6"/>
      <c r="I13852" s="6"/>
    </row>
    <row r="13853" spans="8:9" x14ac:dyDescent="0.2">
      <c r="H13853" s="6"/>
      <c r="I13853" s="6"/>
    </row>
    <row r="13854" spans="8:9" x14ac:dyDescent="0.2">
      <c r="H13854" s="6"/>
      <c r="I13854" s="6"/>
    </row>
    <row r="13855" spans="8:9" x14ac:dyDescent="0.2">
      <c r="H13855" s="6"/>
      <c r="I13855" s="6"/>
    </row>
    <row r="13856" spans="8:9" x14ac:dyDescent="0.2">
      <c r="H13856" s="6"/>
      <c r="I13856" s="6"/>
    </row>
    <row r="13857" spans="8:9" x14ac:dyDescent="0.2">
      <c r="H13857" s="6"/>
      <c r="I13857" s="6"/>
    </row>
    <row r="13858" spans="8:9" x14ac:dyDescent="0.2">
      <c r="H13858" s="6"/>
    </row>
    <row r="13859" spans="8:9" x14ac:dyDescent="0.2">
      <c r="H13859" s="6"/>
      <c r="I13859" s="6"/>
    </row>
    <row r="13860" spans="8:9" x14ac:dyDescent="0.2">
      <c r="H13860" s="6"/>
      <c r="I13860" s="6"/>
    </row>
    <row r="13861" spans="8:9" x14ac:dyDescent="0.2">
      <c r="H13861" s="6"/>
      <c r="I13861" s="6"/>
    </row>
    <row r="13862" spans="8:9" x14ac:dyDescent="0.2">
      <c r="H13862" s="6"/>
      <c r="I13862" s="6"/>
    </row>
    <row r="13863" spans="8:9" x14ac:dyDescent="0.2">
      <c r="H13863" s="6"/>
      <c r="I13863" s="6"/>
    </row>
    <row r="13864" spans="8:9" x14ac:dyDescent="0.2">
      <c r="H13864" s="6"/>
      <c r="I13864" s="6"/>
    </row>
    <row r="13865" spans="8:9" x14ac:dyDescent="0.2">
      <c r="H13865" s="6"/>
      <c r="I13865" s="6"/>
    </row>
    <row r="13866" spans="8:9" x14ac:dyDescent="0.2">
      <c r="H13866" s="6"/>
      <c r="I13866" s="6"/>
    </row>
    <row r="13867" spans="8:9" x14ac:dyDescent="0.2">
      <c r="H13867" s="6"/>
      <c r="I13867" s="6"/>
    </row>
    <row r="13868" spans="8:9" x14ac:dyDescent="0.2">
      <c r="H13868" s="6"/>
      <c r="I13868" s="6"/>
    </row>
    <row r="13869" spans="8:9" x14ac:dyDescent="0.2">
      <c r="H13869" s="6"/>
      <c r="I13869" s="6"/>
    </row>
    <row r="13870" spans="8:9" x14ac:dyDescent="0.2">
      <c r="H13870" s="6"/>
      <c r="I13870" s="6"/>
    </row>
    <row r="13871" spans="8:9" x14ac:dyDescent="0.2">
      <c r="H13871" s="6"/>
      <c r="I13871" s="6"/>
    </row>
    <row r="13872" spans="8:9" x14ac:dyDescent="0.2">
      <c r="H13872" s="6"/>
      <c r="I13872" s="6"/>
    </row>
    <row r="13873" spans="8:9" x14ac:dyDescent="0.2">
      <c r="H13873" s="6"/>
      <c r="I13873" s="6"/>
    </row>
    <row r="13874" spans="8:9" x14ac:dyDescent="0.2">
      <c r="H13874" s="6"/>
      <c r="I13874" s="6"/>
    </row>
    <row r="13875" spans="8:9" x14ac:dyDescent="0.2">
      <c r="H13875" s="6"/>
      <c r="I13875" s="6"/>
    </row>
    <row r="13876" spans="8:9" x14ac:dyDescent="0.2">
      <c r="H13876" s="6"/>
      <c r="I13876" s="6"/>
    </row>
    <row r="13877" spans="8:9" x14ac:dyDescent="0.2">
      <c r="H13877" s="6"/>
      <c r="I13877" s="6"/>
    </row>
    <row r="13878" spans="8:9" x14ac:dyDescent="0.2">
      <c r="H13878" s="6"/>
      <c r="I13878" s="6"/>
    </row>
    <row r="13879" spans="8:9" x14ac:dyDescent="0.2">
      <c r="H13879" s="6"/>
      <c r="I13879" s="6"/>
    </row>
    <row r="13880" spans="8:9" x14ac:dyDescent="0.2">
      <c r="H13880" s="6"/>
      <c r="I13880" s="6"/>
    </row>
    <row r="13881" spans="8:9" x14ac:dyDescent="0.2">
      <c r="H13881" s="6"/>
      <c r="I13881" s="6"/>
    </row>
    <row r="13882" spans="8:9" x14ac:dyDescent="0.2">
      <c r="H13882" s="6"/>
      <c r="I13882" s="6"/>
    </row>
    <row r="13883" spans="8:9" x14ac:dyDescent="0.2">
      <c r="H13883" s="6"/>
      <c r="I13883" s="6"/>
    </row>
    <row r="13884" spans="8:9" x14ac:dyDescent="0.2">
      <c r="H13884" s="6"/>
      <c r="I13884" s="6"/>
    </row>
    <row r="13885" spans="8:9" x14ac:dyDescent="0.2">
      <c r="H13885" s="6"/>
      <c r="I13885" s="6"/>
    </row>
    <row r="13886" spans="8:9" x14ac:dyDescent="0.2">
      <c r="H13886" s="6"/>
      <c r="I13886" s="6"/>
    </row>
    <row r="13887" spans="8:9" x14ac:dyDescent="0.2">
      <c r="H13887" s="6"/>
      <c r="I13887" s="6"/>
    </row>
    <row r="13888" spans="8:9" x14ac:dyDescent="0.2">
      <c r="H13888" s="6"/>
      <c r="I13888" s="6"/>
    </row>
    <row r="13889" spans="8:9" x14ac:dyDescent="0.2">
      <c r="H13889" s="6"/>
      <c r="I13889" s="6"/>
    </row>
    <row r="13890" spans="8:9" x14ac:dyDescent="0.2">
      <c r="H13890" s="6"/>
      <c r="I13890" s="6"/>
    </row>
    <row r="13891" spans="8:9" x14ac:dyDescent="0.2">
      <c r="H13891" s="6"/>
      <c r="I13891" s="6"/>
    </row>
    <row r="13892" spans="8:9" x14ac:dyDescent="0.2">
      <c r="H13892" s="6"/>
      <c r="I13892" s="6"/>
    </row>
    <row r="13893" spans="8:9" x14ac:dyDescent="0.2">
      <c r="H13893" s="6"/>
      <c r="I13893" s="6"/>
    </row>
    <row r="13894" spans="8:9" x14ac:dyDescent="0.2">
      <c r="H13894" s="6"/>
      <c r="I13894" s="6"/>
    </row>
    <row r="13895" spans="8:9" x14ac:dyDescent="0.2">
      <c r="H13895" s="6"/>
      <c r="I13895" s="6"/>
    </row>
    <row r="13896" spans="8:9" x14ac:dyDescent="0.2">
      <c r="H13896" s="6"/>
      <c r="I13896" s="6"/>
    </row>
    <row r="13897" spans="8:9" x14ac:dyDescent="0.2">
      <c r="H13897" s="6"/>
      <c r="I13897" s="6"/>
    </row>
    <row r="13898" spans="8:9" x14ac:dyDescent="0.2">
      <c r="H13898" s="6"/>
      <c r="I13898" s="6"/>
    </row>
    <row r="13899" spans="8:9" x14ac:dyDescent="0.2">
      <c r="H13899" s="6"/>
      <c r="I13899" s="6"/>
    </row>
    <row r="13900" spans="8:9" x14ac:dyDescent="0.2">
      <c r="H13900" s="6"/>
      <c r="I13900" s="6"/>
    </row>
    <row r="13901" spans="8:9" x14ac:dyDescent="0.2">
      <c r="H13901" s="6"/>
      <c r="I13901" s="6"/>
    </row>
    <row r="13902" spans="8:9" x14ac:dyDescent="0.2">
      <c r="H13902" s="6"/>
      <c r="I13902" s="6"/>
    </row>
    <row r="13903" spans="8:9" x14ac:dyDescent="0.2">
      <c r="H13903" s="6"/>
      <c r="I13903" s="6"/>
    </row>
    <row r="13904" spans="8:9" x14ac:dyDescent="0.2">
      <c r="H13904" s="6"/>
      <c r="I13904" s="6"/>
    </row>
    <row r="13905" spans="8:9" x14ac:dyDescent="0.2">
      <c r="H13905" s="6"/>
      <c r="I13905" s="6"/>
    </row>
    <row r="13906" spans="8:9" x14ac:dyDescent="0.2">
      <c r="H13906" s="6"/>
      <c r="I13906" s="6"/>
    </row>
    <row r="13907" spans="8:9" x14ac:dyDescent="0.2">
      <c r="H13907" s="6"/>
      <c r="I13907" s="6"/>
    </row>
    <row r="13908" spans="8:9" x14ac:dyDescent="0.2">
      <c r="H13908" s="6"/>
      <c r="I13908" s="6"/>
    </row>
    <row r="13909" spans="8:9" x14ac:dyDescent="0.2">
      <c r="H13909" s="6"/>
      <c r="I13909" s="6"/>
    </row>
    <row r="13910" spans="8:9" x14ac:dyDescent="0.2">
      <c r="H13910" s="6"/>
      <c r="I13910" s="6"/>
    </row>
    <row r="13911" spans="8:9" x14ac:dyDescent="0.2">
      <c r="H13911" s="6"/>
      <c r="I13911" s="6"/>
    </row>
    <row r="13912" spans="8:9" x14ac:dyDescent="0.2">
      <c r="H13912" s="6"/>
      <c r="I13912" s="6"/>
    </row>
    <row r="13913" spans="8:9" x14ac:dyDescent="0.2">
      <c r="H13913" s="6"/>
      <c r="I13913" s="6"/>
    </row>
    <row r="13914" spans="8:9" x14ac:dyDescent="0.2">
      <c r="H13914" s="6"/>
      <c r="I13914" s="6"/>
    </row>
    <row r="13915" spans="8:9" x14ac:dyDescent="0.2">
      <c r="H13915" s="6"/>
      <c r="I13915" s="6"/>
    </row>
    <row r="13916" spans="8:9" x14ac:dyDescent="0.2">
      <c r="H13916" s="6"/>
      <c r="I13916" s="6"/>
    </row>
    <row r="13917" spans="8:9" x14ac:dyDescent="0.2">
      <c r="H13917" s="6"/>
      <c r="I13917" s="6"/>
    </row>
    <row r="13918" spans="8:9" x14ac:dyDescent="0.2">
      <c r="H13918" s="6"/>
      <c r="I13918" s="6"/>
    </row>
    <row r="13919" spans="8:9" x14ac:dyDescent="0.2">
      <c r="H13919" s="6"/>
      <c r="I13919" s="6"/>
    </row>
    <row r="13920" spans="8:9" x14ac:dyDescent="0.2">
      <c r="H13920" s="6"/>
      <c r="I13920" s="6"/>
    </row>
    <row r="13921" spans="8:9" x14ac:dyDescent="0.2">
      <c r="H13921" s="6"/>
      <c r="I13921" s="6"/>
    </row>
    <row r="13922" spans="8:9" x14ac:dyDescent="0.2">
      <c r="H13922" s="6"/>
      <c r="I13922" s="6"/>
    </row>
    <row r="13923" spans="8:9" x14ac:dyDescent="0.2">
      <c r="H13923" s="6"/>
      <c r="I13923" s="6"/>
    </row>
    <row r="13924" spans="8:9" x14ac:dyDescent="0.2">
      <c r="H13924" s="6"/>
      <c r="I13924" s="6"/>
    </row>
    <row r="13925" spans="8:9" x14ac:dyDescent="0.2">
      <c r="H13925" s="6"/>
      <c r="I13925" s="6"/>
    </row>
    <row r="13926" spans="8:9" x14ac:dyDescent="0.2">
      <c r="H13926" s="6"/>
      <c r="I13926" s="6"/>
    </row>
    <row r="13927" spans="8:9" x14ac:dyDescent="0.2">
      <c r="H13927" s="6"/>
      <c r="I13927" s="6"/>
    </row>
    <row r="13928" spans="8:9" x14ac:dyDescent="0.2">
      <c r="H13928" s="6"/>
      <c r="I13928" s="6"/>
    </row>
    <row r="13929" spans="8:9" x14ac:dyDescent="0.2">
      <c r="H13929" s="6"/>
      <c r="I13929" s="6"/>
    </row>
    <row r="13930" spans="8:9" x14ac:dyDescent="0.2">
      <c r="H13930" s="6"/>
      <c r="I13930" s="6"/>
    </row>
    <row r="13931" spans="8:9" x14ac:dyDescent="0.2">
      <c r="H13931" s="6"/>
      <c r="I13931" s="6"/>
    </row>
    <row r="13932" spans="8:9" x14ac:dyDescent="0.2">
      <c r="H13932" s="6"/>
      <c r="I13932" s="6"/>
    </row>
    <row r="13933" spans="8:9" x14ac:dyDescent="0.2">
      <c r="H13933" s="6"/>
      <c r="I13933" s="6"/>
    </row>
    <row r="13934" spans="8:9" x14ac:dyDescent="0.2">
      <c r="H13934" s="6"/>
      <c r="I13934" s="6"/>
    </row>
    <row r="13935" spans="8:9" x14ac:dyDescent="0.2">
      <c r="H13935" s="6"/>
      <c r="I13935" s="6"/>
    </row>
    <row r="13936" spans="8:9" x14ac:dyDescent="0.2">
      <c r="H13936" s="6"/>
      <c r="I13936" s="6"/>
    </row>
    <row r="13937" spans="8:9" x14ac:dyDescent="0.2">
      <c r="H13937" s="6"/>
      <c r="I13937" s="6"/>
    </row>
    <row r="13938" spans="8:9" x14ac:dyDescent="0.2">
      <c r="H13938" s="6"/>
      <c r="I13938" s="6"/>
    </row>
    <row r="13939" spans="8:9" x14ac:dyDescent="0.2">
      <c r="H13939" s="6"/>
      <c r="I13939" s="6"/>
    </row>
    <row r="13940" spans="8:9" x14ac:dyDescent="0.2">
      <c r="H13940" s="6"/>
      <c r="I13940" s="6"/>
    </row>
    <row r="13941" spans="8:9" x14ac:dyDescent="0.2">
      <c r="H13941" s="6"/>
      <c r="I13941" s="6"/>
    </row>
    <row r="13942" spans="8:9" x14ac:dyDescent="0.2">
      <c r="H13942" s="6"/>
      <c r="I13942" s="6"/>
    </row>
    <row r="13943" spans="8:9" x14ac:dyDescent="0.2">
      <c r="H13943" s="6"/>
      <c r="I13943" s="6"/>
    </row>
    <row r="13944" spans="8:9" x14ac:dyDescent="0.2">
      <c r="H13944" s="6"/>
      <c r="I13944" s="6"/>
    </row>
    <row r="13945" spans="8:9" x14ac:dyDescent="0.2">
      <c r="H13945" s="6"/>
      <c r="I13945" s="6"/>
    </row>
    <row r="13946" spans="8:9" x14ac:dyDescent="0.2">
      <c r="H13946" s="6"/>
      <c r="I13946" s="6"/>
    </row>
    <row r="13947" spans="8:9" x14ac:dyDescent="0.2">
      <c r="H13947" s="6"/>
      <c r="I13947" s="6"/>
    </row>
    <row r="13948" spans="8:9" x14ac:dyDescent="0.2">
      <c r="H13948" s="6"/>
      <c r="I13948" s="6"/>
    </row>
    <row r="13949" spans="8:9" x14ac:dyDescent="0.2">
      <c r="H13949" s="6"/>
      <c r="I13949" s="6"/>
    </row>
    <row r="13950" spans="8:9" x14ac:dyDescent="0.2">
      <c r="H13950" s="6"/>
      <c r="I13950" s="6"/>
    </row>
    <row r="13951" spans="8:9" x14ac:dyDescent="0.2">
      <c r="H13951" s="6"/>
      <c r="I13951" s="6"/>
    </row>
    <row r="13952" spans="8:9" x14ac:dyDescent="0.2">
      <c r="H13952" s="6"/>
      <c r="I13952" s="6"/>
    </row>
    <row r="13953" spans="8:9" x14ac:dyDescent="0.2">
      <c r="H13953" s="6"/>
      <c r="I13953" s="6"/>
    </row>
    <row r="13954" spans="8:9" x14ac:dyDescent="0.2">
      <c r="H13954" s="6"/>
      <c r="I13954" s="6"/>
    </row>
    <row r="13955" spans="8:9" x14ac:dyDescent="0.2">
      <c r="H13955" s="6"/>
      <c r="I13955" s="6"/>
    </row>
    <row r="13956" spans="8:9" x14ac:dyDescent="0.2">
      <c r="H13956" s="6"/>
      <c r="I13956" s="6"/>
    </row>
    <row r="13957" spans="8:9" x14ac:dyDescent="0.2">
      <c r="H13957" s="6"/>
      <c r="I13957" s="6"/>
    </row>
    <row r="13958" spans="8:9" x14ac:dyDescent="0.2">
      <c r="H13958" s="6"/>
      <c r="I13958" s="6"/>
    </row>
    <row r="13959" spans="8:9" x14ac:dyDescent="0.2">
      <c r="H13959" s="6"/>
      <c r="I13959" s="6"/>
    </row>
    <row r="13960" spans="8:9" x14ac:dyDescent="0.2">
      <c r="H13960" s="6"/>
      <c r="I13960" s="6"/>
    </row>
    <row r="13961" spans="8:9" x14ac:dyDescent="0.2">
      <c r="H13961" s="6"/>
      <c r="I13961" s="6"/>
    </row>
    <row r="13962" spans="8:9" x14ac:dyDescent="0.2">
      <c r="H13962" s="6"/>
      <c r="I13962" s="6"/>
    </row>
    <row r="13963" spans="8:9" x14ac:dyDescent="0.2">
      <c r="H13963" s="6"/>
      <c r="I13963" s="6"/>
    </row>
    <row r="13964" spans="8:9" x14ac:dyDescent="0.2">
      <c r="H13964" s="6"/>
      <c r="I13964" s="6"/>
    </row>
    <row r="13965" spans="8:9" x14ac:dyDescent="0.2">
      <c r="H13965" s="6"/>
      <c r="I13965" s="6"/>
    </row>
    <row r="13966" spans="8:9" x14ac:dyDescent="0.2">
      <c r="H13966" s="6"/>
      <c r="I13966" s="6"/>
    </row>
    <row r="13967" spans="8:9" x14ac:dyDescent="0.2">
      <c r="H13967" s="6"/>
      <c r="I13967" s="6"/>
    </row>
    <row r="13968" spans="8:9" x14ac:dyDescent="0.2">
      <c r="H13968" s="6"/>
      <c r="I13968" s="6"/>
    </row>
    <row r="13969" spans="8:9" x14ac:dyDescent="0.2">
      <c r="H13969" s="6"/>
      <c r="I13969" s="6"/>
    </row>
    <row r="13970" spans="8:9" x14ac:dyDescent="0.2">
      <c r="H13970" s="6"/>
      <c r="I13970" s="6"/>
    </row>
    <row r="13971" spans="8:9" x14ac:dyDescent="0.2">
      <c r="H13971" s="6"/>
      <c r="I13971" s="6"/>
    </row>
    <row r="13972" spans="8:9" x14ac:dyDescent="0.2">
      <c r="H13972" s="6"/>
      <c r="I13972" s="6"/>
    </row>
    <row r="13973" spans="8:9" x14ac:dyDescent="0.2">
      <c r="H13973" s="6"/>
      <c r="I13973" s="6"/>
    </row>
    <row r="13974" spans="8:9" x14ac:dyDescent="0.2">
      <c r="H13974" s="6"/>
      <c r="I13974" s="6"/>
    </row>
    <row r="13975" spans="8:9" x14ac:dyDescent="0.2">
      <c r="H13975" s="6"/>
      <c r="I13975" s="6"/>
    </row>
    <row r="13976" spans="8:9" x14ac:dyDescent="0.2">
      <c r="H13976" s="6"/>
      <c r="I13976" s="6"/>
    </row>
    <row r="13977" spans="8:9" x14ac:dyDescent="0.2">
      <c r="H13977" s="6"/>
      <c r="I13977" s="6"/>
    </row>
    <row r="13978" spans="8:9" x14ac:dyDescent="0.2">
      <c r="H13978" s="6"/>
      <c r="I13978" s="6"/>
    </row>
    <row r="13979" spans="8:9" x14ac:dyDescent="0.2">
      <c r="H13979" s="6"/>
      <c r="I13979" s="6"/>
    </row>
    <row r="13980" spans="8:9" x14ac:dyDescent="0.2">
      <c r="H13980" s="6"/>
      <c r="I13980" s="6"/>
    </row>
    <row r="13981" spans="8:9" x14ac:dyDescent="0.2">
      <c r="H13981" s="6"/>
      <c r="I13981" s="6"/>
    </row>
    <row r="13982" spans="8:9" x14ac:dyDescent="0.2">
      <c r="H13982" s="6"/>
      <c r="I13982" s="6"/>
    </row>
    <row r="13983" spans="8:9" x14ac:dyDescent="0.2">
      <c r="H13983" s="6"/>
      <c r="I13983" s="6"/>
    </row>
    <row r="13984" spans="8:9" x14ac:dyDescent="0.2">
      <c r="H13984" s="6"/>
      <c r="I13984" s="6"/>
    </row>
    <row r="13985" spans="8:9" x14ac:dyDescent="0.2">
      <c r="H13985" s="6"/>
      <c r="I13985" s="6"/>
    </row>
    <row r="13986" spans="8:9" x14ac:dyDescent="0.2">
      <c r="H13986" s="6"/>
      <c r="I13986" s="6"/>
    </row>
    <row r="13987" spans="8:9" x14ac:dyDescent="0.2">
      <c r="H13987" s="6"/>
      <c r="I13987" s="6"/>
    </row>
    <row r="13988" spans="8:9" x14ac:dyDescent="0.2">
      <c r="H13988" s="6"/>
      <c r="I13988" s="6"/>
    </row>
    <row r="13989" spans="8:9" x14ac:dyDescent="0.2">
      <c r="H13989" s="6"/>
      <c r="I13989" s="6"/>
    </row>
    <row r="13990" spans="8:9" x14ac:dyDescent="0.2">
      <c r="H13990" s="6"/>
      <c r="I13990" s="6"/>
    </row>
    <row r="13991" spans="8:9" x14ac:dyDescent="0.2">
      <c r="H13991" s="6"/>
      <c r="I13991" s="6"/>
    </row>
    <row r="13992" spans="8:9" x14ac:dyDescent="0.2">
      <c r="H13992" s="6"/>
      <c r="I13992" s="6"/>
    </row>
    <row r="13993" spans="8:9" x14ac:dyDescent="0.2">
      <c r="H13993" s="6"/>
      <c r="I13993" s="6"/>
    </row>
    <row r="13994" spans="8:9" x14ac:dyDescent="0.2">
      <c r="H13994" s="6"/>
      <c r="I13994" s="6"/>
    </row>
    <row r="13995" spans="8:9" x14ac:dyDescent="0.2">
      <c r="H13995" s="6"/>
      <c r="I13995" s="6"/>
    </row>
    <row r="13996" spans="8:9" x14ac:dyDescent="0.2">
      <c r="H13996" s="6"/>
      <c r="I13996" s="6"/>
    </row>
    <row r="13997" spans="8:9" x14ac:dyDescent="0.2">
      <c r="H13997" s="6"/>
      <c r="I13997" s="6"/>
    </row>
    <row r="13998" spans="8:9" x14ac:dyDescent="0.2">
      <c r="H13998" s="6"/>
      <c r="I13998" s="6"/>
    </row>
    <row r="13999" spans="8:9" x14ac:dyDescent="0.2">
      <c r="H13999" s="6"/>
      <c r="I13999" s="6"/>
    </row>
    <row r="14000" spans="8:9" x14ac:dyDescent="0.2">
      <c r="H14000" s="6"/>
      <c r="I14000" s="6"/>
    </row>
    <row r="14001" spans="8:9" x14ac:dyDescent="0.2">
      <c r="H14001" s="6"/>
      <c r="I14001" s="6"/>
    </row>
    <row r="14002" spans="8:9" x14ac:dyDescent="0.2">
      <c r="H14002" s="6"/>
      <c r="I14002" s="6"/>
    </row>
    <row r="14003" spans="8:9" x14ac:dyDescent="0.2">
      <c r="H14003" s="6"/>
      <c r="I14003" s="6"/>
    </row>
    <row r="14004" spans="8:9" x14ac:dyDescent="0.2">
      <c r="H14004" s="6"/>
      <c r="I14004" s="6"/>
    </row>
    <row r="14005" spans="8:9" x14ac:dyDescent="0.2">
      <c r="H14005" s="6"/>
      <c r="I14005" s="6"/>
    </row>
    <row r="14006" spans="8:9" x14ac:dyDescent="0.2">
      <c r="H14006" s="6"/>
      <c r="I14006" s="6"/>
    </row>
    <row r="14007" spans="8:9" x14ac:dyDescent="0.2">
      <c r="H14007" s="6"/>
      <c r="I14007" s="6"/>
    </row>
    <row r="14008" spans="8:9" x14ac:dyDescent="0.2">
      <c r="H14008" s="6"/>
      <c r="I14008" s="6"/>
    </row>
    <row r="14009" spans="8:9" x14ac:dyDescent="0.2">
      <c r="H14009" s="6"/>
      <c r="I14009" s="6"/>
    </row>
    <row r="14010" spans="8:9" x14ac:dyDescent="0.2">
      <c r="H14010" s="6"/>
      <c r="I14010" s="6"/>
    </row>
    <row r="14011" spans="8:9" x14ac:dyDescent="0.2">
      <c r="H14011" s="6"/>
      <c r="I14011" s="6"/>
    </row>
    <row r="14012" spans="8:9" x14ac:dyDescent="0.2">
      <c r="H14012" s="6"/>
      <c r="I14012" s="6"/>
    </row>
    <row r="14013" spans="8:9" x14ac:dyDescent="0.2">
      <c r="H14013" s="6"/>
      <c r="I14013" s="6"/>
    </row>
    <row r="14014" spans="8:9" x14ac:dyDescent="0.2">
      <c r="H14014" s="6"/>
      <c r="I14014" s="6"/>
    </row>
    <row r="14015" spans="8:9" x14ac:dyDescent="0.2">
      <c r="H14015" s="6"/>
      <c r="I14015" s="6"/>
    </row>
    <row r="14016" spans="8:9" x14ac:dyDescent="0.2">
      <c r="H14016" s="6"/>
      <c r="I14016" s="6"/>
    </row>
    <row r="14017" spans="8:9" x14ac:dyDescent="0.2">
      <c r="H14017" s="6"/>
      <c r="I14017" s="6"/>
    </row>
    <row r="14018" spans="8:9" x14ac:dyDescent="0.2">
      <c r="H14018" s="6"/>
      <c r="I14018" s="6"/>
    </row>
    <row r="14019" spans="8:9" x14ac:dyDescent="0.2">
      <c r="H14019" s="6"/>
      <c r="I14019" s="6"/>
    </row>
    <row r="14020" spans="8:9" x14ac:dyDescent="0.2">
      <c r="H14020" s="6"/>
      <c r="I14020" s="6"/>
    </row>
    <row r="14021" spans="8:9" x14ac:dyDescent="0.2">
      <c r="H14021" s="6"/>
      <c r="I14021" s="6"/>
    </row>
    <row r="14022" spans="8:9" x14ac:dyDescent="0.2">
      <c r="H14022" s="6"/>
      <c r="I14022" s="6"/>
    </row>
    <row r="14023" spans="8:9" x14ac:dyDescent="0.2">
      <c r="H14023" s="6"/>
      <c r="I14023" s="6"/>
    </row>
    <row r="14024" spans="8:9" x14ac:dyDescent="0.2">
      <c r="H14024" s="6"/>
      <c r="I14024" s="6"/>
    </row>
    <row r="14025" spans="8:9" x14ac:dyDescent="0.2">
      <c r="H14025" s="6"/>
      <c r="I14025" s="6"/>
    </row>
    <row r="14026" spans="8:9" x14ac:dyDescent="0.2">
      <c r="H14026" s="6"/>
      <c r="I14026" s="6"/>
    </row>
    <row r="14027" spans="8:9" x14ac:dyDescent="0.2">
      <c r="H14027" s="6"/>
      <c r="I14027" s="6"/>
    </row>
    <row r="14028" spans="8:9" x14ac:dyDescent="0.2">
      <c r="H14028" s="6"/>
      <c r="I14028" s="6"/>
    </row>
    <row r="14029" spans="8:9" x14ac:dyDescent="0.2">
      <c r="H14029" s="6"/>
      <c r="I14029" s="6"/>
    </row>
    <row r="14030" spans="8:9" x14ac:dyDescent="0.2">
      <c r="H14030" s="6"/>
      <c r="I14030" s="6"/>
    </row>
    <row r="14031" spans="8:9" x14ac:dyDescent="0.2">
      <c r="H14031" s="6"/>
      <c r="I14031" s="6"/>
    </row>
    <row r="14032" spans="8:9" x14ac:dyDescent="0.2">
      <c r="H14032" s="6"/>
      <c r="I14032" s="6"/>
    </row>
    <row r="14033" spans="8:9" x14ac:dyDescent="0.2">
      <c r="H14033" s="6"/>
      <c r="I14033" s="6"/>
    </row>
    <row r="14034" spans="8:9" x14ac:dyDescent="0.2">
      <c r="H14034" s="6"/>
      <c r="I14034" s="6"/>
    </row>
    <row r="14035" spans="8:9" x14ac:dyDescent="0.2">
      <c r="H14035" s="6"/>
      <c r="I14035" s="6"/>
    </row>
    <row r="14036" spans="8:9" x14ac:dyDescent="0.2">
      <c r="H14036" s="6"/>
      <c r="I14036" s="6"/>
    </row>
    <row r="14037" spans="8:9" x14ac:dyDescent="0.2">
      <c r="H14037" s="6"/>
      <c r="I14037" s="6"/>
    </row>
    <row r="14038" spans="8:9" x14ac:dyDescent="0.2">
      <c r="H14038" s="6"/>
      <c r="I14038" s="6"/>
    </row>
    <row r="14039" spans="8:9" x14ac:dyDescent="0.2">
      <c r="H14039" s="6"/>
      <c r="I14039" s="6"/>
    </row>
    <row r="14040" spans="8:9" x14ac:dyDescent="0.2">
      <c r="H14040" s="6"/>
      <c r="I14040" s="6"/>
    </row>
    <row r="14041" spans="8:9" x14ac:dyDescent="0.2">
      <c r="H14041" s="6"/>
      <c r="I14041" s="6"/>
    </row>
    <row r="14042" spans="8:9" x14ac:dyDescent="0.2">
      <c r="H14042" s="6"/>
      <c r="I14042" s="6"/>
    </row>
    <row r="14043" spans="8:9" x14ac:dyDescent="0.2">
      <c r="H14043" s="6"/>
      <c r="I14043" s="6"/>
    </row>
    <row r="14044" spans="8:9" x14ac:dyDescent="0.2">
      <c r="H14044" s="6"/>
      <c r="I14044" s="6"/>
    </row>
    <row r="14045" spans="8:9" x14ac:dyDescent="0.2">
      <c r="H14045" s="6"/>
      <c r="I14045" s="6"/>
    </row>
    <row r="14046" spans="8:9" x14ac:dyDescent="0.2">
      <c r="H14046" s="6"/>
      <c r="I14046" s="6"/>
    </row>
    <row r="14047" spans="8:9" x14ac:dyDescent="0.2">
      <c r="H14047" s="6"/>
      <c r="I14047" s="6"/>
    </row>
    <row r="14048" spans="8:9" x14ac:dyDescent="0.2">
      <c r="H14048" s="6"/>
      <c r="I14048" s="6"/>
    </row>
    <row r="14049" spans="8:9" x14ac:dyDescent="0.2">
      <c r="H14049" s="6"/>
      <c r="I14049" s="6"/>
    </row>
    <row r="14050" spans="8:9" x14ac:dyDescent="0.2">
      <c r="H14050" s="6"/>
      <c r="I14050" s="6"/>
    </row>
    <row r="14051" spans="8:9" x14ac:dyDescent="0.2">
      <c r="H14051" s="6"/>
      <c r="I14051" s="6"/>
    </row>
    <row r="14052" spans="8:9" x14ac:dyDescent="0.2">
      <c r="H14052" s="6"/>
      <c r="I14052" s="6"/>
    </row>
    <row r="14053" spans="8:9" x14ac:dyDescent="0.2">
      <c r="H14053" s="6"/>
      <c r="I14053" s="6"/>
    </row>
    <row r="14054" spans="8:9" x14ac:dyDescent="0.2">
      <c r="H14054" s="6"/>
      <c r="I14054" s="6"/>
    </row>
    <row r="14055" spans="8:9" x14ac:dyDescent="0.2">
      <c r="H14055" s="6"/>
      <c r="I14055" s="6"/>
    </row>
    <row r="14056" spans="8:9" x14ac:dyDescent="0.2">
      <c r="H14056" s="6"/>
      <c r="I14056" s="6"/>
    </row>
    <row r="14057" spans="8:9" x14ac:dyDescent="0.2">
      <c r="H14057" s="6"/>
      <c r="I14057" s="6"/>
    </row>
    <row r="14058" spans="8:9" x14ac:dyDescent="0.2">
      <c r="H14058" s="6"/>
      <c r="I14058" s="6"/>
    </row>
    <row r="14059" spans="8:9" x14ac:dyDescent="0.2">
      <c r="H14059" s="6"/>
      <c r="I14059" s="6"/>
    </row>
    <row r="14060" spans="8:9" x14ac:dyDescent="0.2">
      <c r="H14060" s="6"/>
      <c r="I14060" s="6"/>
    </row>
    <row r="14061" spans="8:9" x14ac:dyDescent="0.2">
      <c r="H14061" s="6"/>
      <c r="I14061" s="6"/>
    </row>
    <row r="14062" spans="8:9" x14ac:dyDescent="0.2">
      <c r="H14062" s="6"/>
      <c r="I14062" s="6"/>
    </row>
    <row r="14063" spans="8:9" x14ac:dyDescent="0.2">
      <c r="H14063" s="6"/>
      <c r="I14063" s="6"/>
    </row>
    <row r="14064" spans="8:9" x14ac:dyDescent="0.2">
      <c r="H14064" s="6"/>
      <c r="I14064" s="6"/>
    </row>
    <row r="14065" spans="8:9" x14ac:dyDescent="0.2">
      <c r="H14065" s="6"/>
      <c r="I14065" s="6"/>
    </row>
    <row r="14066" spans="8:9" x14ac:dyDescent="0.2">
      <c r="H14066" s="6"/>
      <c r="I14066" s="6"/>
    </row>
    <row r="14067" spans="8:9" x14ac:dyDescent="0.2">
      <c r="H14067" s="6"/>
      <c r="I14067" s="6"/>
    </row>
    <row r="14068" spans="8:9" x14ac:dyDescent="0.2">
      <c r="H14068" s="6"/>
      <c r="I14068" s="6"/>
    </row>
    <row r="14069" spans="8:9" x14ac:dyDescent="0.2">
      <c r="H14069" s="6"/>
      <c r="I14069" s="6"/>
    </row>
    <row r="14070" spans="8:9" x14ac:dyDescent="0.2">
      <c r="H14070" s="6"/>
      <c r="I14070" s="6"/>
    </row>
    <row r="14071" spans="8:9" x14ac:dyDescent="0.2">
      <c r="H14071" s="6"/>
      <c r="I14071" s="6"/>
    </row>
    <row r="14072" spans="8:9" x14ac:dyDescent="0.2">
      <c r="H14072" s="6"/>
      <c r="I14072" s="6"/>
    </row>
    <row r="14073" spans="8:9" x14ac:dyDescent="0.2">
      <c r="H14073" s="6"/>
      <c r="I14073" s="6"/>
    </row>
    <row r="14074" spans="8:9" x14ac:dyDescent="0.2">
      <c r="H14074" s="6"/>
      <c r="I14074" s="6"/>
    </row>
    <row r="14075" spans="8:9" x14ac:dyDescent="0.2">
      <c r="H14075" s="6"/>
      <c r="I14075" s="6"/>
    </row>
    <row r="14076" spans="8:9" x14ac:dyDescent="0.2">
      <c r="H14076" s="6"/>
      <c r="I14076" s="6"/>
    </row>
    <row r="14077" spans="8:9" x14ac:dyDescent="0.2">
      <c r="H14077" s="6"/>
      <c r="I14077" s="6"/>
    </row>
    <row r="14078" spans="8:9" x14ac:dyDescent="0.2">
      <c r="H14078" s="6"/>
      <c r="I14078" s="6"/>
    </row>
    <row r="14079" spans="8:9" x14ac:dyDescent="0.2">
      <c r="H14079" s="6"/>
      <c r="I14079" s="6"/>
    </row>
    <row r="14080" spans="8:9" x14ac:dyDescent="0.2">
      <c r="H14080" s="6"/>
      <c r="I14080" s="6"/>
    </row>
    <row r="14081" spans="8:9" x14ac:dyDescent="0.2">
      <c r="H14081" s="6"/>
      <c r="I14081" s="6"/>
    </row>
    <row r="14082" spans="8:9" x14ac:dyDescent="0.2">
      <c r="H14082" s="6"/>
      <c r="I14082" s="6"/>
    </row>
    <row r="14083" spans="8:9" x14ac:dyDescent="0.2">
      <c r="H14083" s="6"/>
      <c r="I14083" s="6"/>
    </row>
    <row r="14084" spans="8:9" x14ac:dyDescent="0.2">
      <c r="H14084" s="6"/>
      <c r="I14084" s="6"/>
    </row>
    <row r="14085" spans="8:9" x14ac:dyDescent="0.2">
      <c r="H14085" s="6"/>
      <c r="I14085" s="6"/>
    </row>
    <row r="14086" spans="8:9" x14ac:dyDescent="0.2">
      <c r="H14086" s="6"/>
      <c r="I14086" s="6"/>
    </row>
    <row r="14087" spans="8:9" x14ac:dyDescent="0.2">
      <c r="H14087" s="6"/>
      <c r="I14087" s="6"/>
    </row>
    <row r="14088" spans="8:9" x14ac:dyDescent="0.2">
      <c r="H14088" s="6"/>
      <c r="I14088" s="6"/>
    </row>
    <row r="14089" spans="8:9" x14ac:dyDescent="0.2">
      <c r="H14089" s="6"/>
      <c r="I14089" s="6"/>
    </row>
    <row r="14090" spans="8:9" x14ac:dyDescent="0.2">
      <c r="H14090" s="6"/>
      <c r="I14090" s="6"/>
    </row>
    <row r="14091" spans="8:9" x14ac:dyDescent="0.2">
      <c r="H14091" s="6"/>
      <c r="I14091" s="6"/>
    </row>
    <row r="14092" spans="8:9" x14ac:dyDescent="0.2">
      <c r="H14092" s="6"/>
      <c r="I14092" s="6"/>
    </row>
    <row r="14093" spans="8:9" x14ac:dyDescent="0.2">
      <c r="H14093" s="6"/>
      <c r="I14093" s="6"/>
    </row>
    <row r="14094" spans="8:9" x14ac:dyDescent="0.2">
      <c r="H14094" s="6"/>
      <c r="I14094" s="6"/>
    </row>
    <row r="14095" spans="8:9" x14ac:dyDescent="0.2">
      <c r="H14095" s="6"/>
      <c r="I14095" s="6"/>
    </row>
    <row r="14096" spans="8:9" x14ac:dyDescent="0.2">
      <c r="H14096" s="6"/>
      <c r="I14096" s="6"/>
    </row>
    <row r="14097" spans="8:9" x14ac:dyDescent="0.2">
      <c r="H14097" s="6"/>
      <c r="I14097" s="6"/>
    </row>
    <row r="14098" spans="8:9" x14ac:dyDescent="0.2">
      <c r="H14098" s="6"/>
      <c r="I14098" s="6"/>
    </row>
    <row r="14099" spans="8:9" x14ac:dyDescent="0.2">
      <c r="H14099" s="6"/>
      <c r="I14099" s="6"/>
    </row>
    <row r="14100" spans="8:9" x14ac:dyDescent="0.2">
      <c r="H14100" s="6"/>
      <c r="I14100" s="6"/>
    </row>
    <row r="14101" spans="8:9" x14ac:dyDescent="0.2">
      <c r="H14101" s="6"/>
      <c r="I14101" s="6"/>
    </row>
    <row r="14102" spans="8:9" x14ac:dyDescent="0.2">
      <c r="H14102" s="6"/>
      <c r="I14102" s="6"/>
    </row>
    <row r="14103" spans="8:9" x14ac:dyDescent="0.2">
      <c r="H14103" s="6"/>
      <c r="I14103" s="6"/>
    </row>
    <row r="14104" spans="8:9" x14ac:dyDescent="0.2">
      <c r="H14104" s="6"/>
      <c r="I14104" s="6"/>
    </row>
    <row r="14105" spans="8:9" x14ac:dyDescent="0.2">
      <c r="H14105" s="6"/>
      <c r="I14105" s="6"/>
    </row>
    <row r="14106" spans="8:9" x14ac:dyDescent="0.2">
      <c r="H14106" s="6"/>
      <c r="I14106" s="6"/>
    </row>
    <row r="14107" spans="8:9" x14ac:dyDescent="0.2">
      <c r="H14107" s="6"/>
      <c r="I14107" s="6"/>
    </row>
    <row r="14108" spans="8:9" x14ac:dyDescent="0.2">
      <c r="H14108" s="6"/>
      <c r="I14108" s="6"/>
    </row>
    <row r="14109" spans="8:9" x14ac:dyDescent="0.2">
      <c r="H14109" s="6"/>
      <c r="I14109" s="6"/>
    </row>
    <row r="14110" spans="8:9" x14ac:dyDescent="0.2">
      <c r="H14110" s="6"/>
      <c r="I14110" s="6"/>
    </row>
    <row r="14111" spans="8:9" x14ac:dyDescent="0.2">
      <c r="H14111" s="6"/>
      <c r="I14111" s="6"/>
    </row>
    <row r="14112" spans="8:9" x14ac:dyDescent="0.2">
      <c r="H14112" s="6"/>
      <c r="I14112" s="6"/>
    </row>
    <row r="14113" spans="8:9" x14ac:dyDescent="0.2">
      <c r="H14113" s="6"/>
      <c r="I14113" s="6"/>
    </row>
    <row r="14114" spans="8:9" x14ac:dyDescent="0.2">
      <c r="H14114" s="6"/>
      <c r="I14114" s="6"/>
    </row>
    <row r="14115" spans="8:9" x14ac:dyDescent="0.2">
      <c r="H14115" s="6"/>
      <c r="I14115" s="6"/>
    </row>
    <row r="14116" spans="8:9" x14ac:dyDescent="0.2">
      <c r="H14116" s="6"/>
      <c r="I14116" s="6"/>
    </row>
    <row r="14117" spans="8:9" x14ac:dyDescent="0.2">
      <c r="H14117" s="6"/>
      <c r="I14117" s="6"/>
    </row>
    <row r="14118" spans="8:9" x14ac:dyDescent="0.2">
      <c r="H14118" s="6"/>
      <c r="I14118" s="6"/>
    </row>
    <row r="14119" spans="8:9" x14ac:dyDescent="0.2">
      <c r="H14119" s="6"/>
      <c r="I14119" s="6"/>
    </row>
    <row r="14120" spans="8:9" x14ac:dyDescent="0.2">
      <c r="H14120" s="6"/>
      <c r="I14120" s="6"/>
    </row>
    <row r="14121" spans="8:9" x14ac:dyDescent="0.2">
      <c r="H14121" s="6"/>
      <c r="I14121" s="6"/>
    </row>
    <row r="14122" spans="8:9" x14ac:dyDescent="0.2">
      <c r="H14122" s="6"/>
      <c r="I14122" s="6"/>
    </row>
    <row r="14123" spans="8:9" x14ac:dyDescent="0.2">
      <c r="H14123" s="6"/>
      <c r="I14123" s="6"/>
    </row>
    <row r="14124" spans="8:9" x14ac:dyDescent="0.2">
      <c r="H14124" s="6"/>
      <c r="I14124" s="6"/>
    </row>
    <row r="14125" spans="8:9" x14ac:dyDescent="0.2">
      <c r="H14125" s="6"/>
      <c r="I14125" s="6"/>
    </row>
    <row r="14126" spans="8:9" x14ac:dyDescent="0.2">
      <c r="H14126" s="6"/>
      <c r="I14126" s="6"/>
    </row>
    <row r="14127" spans="8:9" x14ac:dyDescent="0.2">
      <c r="H14127" s="6"/>
      <c r="I14127" s="6"/>
    </row>
    <row r="14128" spans="8:9" x14ac:dyDescent="0.2">
      <c r="H14128" s="6"/>
      <c r="I14128" s="6"/>
    </row>
    <row r="14129" spans="8:9" x14ac:dyDescent="0.2">
      <c r="H14129" s="6"/>
      <c r="I14129" s="6"/>
    </row>
    <row r="14130" spans="8:9" x14ac:dyDescent="0.2">
      <c r="H14130" s="6"/>
      <c r="I14130" s="6"/>
    </row>
    <row r="14131" spans="8:9" x14ac:dyDescent="0.2">
      <c r="H14131" s="6"/>
      <c r="I14131" s="6"/>
    </row>
    <row r="14132" spans="8:9" x14ac:dyDescent="0.2">
      <c r="H14132" s="6"/>
      <c r="I14132" s="6"/>
    </row>
    <row r="14133" spans="8:9" x14ac:dyDescent="0.2">
      <c r="H14133" s="6"/>
      <c r="I14133" s="6"/>
    </row>
    <row r="14134" spans="8:9" x14ac:dyDescent="0.2">
      <c r="H14134" s="6"/>
      <c r="I14134" s="6"/>
    </row>
    <row r="14135" spans="8:9" x14ac:dyDescent="0.2">
      <c r="H14135" s="6"/>
      <c r="I14135" s="6"/>
    </row>
    <row r="14136" spans="8:9" x14ac:dyDescent="0.2">
      <c r="H14136" s="6"/>
      <c r="I14136" s="6"/>
    </row>
    <row r="14137" spans="8:9" x14ac:dyDescent="0.2">
      <c r="H14137" s="6"/>
      <c r="I14137" s="6"/>
    </row>
    <row r="14138" spans="8:9" x14ac:dyDescent="0.2">
      <c r="H14138" s="6"/>
      <c r="I14138" s="6"/>
    </row>
    <row r="14139" spans="8:9" x14ac:dyDescent="0.2">
      <c r="H14139" s="6"/>
      <c r="I14139" s="6"/>
    </row>
    <row r="14140" spans="8:9" x14ac:dyDescent="0.2">
      <c r="H14140" s="6"/>
      <c r="I14140" s="6"/>
    </row>
    <row r="14141" spans="8:9" x14ac:dyDescent="0.2">
      <c r="H14141" s="6"/>
      <c r="I14141" s="6"/>
    </row>
    <row r="14142" spans="8:9" x14ac:dyDescent="0.2">
      <c r="H14142" s="6"/>
      <c r="I14142" s="6"/>
    </row>
    <row r="14143" spans="8:9" x14ac:dyDescent="0.2">
      <c r="H14143" s="6"/>
      <c r="I14143" s="6"/>
    </row>
    <row r="14144" spans="8:9" x14ac:dyDescent="0.2">
      <c r="H14144" s="6"/>
      <c r="I14144" s="6"/>
    </row>
    <row r="14145" spans="8:9" x14ac:dyDescent="0.2">
      <c r="H14145" s="6"/>
      <c r="I14145" s="6"/>
    </row>
    <row r="14146" spans="8:9" x14ac:dyDescent="0.2">
      <c r="H14146" s="6"/>
      <c r="I14146" s="6"/>
    </row>
    <row r="14147" spans="8:9" x14ac:dyDescent="0.2">
      <c r="H14147" s="6"/>
      <c r="I14147" s="6"/>
    </row>
    <row r="14148" spans="8:9" x14ac:dyDescent="0.2">
      <c r="H14148" s="6"/>
      <c r="I14148" s="6"/>
    </row>
    <row r="14149" spans="8:9" x14ac:dyDescent="0.2">
      <c r="H14149" s="6"/>
      <c r="I14149" s="6"/>
    </row>
    <row r="14150" spans="8:9" x14ac:dyDescent="0.2">
      <c r="H14150" s="6"/>
      <c r="I14150" s="6"/>
    </row>
    <row r="14151" spans="8:9" x14ac:dyDescent="0.2">
      <c r="H14151" s="6"/>
      <c r="I14151" s="6"/>
    </row>
    <row r="14152" spans="8:9" x14ac:dyDescent="0.2">
      <c r="H14152" s="6"/>
      <c r="I14152" s="6"/>
    </row>
    <row r="14153" spans="8:9" x14ac:dyDescent="0.2">
      <c r="H14153" s="6"/>
      <c r="I14153" s="6"/>
    </row>
    <row r="14154" spans="8:9" x14ac:dyDescent="0.2">
      <c r="H14154" s="6"/>
      <c r="I14154" s="6"/>
    </row>
    <row r="14155" spans="8:9" x14ac:dyDescent="0.2">
      <c r="H14155" s="6"/>
      <c r="I14155" s="6"/>
    </row>
    <row r="14156" spans="8:9" x14ac:dyDescent="0.2">
      <c r="H14156" s="6"/>
      <c r="I14156" s="6"/>
    </row>
    <row r="14157" spans="8:9" x14ac:dyDescent="0.2">
      <c r="H14157" s="6"/>
      <c r="I14157" s="6"/>
    </row>
    <row r="14158" spans="8:9" x14ac:dyDescent="0.2">
      <c r="H14158" s="6"/>
      <c r="I14158" s="6"/>
    </row>
    <row r="14159" spans="8:9" x14ac:dyDescent="0.2">
      <c r="H14159" s="6"/>
      <c r="I14159" s="6"/>
    </row>
    <row r="14160" spans="8:9" x14ac:dyDescent="0.2">
      <c r="H14160" s="6"/>
      <c r="I14160" s="6"/>
    </row>
    <row r="14161" spans="8:9" x14ac:dyDescent="0.2">
      <c r="H14161" s="6"/>
      <c r="I14161" s="6"/>
    </row>
    <row r="14162" spans="8:9" x14ac:dyDescent="0.2">
      <c r="H14162" s="6"/>
      <c r="I14162" s="6"/>
    </row>
    <row r="14163" spans="8:9" x14ac:dyDescent="0.2">
      <c r="H14163" s="6"/>
    </row>
    <row r="14164" spans="8:9" x14ac:dyDescent="0.2">
      <c r="H14164" s="6"/>
      <c r="I14164" s="6"/>
    </row>
    <row r="14165" spans="8:9" x14ac:dyDescent="0.2">
      <c r="H14165" s="6"/>
      <c r="I14165" s="6"/>
    </row>
    <row r="14166" spans="8:9" x14ac:dyDescent="0.2">
      <c r="H14166" s="6"/>
      <c r="I14166" s="6"/>
    </row>
    <row r="14167" spans="8:9" x14ac:dyDescent="0.2">
      <c r="H14167" s="6"/>
      <c r="I14167" s="6"/>
    </row>
    <row r="14168" spans="8:9" x14ac:dyDescent="0.2">
      <c r="H14168" s="6"/>
      <c r="I14168" s="6"/>
    </row>
    <row r="14169" spans="8:9" x14ac:dyDescent="0.2">
      <c r="H14169" s="6"/>
      <c r="I14169" s="6"/>
    </row>
    <row r="14170" spans="8:9" x14ac:dyDescent="0.2">
      <c r="H14170" s="6"/>
      <c r="I14170" s="6"/>
    </row>
    <row r="14171" spans="8:9" x14ac:dyDescent="0.2">
      <c r="H14171" s="6"/>
      <c r="I14171" s="6"/>
    </row>
    <row r="14172" spans="8:9" x14ac:dyDescent="0.2">
      <c r="H14172" s="6"/>
      <c r="I14172" s="6"/>
    </row>
    <row r="14173" spans="8:9" x14ac:dyDescent="0.2">
      <c r="H14173" s="6"/>
      <c r="I14173" s="6"/>
    </row>
    <row r="14174" spans="8:9" x14ac:dyDescent="0.2">
      <c r="H14174" s="6"/>
      <c r="I14174" s="6"/>
    </row>
    <row r="14175" spans="8:9" x14ac:dyDescent="0.2">
      <c r="H14175" s="6"/>
      <c r="I14175" s="6"/>
    </row>
    <row r="14176" spans="8:9" x14ac:dyDescent="0.2">
      <c r="H14176" s="6"/>
      <c r="I14176" s="6"/>
    </row>
    <row r="14177" spans="8:9" x14ac:dyDescent="0.2">
      <c r="H14177" s="6"/>
      <c r="I14177" s="6"/>
    </row>
    <row r="14178" spans="8:9" x14ac:dyDescent="0.2">
      <c r="H14178" s="6"/>
      <c r="I14178" s="6"/>
    </row>
    <row r="14179" spans="8:9" x14ac:dyDescent="0.2">
      <c r="H14179" s="6"/>
      <c r="I14179" s="6"/>
    </row>
    <row r="14180" spans="8:9" x14ac:dyDescent="0.2">
      <c r="H14180" s="6"/>
      <c r="I14180" s="6"/>
    </row>
    <row r="14181" spans="8:9" x14ac:dyDescent="0.2">
      <c r="H14181" s="6"/>
      <c r="I14181" s="6"/>
    </row>
    <row r="14182" spans="8:9" x14ac:dyDescent="0.2">
      <c r="H14182" s="6"/>
      <c r="I14182" s="6"/>
    </row>
    <row r="14183" spans="8:9" x14ac:dyDescent="0.2">
      <c r="H14183" s="6"/>
      <c r="I14183" s="6"/>
    </row>
    <row r="14184" spans="8:9" x14ac:dyDescent="0.2">
      <c r="H14184" s="6"/>
      <c r="I14184" s="6"/>
    </row>
    <row r="14185" spans="8:9" x14ac:dyDescent="0.2">
      <c r="H14185" s="6"/>
      <c r="I14185" s="6"/>
    </row>
    <row r="14186" spans="8:9" x14ac:dyDescent="0.2">
      <c r="H14186" s="6"/>
      <c r="I14186" s="6"/>
    </row>
    <row r="14187" spans="8:9" x14ac:dyDescent="0.2">
      <c r="H14187" s="6"/>
      <c r="I14187" s="6"/>
    </row>
    <row r="14188" spans="8:9" x14ac:dyDescent="0.2">
      <c r="H14188" s="6"/>
      <c r="I14188" s="6"/>
    </row>
    <row r="14189" spans="8:9" x14ac:dyDescent="0.2">
      <c r="H14189" s="6"/>
      <c r="I14189" s="6"/>
    </row>
    <row r="14190" spans="8:9" x14ac:dyDescent="0.2">
      <c r="H14190" s="6"/>
      <c r="I14190" s="6"/>
    </row>
    <row r="14191" spans="8:9" x14ac:dyDescent="0.2">
      <c r="H14191" s="6"/>
      <c r="I14191" s="6"/>
    </row>
    <row r="14192" spans="8:9" x14ac:dyDescent="0.2">
      <c r="H14192" s="6"/>
      <c r="I14192" s="6"/>
    </row>
    <row r="14193" spans="8:9" x14ac:dyDescent="0.2">
      <c r="H14193" s="6"/>
      <c r="I14193" s="6"/>
    </row>
    <row r="14194" spans="8:9" x14ac:dyDescent="0.2">
      <c r="H14194" s="6"/>
      <c r="I14194" s="6"/>
    </row>
    <row r="14195" spans="8:9" x14ac:dyDescent="0.2">
      <c r="H14195" s="6"/>
      <c r="I14195" s="6"/>
    </row>
    <row r="14196" spans="8:9" x14ac:dyDescent="0.2">
      <c r="H14196" s="6"/>
      <c r="I14196" s="6"/>
    </row>
    <row r="14197" spans="8:9" x14ac:dyDescent="0.2">
      <c r="H14197" s="6"/>
      <c r="I14197" s="6"/>
    </row>
    <row r="14198" spans="8:9" x14ac:dyDescent="0.2">
      <c r="H14198" s="6"/>
      <c r="I14198" s="6"/>
    </row>
    <row r="14199" spans="8:9" x14ac:dyDescent="0.2">
      <c r="H14199" s="6"/>
      <c r="I14199" s="6"/>
    </row>
    <row r="14200" spans="8:9" x14ac:dyDescent="0.2">
      <c r="H14200" s="6"/>
      <c r="I14200" s="6"/>
    </row>
    <row r="14201" spans="8:9" x14ac:dyDescent="0.2">
      <c r="H14201" s="6"/>
      <c r="I14201" s="6"/>
    </row>
    <row r="14202" spans="8:9" x14ac:dyDescent="0.2">
      <c r="H14202" s="6"/>
      <c r="I14202" s="6"/>
    </row>
    <row r="14203" spans="8:9" x14ac:dyDescent="0.2">
      <c r="H14203" s="6"/>
      <c r="I14203" s="6"/>
    </row>
    <row r="14204" spans="8:9" x14ac:dyDescent="0.2">
      <c r="H14204" s="6"/>
      <c r="I14204" s="6"/>
    </row>
    <row r="14205" spans="8:9" x14ac:dyDescent="0.2">
      <c r="H14205" s="6"/>
      <c r="I14205" s="6"/>
    </row>
    <row r="14206" spans="8:9" x14ac:dyDescent="0.2">
      <c r="H14206" s="6"/>
      <c r="I14206" s="6"/>
    </row>
    <row r="14207" spans="8:9" x14ac:dyDescent="0.2">
      <c r="H14207" s="6"/>
      <c r="I14207" s="6"/>
    </row>
    <row r="14208" spans="8:9" x14ac:dyDescent="0.2">
      <c r="H14208" s="6"/>
      <c r="I14208" s="6"/>
    </row>
    <row r="14209" spans="8:9" x14ac:dyDescent="0.2">
      <c r="H14209" s="6"/>
      <c r="I14209" s="6"/>
    </row>
    <row r="14210" spans="8:9" x14ac:dyDescent="0.2">
      <c r="H14210" s="6"/>
      <c r="I14210" s="6"/>
    </row>
    <row r="14211" spans="8:9" x14ac:dyDescent="0.2">
      <c r="H14211" s="6"/>
      <c r="I14211" s="6"/>
    </row>
    <row r="14212" spans="8:9" x14ac:dyDescent="0.2">
      <c r="H14212" s="6"/>
      <c r="I14212" s="6"/>
    </row>
    <row r="14213" spans="8:9" x14ac:dyDescent="0.2">
      <c r="H14213" s="6"/>
      <c r="I14213" s="6"/>
    </row>
    <row r="14214" spans="8:9" x14ac:dyDescent="0.2">
      <c r="H14214" s="6"/>
      <c r="I14214" s="6"/>
    </row>
    <row r="14215" spans="8:9" x14ac:dyDescent="0.2">
      <c r="H14215" s="6"/>
      <c r="I14215" s="6"/>
    </row>
    <row r="14216" spans="8:9" x14ac:dyDescent="0.2">
      <c r="H14216" s="6"/>
      <c r="I14216" s="6"/>
    </row>
    <row r="14217" spans="8:9" x14ac:dyDescent="0.2">
      <c r="H14217" s="6"/>
      <c r="I14217" s="6"/>
    </row>
    <row r="14218" spans="8:9" x14ac:dyDescent="0.2">
      <c r="H14218" s="6"/>
      <c r="I14218" s="6"/>
    </row>
    <row r="14219" spans="8:9" x14ac:dyDescent="0.2">
      <c r="H14219" s="6"/>
      <c r="I14219" s="6"/>
    </row>
    <row r="14220" spans="8:9" x14ac:dyDescent="0.2">
      <c r="H14220" s="6"/>
      <c r="I14220" s="6"/>
    </row>
    <row r="14221" spans="8:9" x14ac:dyDescent="0.2">
      <c r="H14221" s="6"/>
      <c r="I14221" s="6"/>
    </row>
    <row r="14222" spans="8:9" x14ac:dyDescent="0.2">
      <c r="H14222" s="6"/>
      <c r="I14222" s="6"/>
    </row>
    <row r="14223" spans="8:9" x14ac:dyDescent="0.2">
      <c r="H14223" s="6"/>
      <c r="I14223" s="6"/>
    </row>
    <row r="14224" spans="8:9" x14ac:dyDescent="0.2">
      <c r="H14224" s="6"/>
      <c r="I14224" s="6"/>
    </row>
    <row r="14225" spans="8:9" x14ac:dyDescent="0.2">
      <c r="H14225" s="6"/>
      <c r="I14225" s="6"/>
    </row>
    <row r="14226" spans="8:9" x14ac:dyDescent="0.2">
      <c r="H14226" s="6"/>
      <c r="I14226" s="6"/>
    </row>
    <row r="14227" spans="8:9" x14ac:dyDescent="0.2">
      <c r="H14227" s="6"/>
      <c r="I14227" s="6"/>
    </row>
    <row r="14228" spans="8:9" x14ac:dyDescent="0.2">
      <c r="H14228" s="6"/>
      <c r="I14228" s="6"/>
    </row>
    <row r="14229" spans="8:9" x14ac:dyDescent="0.2">
      <c r="H14229" s="6"/>
      <c r="I14229" s="6"/>
    </row>
    <row r="14230" spans="8:9" x14ac:dyDescent="0.2">
      <c r="H14230" s="6"/>
      <c r="I14230" s="6"/>
    </row>
    <row r="14231" spans="8:9" x14ac:dyDescent="0.2">
      <c r="H14231" s="6"/>
      <c r="I14231" s="6"/>
    </row>
    <row r="14232" spans="8:9" x14ac:dyDescent="0.2">
      <c r="H14232" s="6"/>
      <c r="I14232" s="6"/>
    </row>
    <row r="14233" spans="8:9" x14ac:dyDescent="0.2">
      <c r="H14233" s="6"/>
      <c r="I14233" s="6"/>
    </row>
    <row r="14234" spans="8:9" x14ac:dyDescent="0.2">
      <c r="H14234" s="6"/>
      <c r="I14234" s="6"/>
    </row>
    <row r="14235" spans="8:9" x14ac:dyDescent="0.2">
      <c r="H14235" s="6"/>
      <c r="I14235" s="6"/>
    </row>
    <row r="14236" spans="8:9" x14ac:dyDescent="0.2">
      <c r="H14236" s="6"/>
      <c r="I14236" s="6"/>
    </row>
    <row r="14237" spans="8:9" x14ac:dyDescent="0.2">
      <c r="H14237" s="6"/>
      <c r="I14237" s="6"/>
    </row>
    <row r="14238" spans="8:9" x14ac:dyDescent="0.2">
      <c r="H14238" s="6"/>
      <c r="I14238" s="6"/>
    </row>
    <row r="14239" spans="8:9" x14ac:dyDescent="0.2">
      <c r="H14239" s="6"/>
      <c r="I14239" s="6"/>
    </row>
    <row r="14240" spans="8:9" x14ac:dyDescent="0.2">
      <c r="H14240" s="6"/>
      <c r="I14240" s="6"/>
    </row>
    <row r="14241" spans="8:9" x14ac:dyDescent="0.2">
      <c r="H14241" s="6"/>
      <c r="I14241" s="6"/>
    </row>
    <row r="14242" spans="8:9" x14ac:dyDescent="0.2">
      <c r="H14242" s="6"/>
      <c r="I14242" s="6"/>
    </row>
    <row r="14243" spans="8:9" x14ac:dyDescent="0.2">
      <c r="H14243" s="6"/>
      <c r="I14243" s="6"/>
    </row>
    <row r="14244" spans="8:9" x14ac:dyDescent="0.2">
      <c r="H14244" s="6"/>
      <c r="I14244" s="6"/>
    </row>
    <row r="14245" spans="8:9" x14ac:dyDescent="0.2">
      <c r="H14245" s="6"/>
      <c r="I14245" s="6"/>
    </row>
    <row r="14246" spans="8:9" x14ac:dyDescent="0.2">
      <c r="H14246" s="6"/>
      <c r="I14246" s="6"/>
    </row>
    <row r="14247" spans="8:9" x14ac:dyDescent="0.2">
      <c r="H14247" s="6"/>
      <c r="I14247" s="6"/>
    </row>
    <row r="14248" spans="8:9" x14ac:dyDescent="0.2">
      <c r="H14248" s="6"/>
      <c r="I14248" s="6"/>
    </row>
    <row r="14249" spans="8:9" x14ac:dyDescent="0.2">
      <c r="H14249" s="6"/>
      <c r="I14249" s="6"/>
    </row>
    <row r="14250" spans="8:9" x14ac:dyDescent="0.2">
      <c r="H14250" s="6"/>
      <c r="I14250" s="6"/>
    </row>
    <row r="14251" spans="8:9" x14ac:dyDescent="0.2">
      <c r="H14251" s="6"/>
      <c r="I14251" s="6"/>
    </row>
    <row r="14252" spans="8:9" x14ac:dyDescent="0.2">
      <c r="H14252" s="6"/>
      <c r="I14252" s="6"/>
    </row>
    <row r="14253" spans="8:9" x14ac:dyDescent="0.2">
      <c r="H14253" s="6"/>
      <c r="I14253" s="6"/>
    </row>
    <row r="14254" spans="8:9" x14ac:dyDescent="0.2">
      <c r="H14254" s="6"/>
      <c r="I14254" s="6"/>
    </row>
    <row r="14255" spans="8:9" x14ac:dyDescent="0.2">
      <c r="H14255" s="6"/>
      <c r="I14255" s="6"/>
    </row>
    <row r="14256" spans="8:9" x14ac:dyDescent="0.2">
      <c r="H14256" s="6"/>
      <c r="I14256" s="6"/>
    </row>
    <row r="14257" spans="8:9" x14ac:dyDescent="0.2">
      <c r="H14257" s="6"/>
      <c r="I14257" s="6"/>
    </row>
    <row r="14258" spans="8:9" x14ac:dyDescent="0.2">
      <c r="H14258" s="6"/>
      <c r="I14258" s="6"/>
    </row>
    <row r="14259" spans="8:9" x14ac:dyDescent="0.2">
      <c r="H14259" s="6"/>
      <c r="I14259" s="6"/>
    </row>
    <row r="14260" spans="8:9" x14ac:dyDescent="0.2">
      <c r="H14260" s="6"/>
      <c r="I14260" s="6"/>
    </row>
    <row r="14261" spans="8:9" x14ac:dyDescent="0.2">
      <c r="H14261" s="6"/>
      <c r="I14261" s="6"/>
    </row>
    <row r="14262" spans="8:9" x14ac:dyDescent="0.2">
      <c r="H14262" s="6"/>
      <c r="I14262" s="6"/>
    </row>
    <row r="14263" spans="8:9" x14ac:dyDescent="0.2">
      <c r="H14263" s="6"/>
      <c r="I14263" s="6"/>
    </row>
    <row r="14264" spans="8:9" x14ac:dyDescent="0.2">
      <c r="H14264" s="6"/>
      <c r="I14264" s="6"/>
    </row>
    <row r="14265" spans="8:9" x14ac:dyDescent="0.2">
      <c r="H14265" s="6"/>
      <c r="I14265" s="6"/>
    </row>
    <row r="14266" spans="8:9" x14ac:dyDescent="0.2">
      <c r="H14266" s="6"/>
      <c r="I14266" s="6"/>
    </row>
    <row r="14267" spans="8:9" x14ac:dyDescent="0.2">
      <c r="H14267" s="6"/>
      <c r="I14267" s="6"/>
    </row>
    <row r="14268" spans="8:9" x14ac:dyDescent="0.2">
      <c r="H14268" s="6"/>
      <c r="I14268" s="6"/>
    </row>
    <row r="14269" spans="8:9" x14ac:dyDescent="0.2">
      <c r="H14269" s="6"/>
      <c r="I14269" s="6"/>
    </row>
    <row r="14270" spans="8:9" x14ac:dyDescent="0.2">
      <c r="H14270" s="6"/>
      <c r="I14270" s="6"/>
    </row>
    <row r="14271" spans="8:9" x14ac:dyDescent="0.2">
      <c r="H14271" s="6"/>
      <c r="I14271" s="6"/>
    </row>
    <row r="14272" spans="8:9" x14ac:dyDescent="0.2">
      <c r="H14272" s="6"/>
      <c r="I14272" s="6"/>
    </row>
    <row r="14273" spans="8:9" x14ac:dyDescent="0.2">
      <c r="H14273" s="6"/>
      <c r="I14273" s="6"/>
    </row>
    <row r="14274" spans="8:9" x14ac:dyDescent="0.2">
      <c r="H14274" s="6"/>
      <c r="I14274" s="6"/>
    </row>
    <row r="14275" spans="8:9" x14ac:dyDescent="0.2">
      <c r="H14275" s="6"/>
      <c r="I14275" s="6"/>
    </row>
    <row r="14276" spans="8:9" x14ac:dyDescent="0.2">
      <c r="H14276" s="6"/>
      <c r="I14276" s="6"/>
    </row>
    <row r="14277" spans="8:9" x14ac:dyDescent="0.2">
      <c r="H14277" s="6"/>
      <c r="I14277" s="6"/>
    </row>
    <row r="14278" spans="8:9" x14ac:dyDescent="0.2">
      <c r="H14278" s="6"/>
      <c r="I14278" s="6"/>
    </row>
    <row r="14279" spans="8:9" x14ac:dyDescent="0.2">
      <c r="H14279" s="6"/>
      <c r="I14279" s="6"/>
    </row>
    <row r="14280" spans="8:9" x14ac:dyDescent="0.2">
      <c r="H14280" s="6"/>
      <c r="I14280" s="6"/>
    </row>
    <row r="14281" spans="8:9" x14ac:dyDescent="0.2">
      <c r="H14281" s="6"/>
      <c r="I14281" s="6"/>
    </row>
    <row r="14282" spans="8:9" x14ac:dyDescent="0.2">
      <c r="H14282" s="6"/>
      <c r="I14282" s="6"/>
    </row>
    <row r="14283" spans="8:9" x14ac:dyDescent="0.2">
      <c r="H14283" s="6"/>
      <c r="I14283" s="6"/>
    </row>
    <row r="14284" spans="8:9" x14ac:dyDescent="0.2">
      <c r="H14284" s="6"/>
      <c r="I14284" s="6"/>
    </row>
    <row r="14285" spans="8:9" x14ac:dyDescent="0.2">
      <c r="H14285" s="6"/>
      <c r="I14285" s="6"/>
    </row>
    <row r="14286" spans="8:9" x14ac:dyDescent="0.2">
      <c r="H14286" s="6"/>
      <c r="I14286" s="6"/>
    </row>
    <row r="14287" spans="8:9" x14ac:dyDescent="0.2">
      <c r="H14287" s="6"/>
      <c r="I14287" s="6"/>
    </row>
    <row r="14288" spans="8:9" x14ac:dyDescent="0.2">
      <c r="H14288" s="6"/>
      <c r="I14288" s="6"/>
    </row>
    <row r="14289" spans="8:9" x14ac:dyDescent="0.2">
      <c r="H14289" s="6"/>
      <c r="I14289" s="6"/>
    </row>
    <row r="14290" spans="8:9" x14ac:dyDescent="0.2">
      <c r="H14290" s="6"/>
      <c r="I14290" s="6"/>
    </row>
    <row r="14291" spans="8:9" x14ac:dyDescent="0.2">
      <c r="H14291" s="6"/>
      <c r="I14291" s="6"/>
    </row>
    <row r="14292" spans="8:9" x14ac:dyDescent="0.2">
      <c r="H14292" s="6"/>
      <c r="I14292" s="6"/>
    </row>
    <row r="14293" spans="8:9" x14ac:dyDescent="0.2">
      <c r="H14293" s="6"/>
      <c r="I14293" s="6"/>
    </row>
    <row r="14294" spans="8:9" x14ac:dyDescent="0.2">
      <c r="H14294" s="6"/>
      <c r="I14294" s="6"/>
    </row>
    <row r="14295" spans="8:9" x14ac:dyDescent="0.2">
      <c r="H14295" s="6"/>
      <c r="I14295" s="6"/>
    </row>
    <row r="14296" spans="8:9" x14ac:dyDescent="0.2">
      <c r="H14296" s="6"/>
      <c r="I14296" s="6"/>
    </row>
    <row r="14297" spans="8:9" x14ac:dyDescent="0.2">
      <c r="H14297" s="6"/>
      <c r="I14297" s="6"/>
    </row>
    <row r="14298" spans="8:9" x14ac:dyDescent="0.2">
      <c r="H14298" s="6"/>
      <c r="I14298" s="6"/>
    </row>
    <row r="14299" spans="8:9" x14ac:dyDescent="0.2">
      <c r="H14299" s="6"/>
      <c r="I14299" s="6"/>
    </row>
    <row r="14300" spans="8:9" x14ac:dyDescent="0.2">
      <c r="H14300" s="6"/>
      <c r="I14300" s="6"/>
    </row>
    <row r="14301" spans="8:9" x14ac:dyDescent="0.2">
      <c r="H14301" s="6"/>
      <c r="I14301" s="6"/>
    </row>
    <row r="14302" spans="8:9" x14ac:dyDescent="0.2">
      <c r="H14302" s="6"/>
      <c r="I14302" s="6"/>
    </row>
    <row r="14303" spans="8:9" x14ac:dyDescent="0.2">
      <c r="H14303" s="6"/>
      <c r="I14303" s="6"/>
    </row>
    <row r="14304" spans="8:9" x14ac:dyDescent="0.2">
      <c r="H14304" s="6"/>
      <c r="I14304" s="6"/>
    </row>
    <row r="14305" spans="8:9" x14ac:dyDescent="0.2">
      <c r="H14305" s="6"/>
      <c r="I14305" s="6"/>
    </row>
    <row r="14306" spans="8:9" x14ac:dyDescent="0.2">
      <c r="H14306" s="6"/>
      <c r="I14306" s="6"/>
    </row>
    <row r="14307" spans="8:9" x14ac:dyDescent="0.2">
      <c r="H14307" s="6"/>
      <c r="I14307" s="6"/>
    </row>
    <row r="14308" spans="8:9" x14ac:dyDescent="0.2">
      <c r="H14308" s="6"/>
      <c r="I14308" s="6"/>
    </row>
    <row r="14309" spans="8:9" x14ac:dyDescent="0.2">
      <c r="H14309" s="6"/>
      <c r="I14309" s="6"/>
    </row>
    <row r="14310" spans="8:9" x14ac:dyDescent="0.2">
      <c r="H14310" s="6"/>
      <c r="I14310" s="6"/>
    </row>
    <row r="14311" spans="8:9" x14ac:dyDescent="0.2">
      <c r="H14311" s="6"/>
      <c r="I14311" s="6"/>
    </row>
    <row r="14312" spans="8:9" x14ac:dyDescent="0.2">
      <c r="H14312" s="6"/>
      <c r="I14312" s="6"/>
    </row>
    <row r="14313" spans="8:9" x14ac:dyDescent="0.2">
      <c r="H14313" s="6"/>
      <c r="I14313" s="6"/>
    </row>
    <row r="14314" spans="8:9" x14ac:dyDescent="0.2">
      <c r="H14314" s="6"/>
      <c r="I14314" s="6"/>
    </row>
    <row r="14315" spans="8:9" x14ac:dyDescent="0.2">
      <c r="H14315" s="6"/>
      <c r="I14315" s="6"/>
    </row>
    <row r="14316" spans="8:9" x14ac:dyDescent="0.2">
      <c r="H14316" s="6"/>
      <c r="I14316" s="6"/>
    </row>
    <row r="14317" spans="8:9" x14ac:dyDescent="0.2">
      <c r="H14317" s="6"/>
      <c r="I14317" s="6"/>
    </row>
    <row r="14318" spans="8:9" x14ac:dyDescent="0.2">
      <c r="H14318" s="6"/>
      <c r="I14318" s="6"/>
    </row>
    <row r="14319" spans="8:9" x14ac:dyDescent="0.2">
      <c r="H14319" s="6"/>
      <c r="I14319" s="6"/>
    </row>
    <row r="14320" spans="8:9" x14ac:dyDescent="0.2">
      <c r="H14320" s="6"/>
      <c r="I14320" s="6"/>
    </row>
    <row r="14321" spans="8:9" x14ac:dyDescent="0.2">
      <c r="H14321" s="6"/>
      <c r="I14321" s="6"/>
    </row>
    <row r="14322" spans="8:9" x14ac:dyDescent="0.2">
      <c r="H14322" s="6"/>
      <c r="I14322" s="6"/>
    </row>
    <row r="14323" spans="8:9" x14ac:dyDescent="0.2">
      <c r="H14323" s="6"/>
      <c r="I14323" s="6"/>
    </row>
    <row r="14324" spans="8:9" x14ac:dyDescent="0.2">
      <c r="H14324" s="6"/>
      <c r="I14324" s="6"/>
    </row>
    <row r="14325" spans="8:9" x14ac:dyDescent="0.2">
      <c r="H14325" s="6"/>
      <c r="I14325" s="6"/>
    </row>
    <row r="14326" spans="8:9" x14ac:dyDescent="0.2">
      <c r="H14326" s="6"/>
      <c r="I14326" s="6"/>
    </row>
    <row r="14327" spans="8:9" x14ac:dyDescent="0.2">
      <c r="H14327" s="6"/>
      <c r="I14327" s="6"/>
    </row>
    <row r="14328" spans="8:9" x14ac:dyDescent="0.2">
      <c r="H14328" s="6"/>
      <c r="I14328" s="6"/>
    </row>
    <row r="14329" spans="8:9" x14ac:dyDescent="0.2">
      <c r="H14329" s="6"/>
      <c r="I14329" s="6"/>
    </row>
    <row r="14330" spans="8:9" x14ac:dyDescent="0.2">
      <c r="H14330" s="6"/>
      <c r="I14330" s="6"/>
    </row>
    <row r="14331" spans="8:9" x14ac:dyDescent="0.2">
      <c r="H14331" s="6"/>
      <c r="I14331" s="6"/>
    </row>
    <row r="14332" spans="8:9" x14ac:dyDescent="0.2">
      <c r="H14332" s="6"/>
      <c r="I14332" s="6"/>
    </row>
    <row r="14333" spans="8:9" x14ac:dyDescent="0.2">
      <c r="H14333" s="6"/>
      <c r="I14333" s="6"/>
    </row>
    <row r="14334" spans="8:9" x14ac:dyDescent="0.2">
      <c r="H14334" s="6"/>
      <c r="I14334" s="6"/>
    </row>
    <row r="14335" spans="8:9" x14ac:dyDescent="0.2">
      <c r="H14335" s="6"/>
      <c r="I14335" s="6"/>
    </row>
    <row r="14336" spans="8:9" x14ac:dyDescent="0.2">
      <c r="H14336" s="6"/>
      <c r="I14336" s="6"/>
    </row>
    <row r="14337" spans="8:9" x14ac:dyDescent="0.2">
      <c r="H14337" s="6"/>
      <c r="I14337" s="6"/>
    </row>
    <row r="14338" spans="8:9" x14ac:dyDescent="0.2">
      <c r="H14338" s="6"/>
      <c r="I14338" s="6"/>
    </row>
    <row r="14339" spans="8:9" x14ac:dyDescent="0.2">
      <c r="H14339" s="6"/>
      <c r="I14339" s="6"/>
    </row>
    <row r="14340" spans="8:9" x14ac:dyDescent="0.2">
      <c r="H14340" s="6"/>
      <c r="I14340" s="6"/>
    </row>
    <row r="14341" spans="8:9" x14ac:dyDescent="0.2">
      <c r="H14341" s="6"/>
      <c r="I14341" s="6"/>
    </row>
    <row r="14342" spans="8:9" x14ac:dyDescent="0.2">
      <c r="H14342" s="6"/>
      <c r="I14342" s="6"/>
    </row>
    <row r="14343" spans="8:9" x14ac:dyDescent="0.2">
      <c r="H14343" s="6"/>
      <c r="I14343" s="6"/>
    </row>
    <row r="14344" spans="8:9" x14ac:dyDescent="0.2">
      <c r="H14344" s="6"/>
      <c r="I14344" s="6"/>
    </row>
    <row r="14345" spans="8:9" x14ac:dyDescent="0.2">
      <c r="H14345" s="6"/>
      <c r="I14345" s="6"/>
    </row>
    <row r="14346" spans="8:9" x14ac:dyDescent="0.2">
      <c r="H14346" s="6"/>
      <c r="I14346" s="6"/>
    </row>
    <row r="14347" spans="8:9" x14ac:dyDescent="0.2">
      <c r="H14347" s="6"/>
      <c r="I14347" s="6"/>
    </row>
    <row r="14348" spans="8:9" x14ac:dyDescent="0.2">
      <c r="H14348" s="6"/>
      <c r="I14348" s="6"/>
    </row>
    <row r="14349" spans="8:9" x14ac:dyDescent="0.2">
      <c r="H14349" s="6"/>
      <c r="I14349" s="6"/>
    </row>
    <row r="14350" spans="8:9" x14ac:dyDescent="0.2">
      <c r="H14350" s="6"/>
      <c r="I14350" s="6"/>
    </row>
    <row r="14351" spans="8:9" x14ac:dyDescent="0.2">
      <c r="H14351" s="6"/>
      <c r="I14351" s="6"/>
    </row>
    <row r="14352" spans="8:9" x14ac:dyDescent="0.2">
      <c r="H14352" s="6"/>
      <c r="I14352" s="6"/>
    </row>
    <row r="14353" spans="8:9" x14ac:dyDescent="0.2">
      <c r="H14353" s="6"/>
      <c r="I14353" s="6"/>
    </row>
    <row r="14354" spans="8:9" x14ac:dyDescent="0.2">
      <c r="H14354" s="6"/>
      <c r="I14354" s="6"/>
    </row>
    <row r="14355" spans="8:9" x14ac:dyDescent="0.2">
      <c r="H14355" s="6"/>
      <c r="I14355" s="6"/>
    </row>
    <row r="14356" spans="8:9" x14ac:dyDescent="0.2">
      <c r="H14356" s="6"/>
      <c r="I14356" s="6"/>
    </row>
    <row r="14357" spans="8:9" x14ac:dyDescent="0.2">
      <c r="H14357" s="6"/>
      <c r="I14357" s="6"/>
    </row>
    <row r="14358" spans="8:9" x14ac:dyDescent="0.2">
      <c r="H14358" s="6"/>
      <c r="I14358" s="6"/>
    </row>
    <row r="14359" spans="8:9" x14ac:dyDescent="0.2">
      <c r="H14359" s="6"/>
      <c r="I14359" s="6"/>
    </row>
    <row r="14360" spans="8:9" x14ac:dyDescent="0.2">
      <c r="H14360" s="6"/>
      <c r="I14360" s="6"/>
    </row>
    <row r="14361" spans="8:9" x14ac:dyDescent="0.2">
      <c r="H14361" s="6"/>
      <c r="I14361" s="6"/>
    </row>
    <row r="14362" spans="8:9" x14ac:dyDescent="0.2">
      <c r="H14362" s="6"/>
      <c r="I14362" s="6"/>
    </row>
    <row r="14363" spans="8:9" x14ac:dyDescent="0.2">
      <c r="H14363" s="6"/>
      <c r="I14363" s="6"/>
    </row>
    <row r="14364" spans="8:9" x14ac:dyDescent="0.2">
      <c r="H14364" s="6"/>
      <c r="I14364" s="6"/>
    </row>
    <row r="14365" spans="8:9" x14ac:dyDescent="0.2">
      <c r="H14365" s="6"/>
      <c r="I14365" s="6"/>
    </row>
    <row r="14366" spans="8:9" x14ac:dyDescent="0.2">
      <c r="H14366" s="6"/>
      <c r="I14366" s="6"/>
    </row>
    <row r="14367" spans="8:9" x14ac:dyDescent="0.2">
      <c r="H14367" s="6"/>
      <c r="I14367" s="6"/>
    </row>
    <row r="14368" spans="8:9" x14ac:dyDescent="0.2">
      <c r="H14368" s="6"/>
      <c r="I14368" s="6"/>
    </row>
    <row r="14369" spans="8:9" x14ac:dyDescent="0.2">
      <c r="H14369" s="6"/>
      <c r="I14369" s="6"/>
    </row>
    <row r="14370" spans="8:9" x14ac:dyDescent="0.2">
      <c r="H14370" s="6"/>
      <c r="I14370" s="6"/>
    </row>
    <row r="14371" spans="8:9" x14ac:dyDescent="0.2">
      <c r="H14371" s="6"/>
      <c r="I14371" s="6"/>
    </row>
    <row r="14372" spans="8:9" x14ac:dyDescent="0.2">
      <c r="H14372" s="6"/>
      <c r="I14372" s="6"/>
    </row>
    <row r="14373" spans="8:9" x14ac:dyDescent="0.2">
      <c r="H14373" s="6"/>
      <c r="I14373" s="6"/>
    </row>
    <row r="14374" spans="8:9" x14ac:dyDescent="0.2">
      <c r="H14374" s="6"/>
      <c r="I14374" s="6"/>
    </row>
    <row r="14375" spans="8:9" x14ac:dyDescent="0.2">
      <c r="H14375" s="6"/>
      <c r="I14375" s="6"/>
    </row>
    <row r="14376" spans="8:9" x14ac:dyDescent="0.2">
      <c r="H14376" s="6"/>
      <c r="I14376" s="6"/>
    </row>
    <row r="14377" spans="8:9" x14ac:dyDescent="0.2">
      <c r="H14377" s="6"/>
      <c r="I14377" s="6"/>
    </row>
    <row r="14378" spans="8:9" x14ac:dyDescent="0.2">
      <c r="H14378" s="6"/>
      <c r="I14378" s="6"/>
    </row>
    <row r="14379" spans="8:9" x14ac:dyDescent="0.2">
      <c r="H14379" s="6"/>
      <c r="I14379" s="6"/>
    </row>
    <row r="14380" spans="8:9" x14ac:dyDescent="0.2">
      <c r="H14380" s="6"/>
      <c r="I14380" s="6"/>
    </row>
    <row r="14381" spans="8:9" x14ac:dyDescent="0.2">
      <c r="H14381" s="6"/>
      <c r="I14381" s="6"/>
    </row>
    <row r="14382" spans="8:9" x14ac:dyDescent="0.2">
      <c r="H14382" s="6"/>
      <c r="I14382" s="6"/>
    </row>
    <row r="14383" spans="8:9" x14ac:dyDescent="0.2">
      <c r="H14383" s="6"/>
      <c r="I14383" s="6"/>
    </row>
    <row r="14384" spans="8:9" x14ac:dyDescent="0.2">
      <c r="H14384" s="6"/>
      <c r="I14384" s="6"/>
    </row>
    <row r="14385" spans="8:9" x14ac:dyDescent="0.2">
      <c r="H14385" s="6"/>
      <c r="I14385" s="6"/>
    </row>
    <row r="14386" spans="8:9" x14ac:dyDescent="0.2">
      <c r="H14386" s="6"/>
      <c r="I14386" s="6"/>
    </row>
    <row r="14387" spans="8:9" x14ac:dyDescent="0.2">
      <c r="H14387" s="6"/>
      <c r="I14387" s="6"/>
    </row>
    <row r="14388" spans="8:9" x14ac:dyDescent="0.2">
      <c r="H14388" s="6"/>
      <c r="I14388" s="6"/>
    </row>
    <row r="14389" spans="8:9" x14ac:dyDescent="0.2">
      <c r="H14389" s="6"/>
      <c r="I14389" s="6"/>
    </row>
    <row r="14390" spans="8:9" x14ac:dyDescent="0.2">
      <c r="H14390" s="6"/>
      <c r="I14390" s="6"/>
    </row>
    <row r="14391" spans="8:9" x14ac:dyDescent="0.2">
      <c r="H14391" s="6"/>
      <c r="I14391" s="6"/>
    </row>
    <row r="14392" spans="8:9" x14ac:dyDescent="0.2">
      <c r="H14392" s="6"/>
      <c r="I14392" s="6"/>
    </row>
    <row r="14393" spans="8:9" x14ac:dyDescent="0.2">
      <c r="H14393" s="6"/>
      <c r="I14393" s="6"/>
    </row>
    <row r="14394" spans="8:9" x14ac:dyDescent="0.2">
      <c r="H14394" s="6"/>
      <c r="I14394" s="6"/>
    </row>
    <row r="14395" spans="8:9" x14ac:dyDescent="0.2">
      <c r="H14395" s="6"/>
      <c r="I14395" s="6"/>
    </row>
    <row r="14396" spans="8:9" x14ac:dyDescent="0.2">
      <c r="H14396" s="6"/>
      <c r="I14396" s="6"/>
    </row>
    <row r="14397" spans="8:9" x14ac:dyDescent="0.2">
      <c r="H14397" s="6"/>
      <c r="I14397" s="6"/>
    </row>
    <row r="14398" spans="8:9" x14ac:dyDescent="0.2">
      <c r="H14398" s="6"/>
      <c r="I14398" s="6"/>
    </row>
    <row r="14399" spans="8:9" x14ac:dyDescent="0.2">
      <c r="H14399" s="6"/>
      <c r="I14399" s="6"/>
    </row>
    <row r="14400" spans="8:9" x14ac:dyDescent="0.2">
      <c r="H14400" s="6"/>
      <c r="I14400" s="6"/>
    </row>
    <row r="14401" spans="8:9" x14ac:dyDescent="0.2">
      <c r="H14401" s="6"/>
      <c r="I14401" s="6"/>
    </row>
    <row r="14402" spans="8:9" x14ac:dyDescent="0.2">
      <c r="H14402" s="6"/>
      <c r="I14402" s="6"/>
    </row>
    <row r="14403" spans="8:9" x14ac:dyDescent="0.2">
      <c r="H14403" s="6"/>
      <c r="I14403" s="6"/>
    </row>
    <row r="14404" spans="8:9" x14ac:dyDescent="0.2">
      <c r="H14404" s="6"/>
      <c r="I14404" s="6"/>
    </row>
    <row r="14405" spans="8:9" x14ac:dyDescent="0.2">
      <c r="H14405" s="6"/>
      <c r="I14405" s="6"/>
    </row>
    <row r="14406" spans="8:9" x14ac:dyDescent="0.2">
      <c r="H14406" s="6"/>
      <c r="I14406" s="6"/>
    </row>
    <row r="14407" spans="8:9" x14ac:dyDescent="0.2">
      <c r="H14407" s="6"/>
      <c r="I14407" s="6"/>
    </row>
    <row r="14408" spans="8:9" x14ac:dyDescent="0.2">
      <c r="H14408" s="6"/>
      <c r="I14408" s="6"/>
    </row>
    <row r="14409" spans="8:9" x14ac:dyDescent="0.2">
      <c r="H14409" s="6"/>
      <c r="I14409" s="6"/>
    </row>
    <row r="14410" spans="8:9" x14ac:dyDescent="0.2">
      <c r="H14410" s="6"/>
      <c r="I14410" s="6"/>
    </row>
    <row r="14411" spans="8:9" x14ac:dyDescent="0.2">
      <c r="H14411" s="6"/>
      <c r="I14411" s="6"/>
    </row>
    <row r="14412" spans="8:9" x14ac:dyDescent="0.2">
      <c r="H14412" s="6"/>
      <c r="I14412" s="6"/>
    </row>
    <row r="14413" spans="8:9" x14ac:dyDescent="0.2">
      <c r="H14413" s="6"/>
      <c r="I14413" s="6"/>
    </row>
    <row r="14414" spans="8:9" x14ac:dyDescent="0.2">
      <c r="H14414" s="6"/>
      <c r="I14414" s="6"/>
    </row>
    <row r="14415" spans="8:9" x14ac:dyDescent="0.2">
      <c r="H14415" s="6"/>
      <c r="I14415" s="6"/>
    </row>
    <row r="14416" spans="8:9" x14ac:dyDescent="0.2">
      <c r="H14416" s="6"/>
      <c r="I14416" s="6"/>
    </row>
    <row r="14417" spans="8:9" x14ac:dyDescent="0.2">
      <c r="H14417" s="6"/>
      <c r="I14417" s="6"/>
    </row>
    <row r="14418" spans="8:9" x14ac:dyDescent="0.2">
      <c r="H14418" s="6"/>
      <c r="I14418" s="6"/>
    </row>
    <row r="14419" spans="8:9" x14ac:dyDescent="0.2">
      <c r="H14419" s="6"/>
      <c r="I14419" s="6"/>
    </row>
    <row r="14420" spans="8:9" x14ac:dyDescent="0.2">
      <c r="H14420" s="6"/>
      <c r="I14420" s="6"/>
    </row>
    <row r="14421" spans="8:9" x14ac:dyDescent="0.2">
      <c r="H14421" s="6"/>
      <c r="I14421" s="6"/>
    </row>
    <row r="14422" spans="8:9" x14ac:dyDescent="0.2">
      <c r="H14422" s="6"/>
      <c r="I14422" s="6"/>
    </row>
    <row r="14423" spans="8:9" x14ac:dyDescent="0.2">
      <c r="H14423" s="6"/>
      <c r="I14423" s="6"/>
    </row>
    <row r="14424" spans="8:9" x14ac:dyDescent="0.2">
      <c r="H14424" s="6"/>
      <c r="I14424" s="6"/>
    </row>
    <row r="14425" spans="8:9" x14ac:dyDescent="0.2">
      <c r="H14425" s="6"/>
      <c r="I14425" s="6"/>
    </row>
    <row r="14426" spans="8:9" x14ac:dyDescent="0.2">
      <c r="H14426" s="6"/>
      <c r="I14426" s="6"/>
    </row>
    <row r="14427" spans="8:9" x14ac:dyDescent="0.2">
      <c r="H14427" s="6"/>
      <c r="I14427" s="6"/>
    </row>
    <row r="14428" spans="8:9" x14ac:dyDescent="0.2">
      <c r="H14428" s="6"/>
      <c r="I14428" s="6"/>
    </row>
    <row r="14429" spans="8:9" x14ac:dyDescent="0.2">
      <c r="H14429" s="6"/>
      <c r="I14429" s="6"/>
    </row>
    <row r="14430" spans="8:9" x14ac:dyDescent="0.2">
      <c r="H14430" s="6"/>
      <c r="I14430" s="6"/>
    </row>
    <row r="14431" spans="8:9" x14ac:dyDescent="0.2">
      <c r="H14431" s="6"/>
      <c r="I14431" s="6"/>
    </row>
    <row r="14432" spans="8:9" x14ac:dyDescent="0.2">
      <c r="H14432" s="6"/>
      <c r="I14432" s="6"/>
    </row>
    <row r="14433" spans="8:9" x14ac:dyDescent="0.2">
      <c r="H14433" s="6"/>
      <c r="I14433" s="6"/>
    </row>
    <row r="14434" spans="8:9" x14ac:dyDescent="0.2">
      <c r="H14434" s="6"/>
      <c r="I14434" s="6"/>
    </row>
    <row r="14435" spans="8:9" x14ac:dyDescent="0.2">
      <c r="H14435" s="6"/>
      <c r="I14435" s="6"/>
    </row>
    <row r="14436" spans="8:9" x14ac:dyDescent="0.2">
      <c r="H14436" s="6"/>
      <c r="I14436" s="6"/>
    </row>
    <row r="14437" spans="8:9" x14ac:dyDescent="0.2">
      <c r="H14437" s="6"/>
      <c r="I14437" s="6"/>
    </row>
    <row r="14438" spans="8:9" x14ac:dyDescent="0.2">
      <c r="H14438" s="6"/>
      <c r="I14438" s="6"/>
    </row>
    <row r="14439" spans="8:9" x14ac:dyDescent="0.2">
      <c r="H14439" s="6"/>
      <c r="I14439" s="6"/>
    </row>
    <row r="14440" spans="8:9" x14ac:dyDescent="0.2">
      <c r="H14440" s="6"/>
      <c r="I14440" s="6"/>
    </row>
    <row r="14441" spans="8:9" x14ac:dyDescent="0.2">
      <c r="H14441" s="6"/>
      <c r="I14441" s="6"/>
    </row>
    <row r="14442" spans="8:9" x14ac:dyDescent="0.2">
      <c r="H14442" s="6"/>
      <c r="I14442" s="6"/>
    </row>
    <row r="14443" spans="8:9" x14ac:dyDescent="0.2">
      <c r="H14443" s="6"/>
      <c r="I14443" s="6"/>
    </row>
    <row r="14444" spans="8:9" x14ac:dyDescent="0.2">
      <c r="H14444" s="6"/>
      <c r="I14444" s="6"/>
    </row>
    <row r="14445" spans="8:9" x14ac:dyDescent="0.2">
      <c r="H14445" s="6"/>
      <c r="I14445" s="6"/>
    </row>
    <row r="14446" spans="8:9" x14ac:dyDescent="0.2">
      <c r="H14446" s="6"/>
      <c r="I14446" s="6"/>
    </row>
    <row r="14447" spans="8:9" x14ac:dyDescent="0.2">
      <c r="H14447" s="6"/>
      <c r="I14447" s="6"/>
    </row>
    <row r="14448" spans="8:9" x14ac:dyDescent="0.2">
      <c r="H14448" s="6"/>
      <c r="I14448" s="6"/>
    </row>
    <row r="14449" spans="8:9" x14ac:dyDescent="0.2">
      <c r="H14449" s="6"/>
      <c r="I14449" s="6"/>
    </row>
    <row r="14450" spans="8:9" x14ac:dyDescent="0.2">
      <c r="H14450" s="6"/>
      <c r="I14450" s="6"/>
    </row>
    <row r="14451" spans="8:9" x14ac:dyDescent="0.2">
      <c r="H14451" s="6"/>
      <c r="I14451" s="6"/>
    </row>
    <row r="14452" spans="8:9" x14ac:dyDescent="0.2">
      <c r="H14452" s="6"/>
      <c r="I14452" s="6"/>
    </row>
    <row r="14453" spans="8:9" x14ac:dyDescent="0.2">
      <c r="H14453" s="6"/>
      <c r="I14453" s="6"/>
    </row>
    <row r="14454" spans="8:9" x14ac:dyDescent="0.2">
      <c r="H14454" s="6"/>
      <c r="I14454" s="6"/>
    </row>
    <row r="14455" spans="8:9" x14ac:dyDescent="0.2">
      <c r="H14455" s="6"/>
      <c r="I14455" s="6"/>
    </row>
    <row r="14456" spans="8:9" x14ac:dyDescent="0.2">
      <c r="H14456" s="6"/>
      <c r="I14456" s="6"/>
    </row>
    <row r="14457" spans="8:9" x14ac:dyDescent="0.2">
      <c r="H14457" s="6"/>
      <c r="I14457" s="6"/>
    </row>
    <row r="14458" spans="8:9" x14ac:dyDescent="0.2">
      <c r="H14458" s="6"/>
      <c r="I14458" s="6"/>
    </row>
    <row r="14459" spans="8:9" x14ac:dyDescent="0.2">
      <c r="H14459" s="6"/>
      <c r="I14459" s="6"/>
    </row>
    <row r="14460" spans="8:9" x14ac:dyDescent="0.2">
      <c r="H14460" s="6"/>
      <c r="I14460" s="6"/>
    </row>
    <row r="14461" spans="8:9" x14ac:dyDescent="0.2">
      <c r="H14461" s="6"/>
      <c r="I14461" s="6"/>
    </row>
    <row r="14462" spans="8:9" x14ac:dyDescent="0.2">
      <c r="H14462" s="6"/>
      <c r="I14462" s="6"/>
    </row>
    <row r="14463" spans="8:9" x14ac:dyDescent="0.2">
      <c r="H14463" s="6"/>
      <c r="I14463" s="6"/>
    </row>
    <row r="14464" spans="8:9" x14ac:dyDescent="0.2">
      <c r="H14464" s="6"/>
      <c r="I14464" s="6"/>
    </row>
    <row r="14465" spans="8:9" x14ac:dyDescent="0.2">
      <c r="H14465" s="6"/>
      <c r="I14465" s="6"/>
    </row>
    <row r="14466" spans="8:9" x14ac:dyDescent="0.2">
      <c r="H14466" s="6"/>
      <c r="I14466" s="6"/>
    </row>
    <row r="14467" spans="8:9" x14ac:dyDescent="0.2">
      <c r="H14467" s="6"/>
      <c r="I14467" s="6"/>
    </row>
    <row r="14468" spans="8:9" x14ac:dyDescent="0.2">
      <c r="H14468" s="6"/>
      <c r="I14468" s="6"/>
    </row>
    <row r="14469" spans="8:9" x14ac:dyDescent="0.2">
      <c r="H14469" s="6"/>
      <c r="I14469" s="6"/>
    </row>
    <row r="14470" spans="8:9" x14ac:dyDescent="0.2">
      <c r="H14470" s="6"/>
      <c r="I14470" s="6"/>
    </row>
    <row r="14471" spans="8:9" x14ac:dyDescent="0.2">
      <c r="H14471" s="6"/>
      <c r="I14471" s="6"/>
    </row>
    <row r="14472" spans="8:9" x14ac:dyDescent="0.2">
      <c r="H14472" s="6"/>
      <c r="I14472" s="6"/>
    </row>
    <row r="14473" spans="8:9" x14ac:dyDescent="0.2">
      <c r="H14473" s="6"/>
      <c r="I14473" s="6"/>
    </row>
    <row r="14474" spans="8:9" x14ac:dyDescent="0.2">
      <c r="H14474" s="6"/>
      <c r="I14474" s="6"/>
    </row>
    <row r="14475" spans="8:9" x14ac:dyDescent="0.2">
      <c r="H14475" s="6"/>
      <c r="I14475" s="6"/>
    </row>
    <row r="14476" spans="8:9" x14ac:dyDescent="0.2">
      <c r="H14476" s="6"/>
      <c r="I14476" s="6"/>
    </row>
    <row r="14477" spans="8:9" x14ac:dyDescent="0.2">
      <c r="H14477" s="6"/>
      <c r="I14477" s="6"/>
    </row>
    <row r="14478" spans="8:9" x14ac:dyDescent="0.2">
      <c r="H14478" s="6"/>
      <c r="I14478" s="6"/>
    </row>
    <row r="14479" spans="8:9" x14ac:dyDescent="0.2">
      <c r="H14479" s="6"/>
      <c r="I14479" s="6"/>
    </row>
    <row r="14480" spans="8:9" x14ac:dyDescent="0.2">
      <c r="H14480" s="6"/>
      <c r="I14480" s="6"/>
    </row>
    <row r="14481" spans="8:9" x14ac:dyDescent="0.2">
      <c r="H14481" s="6"/>
      <c r="I14481" s="6"/>
    </row>
    <row r="14482" spans="8:9" x14ac:dyDescent="0.2">
      <c r="H14482" s="6"/>
      <c r="I14482" s="6"/>
    </row>
    <row r="14483" spans="8:9" x14ac:dyDescent="0.2">
      <c r="H14483" s="6"/>
      <c r="I14483" s="6"/>
    </row>
    <row r="14484" spans="8:9" x14ac:dyDescent="0.2">
      <c r="H14484" s="6"/>
      <c r="I14484" s="6"/>
    </row>
    <row r="14485" spans="8:9" x14ac:dyDescent="0.2">
      <c r="H14485" s="6"/>
      <c r="I14485" s="6"/>
    </row>
    <row r="14486" spans="8:9" x14ac:dyDescent="0.2">
      <c r="H14486" s="6"/>
      <c r="I14486" s="6"/>
    </row>
    <row r="14487" spans="8:9" x14ac:dyDescent="0.2">
      <c r="H14487" s="6"/>
      <c r="I14487" s="6"/>
    </row>
    <row r="14488" spans="8:9" x14ac:dyDescent="0.2">
      <c r="H14488" s="6"/>
      <c r="I14488" s="6"/>
    </row>
    <row r="14489" spans="8:9" x14ac:dyDescent="0.2">
      <c r="H14489" s="6"/>
      <c r="I14489" s="6"/>
    </row>
    <row r="14490" spans="8:9" x14ac:dyDescent="0.2">
      <c r="H14490" s="6"/>
      <c r="I14490" s="6"/>
    </row>
    <row r="14491" spans="8:9" x14ac:dyDescent="0.2">
      <c r="H14491" s="6"/>
      <c r="I14491" s="6"/>
    </row>
    <row r="14492" spans="8:9" x14ac:dyDescent="0.2">
      <c r="H14492" s="6"/>
      <c r="I14492" s="6"/>
    </row>
    <row r="14493" spans="8:9" x14ac:dyDescent="0.2">
      <c r="H14493" s="6"/>
      <c r="I14493" s="6"/>
    </row>
    <row r="14494" spans="8:9" x14ac:dyDescent="0.2">
      <c r="H14494" s="6"/>
      <c r="I14494" s="6"/>
    </row>
    <row r="14495" spans="8:9" x14ac:dyDescent="0.2">
      <c r="H14495" s="6"/>
      <c r="I14495" s="6"/>
    </row>
    <row r="14496" spans="8:9" x14ac:dyDescent="0.2">
      <c r="H14496" s="6"/>
      <c r="I14496" s="6"/>
    </row>
    <row r="14497" spans="8:9" x14ac:dyDescent="0.2">
      <c r="H14497" s="6"/>
      <c r="I14497" s="6"/>
    </row>
    <row r="14498" spans="8:9" x14ac:dyDescent="0.2">
      <c r="H14498" s="6"/>
      <c r="I14498" s="6"/>
    </row>
    <row r="14499" spans="8:9" x14ac:dyDescent="0.2">
      <c r="H14499" s="6"/>
      <c r="I14499" s="6"/>
    </row>
    <row r="14500" spans="8:9" x14ac:dyDescent="0.2">
      <c r="H14500" s="6"/>
      <c r="I14500" s="6"/>
    </row>
    <row r="14501" spans="8:9" x14ac:dyDescent="0.2">
      <c r="H14501" s="6"/>
      <c r="I14501" s="6"/>
    </row>
    <row r="14502" spans="8:9" x14ac:dyDescent="0.2">
      <c r="H14502" s="6"/>
      <c r="I14502" s="6"/>
    </row>
    <row r="14503" spans="8:9" x14ac:dyDescent="0.2">
      <c r="H14503" s="6"/>
      <c r="I14503" s="6"/>
    </row>
    <row r="14504" spans="8:9" x14ac:dyDescent="0.2">
      <c r="H14504" s="6"/>
      <c r="I14504" s="6"/>
    </row>
    <row r="14505" spans="8:9" x14ac:dyDescent="0.2">
      <c r="H14505" s="6"/>
      <c r="I14505" s="6"/>
    </row>
    <row r="14506" spans="8:9" x14ac:dyDescent="0.2">
      <c r="H14506" s="6"/>
      <c r="I14506" s="6"/>
    </row>
    <row r="14507" spans="8:9" x14ac:dyDescent="0.2">
      <c r="H14507" s="6"/>
      <c r="I14507" s="6"/>
    </row>
    <row r="14508" spans="8:9" x14ac:dyDescent="0.2">
      <c r="H14508" s="6"/>
      <c r="I14508" s="6"/>
    </row>
    <row r="14509" spans="8:9" x14ac:dyDescent="0.2">
      <c r="H14509" s="6"/>
      <c r="I14509" s="6"/>
    </row>
    <row r="14510" spans="8:9" x14ac:dyDescent="0.2">
      <c r="H14510" s="6"/>
      <c r="I14510" s="6"/>
    </row>
    <row r="14511" spans="8:9" x14ac:dyDescent="0.2">
      <c r="H14511" s="6"/>
      <c r="I14511" s="6"/>
    </row>
    <row r="14512" spans="8:9" x14ac:dyDescent="0.2">
      <c r="H14512" s="6"/>
      <c r="I14512" s="6"/>
    </row>
    <row r="14513" spans="8:9" x14ac:dyDescent="0.2">
      <c r="H14513" s="6"/>
      <c r="I14513" s="6"/>
    </row>
    <row r="14514" spans="8:9" x14ac:dyDescent="0.2">
      <c r="H14514" s="6"/>
      <c r="I14514" s="6"/>
    </row>
    <row r="14515" spans="8:9" x14ac:dyDescent="0.2">
      <c r="H14515" s="6"/>
      <c r="I14515" s="6"/>
    </row>
    <row r="14516" spans="8:9" x14ac:dyDescent="0.2">
      <c r="H14516" s="6"/>
      <c r="I14516" s="6"/>
    </row>
    <row r="14517" spans="8:9" x14ac:dyDescent="0.2">
      <c r="H14517" s="6"/>
      <c r="I14517" s="6"/>
    </row>
    <row r="14518" spans="8:9" x14ac:dyDescent="0.2">
      <c r="H14518" s="6"/>
      <c r="I14518" s="6"/>
    </row>
    <row r="14519" spans="8:9" x14ac:dyDescent="0.2">
      <c r="H14519" s="6"/>
      <c r="I14519" s="6"/>
    </row>
    <row r="14520" spans="8:9" x14ac:dyDescent="0.2">
      <c r="H14520" s="6"/>
      <c r="I14520" s="6"/>
    </row>
    <row r="14521" spans="8:9" x14ac:dyDescent="0.2">
      <c r="H14521" s="6"/>
      <c r="I14521" s="6"/>
    </row>
    <row r="14522" spans="8:9" x14ac:dyDescent="0.2">
      <c r="H14522" s="6"/>
      <c r="I14522" s="6"/>
    </row>
    <row r="14523" spans="8:9" x14ac:dyDescent="0.2">
      <c r="H14523" s="6"/>
      <c r="I14523" s="6"/>
    </row>
    <row r="14524" spans="8:9" x14ac:dyDescent="0.2">
      <c r="H14524" s="6"/>
      <c r="I14524" s="6"/>
    </row>
    <row r="14525" spans="8:9" x14ac:dyDescent="0.2">
      <c r="H14525" s="6"/>
      <c r="I14525" s="6"/>
    </row>
    <row r="14526" spans="8:9" x14ac:dyDescent="0.2">
      <c r="H14526" s="6"/>
      <c r="I14526" s="6"/>
    </row>
    <row r="14527" spans="8:9" x14ac:dyDescent="0.2">
      <c r="H14527" s="6"/>
      <c r="I14527" s="6"/>
    </row>
    <row r="14528" spans="8:9" x14ac:dyDescent="0.2">
      <c r="H14528" s="6"/>
      <c r="I14528" s="6"/>
    </row>
    <row r="14529" spans="8:9" x14ac:dyDescent="0.2">
      <c r="H14529" s="6"/>
      <c r="I14529" s="6"/>
    </row>
    <row r="14530" spans="8:9" x14ac:dyDescent="0.2">
      <c r="H14530" s="6"/>
      <c r="I14530" s="6"/>
    </row>
    <row r="14531" spans="8:9" x14ac:dyDescent="0.2">
      <c r="H14531" s="6"/>
      <c r="I14531" s="6"/>
    </row>
    <row r="14532" spans="8:9" x14ac:dyDescent="0.2">
      <c r="H14532" s="6"/>
      <c r="I14532" s="6"/>
    </row>
    <row r="14533" spans="8:9" x14ac:dyDescent="0.2">
      <c r="H14533" s="6"/>
      <c r="I14533" s="6"/>
    </row>
    <row r="14534" spans="8:9" x14ac:dyDescent="0.2">
      <c r="H14534" s="6"/>
      <c r="I14534" s="6"/>
    </row>
    <row r="14535" spans="8:9" x14ac:dyDescent="0.2">
      <c r="H14535" s="6"/>
      <c r="I14535" s="6"/>
    </row>
    <row r="14536" spans="8:9" x14ac:dyDescent="0.2">
      <c r="H14536" s="6"/>
      <c r="I14536" s="6"/>
    </row>
    <row r="14537" spans="8:9" x14ac:dyDescent="0.2">
      <c r="H14537" s="6"/>
      <c r="I14537" s="6"/>
    </row>
    <row r="14538" spans="8:9" x14ac:dyDescent="0.2">
      <c r="H14538" s="6"/>
      <c r="I14538" s="6"/>
    </row>
    <row r="14539" spans="8:9" x14ac:dyDescent="0.2">
      <c r="H14539" s="6"/>
      <c r="I14539" s="6"/>
    </row>
    <row r="14540" spans="8:9" x14ac:dyDescent="0.2">
      <c r="H14540" s="6"/>
      <c r="I14540" s="6"/>
    </row>
    <row r="14541" spans="8:9" x14ac:dyDescent="0.2">
      <c r="H14541" s="6"/>
      <c r="I14541" s="6"/>
    </row>
    <row r="14542" spans="8:9" x14ac:dyDescent="0.2">
      <c r="H14542" s="6"/>
      <c r="I14542" s="6"/>
    </row>
    <row r="14543" spans="8:9" x14ac:dyDescent="0.2">
      <c r="H14543" s="6"/>
      <c r="I14543" s="6"/>
    </row>
    <row r="14544" spans="8:9" x14ac:dyDescent="0.2">
      <c r="H14544" s="6"/>
      <c r="I14544" s="6"/>
    </row>
    <row r="14545" spans="8:9" x14ac:dyDescent="0.2">
      <c r="H14545" s="6"/>
      <c r="I14545" s="6"/>
    </row>
    <row r="14546" spans="8:9" x14ac:dyDescent="0.2">
      <c r="H14546" s="6"/>
      <c r="I14546" s="6"/>
    </row>
    <row r="14547" spans="8:9" x14ac:dyDescent="0.2">
      <c r="H14547" s="6"/>
      <c r="I14547" s="6"/>
    </row>
    <row r="14548" spans="8:9" x14ac:dyDescent="0.2">
      <c r="H14548" s="6"/>
      <c r="I14548" s="6"/>
    </row>
    <row r="14549" spans="8:9" x14ac:dyDescent="0.2">
      <c r="H14549" s="6"/>
      <c r="I14549" s="6"/>
    </row>
    <row r="14550" spans="8:9" x14ac:dyDescent="0.2">
      <c r="H14550" s="6"/>
      <c r="I14550" s="6"/>
    </row>
    <row r="14551" spans="8:9" x14ac:dyDescent="0.2">
      <c r="H14551" s="6"/>
      <c r="I14551" s="6"/>
    </row>
    <row r="14552" spans="8:9" x14ac:dyDescent="0.2">
      <c r="H14552" s="6"/>
      <c r="I14552" s="6"/>
    </row>
    <row r="14553" spans="8:9" x14ac:dyDescent="0.2">
      <c r="H14553" s="6"/>
      <c r="I14553" s="6"/>
    </row>
    <row r="14554" spans="8:9" x14ac:dyDescent="0.2">
      <c r="H14554" s="6"/>
      <c r="I14554" s="6"/>
    </row>
    <row r="14555" spans="8:9" x14ac:dyDescent="0.2">
      <c r="H14555" s="6"/>
      <c r="I14555" s="6"/>
    </row>
    <row r="14556" spans="8:9" x14ac:dyDescent="0.2">
      <c r="H14556" s="6"/>
      <c r="I14556" s="6"/>
    </row>
    <row r="14557" spans="8:9" x14ac:dyDescent="0.2">
      <c r="H14557" s="6"/>
      <c r="I14557" s="6"/>
    </row>
    <row r="14558" spans="8:9" x14ac:dyDescent="0.2">
      <c r="H14558" s="6"/>
      <c r="I14558" s="6"/>
    </row>
    <row r="14559" spans="8:9" x14ac:dyDescent="0.2">
      <c r="H14559" s="6"/>
      <c r="I14559" s="6"/>
    </row>
    <row r="14560" spans="8:9" x14ac:dyDescent="0.2">
      <c r="H14560" s="6"/>
      <c r="I14560" s="6"/>
    </row>
    <row r="14561" spans="8:9" x14ac:dyDescent="0.2">
      <c r="H14561" s="6"/>
      <c r="I14561" s="6"/>
    </row>
    <row r="14562" spans="8:9" x14ac:dyDescent="0.2">
      <c r="H14562" s="6"/>
      <c r="I14562" s="6"/>
    </row>
    <row r="14563" spans="8:9" x14ac:dyDescent="0.2">
      <c r="H14563" s="6"/>
      <c r="I14563" s="6"/>
    </row>
    <row r="14564" spans="8:9" x14ac:dyDescent="0.2">
      <c r="H14564" s="6"/>
      <c r="I14564" s="6"/>
    </row>
    <row r="14565" spans="8:9" x14ac:dyDescent="0.2">
      <c r="H14565" s="6"/>
      <c r="I14565" s="6"/>
    </row>
    <row r="14566" spans="8:9" x14ac:dyDescent="0.2">
      <c r="H14566" s="6"/>
      <c r="I14566" s="6"/>
    </row>
    <row r="14567" spans="8:9" x14ac:dyDescent="0.2">
      <c r="H14567" s="6"/>
      <c r="I14567" s="6"/>
    </row>
    <row r="14568" spans="8:9" x14ac:dyDescent="0.2">
      <c r="H14568" s="6"/>
      <c r="I14568" s="6"/>
    </row>
    <row r="14569" spans="8:9" x14ac:dyDescent="0.2">
      <c r="H14569" s="6"/>
      <c r="I14569" s="6"/>
    </row>
    <row r="14570" spans="8:9" x14ac:dyDescent="0.2">
      <c r="H14570" s="6"/>
      <c r="I14570" s="6"/>
    </row>
    <row r="14571" spans="8:9" x14ac:dyDescent="0.2">
      <c r="H14571" s="6"/>
      <c r="I14571" s="6"/>
    </row>
    <row r="14572" spans="8:9" x14ac:dyDescent="0.2">
      <c r="H14572" s="6"/>
      <c r="I14572" s="6"/>
    </row>
    <row r="14573" spans="8:9" x14ac:dyDescent="0.2">
      <c r="H14573" s="6"/>
      <c r="I14573" s="6"/>
    </row>
    <row r="14574" spans="8:9" x14ac:dyDescent="0.2">
      <c r="H14574" s="6"/>
      <c r="I14574" s="6"/>
    </row>
    <row r="14575" spans="8:9" x14ac:dyDescent="0.2">
      <c r="H14575" s="6"/>
      <c r="I14575" s="6"/>
    </row>
    <row r="14576" spans="8:9" x14ac:dyDescent="0.2">
      <c r="H14576" s="6"/>
      <c r="I14576" s="6"/>
    </row>
    <row r="14577" spans="8:9" x14ac:dyDescent="0.2">
      <c r="H14577" s="6"/>
      <c r="I14577" s="6"/>
    </row>
    <row r="14578" spans="8:9" x14ac:dyDescent="0.2">
      <c r="H14578" s="6"/>
      <c r="I14578" s="6"/>
    </row>
    <row r="14579" spans="8:9" x14ac:dyDescent="0.2">
      <c r="H14579" s="6"/>
    </row>
    <row r="14580" spans="8:9" x14ac:dyDescent="0.2">
      <c r="H14580" s="6"/>
      <c r="I14580" s="6"/>
    </row>
    <row r="14581" spans="8:9" x14ac:dyDescent="0.2">
      <c r="H14581" s="6"/>
      <c r="I14581" s="6"/>
    </row>
    <row r="14582" spans="8:9" x14ac:dyDescent="0.2">
      <c r="H14582" s="6"/>
      <c r="I14582" s="6"/>
    </row>
    <row r="14583" spans="8:9" x14ac:dyDescent="0.2">
      <c r="H14583" s="6"/>
      <c r="I14583" s="6"/>
    </row>
    <row r="14584" spans="8:9" x14ac:dyDescent="0.2">
      <c r="H14584" s="6"/>
      <c r="I14584" s="6"/>
    </row>
    <row r="14585" spans="8:9" x14ac:dyDescent="0.2">
      <c r="H14585" s="6"/>
      <c r="I14585" s="6"/>
    </row>
    <row r="14586" spans="8:9" x14ac:dyDescent="0.2">
      <c r="H14586" s="6"/>
      <c r="I14586" s="6"/>
    </row>
    <row r="14587" spans="8:9" x14ac:dyDescent="0.2">
      <c r="H14587" s="6"/>
      <c r="I14587" s="6"/>
    </row>
    <row r="14588" spans="8:9" x14ac:dyDescent="0.2">
      <c r="H14588" s="6"/>
      <c r="I14588" s="6"/>
    </row>
    <row r="14589" spans="8:9" x14ac:dyDescent="0.2">
      <c r="H14589" s="6"/>
      <c r="I14589" s="6"/>
    </row>
    <row r="14590" spans="8:9" x14ac:dyDescent="0.2">
      <c r="H14590" s="6"/>
      <c r="I14590" s="6"/>
    </row>
    <row r="14591" spans="8:9" x14ac:dyDescent="0.2">
      <c r="H14591" s="6"/>
      <c r="I14591" s="6"/>
    </row>
    <row r="14592" spans="8:9" x14ac:dyDescent="0.2">
      <c r="H14592" s="6"/>
      <c r="I14592" s="6"/>
    </row>
    <row r="14593" spans="8:9" x14ac:dyDescent="0.2">
      <c r="H14593" s="6"/>
      <c r="I14593" s="6"/>
    </row>
    <row r="14594" spans="8:9" x14ac:dyDescent="0.2">
      <c r="H14594" s="6"/>
      <c r="I14594" s="6"/>
    </row>
    <row r="14595" spans="8:9" x14ac:dyDescent="0.2">
      <c r="H14595" s="6"/>
      <c r="I14595" s="6"/>
    </row>
    <row r="14596" spans="8:9" x14ac:dyDescent="0.2">
      <c r="H14596" s="6"/>
      <c r="I14596" s="6"/>
    </row>
    <row r="14597" spans="8:9" x14ac:dyDescent="0.2">
      <c r="H14597" s="6"/>
      <c r="I14597" s="6"/>
    </row>
    <row r="14598" spans="8:9" x14ac:dyDescent="0.2">
      <c r="H14598" s="6"/>
      <c r="I14598" s="6"/>
    </row>
    <row r="14599" spans="8:9" x14ac:dyDescent="0.2">
      <c r="H14599" s="6"/>
      <c r="I14599" s="6"/>
    </row>
    <row r="14600" spans="8:9" x14ac:dyDescent="0.2">
      <c r="H14600" s="6"/>
      <c r="I14600" s="6"/>
    </row>
    <row r="14601" spans="8:9" x14ac:dyDescent="0.2">
      <c r="H14601" s="6"/>
      <c r="I14601" s="6"/>
    </row>
    <row r="14602" spans="8:9" x14ac:dyDescent="0.2">
      <c r="H14602" s="6"/>
      <c r="I14602" s="6"/>
    </row>
    <row r="14603" spans="8:9" x14ac:dyDescent="0.2">
      <c r="H14603" s="6"/>
      <c r="I14603" s="6"/>
    </row>
    <row r="14604" spans="8:9" x14ac:dyDescent="0.2">
      <c r="H14604" s="6"/>
      <c r="I14604" s="6"/>
    </row>
    <row r="14605" spans="8:9" x14ac:dyDescent="0.2">
      <c r="H14605" s="6"/>
      <c r="I14605" s="6"/>
    </row>
    <row r="14606" spans="8:9" x14ac:dyDescent="0.2">
      <c r="H14606" s="6"/>
      <c r="I14606" s="6"/>
    </row>
    <row r="14607" spans="8:9" x14ac:dyDescent="0.2">
      <c r="H14607" s="6"/>
      <c r="I14607" s="6"/>
    </row>
    <row r="14608" spans="8:9" x14ac:dyDescent="0.2">
      <c r="H14608" s="6"/>
      <c r="I14608" s="6"/>
    </row>
    <row r="14609" spans="8:9" x14ac:dyDescent="0.2">
      <c r="H14609" s="6"/>
      <c r="I14609" s="6"/>
    </row>
    <row r="14610" spans="8:9" x14ac:dyDescent="0.2">
      <c r="H14610" s="6"/>
      <c r="I14610" s="6"/>
    </row>
    <row r="14611" spans="8:9" x14ac:dyDescent="0.2">
      <c r="H14611" s="6"/>
      <c r="I14611" s="6"/>
    </row>
    <row r="14612" spans="8:9" x14ac:dyDescent="0.2">
      <c r="H14612" s="6"/>
      <c r="I14612" s="6"/>
    </row>
    <row r="14613" spans="8:9" x14ac:dyDescent="0.2">
      <c r="H14613" s="6"/>
      <c r="I14613" s="6"/>
    </row>
    <row r="14614" spans="8:9" x14ac:dyDescent="0.2">
      <c r="H14614" s="6"/>
      <c r="I14614" s="6"/>
    </row>
    <row r="14615" spans="8:9" x14ac:dyDescent="0.2">
      <c r="H14615" s="6"/>
      <c r="I14615" s="6"/>
    </row>
    <row r="14616" spans="8:9" x14ac:dyDescent="0.2">
      <c r="H14616" s="6"/>
      <c r="I14616" s="6"/>
    </row>
    <row r="14617" spans="8:9" x14ac:dyDescent="0.2">
      <c r="H14617" s="6"/>
      <c r="I14617" s="6"/>
    </row>
    <row r="14618" spans="8:9" x14ac:dyDescent="0.2">
      <c r="H14618" s="6"/>
      <c r="I14618" s="6"/>
    </row>
    <row r="14619" spans="8:9" x14ac:dyDescent="0.2">
      <c r="H14619" s="6"/>
      <c r="I14619" s="6"/>
    </row>
    <row r="14620" spans="8:9" x14ac:dyDescent="0.2">
      <c r="H14620" s="6"/>
      <c r="I14620" s="6"/>
    </row>
    <row r="14621" spans="8:9" x14ac:dyDescent="0.2">
      <c r="H14621" s="6"/>
      <c r="I14621" s="6"/>
    </row>
    <row r="14622" spans="8:9" x14ac:dyDescent="0.2">
      <c r="H14622" s="6"/>
      <c r="I14622" s="6"/>
    </row>
    <row r="14623" spans="8:9" x14ac:dyDescent="0.2">
      <c r="H14623" s="6"/>
      <c r="I14623" s="6"/>
    </row>
    <row r="14624" spans="8:9" x14ac:dyDescent="0.2">
      <c r="H14624" s="6"/>
      <c r="I14624" s="6"/>
    </row>
    <row r="14625" spans="8:9" x14ac:dyDescent="0.2">
      <c r="H14625" s="6"/>
      <c r="I14625" s="6"/>
    </row>
    <row r="14626" spans="8:9" x14ac:dyDescent="0.2">
      <c r="H14626" s="6"/>
      <c r="I14626" s="6"/>
    </row>
    <row r="14627" spans="8:9" x14ac:dyDescent="0.2">
      <c r="H14627" s="6"/>
      <c r="I14627" s="6"/>
    </row>
    <row r="14628" spans="8:9" x14ac:dyDescent="0.2">
      <c r="H14628" s="6"/>
      <c r="I14628" s="6"/>
    </row>
    <row r="14629" spans="8:9" x14ac:dyDescent="0.2">
      <c r="H14629" s="6"/>
      <c r="I14629" s="6"/>
    </row>
    <row r="14630" spans="8:9" x14ac:dyDescent="0.2">
      <c r="H14630" s="6"/>
      <c r="I14630" s="6"/>
    </row>
    <row r="14631" spans="8:9" x14ac:dyDescent="0.2">
      <c r="H14631" s="6"/>
      <c r="I14631" s="6"/>
    </row>
    <row r="14632" spans="8:9" x14ac:dyDescent="0.2">
      <c r="H14632" s="6"/>
      <c r="I14632" s="6"/>
    </row>
    <row r="14633" spans="8:9" x14ac:dyDescent="0.2">
      <c r="H14633" s="6"/>
      <c r="I14633" s="6"/>
    </row>
    <row r="14634" spans="8:9" x14ac:dyDescent="0.2">
      <c r="H14634" s="6"/>
      <c r="I14634" s="6"/>
    </row>
    <row r="14635" spans="8:9" x14ac:dyDescent="0.2">
      <c r="H14635" s="6"/>
      <c r="I14635" s="6"/>
    </row>
    <row r="14636" spans="8:9" x14ac:dyDescent="0.2">
      <c r="H14636" s="6"/>
      <c r="I14636" s="6"/>
    </row>
    <row r="14637" spans="8:9" x14ac:dyDescent="0.2">
      <c r="H14637" s="6"/>
      <c r="I14637" s="6"/>
    </row>
    <row r="14638" spans="8:9" x14ac:dyDescent="0.2">
      <c r="H14638" s="6"/>
      <c r="I14638" s="6"/>
    </row>
    <row r="14639" spans="8:9" x14ac:dyDescent="0.2">
      <c r="H14639" s="6"/>
      <c r="I14639" s="6"/>
    </row>
    <row r="14640" spans="8:9" x14ac:dyDescent="0.2">
      <c r="H14640" s="6"/>
      <c r="I14640" s="6"/>
    </row>
    <row r="14641" spans="8:9" x14ac:dyDescent="0.2">
      <c r="H14641" s="6"/>
      <c r="I14641" s="6"/>
    </row>
    <row r="14642" spans="8:9" x14ac:dyDescent="0.2">
      <c r="H14642" s="6"/>
      <c r="I14642" s="6"/>
    </row>
    <row r="14643" spans="8:9" x14ac:dyDescent="0.2">
      <c r="H14643" s="6"/>
      <c r="I14643" s="6"/>
    </row>
    <row r="14644" spans="8:9" x14ac:dyDescent="0.2">
      <c r="H14644" s="6"/>
      <c r="I14644" s="6"/>
    </row>
    <row r="14645" spans="8:9" x14ac:dyDescent="0.2">
      <c r="H14645" s="6"/>
      <c r="I14645" s="6"/>
    </row>
    <row r="14646" spans="8:9" x14ac:dyDescent="0.2">
      <c r="H14646" s="6"/>
      <c r="I14646" s="6"/>
    </row>
    <row r="14647" spans="8:9" x14ac:dyDescent="0.2">
      <c r="H14647" s="6"/>
      <c r="I14647" s="6"/>
    </row>
    <row r="14648" spans="8:9" x14ac:dyDescent="0.2">
      <c r="H14648" s="6"/>
      <c r="I14648" s="6"/>
    </row>
    <row r="14649" spans="8:9" x14ac:dyDescent="0.2">
      <c r="H14649" s="6"/>
      <c r="I14649" s="6"/>
    </row>
    <row r="14650" spans="8:9" x14ac:dyDescent="0.2">
      <c r="H14650" s="6"/>
      <c r="I14650" s="6"/>
    </row>
    <row r="14651" spans="8:9" x14ac:dyDescent="0.2">
      <c r="H14651" s="6"/>
      <c r="I14651" s="6"/>
    </row>
    <row r="14652" spans="8:9" x14ac:dyDescent="0.2">
      <c r="H14652" s="6"/>
      <c r="I14652" s="6"/>
    </row>
    <row r="14653" spans="8:9" x14ac:dyDescent="0.2">
      <c r="H14653" s="6"/>
      <c r="I14653" s="6"/>
    </row>
    <row r="14654" spans="8:9" x14ac:dyDescent="0.2">
      <c r="H14654" s="6"/>
      <c r="I14654" s="6"/>
    </row>
    <row r="14655" spans="8:9" x14ac:dyDescent="0.2">
      <c r="H14655" s="6"/>
      <c r="I14655" s="6"/>
    </row>
    <row r="14656" spans="8:9" x14ac:dyDescent="0.2">
      <c r="H14656" s="6"/>
      <c r="I14656" s="6"/>
    </row>
    <row r="14657" spans="8:9" x14ac:dyDescent="0.2">
      <c r="H14657" s="6"/>
      <c r="I14657" s="6"/>
    </row>
    <row r="14658" spans="8:9" x14ac:dyDescent="0.2">
      <c r="H14658" s="6"/>
      <c r="I14658" s="6"/>
    </row>
    <row r="14659" spans="8:9" x14ac:dyDescent="0.2">
      <c r="H14659" s="6"/>
      <c r="I14659" s="6"/>
    </row>
    <row r="14660" spans="8:9" x14ac:dyDescent="0.2">
      <c r="H14660" s="6"/>
      <c r="I14660" s="6"/>
    </row>
    <row r="14661" spans="8:9" x14ac:dyDescent="0.2">
      <c r="H14661" s="6"/>
      <c r="I14661" s="6"/>
    </row>
    <row r="14662" spans="8:9" x14ac:dyDescent="0.2">
      <c r="H14662" s="6"/>
      <c r="I14662" s="6"/>
    </row>
    <row r="14663" spans="8:9" x14ac:dyDescent="0.2">
      <c r="H14663" s="6"/>
      <c r="I14663" s="6"/>
    </row>
    <row r="14664" spans="8:9" x14ac:dyDescent="0.2">
      <c r="H14664" s="6"/>
      <c r="I14664" s="6"/>
    </row>
    <row r="14665" spans="8:9" x14ac:dyDescent="0.2">
      <c r="H14665" s="6"/>
      <c r="I14665" s="6"/>
    </row>
    <row r="14666" spans="8:9" x14ac:dyDescent="0.2">
      <c r="H14666" s="6"/>
      <c r="I14666" s="6"/>
    </row>
    <row r="14667" spans="8:9" x14ac:dyDescent="0.2">
      <c r="H14667" s="6"/>
      <c r="I14667" s="6"/>
    </row>
    <row r="14668" spans="8:9" x14ac:dyDescent="0.2">
      <c r="H14668" s="6"/>
      <c r="I14668" s="6"/>
    </row>
    <row r="14669" spans="8:9" x14ac:dyDescent="0.2">
      <c r="H14669" s="6"/>
      <c r="I14669" s="6"/>
    </row>
    <row r="14670" spans="8:9" x14ac:dyDescent="0.2">
      <c r="H14670" s="6"/>
      <c r="I14670" s="6"/>
    </row>
    <row r="14671" spans="8:9" x14ac:dyDescent="0.2">
      <c r="H14671" s="6"/>
      <c r="I14671" s="6"/>
    </row>
    <row r="14672" spans="8:9" x14ac:dyDescent="0.2">
      <c r="H14672" s="6"/>
      <c r="I14672" s="6"/>
    </row>
    <row r="14673" spans="2:9" x14ac:dyDescent="0.2">
      <c r="H14673" s="6"/>
      <c r="I14673" s="6"/>
    </row>
    <row r="14674" spans="2:9" x14ac:dyDescent="0.2">
      <c r="H14674" s="6"/>
      <c r="I14674" s="6"/>
    </row>
    <row r="14675" spans="2:9" x14ac:dyDescent="0.2">
      <c r="H14675" s="6"/>
      <c r="I14675" s="6"/>
    </row>
    <row r="14676" spans="2:9" x14ac:dyDescent="0.2">
      <c r="H14676" s="6"/>
      <c r="I14676" s="6"/>
    </row>
    <row r="14677" spans="2:9" x14ac:dyDescent="0.2">
      <c r="H14677" s="6"/>
      <c r="I14677" s="6"/>
    </row>
    <row r="14678" spans="2:9" x14ac:dyDescent="0.2">
      <c r="H14678" s="6"/>
      <c r="I14678" s="6"/>
    </row>
    <row r="14679" spans="2:9" x14ac:dyDescent="0.2">
      <c r="H14679" s="6"/>
      <c r="I14679" s="6"/>
    </row>
    <row r="14680" spans="2:9" x14ac:dyDescent="0.2">
      <c r="H14680" s="6"/>
      <c r="I14680" s="6"/>
    </row>
    <row r="14681" spans="2:9" x14ac:dyDescent="0.2">
      <c r="H14681" s="6"/>
      <c r="I14681" s="6"/>
    </row>
    <row r="14682" spans="2:9" x14ac:dyDescent="0.2">
      <c r="H14682" s="6"/>
      <c r="I14682" s="6"/>
    </row>
    <row r="14683" spans="2:9" x14ac:dyDescent="0.2">
      <c r="H14683" s="6"/>
      <c r="I14683" s="6"/>
    </row>
    <row r="14684" spans="2:9" x14ac:dyDescent="0.2">
      <c r="H14684" s="6"/>
      <c r="I14684" s="6"/>
    </row>
    <row r="14685" spans="2:9" x14ac:dyDescent="0.2">
      <c r="H14685" s="6"/>
      <c r="I14685" s="6"/>
    </row>
    <row r="14686" spans="2:9" x14ac:dyDescent="0.2">
      <c r="H14686" s="6"/>
      <c r="I14686" s="6"/>
    </row>
    <row r="14687" spans="2:9" x14ac:dyDescent="0.2">
      <c r="B14687" s="4"/>
      <c r="H14687" s="6"/>
      <c r="I14687" s="6"/>
    </row>
    <row r="14688" spans="2:9" x14ac:dyDescent="0.2">
      <c r="B14688" s="4"/>
      <c r="H14688" s="6"/>
      <c r="I14688" s="6"/>
    </row>
    <row r="14689" spans="2:9" x14ac:dyDescent="0.2">
      <c r="B14689" s="4"/>
      <c r="H14689" s="6"/>
      <c r="I14689" s="6"/>
    </row>
    <row r="14690" spans="2:9" x14ac:dyDescent="0.2">
      <c r="B14690" s="4"/>
      <c r="H14690" s="6"/>
      <c r="I14690" s="6"/>
    </row>
    <row r="14691" spans="2:9" x14ac:dyDescent="0.2">
      <c r="B14691" s="4"/>
      <c r="H14691" s="6"/>
      <c r="I14691" s="6"/>
    </row>
    <row r="14692" spans="2:9" x14ac:dyDescent="0.2">
      <c r="B14692" s="4"/>
      <c r="H14692" s="6"/>
      <c r="I14692" s="6"/>
    </row>
    <row r="14693" spans="2:9" x14ac:dyDescent="0.2">
      <c r="H14693" s="6"/>
      <c r="I14693" s="6"/>
    </row>
    <row r="14694" spans="2:9" x14ac:dyDescent="0.2">
      <c r="H14694" s="6"/>
      <c r="I14694" s="6"/>
    </row>
    <row r="14695" spans="2:9" x14ac:dyDescent="0.2">
      <c r="H14695" s="6"/>
      <c r="I14695" s="6"/>
    </row>
    <row r="14696" spans="2:9" x14ac:dyDescent="0.2">
      <c r="H14696" s="6"/>
      <c r="I14696" s="6"/>
    </row>
    <row r="14697" spans="2:9" x14ac:dyDescent="0.2">
      <c r="H14697" s="6"/>
      <c r="I14697" s="6"/>
    </row>
    <row r="14698" spans="2:9" x14ac:dyDescent="0.2">
      <c r="H14698" s="6"/>
      <c r="I14698" s="6"/>
    </row>
    <row r="14699" spans="2:9" x14ac:dyDescent="0.2">
      <c r="H14699" s="6"/>
      <c r="I14699" s="6"/>
    </row>
    <row r="14700" spans="2:9" x14ac:dyDescent="0.2">
      <c r="H14700" s="6"/>
      <c r="I14700" s="6"/>
    </row>
    <row r="14701" spans="2:9" x14ac:dyDescent="0.2">
      <c r="H14701" s="6"/>
      <c r="I14701" s="6"/>
    </row>
    <row r="14702" spans="2:9" x14ac:dyDescent="0.2">
      <c r="H14702" s="6"/>
      <c r="I14702" s="6"/>
    </row>
    <row r="14703" spans="2:9" x14ac:dyDescent="0.2">
      <c r="H14703" s="6"/>
      <c r="I14703" s="6"/>
    </row>
    <row r="14704" spans="2:9" x14ac:dyDescent="0.2">
      <c r="H14704" s="6"/>
      <c r="I14704" s="6"/>
    </row>
    <row r="14705" spans="2:9" x14ac:dyDescent="0.2">
      <c r="H14705" s="6"/>
      <c r="I14705" s="6"/>
    </row>
    <row r="14706" spans="2:9" x14ac:dyDescent="0.2">
      <c r="H14706" s="6"/>
      <c r="I14706" s="6"/>
    </row>
    <row r="14707" spans="2:9" x14ac:dyDescent="0.2">
      <c r="H14707" s="6"/>
      <c r="I14707" s="6"/>
    </row>
    <row r="14708" spans="2:9" x14ac:dyDescent="0.2">
      <c r="H14708" s="6"/>
      <c r="I14708" s="6"/>
    </row>
    <row r="14709" spans="2:9" x14ac:dyDescent="0.2">
      <c r="H14709" s="6"/>
      <c r="I14709" s="6"/>
    </row>
    <row r="14710" spans="2:9" x14ac:dyDescent="0.2">
      <c r="H14710" s="6"/>
      <c r="I14710" s="6"/>
    </row>
    <row r="14711" spans="2:9" x14ac:dyDescent="0.2">
      <c r="H14711" s="6"/>
      <c r="I14711" s="6"/>
    </row>
    <row r="14712" spans="2:9" x14ac:dyDescent="0.2">
      <c r="H14712" s="6"/>
      <c r="I14712" s="6"/>
    </row>
    <row r="14713" spans="2:9" x14ac:dyDescent="0.2">
      <c r="H14713" s="6"/>
      <c r="I14713" s="6"/>
    </row>
    <row r="14714" spans="2:9" x14ac:dyDescent="0.2">
      <c r="B14714" s="4"/>
      <c r="H14714" s="6"/>
      <c r="I14714" s="6"/>
    </row>
    <row r="14715" spans="2:9" x14ac:dyDescent="0.2">
      <c r="H14715" s="6"/>
      <c r="I14715" s="6"/>
    </row>
    <row r="14716" spans="2:9" x14ac:dyDescent="0.2">
      <c r="H14716" s="6"/>
      <c r="I14716" s="6"/>
    </row>
    <row r="14717" spans="2:9" x14ac:dyDescent="0.2">
      <c r="H14717" s="6"/>
      <c r="I14717" s="6"/>
    </row>
    <row r="14718" spans="2:9" x14ac:dyDescent="0.2">
      <c r="H14718" s="6"/>
      <c r="I14718" s="6"/>
    </row>
    <row r="14719" spans="2:9" x14ac:dyDescent="0.2">
      <c r="H14719" s="6"/>
      <c r="I14719" s="6"/>
    </row>
    <row r="14720" spans="2:9" x14ac:dyDescent="0.2">
      <c r="H14720" s="6"/>
      <c r="I14720" s="6"/>
    </row>
    <row r="14721" spans="8:9" x14ac:dyDescent="0.2">
      <c r="H14721" s="6"/>
      <c r="I14721" s="6"/>
    </row>
    <row r="14722" spans="8:9" x14ac:dyDescent="0.2">
      <c r="H14722" s="6"/>
      <c r="I14722" s="6"/>
    </row>
    <row r="14723" spans="8:9" x14ac:dyDescent="0.2">
      <c r="H14723" s="6"/>
      <c r="I14723" s="6"/>
    </row>
    <row r="14724" spans="8:9" x14ac:dyDescent="0.2">
      <c r="H14724" s="6"/>
      <c r="I14724" s="6"/>
    </row>
    <row r="14725" spans="8:9" x14ac:dyDescent="0.2">
      <c r="H14725" s="6"/>
      <c r="I14725" s="6"/>
    </row>
    <row r="14726" spans="8:9" x14ac:dyDescent="0.2">
      <c r="H14726" s="6"/>
      <c r="I14726" s="6"/>
    </row>
    <row r="14727" spans="8:9" x14ac:dyDescent="0.2">
      <c r="H14727" s="6"/>
      <c r="I14727" s="6"/>
    </row>
    <row r="14728" spans="8:9" x14ac:dyDescent="0.2">
      <c r="H14728" s="6"/>
      <c r="I14728" s="6"/>
    </row>
    <row r="14729" spans="8:9" x14ac:dyDescent="0.2">
      <c r="H14729" s="6"/>
      <c r="I14729" s="6"/>
    </row>
    <row r="14730" spans="8:9" x14ac:dyDescent="0.2">
      <c r="H14730" s="6"/>
      <c r="I14730" s="6"/>
    </row>
    <row r="14731" spans="8:9" x14ac:dyDescent="0.2">
      <c r="H14731" s="6"/>
      <c r="I14731" s="6"/>
    </row>
    <row r="14732" spans="8:9" x14ac:dyDescent="0.2">
      <c r="H14732" s="6"/>
      <c r="I14732" s="6"/>
    </row>
    <row r="14733" spans="8:9" x14ac:dyDescent="0.2">
      <c r="H14733" s="6"/>
      <c r="I14733" s="6"/>
    </row>
    <row r="14734" spans="8:9" x14ac:dyDescent="0.2">
      <c r="H14734" s="6"/>
      <c r="I14734" s="6"/>
    </row>
    <row r="14735" spans="8:9" x14ac:dyDescent="0.2">
      <c r="H14735" s="6"/>
      <c r="I14735" s="6"/>
    </row>
    <row r="14736" spans="8:9" x14ac:dyDescent="0.2">
      <c r="H14736" s="6"/>
      <c r="I14736" s="6"/>
    </row>
    <row r="14737" spans="8:9" x14ac:dyDescent="0.2">
      <c r="H14737" s="6"/>
      <c r="I14737" s="6"/>
    </row>
    <row r="14738" spans="8:9" x14ac:dyDescent="0.2">
      <c r="H14738" s="6"/>
      <c r="I14738" s="6"/>
    </row>
    <row r="14739" spans="8:9" x14ac:dyDescent="0.2">
      <c r="H14739" s="6"/>
      <c r="I14739" s="6"/>
    </row>
    <row r="14740" spans="8:9" x14ac:dyDescent="0.2">
      <c r="H14740" s="6"/>
      <c r="I14740" s="6"/>
    </row>
    <row r="14741" spans="8:9" x14ac:dyDescent="0.2">
      <c r="H14741" s="6"/>
      <c r="I14741" s="6"/>
    </row>
    <row r="14742" spans="8:9" x14ac:dyDescent="0.2">
      <c r="H14742" s="6"/>
      <c r="I14742" s="6"/>
    </row>
    <row r="14743" spans="8:9" x14ac:dyDescent="0.2">
      <c r="H14743" s="6"/>
      <c r="I14743" s="6"/>
    </row>
  </sheetData>
  <autoFilter ref="A7:J7" xr:uid="{F26766C0-962F-41F2-84A2-CE3B3253D192}">
    <sortState xmlns:xlrd2="http://schemas.microsoft.com/office/spreadsheetml/2017/richdata2" ref="A8:J14743">
      <sortCondition ref="D7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0A854-D0DC-4B11-8F4B-E628A7900680}">
  <dimension ref="A1:H105"/>
  <sheetViews>
    <sheetView workbookViewId="0">
      <selection sqref="A1:H1"/>
    </sheetView>
  </sheetViews>
  <sheetFormatPr defaultRowHeight="15" x14ac:dyDescent="0.25"/>
  <cols>
    <col min="1" max="1" width="6.140625" bestFit="1" customWidth="1"/>
    <col min="2" max="2" width="22.28515625" bestFit="1" customWidth="1"/>
    <col min="3" max="3" width="11.28515625" bestFit="1" customWidth="1"/>
    <col min="4" max="4" width="120.42578125" bestFit="1" customWidth="1"/>
    <col min="7" max="7" width="13.140625" bestFit="1" customWidth="1"/>
  </cols>
  <sheetData>
    <row r="1" spans="1:8" x14ac:dyDescent="0.25">
      <c r="A1" s="9" t="s">
        <v>3821</v>
      </c>
      <c r="B1" s="9" t="s">
        <v>3379</v>
      </c>
      <c r="C1" s="9" t="s">
        <v>3380</v>
      </c>
      <c r="D1" s="9" t="s">
        <v>3408</v>
      </c>
      <c r="E1" s="9" t="s">
        <v>3409</v>
      </c>
      <c r="F1" s="9" t="s">
        <v>3410</v>
      </c>
      <c r="G1" s="9" t="s">
        <v>3411</v>
      </c>
      <c r="H1" s="9" t="s">
        <v>3412</v>
      </c>
    </row>
    <row r="2" spans="1:8" x14ac:dyDescent="0.25">
      <c r="A2">
        <v>1</v>
      </c>
      <c r="B2" t="s">
        <v>3413</v>
      </c>
      <c r="C2" t="s">
        <v>3414</v>
      </c>
      <c r="D2" t="s">
        <v>3415</v>
      </c>
      <c r="E2">
        <v>-24.908087271300001</v>
      </c>
      <c r="F2">
        <v>-20.7170276895</v>
      </c>
      <c r="G2" t="s">
        <v>3416</v>
      </c>
      <c r="H2" t="s">
        <v>3417</v>
      </c>
    </row>
    <row r="3" spans="1:8" x14ac:dyDescent="0.25">
      <c r="A3">
        <v>1</v>
      </c>
      <c r="B3" t="s">
        <v>3413</v>
      </c>
      <c r="C3" t="s">
        <v>3418</v>
      </c>
      <c r="D3" t="s">
        <v>3419</v>
      </c>
      <c r="E3">
        <v>-23.835900909300001</v>
      </c>
      <c r="F3">
        <v>-19.9458713231</v>
      </c>
      <c r="G3" t="s">
        <v>3420</v>
      </c>
      <c r="H3" t="s">
        <v>3421</v>
      </c>
    </row>
    <row r="4" spans="1:8" x14ac:dyDescent="0.25">
      <c r="A4">
        <v>1</v>
      </c>
      <c r="B4" t="s">
        <v>3413</v>
      </c>
      <c r="C4" t="s">
        <v>3422</v>
      </c>
      <c r="D4" t="s">
        <v>3423</v>
      </c>
      <c r="E4">
        <v>-22.427622831000001</v>
      </c>
      <c r="F4">
        <v>-18.713684503900001</v>
      </c>
      <c r="G4" t="s">
        <v>3424</v>
      </c>
      <c r="H4" t="s">
        <v>3425</v>
      </c>
    </row>
    <row r="5" spans="1:8" x14ac:dyDescent="0.25">
      <c r="A5">
        <v>1</v>
      </c>
      <c r="B5" t="s">
        <v>3413</v>
      </c>
      <c r="C5" t="s">
        <v>3426</v>
      </c>
      <c r="D5" t="s">
        <v>3427</v>
      </c>
      <c r="E5">
        <v>-21.079013897100001</v>
      </c>
      <c r="F5">
        <v>-17.490014306599999</v>
      </c>
      <c r="G5" t="s">
        <v>3428</v>
      </c>
      <c r="H5" t="s">
        <v>3429</v>
      </c>
    </row>
    <row r="6" spans="1:8" x14ac:dyDescent="0.25">
      <c r="A6">
        <v>1</v>
      </c>
      <c r="B6" t="s">
        <v>3413</v>
      </c>
      <c r="C6" t="s">
        <v>3430</v>
      </c>
      <c r="D6" t="s">
        <v>3431</v>
      </c>
      <c r="E6">
        <v>-19.888939298099999</v>
      </c>
      <c r="F6">
        <v>-16.396849720700001</v>
      </c>
      <c r="G6" t="s">
        <v>3432</v>
      </c>
      <c r="H6" t="s">
        <v>3433</v>
      </c>
    </row>
    <row r="7" spans="1:8" x14ac:dyDescent="0.25">
      <c r="A7">
        <v>1</v>
      </c>
      <c r="B7" t="s">
        <v>3413</v>
      </c>
      <c r="C7" t="s">
        <v>3434</v>
      </c>
      <c r="D7" t="s">
        <v>3435</v>
      </c>
      <c r="E7">
        <v>-19.2514447965</v>
      </c>
      <c r="F7">
        <v>-15.838536465100001</v>
      </c>
      <c r="G7" t="s">
        <v>3436</v>
      </c>
      <c r="H7" t="s">
        <v>3437</v>
      </c>
    </row>
    <row r="8" spans="1:8" x14ac:dyDescent="0.25">
      <c r="A8">
        <v>1</v>
      </c>
      <c r="B8" t="s">
        <v>3413</v>
      </c>
      <c r="C8" t="s">
        <v>3438</v>
      </c>
      <c r="D8" t="s">
        <v>3439</v>
      </c>
      <c r="E8">
        <v>-18.3009603436</v>
      </c>
      <c r="F8">
        <v>-14.9549988018</v>
      </c>
      <c r="G8" t="s">
        <v>3440</v>
      </c>
      <c r="H8" t="s">
        <v>3441</v>
      </c>
    </row>
    <row r="9" spans="1:8" x14ac:dyDescent="0.25">
      <c r="A9">
        <v>1</v>
      </c>
      <c r="B9" t="s">
        <v>3413</v>
      </c>
      <c r="C9" t="s">
        <v>3442</v>
      </c>
      <c r="D9" t="s">
        <v>3443</v>
      </c>
      <c r="E9">
        <v>-18.1636342828</v>
      </c>
      <c r="F9">
        <v>-14.875664687900001</v>
      </c>
      <c r="G9" t="s">
        <v>3444</v>
      </c>
      <c r="H9" t="s">
        <v>3445</v>
      </c>
    </row>
    <row r="10" spans="1:8" x14ac:dyDescent="0.25">
      <c r="A10">
        <v>1</v>
      </c>
      <c r="B10" t="s">
        <v>3413</v>
      </c>
      <c r="C10" t="s">
        <v>3446</v>
      </c>
      <c r="D10" t="s">
        <v>3447</v>
      </c>
      <c r="E10">
        <v>-15.757967736599999</v>
      </c>
      <c r="F10">
        <v>-12.6071169955</v>
      </c>
      <c r="G10" t="s">
        <v>3448</v>
      </c>
      <c r="H10" t="s">
        <v>3449</v>
      </c>
    </row>
    <row r="11" spans="1:8" x14ac:dyDescent="0.25">
      <c r="A11">
        <v>1</v>
      </c>
      <c r="B11" t="s">
        <v>3413</v>
      </c>
      <c r="C11" t="s">
        <v>3450</v>
      </c>
      <c r="D11" t="s">
        <v>3451</v>
      </c>
      <c r="E11">
        <v>-15.7567838921</v>
      </c>
      <c r="F11">
        <v>-12.6071169955</v>
      </c>
      <c r="G11" t="s">
        <v>3452</v>
      </c>
      <c r="H11" t="s">
        <v>3453</v>
      </c>
    </row>
    <row r="12" spans="1:8" x14ac:dyDescent="0.25">
      <c r="A12">
        <v>1</v>
      </c>
      <c r="B12" t="s">
        <v>3413</v>
      </c>
      <c r="C12" t="s">
        <v>3454</v>
      </c>
      <c r="D12" t="s">
        <v>3455</v>
      </c>
      <c r="E12">
        <v>-14.2074808301</v>
      </c>
      <c r="F12">
        <v>-11.162549284000001</v>
      </c>
      <c r="G12" t="s">
        <v>3456</v>
      </c>
      <c r="H12" t="s">
        <v>3457</v>
      </c>
    </row>
    <row r="13" spans="1:8" x14ac:dyDescent="0.25">
      <c r="A13">
        <v>1</v>
      </c>
      <c r="B13" t="s">
        <v>3413</v>
      </c>
      <c r="C13" t="s">
        <v>3458</v>
      </c>
      <c r="D13" t="s">
        <v>3459</v>
      </c>
      <c r="E13">
        <v>-14.129022063400001</v>
      </c>
      <c r="F13">
        <v>-11.114053740599999</v>
      </c>
      <c r="G13" t="s">
        <v>3460</v>
      </c>
      <c r="H13" t="s">
        <v>3461</v>
      </c>
    </row>
    <row r="14" spans="1:8" x14ac:dyDescent="0.25">
      <c r="A14">
        <v>1</v>
      </c>
      <c r="B14" t="s">
        <v>3413</v>
      </c>
      <c r="C14" t="s">
        <v>3462</v>
      </c>
      <c r="D14" t="s">
        <v>3463</v>
      </c>
      <c r="E14">
        <v>-13.407598091400001</v>
      </c>
      <c r="F14">
        <v>-10.5175685052</v>
      </c>
      <c r="G14" t="s">
        <v>3464</v>
      </c>
      <c r="H14" t="s">
        <v>3465</v>
      </c>
    </row>
    <row r="15" spans="1:8" x14ac:dyDescent="0.25">
      <c r="A15">
        <v>1</v>
      </c>
      <c r="B15" t="s">
        <v>3413</v>
      </c>
      <c r="C15" t="s">
        <v>3466</v>
      </c>
      <c r="D15" t="s">
        <v>3467</v>
      </c>
      <c r="E15">
        <v>-13.0580934134</v>
      </c>
      <c r="F15">
        <v>-10.191095539699999</v>
      </c>
      <c r="G15" t="s">
        <v>3468</v>
      </c>
      <c r="H15" t="s">
        <v>3469</v>
      </c>
    </row>
    <row r="16" spans="1:8" x14ac:dyDescent="0.25">
      <c r="A16">
        <v>1</v>
      </c>
      <c r="B16" t="s">
        <v>3413</v>
      </c>
      <c r="C16" t="s">
        <v>3470</v>
      </c>
      <c r="D16" t="s">
        <v>3471</v>
      </c>
      <c r="E16">
        <v>-12.849316766299999</v>
      </c>
      <c r="F16">
        <v>-10.056197193099999</v>
      </c>
      <c r="G16" t="s">
        <v>3472</v>
      </c>
      <c r="H16" t="s">
        <v>3473</v>
      </c>
    </row>
    <row r="17" spans="1:8" x14ac:dyDescent="0.25">
      <c r="A17">
        <v>1</v>
      </c>
      <c r="B17" t="s">
        <v>3413</v>
      </c>
      <c r="C17" t="s">
        <v>3474</v>
      </c>
      <c r="D17" t="s">
        <v>3475</v>
      </c>
      <c r="E17">
        <v>-12.696236974</v>
      </c>
      <c r="F17">
        <v>-9.9675753900000004</v>
      </c>
      <c r="G17" t="s">
        <v>3476</v>
      </c>
      <c r="H17" t="s">
        <v>3477</v>
      </c>
    </row>
    <row r="18" spans="1:8" x14ac:dyDescent="0.25">
      <c r="A18">
        <v>2</v>
      </c>
      <c r="B18" t="s">
        <v>3413</v>
      </c>
      <c r="C18" t="s">
        <v>3478</v>
      </c>
      <c r="D18" t="s">
        <v>3479</v>
      </c>
      <c r="E18">
        <v>-16.1735259503</v>
      </c>
      <c r="F18">
        <v>-12.936708877999999</v>
      </c>
      <c r="G18" t="s">
        <v>3480</v>
      </c>
      <c r="H18" t="s">
        <v>3481</v>
      </c>
    </row>
    <row r="19" spans="1:8" x14ac:dyDescent="0.25">
      <c r="A19">
        <v>2</v>
      </c>
      <c r="B19" t="s">
        <v>3413</v>
      </c>
      <c r="C19" t="s">
        <v>3482</v>
      </c>
      <c r="D19" t="s">
        <v>3483</v>
      </c>
      <c r="E19">
        <v>-13.563347755600001</v>
      </c>
      <c r="F19">
        <v>-10.6275606789</v>
      </c>
      <c r="G19" t="s">
        <v>3484</v>
      </c>
      <c r="H19" t="s">
        <v>3485</v>
      </c>
    </row>
    <row r="20" spans="1:8" x14ac:dyDescent="0.25">
      <c r="A20">
        <v>2</v>
      </c>
      <c r="B20" t="s">
        <v>3413</v>
      </c>
      <c r="C20" t="s">
        <v>3486</v>
      </c>
      <c r="D20" t="s">
        <v>3487</v>
      </c>
      <c r="E20">
        <v>-12.159180880299999</v>
      </c>
      <c r="F20">
        <v>-9.4594829922999999</v>
      </c>
      <c r="G20" t="s">
        <v>3488</v>
      </c>
      <c r="H20" t="s">
        <v>3489</v>
      </c>
    </row>
    <row r="21" spans="1:8" x14ac:dyDescent="0.25">
      <c r="A21">
        <v>3</v>
      </c>
      <c r="B21" t="s">
        <v>3413</v>
      </c>
      <c r="C21" t="s">
        <v>3490</v>
      </c>
      <c r="D21" t="s">
        <v>3491</v>
      </c>
      <c r="E21">
        <v>-14.6441851318</v>
      </c>
      <c r="F21">
        <v>-11.532306796</v>
      </c>
      <c r="G21" t="s">
        <v>3492</v>
      </c>
      <c r="H21" t="s">
        <v>3493</v>
      </c>
    </row>
    <row r="22" spans="1:8" x14ac:dyDescent="0.25">
      <c r="A22">
        <v>3</v>
      </c>
      <c r="B22" t="s">
        <v>3413</v>
      </c>
      <c r="C22" t="s">
        <v>3494</v>
      </c>
      <c r="D22" t="s">
        <v>3495</v>
      </c>
      <c r="E22">
        <v>-12.0428192868</v>
      </c>
      <c r="F22">
        <v>-9.3702736448999993</v>
      </c>
      <c r="G22" t="s">
        <v>3496</v>
      </c>
      <c r="H22" t="s">
        <v>3497</v>
      </c>
    </row>
    <row r="23" spans="1:8" x14ac:dyDescent="0.25">
      <c r="A23">
        <v>3</v>
      </c>
      <c r="B23" t="s">
        <v>3413</v>
      </c>
      <c r="C23" t="s">
        <v>3498</v>
      </c>
      <c r="D23" t="s">
        <v>3499</v>
      </c>
      <c r="E23">
        <v>-9.1601945196999992</v>
      </c>
      <c r="F23">
        <v>-6.7096590318000002</v>
      </c>
      <c r="G23" t="s">
        <v>3500</v>
      </c>
      <c r="H23" t="s">
        <v>3501</v>
      </c>
    </row>
    <row r="24" spans="1:8" x14ac:dyDescent="0.25">
      <c r="A24">
        <v>4</v>
      </c>
      <c r="B24" t="s">
        <v>3413</v>
      </c>
      <c r="C24" t="s">
        <v>3502</v>
      </c>
      <c r="D24" t="s">
        <v>3503</v>
      </c>
      <c r="E24">
        <v>-14.313910681899999</v>
      </c>
      <c r="F24">
        <v>-11.2367944524</v>
      </c>
      <c r="G24" t="s">
        <v>3504</v>
      </c>
      <c r="H24" t="s">
        <v>3505</v>
      </c>
    </row>
    <row r="25" spans="1:8" x14ac:dyDescent="0.25">
      <c r="A25">
        <v>4</v>
      </c>
      <c r="B25" t="s">
        <v>3413</v>
      </c>
      <c r="C25" t="s">
        <v>3506</v>
      </c>
      <c r="D25" t="s">
        <v>3507</v>
      </c>
      <c r="E25">
        <v>-8.0346182948999996</v>
      </c>
      <c r="F25">
        <v>-5.7127904328000003</v>
      </c>
      <c r="G25" t="s">
        <v>3508</v>
      </c>
      <c r="H25" t="s">
        <v>3509</v>
      </c>
    </row>
    <row r="26" spans="1:8" x14ac:dyDescent="0.25">
      <c r="A26">
        <v>5</v>
      </c>
      <c r="B26" t="s">
        <v>3413</v>
      </c>
      <c r="C26" t="s">
        <v>3510</v>
      </c>
      <c r="D26" t="s">
        <v>3511</v>
      </c>
      <c r="E26">
        <v>-13.880251495</v>
      </c>
      <c r="F26">
        <v>-10.8933118959</v>
      </c>
      <c r="G26" t="s">
        <v>3512</v>
      </c>
      <c r="H26" t="s">
        <v>3513</v>
      </c>
    </row>
    <row r="27" spans="1:8" x14ac:dyDescent="0.25">
      <c r="A27">
        <v>5</v>
      </c>
      <c r="B27" t="s">
        <v>3413</v>
      </c>
      <c r="C27" t="s">
        <v>3514</v>
      </c>
      <c r="D27" t="s">
        <v>3515</v>
      </c>
      <c r="E27">
        <v>-12.873629147600001</v>
      </c>
      <c r="F27">
        <v>-10.062780807499999</v>
      </c>
      <c r="G27" t="s">
        <v>3516</v>
      </c>
      <c r="H27" t="s">
        <v>3513</v>
      </c>
    </row>
    <row r="28" spans="1:8" x14ac:dyDescent="0.25">
      <c r="A28">
        <v>5</v>
      </c>
      <c r="B28" t="s">
        <v>3413</v>
      </c>
      <c r="C28" t="s">
        <v>3517</v>
      </c>
      <c r="D28" t="s">
        <v>3518</v>
      </c>
      <c r="E28">
        <v>-12.7306970984</v>
      </c>
      <c r="F28">
        <v>-9.9867955478999999</v>
      </c>
      <c r="G28" t="s">
        <v>3519</v>
      </c>
      <c r="H28" t="s">
        <v>3520</v>
      </c>
    </row>
    <row r="29" spans="1:8" x14ac:dyDescent="0.25">
      <c r="A29">
        <v>5</v>
      </c>
      <c r="B29" t="s">
        <v>3413</v>
      </c>
      <c r="C29" t="s">
        <v>3521</v>
      </c>
      <c r="D29" t="s">
        <v>3522</v>
      </c>
      <c r="E29">
        <v>-6.4505531498000002</v>
      </c>
      <c r="F29">
        <v>-4.3493986794000001</v>
      </c>
      <c r="G29" t="s">
        <v>3523</v>
      </c>
      <c r="H29" t="s">
        <v>3524</v>
      </c>
    </row>
    <row r="30" spans="1:8" x14ac:dyDescent="0.25">
      <c r="A30">
        <v>6</v>
      </c>
      <c r="B30" t="s">
        <v>3413</v>
      </c>
      <c r="C30" t="s">
        <v>3525</v>
      </c>
      <c r="D30" t="s">
        <v>3526</v>
      </c>
      <c r="E30">
        <v>-13.67744896</v>
      </c>
      <c r="F30">
        <v>-10.716838299599999</v>
      </c>
      <c r="G30" t="s">
        <v>3527</v>
      </c>
      <c r="H30" t="s">
        <v>3528</v>
      </c>
    </row>
    <row r="31" spans="1:8" x14ac:dyDescent="0.25">
      <c r="A31">
        <v>6</v>
      </c>
      <c r="B31" t="s">
        <v>3413</v>
      </c>
      <c r="C31" t="s">
        <v>3529</v>
      </c>
      <c r="D31" t="s">
        <v>3530</v>
      </c>
      <c r="E31">
        <v>-11.3317358816</v>
      </c>
      <c r="F31">
        <v>-8.6969788005000002</v>
      </c>
      <c r="G31" t="s">
        <v>3531</v>
      </c>
      <c r="H31" t="s">
        <v>3532</v>
      </c>
    </row>
    <row r="32" spans="1:8" x14ac:dyDescent="0.25">
      <c r="A32">
        <v>6</v>
      </c>
      <c r="B32" t="s">
        <v>3413</v>
      </c>
      <c r="C32" t="s">
        <v>3533</v>
      </c>
      <c r="D32" t="s">
        <v>3534</v>
      </c>
      <c r="E32">
        <v>-11.274569491199999</v>
      </c>
      <c r="F32">
        <v>-8.6517116333999997</v>
      </c>
      <c r="G32" t="s">
        <v>3535</v>
      </c>
      <c r="H32" t="s">
        <v>3532</v>
      </c>
    </row>
    <row r="33" spans="1:8" x14ac:dyDescent="0.25">
      <c r="A33">
        <v>6</v>
      </c>
      <c r="B33" t="s">
        <v>3413</v>
      </c>
      <c r="C33" t="s">
        <v>3536</v>
      </c>
      <c r="D33" t="s">
        <v>3537</v>
      </c>
      <c r="E33">
        <v>-7.7600208065</v>
      </c>
      <c r="F33">
        <v>-5.4720512117000002</v>
      </c>
      <c r="G33" t="s">
        <v>3538</v>
      </c>
      <c r="H33" t="s">
        <v>3539</v>
      </c>
    </row>
    <row r="34" spans="1:8" x14ac:dyDescent="0.25">
      <c r="A34">
        <v>6</v>
      </c>
      <c r="B34" t="s">
        <v>3413</v>
      </c>
      <c r="C34" t="s">
        <v>3540</v>
      </c>
      <c r="D34" t="s">
        <v>3541</v>
      </c>
      <c r="E34">
        <v>-6.5182249622999997</v>
      </c>
      <c r="F34">
        <v>-4.3975145621999996</v>
      </c>
      <c r="G34" t="s">
        <v>3542</v>
      </c>
      <c r="H34" t="s">
        <v>3543</v>
      </c>
    </row>
    <row r="35" spans="1:8" x14ac:dyDescent="0.25">
      <c r="A35">
        <v>6</v>
      </c>
      <c r="B35" t="s">
        <v>3413</v>
      </c>
      <c r="C35" t="s">
        <v>3544</v>
      </c>
      <c r="D35" t="s">
        <v>3545</v>
      </c>
      <c r="E35">
        <v>-6.2834139618</v>
      </c>
      <c r="F35">
        <v>-4.2290749471</v>
      </c>
      <c r="G35" t="s">
        <v>3546</v>
      </c>
      <c r="H35" t="s">
        <v>3547</v>
      </c>
    </row>
    <row r="36" spans="1:8" x14ac:dyDescent="0.25">
      <c r="A36">
        <v>7</v>
      </c>
      <c r="B36" t="s">
        <v>3413</v>
      </c>
      <c r="C36" t="s">
        <v>3548</v>
      </c>
      <c r="D36" t="s">
        <v>3549</v>
      </c>
      <c r="E36">
        <v>-13.526585259799999</v>
      </c>
      <c r="F36">
        <v>-10.6142792789</v>
      </c>
      <c r="G36" t="s">
        <v>3550</v>
      </c>
      <c r="H36" t="s">
        <v>3551</v>
      </c>
    </row>
    <row r="37" spans="1:8" x14ac:dyDescent="0.25">
      <c r="A37">
        <v>7</v>
      </c>
      <c r="B37" t="s">
        <v>3413</v>
      </c>
      <c r="C37" t="s">
        <v>3552</v>
      </c>
      <c r="D37" t="s">
        <v>3553</v>
      </c>
      <c r="E37">
        <v>-6.4505531498000002</v>
      </c>
      <c r="F37">
        <v>-4.3493986794000001</v>
      </c>
      <c r="G37" t="s">
        <v>3523</v>
      </c>
      <c r="H37" t="s">
        <v>3554</v>
      </c>
    </row>
    <row r="38" spans="1:8" x14ac:dyDescent="0.25">
      <c r="A38">
        <v>8</v>
      </c>
      <c r="B38" t="s">
        <v>3413</v>
      </c>
      <c r="C38" t="s">
        <v>3555</v>
      </c>
      <c r="D38" t="s">
        <v>3556</v>
      </c>
      <c r="E38">
        <v>-13.0397324407</v>
      </c>
      <c r="F38">
        <v>-10.191095539699999</v>
      </c>
      <c r="G38" t="s">
        <v>3557</v>
      </c>
      <c r="H38" t="s">
        <v>3558</v>
      </c>
    </row>
    <row r="39" spans="1:8" x14ac:dyDescent="0.25">
      <c r="A39">
        <v>8</v>
      </c>
      <c r="B39" t="s">
        <v>3413</v>
      </c>
      <c r="C39" t="s">
        <v>3559</v>
      </c>
      <c r="D39" t="s">
        <v>3560</v>
      </c>
      <c r="E39">
        <v>-12.812322292599999</v>
      </c>
      <c r="F39">
        <v>-10.0362360587</v>
      </c>
      <c r="G39" t="s">
        <v>3561</v>
      </c>
      <c r="H39" t="s">
        <v>3558</v>
      </c>
    </row>
    <row r="40" spans="1:8" x14ac:dyDescent="0.25">
      <c r="A40">
        <v>8</v>
      </c>
      <c r="B40" t="s">
        <v>3413</v>
      </c>
      <c r="C40" t="s">
        <v>3562</v>
      </c>
      <c r="D40" t="s">
        <v>3563</v>
      </c>
      <c r="E40">
        <v>-12.760926694</v>
      </c>
      <c r="F40">
        <v>-10.001230876299999</v>
      </c>
      <c r="G40" t="s">
        <v>3564</v>
      </c>
      <c r="H40" t="s">
        <v>3565</v>
      </c>
    </row>
    <row r="41" spans="1:8" x14ac:dyDescent="0.25">
      <c r="A41">
        <v>8</v>
      </c>
      <c r="B41" t="s">
        <v>3413</v>
      </c>
      <c r="C41" t="s">
        <v>3566</v>
      </c>
      <c r="D41" t="s">
        <v>3567</v>
      </c>
      <c r="E41">
        <v>-10.701889980200001</v>
      </c>
      <c r="F41">
        <v>-8.1236142550999997</v>
      </c>
      <c r="G41" t="s">
        <v>3568</v>
      </c>
      <c r="H41" t="s">
        <v>3569</v>
      </c>
    </row>
    <row r="42" spans="1:8" x14ac:dyDescent="0.25">
      <c r="A42">
        <v>8</v>
      </c>
      <c r="B42" t="s">
        <v>3413</v>
      </c>
      <c r="C42" t="s">
        <v>3570</v>
      </c>
      <c r="D42" t="s">
        <v>3571</v>
      </c>
      <c r="E42">
        <v>-10.5201094558</v>
      </c>
      <c r="F42">
        <v>-7.9625183294999999</v>
      </c>
      <c r="G42" t="s">
        <v>3572</v>
      </c>
      <c r="H42" t="s">
        <v>3569</v>
      </c>
    </row>
    <row r="43" spans="1:8" x14ac:dyDescent="0.25">
      <c r="A43">
        <v>8</v>
      </c>
      <c r="B43" t="s">
        <v>3413</v>
      </c>
      <c r="C43" t="s">
        <v>3573</v>
      </c>
      <c r="D43" t="s">
        <v>3574</v>
      </c>
      <c r="E43">
        <v>-8.7508178548999993</v>
      </c>
      <c r="F43">
        <v>-6.3659382469999999</v>
      </c>
      <c r="G43" t="s">
        <v>3575</v>
      </c>
      <c r="H43" t="s">
        <v>3576</v>
      </c>
    </row>
    <row r="44" spans="1:8" x14ac:dyDescent="0.25">
      <c r="A44">
        <v>9</v>
      </c>
      <c r="B44" t="s">
        <v>3413</v>
      </c>
      <c r="C44" t="s">
        <v>3577</v>
      </c>
      <c r="D44" t="s">
        <v>3578</v>
      </c>
      <c r="E44">
        <v>-12.876626694400001</v>
      </c>
      <c r="F44">
        <v>-10.062780807499999</v>
      </c>
      <c r="G44" t="s">
        <v>3579</v>
      </c>
      <c r="H44" t="s">
        <v>3580</v>
      </c>
    </row>
    <row r="45" spans="1:8" x14ac:dyDescent="0.25">
      <c r="A45">
        <v>9</v>
      </c>
      <c r="B45" t="s">
        <v>3413</v>
      </c>
      <c r="C45" t="s">
        <v>3581</v>
      </c>
      <c r="D45" t="s">
        <v>3582</v>
      </c>
      <c r="E45">
        <v>-11.2384782108</v>
      </c>
      <c r="F45">
        <v>-8.6384832360000008</v>
      </c>
      <c r="G45" t="s">
        <v>3583</v>
      </c>
      <c r="H45" t="s">
        <v>3584</v>
      </c>
    </row>
    <row r="46" spans="1:8" x14ac:dyDescent="0.25">
      <c r="A46">
        <v>9</v>
      </c>
      <c r="B46" t="s">
        <v>3413</v>
      </c>
      <c r="C46" t="s">
        <v>3585</v>
      </c>
      <c r="D46" t="s">
        <v>3586</v>
      </c>
      <c r="E46">
        <v>-11.0051358852</v>
      </c>
      <c r="F46">
        <v>-8.4161362946999994</v>
      </c>
      <c r="G46" t="s">
        <v>3587</v>
      </c>
      <c r="H46" t="s">
        <v>3588</v>
      </c>
    </row>
    <row r="47" spans="1:8" x14ac:dyDescent="0.25">
      <c r="A47">
        <v>9</v>
      </c>
      <c r="B47" t="s">
        <v>3413</v>
      </c>
      <c r="C47" t="s">
        <v>3589</v>
      </c>
      <c r="D47" t="s">
        <v>3590</v>
      </c>
      <c r="E47">
        <v>-7.3629753377</v>
      </c>
      <c r="F47">
        <v>-5.1168989995</v>
      </c>
      <c r="G47" t="s">
        <v>3591</v>
      </c>
      <c r="H47" t="s">
        <v>3592</v>
      </c>
    </row>
    <row r="48" spans="1:8" x14ac:dyDescent="0.25">
      <c r="A48">
        <v>9</v>
      </c>
      <c r="B48" t="s">
        <v>3413</v>
      </c>
      <c r="C48" t="s">
        <v>3593</v>
      </c>
      <c r="D48" t="s">
        <v>3594</v>
      </c>
      <c r="E48">
        <v>-6.3468790991999997</v>
      </c>
      <c r="F48">
        <v>-4.2697628696000001</v>
      </c>
      <c r="G48" t="s">
        <v>3595</v>
      </c>
      <c r="H48" t="s">
        <v>3596</v>
      </c>
    </row>
    <row r="49" spans="1:8" x14ac:dyDescent="0.25">
      <c r="A49">
        <v>9</v>
      </c>
      <c r="B49" t="s">
        <v>3413</v>
      </c>
      <c r="C49" t="s">
        <v>3597</v>
      </c>
      <c r="D49" t="s">
        <v>3598</v>
      </c>
      <c r="E49">
        <v>-6.0057470275</v>
      </c>
      <c r="F49">
        <v>-4.0022081665</v>
      </c>
      <c r="G49" t="s">
        <v>3599</v>
      </c>
      <c r="H49" t="s">
        <v>3600</v>
      </c>
    </row>
    <row r="50" spans="1:8" x14ac:dyDescent="0.25">
      <c r="A50">
        <v>10</v>
      </c>
      <c r="B50" t="s">
        <v>3413</v>
      </c>
      <c r="C50" t="s">
        <v>3601</v>
      </c>
      <c r="D50" t="s">
        <v>3602</v>
      </c>
      <c r="E50">
        <v>-12.4839084774</v>
      </c>
      <c r="F50">
        <v>-9.7699701503000007</v>
      </c>
      <c r="G50" t="s">
        <v>3603</v>
      </c>
      <c r="H50" t="s">
        <v>3604</v>
      </c>
    </row>
    <row r="51" spans="1:8" x14ac:dyDescent="0.25">
      <c r="A51">
        <v>10</v>
      </c>
      <c r="B51" t="s">
        <v>3413</v>
      </c>
      <c r="C51" t="s">
        <v>3605</v>
      </c>
      <c r="D51" t="s">
        <v>3606</v>
      </c>
      <c r="E51">
        <v>-12.1395484155</v>
      </c>
      <c r="F51">
        <v>-9.4536388119999994</v>
      </c>
      <c r="G51" t="s">
        <v>3607</v>
      </c>
      <c r="H51" t="s">
        <v>3608</v>
      </c>
    </row>
    <row r="52" spans="1:8" x14ac:dyDescent="0.25">
      <c r="A52">
        <v>10</v>
      </c>
      <c r="B52" t="s">
        <v>3413</v>
      </c>
      <c r="C52" t="s">
        <v>3609</v>
      </c>
      <c r="D52" t="s">
        <v>3610</v>
      </c>
      <c r="E52">
        <v>-9.1280264421999995</v>
      </c>
      <c r="F52">
        <v>-6.6928417160000002</v>
      </c>
      <c r="G52" t="s">
        <v>3611</v>
      </c>
      <c r="H52" t="s">
        <v>3612</v>
      </c>
    </row>
    <row r="53" spans="1:8" x14ac:dyDescent="0.25">
      <c r="A53">
        <v>10</v>
      </c>
      <c r="B53" t="s">
        <v>3413</v>
      </c>
      <c r="C53" t="s">
        <v>3613</v>
      </c>
      <c r="D53" t="s">
        <v>3614</v>
      </c>
      <c r="E53">
        <v>-8.9983412881000007</v>
      </c>
      <c r="F53">
        <v>-6.5781337179000001</v>
      </c>
      <c r="G53" t="s">
        <v>3615</v>
      </c>
      <c r="H53" t="s">
        <v>3616</v>
      </c>
    </row>
    <row r="54" spans="1:8" x14ac:dyDescent="0.25">
      <c r="A54">
        <v>10</v>
      </c>
      <c r="B54" t="s">
        <v>3413</v>
      </c>
      <c r="C54" t="s">
        <v>3617</v>
      </c>
      <c r="D54" t="s">
        <v>3618</v>
      </c>
      <c r="E54">
        <v>-8.4494424415000005</v>
      </c>
      <c r="F54">
        <v>-6.1005673363000001</v>
      </c>
      <c r="G54" t="s">
        <v>3619</v>
      </c>
      <c r="H54" t="s">
        <v>3620</v>
      </c>
    </row>
    <row r="55" spans="1:8" x14ac:dyDescent="0.25">
      <c r="A55">
        <v>10</v>
      </c>
      <c r="B55" t="s">
        <v>3413</v>
      </c>
      <c r="C55" t="s">
        <v>3621</v>
      </c>
      <c r="D55" t="s">
        <v>3622</v>
      </c>
      <c r="E55">
        <v>-7.3138739813999996</v>
      </c>
      <c r="F55">
        <v>-5.0959422531999996</v>
      </c>
      <c r="G55" t="s">
        <v>3623</v>
      </c>
      <c r="H55" t="s">
        <v>3624</v>
      </c>
    </row>
    <row r="56" spans="1:8" x14ac:dyDescent="0.25">
      <c r="A56">
        <v>10</v>
      </c>
      <c r="B56" t="s">
        <v>3413</v>
      </c>
      <c r="C56" t="s">
        <v>3625</v>
      </c>
      <c r="D56" t="s">
        <v>3626</v>
      </c>
      <c r="E56">
        <v>-6.8358368988000002</v>
      </c>
      <c r="F56">
        <v>-4.6533774887000003</v>
      </c>
      <c r="G56" t="s">
        <v>3627</v>
      </c>
      <c r="H56" t="s">
        <v>3628</v>
      </c>
    </row>
    <row r="57" spans="1:8" x14ac:dyDescent="0.25">
      <c r="A57">
        <v>10</v>
      </c>
      <c r="B57" t="s">
        <v>3413</v>
      </c>
      <c r="C57" t="s">
        <v>3629</v>
      </c>
      <c r="D57" t="s">
        <v>3630</v>
      </c>
      <c r="E57">
        <v>-6.6435562590000004</v>
      </c>
      <c r="F57">
        <v>-4.4899231751000004</v>
      </c>
      <c r="G57" t="s">
        <v>3631</v>
      </c>
      <c r="H57" t="s">
        <v>3632</v>
      </c>
    </row>
    <row r="58" spans="1:8" x14ac:dyDescent="0.25">
      <c r="A58">
        <v>10</v>
      </c>
      <c r="B58" t="s">
        <v>3413</v>
      </c>
      <c r="C58" t="s">
        <v>3633</v>
      </c>
      <c r="D58" t="s">
        <v>3634</v>
      </c>
      <c r="E58">
        <v>-6.4366683170999996</v>
      </c>
      <c r="F58">
        <v>-4.3390304204000003</v>
      </c>
      <c r="G58" t="s">
        <v>3635</v>
      </c>
      <c r="H58" t="s">
        <v>3636</v>
      </c>
    </row>
    <row r="59" spans="1:8" x14ac:dyDescent="0.25">
      <c r="A59">
        <v>11</v>
      </c>
      <c r="B59" t="s">
        <v>3413</v>
      </c>
      <c r="C59" t="s">
        <v>3637</v>
      </c>
      <c r="D59" t="s">
        <v>3638</v>
      </c>
      <c r="E59">
        <v>-11.808702884100001</v>
      </c>
      <c r="F59">
        <v>-9.1491222193000006</v>
      </c>
      <c r="G59" t="s">
        <v>3639</v>
      </c>
      <c r="H59" t="s">
        <v>3640</v>
      </c>
    </row>
    <row r="60" spans="1:8" x14ac:dyDescent="0.25">
      <c r="A60">
        <v>11</v>
      </c>
      <c r="B60" t="s">
        <v>3413</v>
      </c>
      <c r="C60" t="s">
        <v>3641</v>
      </c>
      <c r="D60" t="s">
        <v>3642</v>
      </c>
      <c r="E60">
        <v>-6.5166921367999997</v>
      </c>
      <c r="F60">
        <v>-4.3975145621999996</v>
      </c>
      <c r="G60" t="s">
        <v>3643</v>
      </c>
      <c r="H60" t="s">
        <v>3644</v>
      </c>
    </row>
    <row r="61" spans="1:8" x14ac:dyDescent="0.25">
      <c r="A61">
        <v>12</v>
      </c>
      <c r="B61" t="s">
        <v>3413</v>
      </c>
      <c r="C61" t="s">
        <v>3645</v>
      </c>
      <c r="D61" t="s">
        <v>3646</v>
      </c>
      <c r="E61">
        <v>-11.460293744499999</v>
      </c>
      <c r="F61">
        <v>-8.8133022069999996</v>
      </c>
      <c r="G61" t="s">
        <v>3647</v>
      </c>
      <c r="H61" t="s">
        <v>3648</v>
      </c>
    </row>
    <row r="62" spans="1:8" x14ac:dyDescent="0.25">
      <c r="A62">
        <v>12</v>
      </c>
      <c r="B62" t="s">
        <v>3413</v>
      </c>
      <c r="C62" t="s">
        <v>3649</v>
      </c>
      <c r="D62" t="s">
        <v>3650</v>
      </c>
      <c r="E62">
        <v>-7.8086566195999998</v>
      </c>
      <c r="F62">
        <v>-5.5096916404999998</v>
      </c>
      <c r="G62" t="s">
        <v>3651</v>
      </c>
      <c r="H62" t="s">
        <v>3652</v>
      </c>
    </row>
    <row r="63" spans="1:8" x14ac:dyDescent="0.25">
      <c r="A63">
        <v>12</v>
      </c>
      <c r="B63" t="s">
        <v>3413</v>
      </c>
      <c r="C63" t="s">
        <v>3653</v>
      </c>
      <c r="D63" t="s">
        <v>3654</v>
      </c>
      <c r="E63">
        <v>-7.5052795067</v>
      </c>
      <c r="F63">
        <v>-5.2384992108999997</v>
      </c>
      <c r="G63" t="s">
        <v>3655</v>
      </c>
      <c r="H63" t="s">
        <v>3656</v>
      </c>
    </row>
    <row r="64" spans="1:8" x14ac:dyDescent="0.25">
      <c r="A64">
        <v>12</v>
      </c>
      <c r="B64" t="s">
        <v>3413</v>
      </c>
      <c r="C64" t="s">
        <v>3657</v>
      </c>
      <c r="D64" t="s">
        <v>3658</v>
      </c>
      <c r="E64">
        <v>-7.3227319461000002</v>
      </c>
      <c r="F64">
        <v>-5.1001553128000001</v>
      </c>
      <c r="G64" t="s">
        <v>3659</v>
      </c>
      <c r="H64" t="s">
        <v>3660</v>
      </c>
    </row>
    <row r="65" spans="1:8" x14ac:dyDescent="0.25">
      <c r="A65">
        <v>12</v>
      </c>
      <c r="B65" t="s">
        <v>3413</v>
      </c>
      <c r="C65" t="s">
        <v>3661</v>
      </c>
      <c r="D65" t="s">
        <v>3662</v>
      </c>
      <c r="E65">
        <v>-7.0758966296999999</v>
      </c>
      <c r="F65">
        <v>-4.8716087822</v>
      </c>
      <c r="G65" t="s">
        <v>3663</v>
      </c>
      <c r="H65" t="s">
        <v>3664</v>
      </c>
    </row>
    <row r="66" spans="1:8" x14ac:dyDescent="0.25">
      <c r="A66">
        <v>13</v>
      </c>
      <c r="B66" t="s">
        <v>3413</v>
      </c>
      <c r="C66" t="s">
        <v>3665</v>
      </c>
      <c r="D66" t="s">
        <v>3666</v>
      </c>
      <c r="E66">
        <v>-11.252783197699999</v>
      </c>
      <c r="F66">
        <v>-8.6415072125000005</v>
      </c>
      <c r="G66" t="s">
        <v>3667</v>
      </c>
      <c r="H66" t="s">
        <v>3668</v>
      </c>
    </row>
    <row r="67" spans="1:8" x14ac:dyDescent="0.25">
      <c r="A67">
        <v>13</v>
      </c>
      <c r="B67" t="s">
        <v>3413</v>
      </c>
      <c r="C67" t="s">
        <v>3669</v>
      </c>
      <c r="D67" t="s">
        <v>3670</v>
      </c>
      <c r="E67">
        <v>-8.4990874279999993</v>
      </c>
      <c r="F67">
        <v>-6.1341026488999999</v>
      </c>
      <c r="G67" t="s">
        <v>3671</v>
      </c>
      <c r="H67" t="s">
        <v>3672</v>
      </c>
    </row>
    <row r="68" spans="1:8" x14ac:dyDescent="0.25">
      <c r="A68">
        <v>14</v>
      </c>
      <c r="B68" t="s">
        <v>3413</v>
      </c>
      <c r="C68" t="s">
        <v>3673</v>
      </c>
      <c r="D68" t="s">
        <v>3674</v>
      </c>
      <c r="E68">
        <v>-10.6661867379</v>
      </c>
      <c r="F68">
        <v>-8.0983764464999997</v>
      </c>
      <c r="G68" t="s">
        <v>3675</v>
      </c>
      <c r="H68" t="s">
        <v>3676</v>
      </c>
    </row>
    <row r="69" spans="1:8" x14ac:dyDescent="0.25">
      <c r="A69">
        <v>14</v>
      </c>
      <c r="B69" t="s">
        <v>3413</v>
      </c>
      <c r="C69" t="s">
        <v>3677</v>
      </c>
      <c r="D69" t="s">
        <v>3678</v>
      </c>
      <c r="E69">
        <v>-10.233298878099999</v>
      </c>
      <c r="F69">
        <v>-7.6954518099999998</v>
      </c>
      <c r="G69" t="s">
        <v>3679</v>
      </c>
      <c r="H69" t="s">
        <v>3680</v>
      </c>
    </row>
    <row r="70" spans="1:8" x14ac:dyDescent="0.25">
      <c r="A70">
        <v>14</v>
      </c>
      <c r="B70" t="s">
        <v>3413</v>
      </c>
      <c r="C70" t="s">
        <v>3681</v>
      </c>
      <c r="D70" t="s">
        <v>3682</v>
      </c>
      <c r="E70">
        <v>-9.3497929901999992</v>
      </c>
      <c r="F70">
        <v>-6.8830092780000003</v>
      </c>
      <c r="G70" t="s">
        <v>3683</v>
      </c>
      <c r="H70" t="s">
        <v>3676</v>
      </c>
    </row>
    <row r="71" spans="1:8" x14ac:dyDescent="0.25">
      <c r="A71">
        <v>14</v>
      </c>
      <c r="B71" t="s">
        <v>3413</v>
      </c>
      <c r="C71" t="s">
        <v>3684</v>
      </c>
      <c r="D71" t="s">
        <v>3685</v>
      </c>
      <c r="E71">
        <v>-8.538550613</v>
      </c>
      <c r="F71">
        <v>-6.1670349668000002</v>
      </c>
      <c r="G71" t="s">
        <v>3686</v>
      </c>
      <c r="H71" t="s">
        <v>3680</v>
      </c>
    </row>
    <row r="72" spans="1:8" x14ac:dyDescent="0.25">
      <c r="A72">
        <v>14</v>
      </c>
      <c r="B72" t="s">
        <v>3413</v>
      </c>
      <c r="C72" t="s">
        <v>3687</v>
      </c>
      <c r="D72" t="s">
        <v>3688</v>
      </c>
      <c r="E72">
        <v>-6.5050889953000004</v>
      </c>
      <c r="F72">
        <v>-4.3919191984000001</v>
      </c>
      <c r="G72" t="s">
        <v>3689</v>
      </c>
      <c r="H72" t="s">
        <v>3690</v>
      </c>
    </row>
    <row r="73" spans="1:8" x14ac:dyDescent="0.25">
      <c r="A73">
        <v>14</v>
      </c>
      <c r="B73" t="s">
        <v>3413</v>
      </c>
      <c r="C73" t="s">
        <v>3691</v>
      </c>
      <c r="D73" t="s">
        <v>3692</v>
      </c>
      <c r="E73">
        <v>-6.3325030067999997</v>
      </c>
      <c r="F73">
        <v>-4.264234847</v>
      </c>
      <c r="G73" t="s">
        <v>3693</v>
      </c>
      <c r="H73" t="s">
        <v>3694</v>
      </c>
    </row>
    <row r="74" spans="1:8" x14ac:dyDescent="0.25">
      <c r="A74">
        <v>15</v>
      </c>
      <c r="B74" t="s">
        <v>3413</v>
      </c>
      <c r="C74" t="s">
        <v>3695</v>
      </c>
      <c r="D74" t="s">
        <v>3696</v>
      </c>
      <c r="E74">
        <v>-10.501916873900001</v>
      </c>
      <c r="F74">
        <v>-7.9543099684999996</v>
      </c>
      <c r="G74" t="s">
        <v>3697</v>
      </c>
      <c r="H74" t="s">
        <v>3698</v>
      </c>
    </row>
    <row r="75" spans="1:8" x14ac:dyDescent="0.25">
      <c r="A75">
        <v>15</v>
      </c>
      <c r="B75" t="s">
        <v>3413</v>
      </c>
      <c r="C75" t="s">
        <v>3699</v>
      </c>
      <c r="D75" t="s">
        <v>3700</v>
      </c>
      <c r="E75">
        <v>-9.3691712708000008</v>
      </c>
      <c r="F75">
        <v>-6.8941150326000002</v>
      </c>
      <c r="G75" t="s">
        <v>3701</v>
      </c>
      <c r="H75" t="s">
        <v>3702</v>
      </c>
    </row>
    <row r="76" spans="1:8" x14ac:dyDescent="0.25">
      <c r="A76">
        <v>15</v>
      </c>
      <c r="B76" t="s">
        <v>3413</v>
      </c>
      <c r="C76" t="s">
        <v>3703</v>
      </c>
      <c r="D76" t="s">
        <v>3704</v>
      </c>
      <c r="E76">
        <v>-7.8516467849999998</v>
      </c>
      <c r="F76">
        <v>-5.5470779283000002</v>
      </c>
      <c r="G76" t="s">
        <v>3705</v>
      </c>
      <c r="H76" t="s">
        <v>3706</v>
      </c>
    </row>
    <row r="77" spans="1:8" x14ac:dyDescent="0.25">
      <c r="A77">
        <v>15</v>
      </c>
      <c r="B77" t="s">
        <v>3413</v>
      </c>
      <c r="C77" t="s">
        <v>3707</v>
      </c>
      <c r="D77" t="s">
        <v>3708</v>
      </c>
      <c r="E77">
        <v>-6.8853824068999998</v>
      </c>
      <c r="F77">
        <v>-4.6943228251000004</v>
      </c>
      <c r="G77" t="s">
        <v>3709</v>
      </c>
      <c r="H77" t="s">
        <v>3710</v>
      </c>
    </row>
    <row r="78" spans="1:8" x14ac:dyDescent="0.25">
      <c r="A78">
        <v>15</v>
      </c>
      <c r="B78" t="s">
        <v>3413</v>
      </c>
      <c r="C78" t="s">
        <v>3711</v>
      </c>
      <c r="D78" t="s">
        <v>3712</v>
      </c>
      <c r="E78">
        <v>-6.7490308066000004</v>
      </c>
      <c r="F78">
        <v>-4.5791605237999997</v>
      </c>
      <c r="G78" t="s">
        <v>3713</v>
      </c>
      <c r="H78" t="s">
        <v>3714</v>
      </c>
    </row>
    <row r="79" spans="1:8" x14ac:dyDescent="0.25">
      <c r="A79">
        <v>16</v>
      </c>
      <c r="B79" t="s">
        <v>3413</v>
      </c>
      <c r="C79" t="s">
        <v>3715</v>
      </c>
      <c r="D79" t="s">
        <v>3716</v>
      </c>
      <c r="E79">
        <v>-10.1692287083</v>
      </c>
      <c r="F79">
        <v>-7.6409269580999997</v>
      </c>
      <c r="G79" t="s">
        <v>3717</v>
      </c>
      <c r="H79" t="s">
        <v>3718</v>
      </c>
    </row>
    <row r="80" spans="1:8" x14ac:dyDescent="0.25">
      <c r="A80">
        <v>16</v>
      </c>
      <c r="B80" t="s">
        <v>3413</v>
      </c>
      <c r="C80" t="s">
        <v>3719</v>
      </c>
      <c r="D80" t="s">
        <v>3720</v>
      </c>
      <c r="E80">
        <v>-8.1845181226000001</v>
      </c>
      <c r="F80">
        <v>-5.8567814009000001</v>
      </c>
      <c r="G80" t="s">
        <v>3721</v>
      </c>
      <c r="H80" t="s">
        <v>3722</v>
      </c>
    </row>
    <row r="81" spans="1:8" x14ac:dyDescent="0.25">
      <c r="A81">
        <v>16</v>
      </c>
      <c r="B81" t="s">
        <v>3413</v>
      </c>
      <c r="C81" t="s">
        <v>3723</v>
      </c>
      <c r="D81" t="s">
        <v>3724</v>
      </c>
      <c r="E81">
        <v>-7.4616092603000004</v>
      </c>
      <c r="F81">
        <v>-5.1999686042000004</v>
      </c>
      <c r="G81" t="s">
        <v>3725</v>
      </c>
      <c r="H81" t="s">
        <v>3726</v>
      </c>
    </row>
    <row r="82" spans="1:8" x14ac:dyDescent="0.25">
      <c r="A82">
        <v>16</v>
      </c>
      <c r="B82" t="s">
        <v>3413</v>
      </c>
      <c r="C82" t="s">
        <v>3727</v>
      </c>
      <c r="D82" t="s">
        <v>3728</v>
      </c>
      <c r="E82">
        <v>-7.3347110244999998</v>
      </c>
      <c r="F82">
        <v>-5.1049238011</v>
      </c>
      <c r="G82" t="s">
        <v>3729</v>
      </c>
      <c r="H82" t="s">
        <v>3730</v>
      </c>
    </row>
    <row r="83" spans="1:8" x14ac:dyDescent="0.25">
      <c r="A83">
        <v>16</v>
      </c>
      <c r="B83" t="s">
        <v>3413</v>
      </c>
      <c r="C83" t="s">
        <v>3731</v>
      </c>
      <c r="D83" t="s">
        <v>3732</v>
      </c>
      <c r="E83">
        <v>-7.0118694138000004</v>
      </c>
      <c r="F83">
        <v>-4.8120359076000003</v>
      </c>
      <c r="G83" t="s">
        <v>3733</v>
      </c>
      <c r="H83" t="s">
        <v>3734</v>
      </c>
    </row>
    <row r="84" spans="1:8" x14ac:dyDescent="0.25">
      <c r="A84">
        <v>16</v>
      </c>
      <c r="B84" t="s">
        <v>3413</v>
      </c>
      <c r="C84" t="s">
        <v>3735</v>
      </c>
      <c r="D84" t="s">
        <v>3736</v>
      </c>
      <c r="E84">
        <v>-6.9918308154000002</v>
      </c>
      <c r="F84">
        <v>-4.7964064282000001</v>
      </c>
      <c r="G84" t="s">
        <v>3737</v>
      </c>
      <c r="H84" t="s">
        <v>3738</v>
      </c>
    </row>
    <row r="85" spans="1:8" x14ac:dyDescent="0.25">
      <c r="A85">
        <v>16</v>
      </c>
      <c r="B85" t="s">
        <v>3413</v>
      </c>
      <c r="C85" t="s">
        <v>3739</v>
      </c>
      <c r="D85" t="s">
        <v>3740</v>
      </c>
      <c r="E85">
        <v>-6.8412037206000003</v>
      </c>
      <c r="F85">
        <v>-4.6544655124999998</v>
      </c>
      <c r="G85" t="s">
        <v>3741</v>
      </c>
      <c r="H85" t="s">
        <v>3742</v>
      </c>
    </row>
    <row r="86" spans="1:8" x14ac:dyDescent="0.25">
      <c r="A86">
        <v>17</v>
      </c>
      <c r="B86" t="s">
        <v>3413</v>
      </c>
      <c r="C86" t="s">
        <v>3743</v>
      </c>
      <c r="D86" t="s">
        <v>3744</v>
      </c>
      <c r="E86">
        <v>-10.1068255306</v>
      </c>
      <c r="F86">
        <v>-7.5878638066999997</v>
      </c>
      <c r="G86" t="s">
        <v>3745</v>
      </c>
      <c r="H86" t="s">
        <v>3746</v>
      </c>
    </row>
    <row r="87" spans="1:8" x14ac:dyDescent="0.25">
      <c r="A87">
        <v>17</v>
      </c>
      <c r="B87" t="s">
        <v>3413</v>
      </c>
      <c r="C87" t="s">
        <v>3747</v>
      </c>
      <c r="D87" t="s">
        <v>3748</v>
      </c>
      <c r="E87">
        <v>-9.0363389301999995</v>
      </c>
      <c r="F87">
        <v>-6.6087073419999998</v>
      </c>
      <c r="G87" t="s">
        <v>3749</v>
      </c>
      <c r="H87" t="s">
        <v>3750</v>
      </c>
    </row>
    <row r="88" spans="1:8" x14ac:dyDescent="0.25">
      <c r="A88">
        <v>17</v>
      </c>
      <c r="B88" t="s">
        <v>3413</v>
      </c>
      <c r="C88" t="s">
        <v>3751</v>
      </c>
      <c r="D88" t="s">
        <v>3752</v>
      </c>
      <c r="E88">
        <v>-8.2258225068000002</v>
      </c>
      <c r="F88">
        <v>-5.8920954214999997</v>
      </c>
      <c r="G88" t="s">
        <v>3753</v>
      </c>
      <c r="H88" t="s">
        <v>3754</v>
      </c>
    </row>
    <row r="89" spans="1:8" x14ac:dyDescent="0.25">
      <c r="A89">
        <v>18</v>
      </c>
      <c r="B89" t="s">
        <v>3413</v>
      </c>
      <c r="C89" t="s">
        <v>3755</v>
      </c>
      <c r="D89" t="s">
        <v>3756</v>
      </c>
      <c r="E89">
        <v>-9.8699755233000008</v>
      </c>
      <c r="F89">
        <v>-7.3601571787999998</v>
      </c>
      <c r="G89" t="s">
        <v>3757</v>
      </c>
      <c r="H89" t="s">
        <v>3758</v>
      </c>
    </row>
    <row r="90" spans="1:8" x14ac:dyDescent="0.25">
      <c r="A90">
        <v>18</v>
      </c>
      <c r="B90" t="s">
        <v>3413</v>
      </c>
      <c r="C90" t="s">
        <v>3759</v>
      </c>
      <c r="D90" t="s">
        <v>3760</v>
      </c>
      <c r="E90">
        <v>-9.7921163586999995</v>
      </c>
      <c r="F90">
        <v>-7.2912528568999999</v>
      </c>
      <c r="G90" t="s">
        <v>3761</v>
      </c>
      <c r="H90" t="s">
        <v>3762</v>
      </c>
    </row>
    <row r="91" spans="1:8" x14ac:dyDescent="0.25">
      <c r="A91">
        <v>18</v>
      </c>
      <c r="B91" t="s">
        <v>3413</v>
      </c>
      <c r="C91" t="s">
        <v>3763</v>
      </c>
      <c r="D91" t="s">
        <v>3764</v>
      </c>
      <c r="E91">
        <v>-9.4889376792999993</v>
      </c>
      <c r="F91">
        <v>-7.0054482735999999</v>
      </c>
      <c r="G91" t="s">
        <v>3765</v>
      </c>
      <c r="H91" t="s">
        <v>3766</v>
      </c>
    </row>
    <row r="92" spans="1:8" x14ac:dyDescent="0.25">
      <c r="A92">
        <v>18</v>
      </c>
      <c r="B92" t="s">
        <v>3413</v>
      </c>
      <c r="C92" t="s">
        <v>3767</v>
      </c>
      <c r="D92" t="s">
        <v>3768</v>
      </c>
      <c r="E92">
        <v>-8.9644669733000004</v>
      </c>
      <c r="F92">
        <v>-6.5625126152000002</v>
      </c>
      <c r="G92" t="s">
        <v>3769</v>
      </c>
      <c r="H92" t="s">
        <v>3770</v>
      </c>
    </row>
    <row r="93" spans="1:8" x14ac:dyDescent="0.25">
      <c r="A93">
        <v>18</v>
      </c>
      <c r="B93" t="s">
        <v>3413</v>
      </c>
      <c r="C93" t="s">
        <v>3771</v>
      </c>
      <c r="D93" t="s">
        <v>3772</v>
      </c>
      <c r="E93">
        <v>-8.8830352176999998</v>
      </c>
      <c r="F93">
        <v>-6.4913161852999997</v>
      </c>
      <c r="G93" t="s">
        <v>3773</v>
      </c>
      <c r="H93" t="s">
        <v>3774</v>
      </c>
    </row>
    <row r="94" spans="1:8" x14ac:dyDescent="0.25">
      <c r="A94">
        <v>18</v>
      </c>
      <c r="B94" t="s">
        <v>3413</v>
      </c>
      <c r="C94" t="s">
        <v>3775</v>
      </c>
      <c r="D94" t="s">
        <v>3776</v>
      </c>
      <c r="E94">
        <v>-6.6606460736999997</v>
      </c>
      <c r="F94">
        <v>-4.4989702695</v>
      </c>
      <c r="G94" t="s">
        <v>3777</v>
      </c>
      <c r="H94" t="s">
        <v>3778</v>
      </c>
    </row>
    <row r="95" spans="1:8" x14ac:dyDescent="0.25">
      <c r="A95">
        <v>18</v>
      </c>
      <c r="B95" t="s">
        <v>3413</v>
      </c>
      <c r="C95" t="s">
        <v>3779</v>
      </c>
      <c r="D95" t="s">
        <v>3780</v>
      </c>
      <c r="E95">
        <v>-6.4141319587999996</v>
      </c>
      <c r="F95">
        <v>-4.3199823898999998</v>
      </c>
      <c r="G95" t="s">
        <v>3781</v>
      </c>
      <c r="H95" t="s">
        <v>3782</v>
      </c>
    </row>
    <row r="96" spans="1:8" x14ac:dyDescent="0.25">
      <c r="A96">
        <v>19</v>
      </c>
      <c r="B96" t="s">
        <v>3413</v>
      </c>
      <c r="C96" t="s">
        <v>3783</v>
      </c>
      <c r="D96" t="s">
        <v>3784</v>
      </c>
      <c r="E96">
        <v>-9.6646344557999999</v>
      </c>
      <c r="F96">
        <v>-7.1725448783000001</v>
      </c>
      <c r="G96" t="s">
        <v>3785</v>
      </c>
      <c r="H96" t="s">
        <v>3786</v>
      </c>
    </row>
    <row r="97" spans="1:8" x14ac:dyDescent="0.25">
      <c r="A97">
        <v>19</v>
      </c>
      <c r="B97" t="s">
        <v>3413</v>
      </c>
      <c r="C97" t="s">
        <v>3787</v>
      </c>
      <c r="D97" t="s">
        <v>3788</v>
      </c>
      <c r="E97">
        <v>-8.9611805076</v>
      </c>
      <c r="F97">
        <v>-6.5625126152000002</v>
      </c>
      <c r="G97" t="s">
        <v>3789</v>
      </c>
      <c r="H97" t="s">
        <v>3790</v>
      </c>
    </row>
    <row r="98" spans="1:8" x14ac:dyDescent="0.25">
      <c r="A98">
        <v>19</v>
      </c>
      <c r="B98" t="s">
        <v>3413</v>
      </c>
      <c r="C98" t="s">
        <v>3791</v>
      </c>
      <c r="D98" t="s">
        <v>3792</v>
      </c>
      <c r="E98">
        <v>-7.6864965805000001</v>
      </c>
      <c r="F98">
        <v>-5.4039220175000002</v>
      </c>
      <c r="G98" t="s">
        <v>3793</v>
      </c>
      <c r="H98" t="s">
        <v>3794</v>
      </c>
    </row>
    <row r="99" spans="1:8" x14ac:dyDescent="0.25">
      <c r="A99">
        <v>19</v>
      </c>
      <c r="B99" t="s">
        <v>3413</v>
      </c>
      <c r="C99" t="s">
        <v>3795</v>
      </c>
      <c r="D99" t="s">
        <v>3796</v>
      </c>
      <c r="E99">
        <v>-7.6101487012</v>
      </c>
      <c r="F99">
        <v>-5.3329029718000003</v>
      </c>
      <c r="G99" t="s">
        <v>3797</v>
      </c>
      <c r="H99" t="s">
        <v>3798</v>
      </c>
    </row>
    <row r="100" spans="1:8" x14ac:dyDescent="0.25">
      <c r="A100">
        <v>19</v>
      </c>
      <c r="B100" t="s">
        <v>3413</v>
      </c>
      <c r="C100" t="s">
        <v>3799</v>
      </c>
      <c r="D100" t="s">
        <v>3800</v>
      </c>
      <c r="E100">
        <v>-7.4553435921000002</v>
      </c>
      <c r="F100">
        <v>-5.1987824615999996</v>
      </c>
      <c r="G100" t="s">
        <v>3801</v>
      </c>
      <c r="H100" t="s">
        <v>3802</v>
      </c>
    </row>
    <row r="101" spans="1:8" x14ac:dyDescent="0.25">
      <c r="A101">
        <v>19</v>
      </c>
      <c r="B101" t="s">
        <v>3413</v>
      </c>
      <c r="C101" t="s">
        <v>3803</v>
      </c>
      <c r="D101" t="s">
        <v>3804</v>
      </c>
      <c r="E101">
        <v>-6.8286699371999999</v>
      </c>
      <c r="F101">
        <v>-4.6504475800999998</v>
      </c>
      <c r="G101" t="s">
        <v>3805</v>
      </c>
      <c r="H101" t="s">
        <v>3806</v>
      </c>
    </row>
    <row r="102" spans="1:8" x14ac:dyDescent="0.25">
      <c r="A102">
        <v>19</v>
      </c>
      <c r="B102" t="s">
        <v>3413</v>
      </c>
      <c r="C102" t="s">
        <v>3807</v>
      </c>
      <c r="D102" t="s">
        <v>3808</v>
      </c>
      <c r="E102">
        <v>-6.3281896303999998</v>
      </c>
      <c r="F102">
        <v>-4.264234847</v>
      </c>
      <c r="G102" t="s">
        <v>3809</v>
      </c>
      <c r="H102" t="s">
        <v>3810</v>
      </c>
    </row>
    <row r="103" spans="1:8" x14ac:dyDescent="0.25">
      <c r="A103">
        <v>19</v>
      </c>
      <c r="B103" t="s">
        <v>3413</v>
      </c>
      <c r="C103" t="s">
        <v>3811</v>
      </c>
      <c r="D103" t="s">
        <v>3812</v>
      </c>
      <c r="E103">
        <v>-6.3281896303999998</v>
      </c>
      <c r="F103">
        <v>-4.264234847</v>
      </c>
      <c r="G103" t="s">
        <v>3809</v>
      </c>
      <c r="H103" t="s">
        <v>3810</v>
      </c>
    </row>
    <row r="104" spans="1:8" x14ac:dyDescent="0.25">
      <c r="A104">
        <v>19</v>
      </c>
      <c r="B104" t="s">
        <v>3413</v>
      </c>
      <c r="C104" t="s">
        <v>3813</v>
      </c>
      <c r="D104" t="s">
        <v>3814</v>
      </c>
      <c r="E104">
        <v>-6.1240502721999999</v>
      </c>
      <c r="F104">
        <v>-4.1061769587999999</v>
      </c>
      <c r="G104" t="s">
        <v>3815</v>
      </c>
      <c r="H104" t="s">
        <v>3816</v>
      </c>
    </row>
    <row r="105" spans="1:8" x14ac:dyDescent="0.25">
      <c r="A105">
        <v>20</v>
      </c>
      <c r="B105" t="s">
        <v>3413</v>
      </c>
      <c r="C105" t="s">
        <v>3817</v>
      </c>
      <c r="D105" t="s">
        <v>3818</v>
      </c>
      <c r="E105">
        <v>-9.2969040650999997</v>
      </c>
      <c r="F105">
        <v>-6.8382382431000002</v>
      </c>
      <c r="G105" t="s">
        <v>3819</v>
      </c>
      <c r="H105" t="s">
        <v>3820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BEAF-E225-4083-960F-DAA11D765755}">
  <dimension ref="A1:H36"/>
  <sheetViews>
    <sheetView workbookViewId="0">
      <selection activeCell="D15" sqref="D15"/>
    </sheetView>
  </sheetViews>
  <sheetFormatPr defaultRowHeight="15" x14ac:dyDescent="0.25"/>
  <cols>
    <col min="1" max="1" width="6.5703125" bestFit="1" customWidth="1"/>
    <col min="2" max="2" width="22.28515625" bestFit="1" customWidth="1"/>
    <col min="3" max="3" width="11.28515625" bestFit="1" customWidth="1"/>
    <col min="4" max="4" width="82.42578125" bestFit="1" customWidth="1"/>
  </cols>
  <sheetData>
    <row r="1" spans="1:8" x14ac:dyDescent="0.25">
      <c r="A1" s="9" t="s">
        <v>3821</v>
      </c>
      <c r="B1" s="9" t="s">
        <v>3379</v>
      </c>
      <c r="C1" s="9" t="s">
        <v>3380</v>
      </c>
      <c r="D1" s="9" t="s">
        <v>3408</v>
      </c>
      <c r="E1" s="9" t="s">
        <v>3409</v>
      </c>
      <c r="F1" s="9" t="s">
        <v>3410</v>
      </c>
      <c r="G1" s="9" t="s">
        <v>3411</v>
      </c>
      <c r="H1" t="s">
        <v>3412</v>
      </c>
    </row>
    <row r="2" spans="1:8" x14ac:dyDescent="0.25">
      <c r="A2">
        <v>1</v>
      </c>
      <c r="B2" t="s">
        <v>3413</v>
      </c>
      <c r="C2" t="s">
        <v>3842</v>
      </c>
      <c r="D2" t="s">
        <v>3843</v>
      </c>
      <c r="E2">
        <v>-34.697849177000002</v>
      </c>
      <c r="F2">
        <v>-31.284940845600001</v>
      </c>
      <c r="G2" t="s">
        <v>3844</v>
      </c>
      <c r="H2" t="s">
        <v>3845</v>
      </c>
    </row>
    <row r="3" spans="1:8" x14ac:dyDescent="0.25">
      <c r="A3">
        <v>1</v>
      </c>
      <c r="B3" t="s">
        <v>3413</v>
      </c>
      <c r="C3" t="s">
        <v>3838</v>
      </c>
      <c r="D3" t="s">
        <v>3839</v>
      </c>
      <c r="E3">
        <v>-35.963378515700001</v>
      </c>
      <c r="F3">
        <v>-32.471288938199997</v>
      </c>
      <c r="G3" t="s">
        <v>3840</v>
      </c>
      <c r="H3" t="s">
        <v>3841</v>
      </c>
    </row>
    <row r="4" spans="1:8" x14ac:dyDescent="0.25">
      <c r="A4">
        <v>1</v>
      </c>
      <c r="B4" t="s">
        <v>3413</v>
      </c>
      <c r="C4" t="s">
        <v>3834</v>
      </c>
      <c r="D4" t="s">
        <v>3835</v>
      </c>
      <c r="E4">
        <v>-38.643461932500003</v>
      </c>
      <c r="F4">
        <v>-35.054462342000001</v>
      </c>
      <c r="G4" t="s">
        <v>3836</v>
      </c>
      <c r="H4" t="s">
        <v>3837</v>
      </c>
    </row>
    <row r="5" spans="1:8" x14ac:dyDescent="0.25">
      <c r="A5">
        <v>1</v>
      </c>
      <c r="B5" t="s">
        <v>3413</v>
      </c>
      <c r="C5" t="s">
        <v>3830</v>
      </c>
      <c r="D5" t="s">
        <v>3831</v>
      </c>
      <c r="E5">
        <v>-39.397541137899999</v>
      </c>
      <c r="F5">
        <v>-35.683602810799997</v>
      </c>
      <c r="G5" t="s">
        <v>3832</v>
      </c>
      <c r="H5" t="s">
        <v>3833</v>
      </c>
    </row>
    <row r="6" spans="1:8" x14ac:dyDescent="0.25">
      <c r="A6">
        <v>1</v>
      </c>
      <c r="B6" t="s">
        <v>3413</v>
      </c>
      <c r="C6" t="s">
        <v>3826</v>
      </c>
      <c r="D6" t="s">
        <v>3827</v>
      </c>
      <c r="E6">
        <v>-42.471939819799999</v>
      </c>
      <c r="F6">
        <v>-38.5819102337</v>
      </c>
      <c r="G6" t="s">
        <v>3828</v>
      </c>
      <c r="H6" t="s">
        <v>3829</v>
      </c>
    </row>
    <row r="7" spans="1:8" x14ac:dyDescent="0.25">
      <c r="A7">
        <v>1</v>
      </c>
      <c r="B7" t="s">
        <v>3413</v>
      </c>
      <c r="C7" t="s">
        <v>3822</v>
      </c>
      <c r="D7" t="s">
        <v>3823</v>
      </c>
      <c r="E7">
        <v>-46.497702251699998</v>
      </c>
      <c r="F7">
        <v>-42.3066426699</v>
      </c>
      <c r="G7" t="s">
        <v>3824</v>
      </c>
      <c r="H7" t="s">
        <v>3825</v>
      </c>
    </row>
    <row r="8" spans="1:8" x14ac:dyDescent="0.25">
      <c r="A8">
        <v>2</v>
      </c>
      <c r="B8" t="s">
        <v>3413</v>
      </c>
      <c r="C8" t="s">
        <v>3862</v>
      </c>
      <c r="D8" t="s">
        <v>3863</v>
      </c>
      <c r="E8">
        <v>-6.8087001432000003</v>
      </c>
      <c r="F8">
        <v>-4.1361545012000001</v>
      </c>
      <c r="G8" t="s">
        <v>3864</v>
      </c>
      <c r="H8" t="s">
        <v>3865</v>
      </c>
    </row>
    <row r="9" spans="1:8" x14ac:dyDescent="0.25">
      <c r="A9">
        <v>2</v>
      </c>
      <c r="B9" t="s">
        <v>3413</v>
      </c>
      <c r="C9" t="s">
        <v>3858</v>
      </c>
      <c r="D9" t="s">
        <v>3859</v>
      </c>
      <c r="E9">
        <v>-7.6457302795000004</v>
      </c>
      <c r="F9">
        <v>-4.8696440456000003</v>
      </c>
      <c r="G9" t="s">
        <v>3860</v>
      </c>
      <c r="H9" t="s">
        <v>3861</v>
      </c>
    </row>
    <row r="10" spans="1:8" x14ac:dyDescent="0.25">
      <c r="A10">
        <v>2</v>
      </c>
      <c r="B10" t="s">
        <v>3413</v>
      </c>
      <c r="C10" t="s">
        <v>3854</v>
      </c>
      <c r="D10" t="s">
        <v>3855</v>
      </c>
      <c r="E10">
        <v>-11.966129799400001</v>
      </c>
      <c r="F10">
        <v>-8.7750702175999997</v>
      </c>
      <c r="G10" t="s">
        <v>3856</v>
      </c>
      <c r="H10" t="s">
        <v>3857</v>
      </c>
    </row>
    <row r="11" spans="1:8" x14ac:dyDescent="0.25">
      <c r="A11">
        <v>2</v>
      </c>
      <c r="B11" t="s">
        <v>3413</v>
      </c>
      <c r="C11" t="s">
        <v>3850</v>
      </c>
      <c r="D11" t="s">
        <v>3851</v>
      </c>
      <c r="E11">
        <v>-12.7826443306</v>
      </c>
      <c r="F11">
        <v>-9.4946747358000003</v>
      </c>
      <c r="G11" t="s">
        <v>3852</v>
      </c>
      <c r="H11" t="s">
        <v>3853</v>
      </c>
    </row>
    <row r="12" spans="1:8" x14ac:dyDescent="0.25">
      <c r="A12">
        <v>2</v>
      </c>
      <c r="B12" t="s">
        <v>3413</v>
      </c>
      <c r="C12" t="s">
        <v>3846</v>
      </c>
      <c r="D12" t="s">
        <v>3847</v>
      </c>
      <c r="E12">
        <v>-12.9002438668</v>
      </c>
      <c r="F12">
        <v>-9.5542823250000009</v>
      </c>
      <c r="G12" t="s">
        <v>3848</v>
      </c>
      <c r="H12" t="s">
        <v>3849</v>
      </c>
    </row>
    <row r="13" spans="1:8" x14ac:dyDescent="0.25">
      <c r="A13">
        <v>3</v>
      </c>
      <c r="B13" t="s">
        <v>3413</v>
      </c>
      <c r="C13" t="s">
        <v>3870</v>
      </c>
      <c r="D13" t="s">
        <v>3871</v>
      </c>
      <c r="E13">
        <v>-9.4985447710000006</v>
      </c>
      <c r="F13">
        <v>-6.4214285415000001</v>
      </c>
      <c r="G13" t="s">
        <v>3872</v>
      </c>
      <c r="H13" t="s">
        <v>3873</v>
      </c>
    </row>
    <row r="14" spans="1:8" x14ac:dyDescent="0.25">
      <c r="A14">
        <v>3</v>
      </c>
      <c r="B14" t="s">
        <v>3413</v>
      </c>
      <c r="C14" t="s">
        <v>3866</v>
      </c>
      <c r="D14" t="s">
        <v>3867</v>
      </c>
      <c r="E14">
        <v>-12.417692114299999</v>
      </c>
      <c r="F14">
        <v>-9.1808750419000003</v>
      </c>
      <c r="G14" t="s">
        <v>3868</v>
      </c>
      <c r="H14" t="s">
        <v>3869</v>
      </c>
    </row>
    <row r="15" spans="1:8" x14ac:dyDescent="0.25">
      <c r="A15">
        <v>4</v>
      </c>
      <c r="B15" t="s">
        <v>3413</v>
      </c>
      <c r="C15" t="s">
        <v>3886</v>
      </c>
      <c r="D15" t="s">
        <v>3887</v>
      </c>
      <c r="E15">
        <v>-7.1846296734999999</v>
      </c>
      <c r="F15">
        <v>-4.4706913463999998</v>
      </c>
      <c r="G15" t="s">
        <v>3888</v>
      </c>
      <c r="H15" t="s">
        <v>3889</v>
      </c>
    </row>
    <row r="16" spans="1:8" x14ac:dyDescent="0.25">
      <c r="A16">
        <v>4</v>
      </c>
      <c r="B16" t="s">
        <v>3413</v>
      </c>
      <c r="C16" t="s">
        <v>3882</v>
      </c>
      <c r="D16" t="s">
        <v>3883</v>
      </c>
      <c r="E16">
        <v>-9.1232145240999998</v>
      </c>
      <c r="F16">
        <v>-6.1626038637000002</v>
      </c>
      <c r="G16" t="s">
        <v>3884</v>
      </c>
      <c r="H16" t="s">
        <v>3885</v>
      </c>
    </row>
    <row r="17" spans="1:8" x14ac:dyDescent="0.25">
      <c r="A17">
        <v>4</v>
      </c>
      <c r="B17" t="s">
        <v>3413</v>
      </c>
      <c r="C17" t="s">
        <v>3878</v>
      </c>
      <c r="D17" t="s">
        <v>3879</v>
      </c>
      <c r="E17">
        <v>-9.8635662743000001</v>
      </c>
      <c r="F17">
        <v>-6.7516879384999999</v>
      </c>
      <c r="G17" t="s">
        <v>3880</v>
      </c>
      <c r="H17" t="s">
        <v>3881</v>
      </c>
    </row>
    <row r="18" spans="1:8" x14ac:dyDescent="0.25">
      <c r="A18">
        <v>4</v>
      </c>
      <c r="B18" t="s">
        <v>3413</v>
      </c>
      <c r="C18" t="s">
        <v>3874</v>
      </c>
      <c r="D18" t="s">
        <v>3875</v>
      </c>
      <c r="E18">
        <v>-10.074822294100001</v>
      </c>
      <c r="F18">
        <v>-6.9251553974000002</v>
      </c>
      <c r="G18" t="s">
        <v>3876</v>
      </c>
      <c r="H18" t="s">
        <v>3877</v>
      </c>
    </row>
    <row r="19" spans="1:8" x14ac:dyDescent="0.25">
      <c r="A19">
        <v>5</v>
      </c>
      <c r="B19" t="s">
        <v>3413</v>
      </c>
      <c r="C19" t="s">
        <v>3902</v>
      </c>
      <c r="D19" t="s">
        <v>3903</v>
      </c>
      <c r="E19">
        <v>-7.5921060217000003</v>
      </c>
      <c r="F19">
        <v>-4.8324102040000003</v>
      </c>
      <c r="G19" t="s">
        <v>3904</v>
      </c>
      <c r="H19" t="s">
        <v>3897</v>
      </c>
    </row>
    <row r="20" spans="1:8" x14ac:dyDescent="0.25">
      <c r="A20">
        <v>5</v>
      </c>
      <c r="B20" t="s">
        <v>3413</v>
      </c>
      <c r="C20" t="s">
        <v>3898</v>
      </c>
      <c r="D20" t="s">
        <v>3899</v>
      </c>
      <c r="E20">
        <v>-7.9780702815</v>
      </c>
      <c r="F20">
        <v>-5.1294333805000001</v>
      </c>
      <c r="G20" t="s">
        <v>3900</v>
      </c>
      <c r="H20" t="s">
        <v>3901</v>
      </c>
    </row>
    <row r="21" spans="1:8" x14ac:dyDescent="0.25">
      <c r="A21">
        <v>5</v>
      </c>
      <c r="B21" t="s">
        <v>3413</v>
      </c>
      <c r="C21" t="s">
        <v>3894</v>
      </c>
      <c r="D21" t="s">
        <v>3895</v>
      </c>
      <c r="E21">
        <v>-9.1812022811999991</v>
      </c>
      <c r="F21">
        <v>-6.1942626819999997</v>
      </c>
      <c r="G21" t="s">
        <v>3896</v>
      </c>
      <c r="H21" t="s">
        <v>3897</v>
      </c>
    </row>
    <row r="22" spans="1:8" x14ac:dyDescent="0.25">
      <c r="A22">
        <v>5</v>
      </c>
      <c r="B22" t="s">
        <v>3413</v>
      </c>
      <c r="C22" t="s">
        <v>3890</v>
      </c>
      <c r="D22" t="s">
        <v>3891</v>
      </c>
      <c r="E22">
        <v>-9.3590735988000002</v>
      </c>
      <c r="F22">
        <v>-6.3141420527000003</v>
      </c>
      <c r="G22" t="s">
        <v>3892</v>
      </c>
      <c r="H22" t="s">
        <v>3893</v>
      </c>
    </row>
    <row r="23" spans="1:8" x14ac:dyDescent="0.25">
      <c r="A23">
        <v>6</v>
      </c>
      <c r="B23" t="s">
        <v>3413</v>
      </c>
      <c r="C23" t="s">
        <v>3909</v>
      </c>
      <c r="D23" t="s">
        <v>3910</v>
      </c>
      <c r="E23">
        <v>-8.9003828468999995</v>
      </c>
      <c r="F23">
        <v>-5.9645957701999999</v>
      </c>
      <c r="G23" t="s">
        <v>3911</v>
      </c>
      <c r="H23" t="s">
        <v>3912</v>
      </c>
    </row>
    <row r="24" spans="1:8" x14ac:dyDescent="0.25">
      <c r="A24">
        <v>6</v>
      </c>
      <c r="B24" t="s">
        <v>3413</v>
      </c>
      <c r="C24" t="s">
        <v>3905</v>
      </c>
      <c r="D24" t="s">
        <v>3906</v>
      </c>
      <c r="E24">
        <v>-9.2562023505000006</v>
      </c>
      <c r="F24">
        <v>-6.2412340277</v>
      </c>
      <c r="G24" t="s">
        <v>3907</v>
      </c>
      <c r="H24" t="s">
        <v>3908</v>
      </c>
    </row>
    <row r="25" spans="1:8" x14ac:dyDescent="0.25">
      <c r="A25">
        <v>7</v>
      </c>
      <c r="B25" t="s">
        <v>3413</v>
      </c>
      <c r="C25" t="s">
        <v>3924</v>
      </c>
      <c r="D25" t="s">
        <v>3925</v>
      </c>
      <c r="E25">
        <v>-6.6799717229000004</v>
      </c>
      <c r="F25">
        <v>-4.0329801853999996</v>
      </c>
      <c r="G25" t="s">
        <v>3926</v>
      </c>
      <c r="H25" t="s">
        <v>3927</v>
      </c>
    </row>
    <row r="26" spans="1:8" x14ac:dyDescent="0.25">
      <c r="A26">
        <v>7</v>
      </c>
      <c r="B26" t="s">
        <v>3413</v>
      </c>
      <c r="C26" t="s">
        <v>3921</v>
      </c>
      <c r="D26" t="s">
        <v>3922</v>
      </c>
      <c r="E26">
        <v>-7.5751117236000001</v>
      </c>
      <c r="F26">
        <v>-4.8312101731999997</v>
      </c>
      <c r="G26" t="s">
        <v>3923</v>
      </c>
      <c r="H26" t="s">
        <v>3916</v>
      </c>
    </row>
    <row r="27" spans="1:8" x14ac:dyDescent="0.25">
      <c r="A27">
        <v>7</v>
      </c>
      <c r="B27" t="s">
        <v>3413</v>
      </c>
      <c r="C27" t="s">
        <v>3917</v>
      </c>
      <c r="D27" t="s">
        <v>3918</v>
      </c>
      <c r="E27">
        <v>-7.9176146793999997</v>
      </c>
      <c r="F27">
        <v>-5.0882829336000004</v>
      </c>
      <c r="G27" t="s">
        <v>3919</v>
      </c>
      <c r="H27" t="s">
        <v>3920</v>
      </c>
    </row>
    <row r="28" spans="1:8" x14ac:dyDescent="0.25">
      <c r="A28">
        <v>7</v>
      </c>
      <c r="B28" t="s">
        <v>3413</v>
      </c>
      <c r="C28" t="s">
        <v>3913</v>
      </c>
      <c r="D28" t="s">
        <v>3914</v>
      </c>
      <c r="E28">
        <v>-8.2067435088000007</v>
      </c>
      <c r="F28">
        <v>-5.3130730869000002</v>
      </c>
      <c r="G28" t="s">
        <v>3915</v>
      </c>
      <c r="H28" t="s">
        <v>3916</v>
      </c>
    </row>
    <row r="29" spans="1:8" x14ac:dyDescent="0.25">
      <c r="A29">
        <v>8</v>
      </c>
      <c r="B29" t="s">
        <v>3413</v>
      </c>
      <c r="C29" t="s">
        <v>3932</v>
      </c>
      <c r="D29" t="s">
        <v>3933</v>
      </c>
      <c r="E29">
        <v>-6.9067701389999998</v>
      </c>
      <c r="F29">
        <v>-4.2208605355</v>
      </c>
      <c r="G29" t="s">
        <v>3934</v>
      </c>
      <c r="H29" t="s">
        <v>3935</v>
      </c>
    </row>
    <row r="30" spans="1:8" x14ac:dyDescent="0.25">
      <c r="A30">
        <v>8</v>
      </c>
      <c r="B30" t="s">
        <v>3413</v>
      </c>
      <c r="C30" t="s">
        <v>3928</v>
      </c>
      <c r="D30" t="s">
        <v>3929</v>
      </c>
      <c r="E30">
        <v>-8.2031026730000001</v>
      </c>
      <c r="F30">
        <v>-5.3130730869000002</v>
      </c>
      <c r="G30" t="s">
        <v>3930</v>
      </c>
      <c r="H30" t="s">
        <v>3931</v>
      </c>
    </row>
    <row r="31" spans="1:8" x14ac:dyDescent="0.25">
      <c r="A31">
        <v>9</v>
      </c>
      <c r="B31" t="s">
        <v>3413</v>
      </c>
      <c r="C31" t="s">
        <v>3936</v>
      </c>
      <c r="D31" t="s">
        <v>3937</v>
      </c>
      <c r="E31">
        <v>-8.0422786500000001</v>
      </c>
      <c r="F31">
        <v>-5.1734383628999998</v>
      </c>
      <c r="G31" t="s">
        <v>3938</v>
      </c>
      <c r="H31" t="s">
        <v>3939</v>
      </c>
    </row>
    <row r="32" spans="1:8" x14ac:dyDescent="0.25">
      <c r="A32">
        <v>10</v>
      </c>
      <c r="B32" t="s">
        <v>3413</v>
      </c>
      <c r="C32" t="s">
        <v>3940</v>
      </c>
      <c r="D32" t="s">
        <v>3941</v>
      </c>
      <c r="E32">
        <v>-7.7810978185000002</v>
      </c>
      <c r="F32">
        <v>-4.9751712409</v>
      </c>
      <c r="G32" t="s">
        <v>3942</v>
      </c>
      <c r="H32" t="s">
        <v>3943</v>
      </c>
    </row>
    <row r="33" spans="1:8" x14ac:dyDescent="0.25">
      <c r="A33">
        <v>11</v>
      </c>
      <c r="B33" t="s">
        <v>3413</v>
      </c>
      <c r="C33" t="s">
        <v>3955</v>
      </c>
      <c r="D33" t="s">
        <v>3956</v>
      </c>
      <c r="E33">
        <v>-6.7616263024999999</v>
      </c>
      <c r="F33">
        <v>-4.1020456376999999</v>
      </c>
      <c r="G33" t="s">
        <v>3957</v>
      </c>
      <c r="H33" t="s">
        <v>3954</v>
      </c>
    </row>
    <row r="34" spans="1:8" x14ac:dyDescent="0.25">
      <c r="A34">
        <v>11</v>
      </c>
      <c r="B34" t="s">
        <v>3413</v>
      </c>
      <c r="C34" t="s">
        <v>3951</v>
      </c>
      <c r="D34" t="s">
        <v>3952</v>
      </c>
      <c r="E34">
        <v>-7.0938151211999996</v>
      </c>
      <c r="F34">
        <v>-4.3941172332000002</v>
      </c>
      <c r="G34" t="s">
        <v>3953</v>
      </c>
      <c r="H34" t="s">
        <v>3954</v>
      </c>
    </row>
    <row r="35" spans="1:8" x14ac:dyDescent="0.25">
      <c r="A35">
        <v>11</v>
      </c>
      <c r="B35" t="s">
        <v>3413</v>
      </c>
      <c r="C35" t="s">
        <v>3948</v>
      </c>
      <c r="D35" t="s">
        <v>3949</v>
      </c>
      <c r="E35">
        <v>-7.2151134649999999</v>
      </c>
      <c r="F35">
        <v>-4.4864518810999998</v>
      </c>
      <c r="G35" t="s">
        <v>3950</v>
      </c>
      <c r="H35" t="s">
        <v>3947</v>
      </c>
    </row>
    <row r="36" spans="1:8" x14ac:dyDescent="0.25">
      <c r="A36">
        <v>11</v>
      </c>
      <c r="B36" t="s">
        <v>3413</v>
      </c>
      <c r="C36" t="s">
        <v>3944</v>
      </c>
      <c r="D36" t="s">
        <v>3945</v>
      </c>
      <c r="E36">
        <v>-7.7682908141000002</v>
      </c>
      <c r="F36">
        <v>-4.9751712409</v>
      </c>
      <c r="G36" t="s">
        <v>3946</v>
      </c>
      <c r="H36" t="s">
        <v>3947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BF4C-3EDB-466B-AE52-96F88ED696DA}">
  <dimension ref="A1:M63"/>
  <sheetViews>
    <sheetView workbookViewId="0">
      <selection activeCell="F39" sqref="F39"/>
    </sheetView>
  </sheetViews>
  <sheetFormatPr defaultRowHeight="15" x14ac:dyDescent="0.25"/>
  <cols>
    <col min="1" max="1" width="15.7109375" bestFit="1" customWidth="1"/>
    <col min="2" max="2" width="58.28515625" bestFit="1" customWidth="1"/>
    <col min="3" max="3" width="8.5703125" bestFit="1" customWidth="1"/>
    <col min="4" max="4" width="18.85546875" bestFit="1" customWidth="1"/>
    <col min="5" max="5" width="22.7109375" bestFit="1" customWidth="1"/>
    <col min="6" max="6" width="32" customWidth="1"/>
    <col min="7" max="7" width="11.140625" bestFit="1" customWidth="1"/>
    <col min="8" max="8" width="10.5703125" bestFit="1" customWidth="1"/>
    <col min="9" max="9" width="11.5703125" bestFit="1" customWidth="1"/>
    <col min="10" max="10" width="18.85546875" bestFit="1" customWidth="1"/>
    <col min="11" max="11" width="20.85546875" bestFit="1" customWidth="1"/>
    <col min="12" max="12" width="8.28515625" customWidth="1"/>
    <col min="13" max="13" width="12.5703125" customWidth="1"/>
  </cols>
  <sheetData>
    <row r="1" spans="1:13" x14ac:dyDescent="0.25">
      <c r="A1" t="s">
        <v>3379</v>
      </c>
      <c r="B1" t="s">
        <v>3380</v>
      </c>
      <c r="C1" t="s">
        <v>3381</v>
      </c>
      <c r="D1" t="s">
        <v>3382</v>
      </c>
      <c r="E1" t="s">
        <v>3383</v>
      </c>
      <c r="F1" t="s">
        <v>3384</v>
      </c>
      <c r="G1" t="s">
        <v>3385</v>
      </c>
      <c r="H1" t="s">
        <v>3386</v>
      </c>
      <c r="I1" t="s">
        <v>3387</v>
      </c>
      <c r="J1" t="s">
        <v>3388</v>
      </c>
      <c r="K1" t="s">
        <v>3389</v>
      </c>
      <c r="L1" t="s">
        <v>3390</v>
      </c>
      <c r="M1" t="s">
        <v>3391</v>
      </c>
    </row>
    <row r="2" spans="1:13" x14ac:dyDescent="0.25">
      <c r="A2" t="s">
        <v>3958</v>
      </c>
      <c r="B2" t="s">
        <v>3959</v>
      </c>
      <c r="C2">
        <v>20</v>
      </c>
      <c r="D2" t="s">
        <v>3960</v>
      </c>
      <c r="E2" t="s">
        <v>3961</v>
      </c>
      <c r="F2" t="s">
        <v>3407</v>
      </c>
      <c r="G2">
        <v>250</v>
      </c>
      <c r="H2">
        <v>118</v>
      </c>
      <c r="I2">
        <v>9011</v>
      </c>
      <c r="J2" t="s">
        <v>3962</v>
      </c>
      <c r="K2" t="s">
        <v>3963</v>
      </c>
      <c r="L2" t="s">
        <v>3964</v>
      </c>
      <c r="M2" t="s">
        <v>3965</v>
      </c>
    </row>
    <row r="3" spans="1:13" x14ac:dyDescent="0.25">
      <c r="A3" t="s">
        <v>3958</v>
      </c>
      <c r="B3" t="s">
        <v>3966</v>
      </c>
      <c r="C3">
        <v>18</v>
      </c>
      <c r="D3" t="s">
        <v>3967</v>
      </c>
      <c r="E3" t="s">
        <v>3968</v>
      </c>
      <c r="F3" t="s">
        <v>3969</v>
      </c>
      <c r="G3">
        <v>250</v>
      </c>
      <c r="H3">
        <v>172</v>
      </c>
      <c r="I3">
        <v>9011</v>
      </c>
      <c r="J3" t="s">
        <v>3970</v>
      </c>
      <c r="K3" t="s">
        <v>3971</v>
      </c>
      <c r="L3" t="s">
        <v>3972</v>
      </c>
      <c r="M3" t="s">
        <v>3973</v>
      </c>
    </row>
    <row r="4" spans="1:13" x14ac:dyDescent="0.25">
      <c r="A4" t="s">
        <v>3958</v>
      </c>
      <c r="B4" t="s">
        <v>3974</v>
      </c>
      <c r="C4">
        <v>15</v>
      </c>
      <c r="D4" t="s">
        <v>3975</v>
      </c>
      <c r="E4" t="s">
        <v>3976</v>
      </c>
      <c r="F4" t="s">
        <v>3977</v>
      </c>
      <c r="G4">
        <v>250</v>
      </c>
      <c r="H4">
        <v>141</v>
      </c>
      <c r="I4">
        <v>9011</v>
      </c>
      <c r="J4" t="s">
        <v>3978</v>
      </c>
      <c r="K4" t="s">
        <v>3979</v>
      </c>
      <c r="L4" t="s">
        <v>3980</v>
      </c>
      <c r="M4" t="s">
        <v>3981</v>
      </c>
    </row>
    <row r="5" spans="1:13" x14ac:dyDescent="0.25">
      <c r="A5" t="s">
        <v>3958</v>
      </c>
      <c r="B5" t="s">
        <v>3982</v>
      </c>
      <c r="C5">
        <v>13</v>
      </c>
      <c r="D5" t="s">
        <v>3983</v>
      </c>
      <c r="E5" t="s">
        <v>3984</v>
      </c>
      <c r="F5" t="s">
        <v>3985</v>
      </c>
      <c r="G5">
        <v>250</v>
      </c>
      <c r="H5">
        <v>117</v>
      </c>
      <c r="I5">
        <v>9011</v>
      </c>
      <c r="J5" t="s">
        <v>3986</v>
      </c>
      <c r="K5" t="s">
        <v>3987</v>
      </c>
      <c r="L5" t="s">
        <v>3988</v>
      </c>
      <c r="M5" t="s">
        <v>3989</v>
      </c>
    </row>
    <row r="6" spans="1:13" x14ac:dyDescent="0.25">
      <c r="A6" t="s">
        <v>3958</v>
      </c>
      <c r="B6" t="s">
        <v>3990</v>
      </c>
      <c r="C6">
        <v>11</v>
      </c>
      <c r="D6" t="s">
        <v>3991</v>
      </c>
      <c r="E6" t="s">
        <v>3992</v>
      </c>
      <c r="F6" t="s">
        <v>3993</v>
      </c>
      <c r="G6">
        <v>250</v>
      </c>
      <c r="H6">
        <v>84</v>
      </c>
      <c r="I6">
        <v>9011</v>
      </c>
      <c r="J6" t="s">
        <v>3994</v>
      </c>
      <c r="K6" t="s">
        <v>3995</v>
      </c>
      <c r="L6" t="s">
        <v>3988</v>
      </c>
      <c r="M6" t="s">
        <v>3989</v>
      </c>
    </row>
    <row r="7" spans="1:13" x14ac:dyDescent="0.25">
      <c r="A7" t="s">
        <v>3958</v>
      </c>
      <c r="B7" t="s">
        <v>3996</v>
      </c>
      <c r="C7">
        <v>8</v>
      </c>
      <c r="D7" t="s">
        <v>3997</v>
      </c>
      <c r="E7" t="s">
        <v>3998</v>
      </c>
      <c r="F7" t="s">
        <v>3999</v>
      </c>
      <c r="G7">
        <v>250</v>
      </c>
      <c r="H7">
        <v>47</v>
      </c>
      <c r="I7">
        <v>9011</v>
      </c>
      <c r="J7" t="s">
        <v>4000</v>
      </c>
      <c r="K7" t="s">
        <v>4001</v>
      </c>
      <c r="L7" t="s">
        <v>4002</v>
      </c>
      <c r="M7" t="s">
        <v>4003</v>
      </c>
    </row>
    <row r="8" spans="1:13" x14ac:dyDescent="0.25">
      <c r="A8" t="s">
        <v>3958</v>
      </c>
      <c r="B8" t="s">
        <v>4004</v>
      </c>
      <c r="C8">
        <v>11</v>
      </c>
      <c r="D8" t="s">
        <v>3991</v>
      </c>
      <c r="E8" t="s">
        <v>4005</v>
      </c>
      <c r="F8" t="s">
        <v>4006</v>
      </c>
      <c r="G8">
        <v>250</v>
      </c>
      <c r="H8">
        <v>103</v>
      </c>
      <c r="I8">
        <v>9011</v>
      </c>
      <c r="J8" t="s">
        <v>4007</v>
      </c>
      <c r="K8" t="s">
        <v>4008</v>
      </c>
      <c r="L8" t="s">
        <v>4009</v>
      </c>
      <c r="M8" t="s">
        <v>4010</v>
      </c>
    </row>
    <row r="9" spans="1:13" x14ac:dyDescent="0.25">
      <c r="A9" t="s">
        <v>3958</v>
      </c>
      <c r="B9" t="s">
        <v>4011</v>
      </c>
      <c r="C9">
        <v>17</v>
      </c>
      <c r="D9" t="s">
        <v>4012</v>
      </c>
      <c r="E9" t="s">
        <v>4013</v>
      </c>
      <c r="F9" t="s">
        <v>4014</v>
      </c>
      <c r="G9">
        <v>250</v>
      </c>
      <c r="H9">
        <v>264</v>
      </c>
      <c r="I9">
        <v>9011</v>
      </c>
      <c r="J9" t="s">
        <v>4015</v>
      </c>
      <c r="K9" t="s">
        <v>4016</v>
      </c>
      <c r="L9" t="s">
        <v>4017</v>
      </c>
      <c r="M9" t="s">
        <v>4018</v>
      </c>
    </row>
    <row r="10" spans="1:13" x14ac:dyDescent="0.25">
      <c r="A10" t="s">
        <v>3958</v>
      </c>
      <c r="B10" t="s">
        <v>4019</v>
      </c>
      <c r="C10">
        <v>21</v>
      </c>
      <c r="D10" t="s">
        <v>4020</v>
      </c>
      <c r="E10" t="s">
        <v>4021</v>
      </c>
      <c r="F10" t="s">
        <v>4022</v>
      </c>
      <c r="G10">
        <v>250</v>
      </c>
      <c r="H10">
        <v>383</v>
      </c>
      <c r="I10">
        <v>9011</v>
      </c>
      <c r="J10" t="s">
        <v>4023</v>
      </c>
      <c r="K10" t="s">
        <v>4024</v>
      </c>
      <c r="L10" t="s">
        <v>4025</v>
      </c>
      <c r="M10" t="s">
        <v>4026</v>
      </c>
    </row>
    <row r="11" spans="1:13" x14ac:dyDescent="0.25">
      <c r="A11" t="s">
        <v>3958</v>
      </c>
      <c r="B11" t="s">
        <v>4027</v>
      </c>
      <c r="C11">
        <v>19</v>
      </c>
      <c r="D11" t="s">
        <v>4028</v>
      </c>
      <c r="E11" t="s">
        <v>4029</v>
      </c>
      <c r="F11" t="s">
        <v>4030</v>
      </c>
      <c r="G11">
        <v>250</v>
      </c>
      <c r="H11">
        <v>359</v>
      </c>
      <c r="I11">
        <v>9011</v>
      </c>
      <c r="J11" t="s">
        <v>4031</v>
      </c>
      <c r="K11" t="s">
        <v>4032</v>
      </c>
      <c r="L11" t="s">
        <v>4033</v>
      </c>
      <c r="M11" t="s">
        <v>4034</v>
      </c>
    </row>
    <row r="12" spans="1:13" x14ac:dyDescent="0.25">
      <c r="A12" t="s">
        <v>3958</v>
      </c>
      <c r="B12" t="s">
        <v>4035</v>
      </c>
      <c r="C12">
        <v>23</v>
      </c>
      <c r="D12" t="s">
        <v>4036</v>
      </c>
      <c r="E12" t="s">
        <v>4037</v>
      </c>
      <c r="F12" t="s">
        <v>4038</v>
      </c>
      <c r="G12">
        <v>250</v>
      </c>
      <c r="H12">
        <v>471</v>
      </c>
      <c r="I12">
        <v>9011</v>
      </c>
      <c r="J12" t="s">
        <v>4039</v>
      </c>
      <c r="K12" t="s">
        <v>4040</v>
      </c>
      <c r="L12" t="s">
        <v>4033</v>
      </c>
      <c r="M12" t="s">
        <v>4034</v>
      </c>
    </row>
    <row r="13" spans="1:13" x14ac:dyDescent="0.25">
      <c r="A13" t="s">
        <v>3958</v>
      </c>
      <c r="B13" t="s">
        <v>4041</v>
      </c>
      <c r="C13">
        <v>6</v>
      </c>
      <c r="D13" t="s">
        <v>4042</v>
      </c>
      <c r="E13" t="s">
        <v>4043</v>
      </c>
      <c r="F13" t="s">
        <v>4044</v>
      </c>
      <c r="G13">
        <v>250</v>
      </c>
      <c r="H13">
        <v>54</v>
      </c>
      <c r="I13">
        <v>9011</v>
      </c>
      <c r="J13" t="s">
        <v>3986</v>
      </c>
      <c r="K13" t="s">
        <v>4045</v>
      </c>
      <c r="L13" t="s">
        <v>4046</v>
      </c>
      <c r="M13" t="s">
        <v>4047</v>
      </c>
    </row>
    <row r="14" spans="1:13" x14ac:dyDescent="0.25">
      <c r="A14" t="s">
        <v>3958</v>
      </c>
      <c r="B14" t="s">
        <v>4048</v>
      </c>
      <c r="C14">
        <v>15</v>
      </c>
      <c r="D14" t="s">
        <v>3975</v>
      </c>
      <c r="E14" t="s">
        <v>4049</v>
      </c>
      <c r="F14" t="s">
        <v>4050</v>
      </c>
      <c r="G14">
        <v>250</v>
      </c>
      <c r="H14">
        <v>268</v>
      </c>
      <c r="I14">
        <v>9011</v>
      </c>
      <c r="J14" t="s">
        <v>4051</v>
      </c>
      <c r="K14" t="s">
        <v>4052</v>
      </c>
      <c r="L14" t="s">
        <v>4046</v>
      </c>
      <c r="M14" t="s">
        <v>4047</v>
      </c>
    </row>
    <row r="15" spans="1:13" x14ac:dyDescent="0.25">
      <c r="A15" t="s">
        <v>3958</v>
      </c>
      <c r="B15" t="s">
        <v>4053</v>
      </c>
      <c r="C15">
        <v>9</v>
      </c>
      <c r="D15" t="s">
        <v>4054</v>
      </c>
      <c r="E15" t="s">
        <v>4055</v>
      </c>
      <c r="F15" t="s">
        <v>4056</v>
      </c>
      <c r="G15">
        <v>250</v>
      </c>
      <c r="H15">
        <v>124</v>
      </c>
      <c r="I15">
        <v>9011</v>
      </c>
      <c r="J15" t="s">
        <v>4057</v>
      </c>
      <c r="K15" t="s">
        <v>4058</v>
      </c>
      <c r="L15" t="s">
        <v>4059</v>
      </c>
      <c r="M15" t="s">
        <v>4060</v>
      </c>
    </row>
    <row r="16" spans="1:13" x14ac:dyDescent="0.25">
      <c r="A16" t="s">
        <v>3958</v>
      </c>
      <c r="B16" t="s">
        <v>4061</v>
      </c>
      <c r="C16">
        <v>9</v>
      </c>
      <c r="D16" t="s">
        <v>4054</v>
      </c>
      <c r="E16" t="s">
        <v>4062</v>
      </c>
      <c r="F16" t="s">
        <v>4063</v>
      </c>
      <c r="G16">
        <v>250</v>
      </c>
      <c r="H16">
        <v>125</v>
      </c>
      <c r="I16">
        <v>9011</v>
      </c>
      <c r="J16" t="s">
        <v>4064</v>
      </c>
      <c r="K16" t="s">
        <v>4065</v>
      </c>
      <c r="L16" t="s">
        <v>4059</v>
      </c>
      <c r="M16" t="s">
        <v>4060</v>
      </c>
    </row>
    <row r="17" spans="1:13" x14ac:dyDescent="0.25">
      <c r="A17" t="s">
        <v>3958</v>
      </c>
      <c r="B17" t="s">
        <v>4066</v>
      </c>
      <c r="C17">
        <v>18</v>
      </c>
      <c r="D17" t="s">
        <v>3967</v>
      </c>
      <c r="E17" t="s">
        <v>4067</v>
      </c>
      <c r="F17" t="s">
        <v>4068</v>
      </c>
      <c r="G17">
        <v>250</v>
      </c>
      <c r="H17">
        <v>369</v>
      </c>
      <c r="I17">
        <v>9011</v>
      </c>
      <c r="J17" t="s">
        <v>4069</v>
      </c>
      <c r="K17" t="s">
        <v>4070</v>
      </c>
      <c r="L17" t="s">
        <v>4071</v>
      </c>
      <c r="M17" t="s">
        <v>4072</v>
      </c>
    </row>
    <row r="18" spans="1:13" x14ac:dyDescent="0.25">
      <c r="A18" t="s">
        <v>3958</v>
      </c>
      <c r="B18" t="s">
        <v>4073</v>
      </c>
      <c r="C18">
        <v>10</v>
      </c>
      <c r="D18" t="s">
        <v>4074</v>
      </c>
      <c r="E18" t="s">
        <v>4075</v>
      </c>
      <c r="F18" t="s">
        <v>4076</v>
      </c>
      <c r="G18">
        <v>250</v>
      </c>
      <c r="H18">
        <v>165</v>
      </c>
      <c r="I18">
        <v>9011</v>
      </c>
      <c r="J18" t="s">
        <v>4077</v>
      </c>
      <c r="K18" t="s">
        <v>4078</v>
      </c>
      <c r="L18" t="s">
        <v>4079</v>
      </c>
      <c r="M18" t="s">
        <v>4080</v>
      </c>
    </row>
    <row r="19" spans="1:13" x14ac:dyDescent="0.25">
      <c r="A19" t="s">
        <v>3958</v>
      </c>
      <c r="B19" t="s">
        <v>4081</v>
      </c>
      <c r="C19">
        <v>15</v>
      </c>
      <c r="D19" t="s">
        <v>3975</v>
      </c>
      <c r="E19" t="s">
        <v>4082</v>
      </c>
      <c r="F19" t="s">
        <v>4083</v>
      </c>
      <c r="G19">
        <v>250</v>
      </c>
      <c r="H19">
        <v>302</v>
      </c>
      <c r="I19">
        <v>9011</v>
      </c>
      <c r="J19" t="s">
        <v>4084</v>
      </c>
      <c r="K19" t="s">
        <v>4085</v>
      </c>
      <c r="L19" t="s">
        <v>4079</v>
      </c>
      <c r="M19" t="s">
        <v>4080</v>
      </c>
    </row>
    <row r="20" spans="1:13" x14ac:dyDescent="0.25">
      <c r="A20" t="s">
        <v>3958</v>
      </c>
      <c r="B20" t="s">
        <v>4086</v>
      </c>
      <c r="C20">
        <v>7</v>
      </c>
      <c r="D20" t="s">
        <v>4087</v>
      </c>
      <c r="E20" t="s">
        <v>4088</v>
      </c>
      <c r="F20" t="s">
        <v>4089</v>
      </c>
      <c r="G20">
        <v>250</v>
      </c>
      <c r="H20">
        <v>92</v>
      </c>
      <c r="I20">
        <v>9011</v>
      </c>
      <c r="J20" t="s">
        <v>4090</v>
      </c>
      <c r="K20" t="s">
        <v>4091</v>
      </c>
      <c r="L20" t="s">
        <v>4079</v>
      </c>
      <c r="M20" t="s">
        <v>4080</v>
      </c>
    </row>
    <row r="21" spans="1:13" x14ac:dyDescent="0.25">
      <c r="A21" t="s">
        <v>3958</v>
      </c>
      <c r="B21" t="s">
        <v>4092</v>
      </c>
      <c r="C21">
        <v>6</v>
      </c>
      <c r="D21" t="s">
        <v>4042</v>
      </c>
      <c r="E21" t="s">
        <v>4093</v>
      </c>
      <c r="F21" t="s">
        <v>4094</v>
      </c>
      <c r="G21">
        <v>250</v>
      </c>
      <c r="H21">
        <v>72</v>
      </c>
      <c r="I21">
        <v>9011</v>
      </c>
      <c r="J21" t="s">
        <v>4095</v>
      </c>
      <c r="K21" t="s">
        <v>4096</v>
      </c>
      <c r="L21" t="s">
        <v>4097</v>
      </c>
      <c r="M21" t="s">
        <v>4098</v>
      </c>
    </row>
    <row r="22" spans="1:13" x14ac:dyDescent="0.25">
      <c r="A22" t="s">
        <v>3958</v>
      </c>
      <c r="B22" t="s">
        <v>4099</v>
      </c>
      <c r="C22">
        <v>4</v>
      </c>
      <c r="D22" t="s">
        <v>4100</v>
      </c>
      <c r="E22" t="s">
        <v>4101</v>
      </c>
      <c r="F22" t="s">
        <v>4102</v>
      </c>
      <c r="G22">
        <v>250</v>
      </c>
      <c r="H22">
        <v>32</v>
      </c>
      <c r="I22">
        <v>9011</v>
      </c>
      <c r="J22" t="s">
        <v>4103</v>
      </c>
      <c r="K22" t="s">
        <v>4104</v>
      </c>
      <c r="L22" t="s">
        <v>4105</v>
      </c>
      <c r="M22" t="s">
        <v>4106</v>
      </c>
    </row>
    <row r="23" spans="1:13" x14ac:dyDescent="0.25">
      <c r="A23" t="s">
        <v>3958</v>
      </c>
      <c r="B23" t="s">
        <v>4107</v>
      </c>
      <c r="C23">
        <v>8</v>
      </c>
      <c r="D23" t="s">
        <v>3997</v>
      </c>
      <c r="E23" t="s">
        <v>4108</v>
      </c>
      <c r="F23" t="s">
        <v>4109</v>
      </c>
      <c r="G23">
        <v>250</v>
      </c>
      <c r="H23">
        <v>134</v>
      </c>
      <c r="I23">
        <v>9011</v>
      </c>
      <c r="J23" t="s">
        <v>4110</v>
      </c>
      <c r="K23" t="s">
        <v>4111</v>
      </c>
      <c r="L23" t="s">
        <v>4112</v>
      </c>
      <c r="M23" t="s">
        <v>4113</v>
      </c>
    </row>
    <row r="24" spans="1:13" x14ac:dyDescent="0.25">
      <c r="A24" t="s">
        <v>3958</v>
      </c>
      <c r="B24" t="s">
        <v>4114</v>
      </c>
      <c r="C24">
        <v>8</v>
      </c>
      <c r="D24" t="s">
        <v>3997</v>
      </c>
      <c r="E24" t="s">
        <v>4115</v>
      </c>
      <c r="F24" t="s">
        <v>4116</v>
      </c>
      <c r="G24">
        <v>250</v>
      </c>
      <c r="H24">
        <v>135</v>
      </c>
      <c r="I24">
        <v>9011</v>
      </c>
      <c r="J24" t="s">
        <v>4117</v>
      </c>
      <c r="K24" t="s">
        <v>4118</v>
      </c>
      <c r="L24" t="s">
        <v>4112</v>
      </c>
      <c r="M24" t="s">
        <v>4113</v>
      </c>
    </row>
    <row r="25" spans="1:13" x14ac:dyDescent="0.25">
      <c r="A25" t="s">
        <v>3958</v>
      </c>
      <c r="B25" t="s">
        <v>4119</v>
      </c>
      <c r="C25">
        <v>6</v>
      </c>
      <c r="D25" t="s">
        <v>4042</v>
      </c>
      <c r="E25" t="s">
        <v>4120</v>
      </c>
      <c r="F25" t="s">
        <v>4121</v>
      </c>
      <c r="G25">
        <v>250</v>
      </c>
      <c r="H25">
        <v>84</v>
      </c>
      <c r="I25">
        <v>9011</v>
      </c>
      <c r="J25" t="s">
        <v>4122</v>
      </c>
      <c r="K25" t="s">
        <v>4123</v>
      </c>
      <c r="L25" t="s">
        <v>4112</v>
      </c>
      <c r="M25" t="s">
        <v>4113</v>
      </c>
    </row>
    <row r="26" spans="1:13" x14ac:dyDescent="0.25">
      <c r="A26" t="s">
        <v>3958</v>
      </c>
      <c r="B26" t="s">
        <v>4124</v>
      </c>
      <c r="C26">
        <v>5</v>
      </c>
      <c r="D26" t="s">
        <v>4125</v>
      </c>
      <c r="E26" t="s">
        <v>4126</v>
      </c>
      <c r="F26" t="s">
        <v>4127</v>
      </c>
      <c r="G26">
        <v>250</v>
      </c>
      <c r="H26">
        <v>63</v>
      </c>
      <c r="I26">
        <v>9011</v>
      </c>
      <c r="J26" t="s">
        <v>4128</v>
      </c>
      <c r="K26" t="s">
        <v>4129</v>
      </c>
      <c r="L26" t="s">
        <v>4130</v>
      </c>
      <c r="M26" t="s">
        <v>4131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032B-1385-40E8-9A6D-FE31A425AFA5}">
  <dimension ref="A1:M162"/>
  <sheetViews>
    <sheetView workbookViewId="0">
      <selection activeCell="H41" sqref="H41"/>
    </sheetView>
  </sheetViews>
  <sheetFormatPr defaultRowHeight="15" x14ac:dyDescent="0.25"/>
  <cols>
    <col min="1" max="1" width="15.7109375" bestFit="1" customWidth="1"/>
    <col min="2" max="2" width="66.42578125" bestFit="1" customWidth="1"/>
    <col min="4" max="4" width="18.85546875" bestFit="1" customWidth="1"/>
  </cols>
  <sheetData>
    <row r="1" spans="1:13" x14ac:dyDescent="0.25">
      <c r="A1" t="s">
        <v>3379</v>
      </c>
      <c r="B1" t="s">
        <v>3380</v>
      </c>
      <c r="C1" t="s">
        <v>3381</v>
      </c>
      <c r="D1" t="s">
        <v>3382</v>
      </c>
      <c r="E1" t="s">
        <v>3383</v>
      </c>
      <c r="F1" t="s">
        <v>3384</v>
      </c>
      <c r="G1" t="s">
        <v>3385</v>
      </c>
      <c r="H1" t="s">
        <v>3386</v>
      </c>
      <c r="I1" t="s">
        <v>3387</v>
      </c>
      <c r="J1" t="s">
        <v>3388</v>
      </c>
      <c r="K1" t="s">
        <v>3389</v>
      </c>
      <c r="L1" t="s">
        <v>3390</v>
      </c>
      <c r="M1" t="s">
        <v>3391</v>
      </c>
    </row>
    <row r="2" spans="1:13" x14ac:dyDescent="0.25">
      <c r="A2" t="s">
        <v>3958</v>
      </c>
      <c r="B2" t="s">
        <v>4132</v>
      </c>
      <c r="C2">
        <v>39</v>
      </c>
      <c r="D2" t="s">
        <v>4133</v>
      </c>
      <c r="E2" t="s">
        <v>4134</v>
      </c>
      <c r="F2" t="s">
        <v>4135</v>
      </c>
      <c r="G2">
        <v>514</v>
      </c>
      <c r="H2">
        <v>213</v>
      </c>
      <c r="I2">
        <v>9011</v>
      </c>
      <c r="J2" t="s">
        <v>4136</v>
      </c>
      <c r="K2" t="s">
        <v>4137</v>
      </c>
      <c r="L2" t="s">
        <v>4138</v>
      </c>
      <c r="M2" t="s">
        <v>4139</v>
      </c>
    </row>
    <row r="3" spans="1:13" x14ac:dyDescent="0.25">
      <c r="A3" t="s">
        <v>3958</v>
      </c>
      <c r="B3" t="s">
        <v>4140</v>
      </c>
      <c r="C3">
        <v>29</v>
      </c>
      <c r="D3" t="s">
        <v>4141</v>
      </c>
      <c r="E3" t="s">
        <v>4142</v>
      </c>
      <c r="F3" t="s">
        <v>4143</v>
      </c>
      <c r="G3">
        <v>514</v>
      </c>
      <c r="H3">
        <v>128</v>
      </c>
      <c r="I3">
        <v>9011</v>
      </c>
      <c r="J3" t="s">
        <v>4144</v>
      </c>
      <c r="K3" t="s">
        <v>4145</v>
      </c>
      <c r="L3" t="s">
        <v>4146</v>
      </c>
      <c r="M3" t="s">
        <v>4147</v>
      </c>
    </row>
    <row r="4" spans="1:13" x14ac:dyDescent="0.25">
      <c r="A4" t="s">
        <v>3958</v>
      </c>
      <c r="B4" t="s">
        <v>4148</v>
      </c>
      <c r="C4">
        <v>14</v>
      </c>
      <c r="D4" t="s">
        <v>4149</v>
      </c>
      <c r="E4" t="s">
        <v>4150</v>
      </c>
      <c r="F4" t="s">
        <v>4151</v>
      </c>
      <c r="G4">
        <v>514</v>
      </c>
      <c r="H4">
        <v>31</v>
      </c>
      <c r="I4">
        <v>9011</v>
      </c>
      <c r="J4" t="s">
        <v>4152</v>
      </c>
      <c r="K4" t="s">
        <v>4153</v>
      </c>
      <c r="L4" t="s">
        <v>4154</v>
      </c>
      <c r="M4" t="s">
        <v>4155</v>
      </c>
    </row>
    <row r="5" spans="1:13" x14ac:dyDescent="0.25">
      <c r="A5" t="s">
        <v>3958</v>
      </c>
      <c r="B5" t="s">
        <v>4156</v>
      </c>
      <c r="C5">
        <v>64</v>
      </c>
      <c r="D5" t="s">
        <v>4157</v>
      </c>
      <c r="E5" t="s">
        <v>4158</v>
      </c>
      <c r="F5" t="s">
        <v>4159</v>
      </c>
      <c r="G5">
        <v>514</v>
      </c>
      <c r="H5">
        <v>543</v>
      </c>
      <c r="I5">
        <v>9011</v>
      </c>
      <c r="J5" t="s">
        <v>4160</v>
      </c>
      <c r="K5" t="s">
        <v>4161</v>
      </c>
      <c r="L5" t="s">
        <v>4162</v>
      </c>
      <c r="M5" t="s">
        <v>4163</v>
      </c>
    </row>
    <row r="6" spans="1:13" x14ac:dyDescent="0.25">
      <c r="A6" t="s">
        <v>3958</v>
      </c>
      <c r="B6" t="s">
        <v>4164</v>
      </c>
      <c r="C6">
        <v>38</v>
      </c>
      <c r="D6" t="s">
        <v>4165</v>
      </c>
      <c r="E6" t="s">
        <v>4166</v>
      </c>
      <c r="F6" t="s">
        <v>4167</v>
      </c>
      <c r="G6">
        <v>514</v>
      </c>
      <c r="H6">
        <v>256</v>
      </c>
      <c r="I6">
        <v>9011</v>
      </c>
      <c r="J6" t="s">
        <v>4168</v>
      </c>
      <c r="K6" t="s">
        <v>4169</v>
      </c>
      <c r="L6" t="s">
        <v>4170</v>
      </c>
      <c r="M6" t="s">
        <v>4171</v>
      </c>
    </row>
    <row r="7" spans="1:13" x14ac:dyDescent="0.25">
      <c r="A7" t="s">
        <v>3958</v>
      </c>
      <c r="B7" t="s">
        <v>4172</v>
      </c>
      <c r="C7">
        <v>35</v>
      </c>
      <c r="D7" t="s">
        <v>4173</v>
      </c>
      <c r="E7" t="s">
        <v>4174</v>
      </c>
      <c r="F7" t="s">
        <v>4175</v>
      </c>
      <c r="G7">
        <v>514</v>
      </c>
      <c r="H7">
        <v>225</v>
      </c>
      <c r="I7">
        <v>9011</v>
      </c>
      <c r="J7" t="s">
        <v>4176</v>
      </c>
      <c r="K7" t="s">
        <v>4177</v>
      </c>
      <c r="L7" t="s">
        <v>4170</v>
      </c>
      <c r="M7" t="s">
        <v>4171</v>
      </c>
    </row>
    <row r="8" spans="1:13" x14ac:dyDescent="0.25">
      <c r="A8" t="s">
        <v>3958</v>
      </c>
      <c r="B8" t="s">
        <v>4178</v>
      </c>
      <c r="C8">
        <v>22</v>
      </c>
      <c r="D8" t="s">
        <v>4179</v>
      </c>
      <c r="E8" t="s">
        <v>4180</v>
      </c>
      <c r="F8" t="s">
        <v>4181</v>
      </c>
      <c r="G8">
        <v>514</v>
      </c>
      <c r="H8">
        <v>103</v>
      </c>
      <c r="I8">
        <v>9011</v>
      </c>
      <c r="J8" t="s">
        <v>4182</v>
      </c>
      <c r="K8" t="s">
        <v>4183</v>
      </c>
      <c r="L8" t="s">
        <v>4184</v>
      </c>
      <c r="M8" t="s">
        <v>4185</v>
      </c>
    </row>
    <row r="9" spans="1:13" x14ac:dyDescent="0.25">
      <c r="A9" t="s">
        <v>3958</v>
      </c>
      <c r="B9" t="s">
        <v>4186</v>
      </c>
      <c r="C9">
        <v>23</v>
      </c>
      <c r="D9" t="s">
        <v>4187</v>
      </c>
      <c r="E9" t="s">
        <v>4188</v>
      </c>
      <c r="F9" t="s">
        <v>4189</v>
      </c>
      <c r="G9">
        <v>514</v>
      </c>
      <c r="H9">
        <v>113</v>
      </c>
      <c r="I9">
        <v>9011</v>
      </c>
      <c r="J9" t="s">
        <v>4190</v>
      </c>
      <c r="K9" t="s">
        <v>4191</v>
      </c>
      <c r="L9" t="s">
        <v>4192</v>
      </c>
      <c r="M9" t="s">
        <v>4193</v>
      </c>
    </row>
    <row r="10" spans="1:13" x14ac:dyDescent="0.25">
      <c r="A10" t="s">
        <v>3958</v>
      </c>
      <c r="B10" t="s">
        <v>4194</v>
      </c>
      <c r="C10">
        <v>31</v>
      </c>
      <c r="D10" t="s">
        <v>4195</v>
      </c>
      <c r="E10" t="s">
        <v>4196</v>
      </c>
      <c r="F10" t="s">
        <v>4197</v>
      </c>
      <c r="G10">
        <v>514</v>
      </c>
      <c r="H10">
        <v>192</v>
      </c>
      <c r="I10">
        <v>9011</v>
      </c>
      <c r="J10" t="s">
        <v>4198</v>
      </c>
      <c r="K10" t="s">
        <v>4199</v>
      </c>
      <c r="L10" t="s">
        <v>4200</v>
      </c>
      <c r="M10" t="s">
        <v>4201</v>
      </c>
    </row>
    <row r="11" spans="1:13" x14ac:dyDescent="0.25">
      <c r="A11" t="s">
        <v>3958</v>
      </c>
      <c r="B11" t="s">
        <v>4202</v>
      </c>
      <c r="C11">
        <v>25</v>
      </c>
      <c r="D11" t="s">
        <v>4203</v>
      </c>
      <c r="E11" t="s">
        <v>4204</v>
      </c>
      <c r="F11" t="s">
        <v>4205</v>
      </c>
      <c r="G11">
        <v>514</v>
      </c>
      <c r="H11">
        <v>135</v>
      </c>
      <c r="I11">
        <v>9011</v>
      </c>
      <c r="J11" t="s">
        <v>4206</v>
      </c>
      <c r="K11" t="s">
        <v>4207</v>
      </c>
      <c r="L11" t="s">
        <v>4208</v>
      </c>
      <c r="M11" t="s">
        <v>4209</v>
      </c>
    </row>
    <row r="12" spans="1:13" x14ac:dyDescent="0.25">
      <c r="A12" t="s">
        <v>3958</v>
      </c>
      <c r="B12" t="s">
        <v>4210</v>
      </c>
      <c r="C12">
        <v>21</v>
      </c>
      <c r="D12" t="s">
        <v>4211</v>
      </c>
      <c r="E12" t="s">
        <v>4212</v>
      </c>
      <c r="F12" t="s">
        <v>4213</v>
      </c>
      <c r="G12">
        <v>514</v>
      </c>
      <c r="H12">
        <v>100</v>
      </c>
      <c r="I12">
        <v>9011</v>
      </c>
      <c r="J12" t="s">
        <v>4214</v>
      </c>
      <c r="K12" t="s">
        <v>4215</v>
      </c>
      <c r="L12" t="s">
        <v>4216</v>
      </c>
      <c r="M12" t="s">
        <v>4217</v>
      </c>
    </row>
    <row r="13" spans="1:13" x14ac:dyDescent="0.25">
      <c r="A13" t="s">
        <v>3958</v>
      </c>
      <c r="B13" t="s">
        <v>4218</v>
      </c>
      <c r="C13">
        <v>23</v>
      </c>
      <c r="D13" t="s">
        <v>4187</v>
      </c>
      <c r="E13" t="s">
        <v>4219</v>
      </c>
      <c r="F13" t="s">
        <v>4220</v>
      </c>
      <c r="G13">
        <v>514</v>
      </c>
      <c r="H13">
        <v>125</v>
      </c>
      <c r="I13">
        <v>9011</v>
      </c>
      <c r="J13" t="s">
        <v>4221</v>
      </c>
      <c r="K13" t="s">
        <v>4222</v>
      </c>
      <c r="L13" t="s">
        <v>4223</v>
      </c>
      <c r="M13" t="s">
        <v>4224</v>
      </c>
    </row>
    <row r="14" spans="1:13" x14ac:dyDescent="0.25">
      <c r="A14" t="s">
        <v>3958</v>
      </c>
      <c r="B14" t="s">
        <v>4225</v>
      </c>
      <c r="C14">
        <v>24</v>
      </c>
      <c r="D14" t="s">
        <v>4226</v>
      </c>
      <c r="E14" t="s">
        <v>4227</v>
      </c>
      <c r="F14" t="s">
        <v>4228</v>
      </c>
      <c r="G14">
        <v>514</v>
      </c>
      <c r="H14">
        <v>135</v>
      </c>
      <c r="I14">
        <v>9011</v>
      </c>
      <c r="J14" t="s">
        <v>4229</v>
      </c>
      <c r="K14" t="s">
        <v>4230</v>
      </c>
      <c r="L14" t="s">
        <v>4223</v>
      </c>
      <c r="M14" t="s">
        <v>4224</v>
      </c>
    </row>
    <row r="15" spans="1:13" x14ac:dyDescent="0.25">
      <c r="A15" t="s">
        <v>3958</v>
      </c>
      <c r="B15" t="s">
        <v>4073</v>
      </c>
      <c r="C15">
        <v>27</v>
      </c>
      <c r="D15" t="s">
        <v>4231</v>
      </c>
      <c r="E15" t="s">
        <v>4232</v>
      </c>
      <c r="F15" t="s">
        <v>4233</v>
      </c>
      <c r="G15">
        <v>514</v>
      </c>
      <c r="H15">
        <v>165</v>
      </c>
      <c r="I15">
        <v>9011</v>
      </c>
      <c r="J15" t="s">
        <v>4234</v>
      </c>
      <c r="K15" t="s">
        <v>4235</v>
      </c>
      <c r="L15" t="s">
        <v>4223</v>
      </c>
      <c r="M15" t="s">
        <v>4224</v>
      </c>
    </row>
    <row r="16" spans="1:13" x14ac:dyDescent="0.25">
      <c r="A16" t="s">
        <v>3958</v>
      </c>
      <c r="B16" t="s">
        <v>4236</v>
      </c>
      <c r="C16">
        <v>12</v>
      </c>
      <c r="D16" t="s">
        <v>4237</v>
      </c>
      <c r="E16" t="s">
        <v>4238</v>
      </c>
      <c r="F16" t="s">
        <v>4239</v>
      </c>
      <c r="G16">
        <v>514</v>
      </c>
      <c r="H16">
        <v>36</v>
      </c>
      <c r="I16">
        <v>9011</v>
      </c>
      <c r="J16" t="s">
        <v>4240</v>
      </c>
      <c r="K16" t="s">
        <v>4241</v>
      </c>
      <c r="L16" t="s">
        <v>4242</v>
      </c>
      <c r="M16" t="s">
        <v>4243</v>
      </c>
    </row>
    <row r="17" spans="1:13" x14ac:dyDescent="0.25">
      <c r="A17" t="s">
        <v>3958</v>
      </c>
      <c r="B17" t="s">
        <v>4244</v>
      </c>
      <c r="C17">
        <v>28</v>
      </c>
      <c r="D17" t="s">
        <v>4245</v>
      </c>
      <c r="E17" t="s">
        <v>4246</v>
      </c>
      <c r="F17" t="s">
        <v>4247</v>
      </c>
      <c r="G17">
        <v>514</v>
      </c>
      <c r="H17">
        <v>180</v>
      </c>
      <c r="I17">
        <v>9011</v>
      </c>
      <c r="J17" t="s">
        <v>4176</v>
      </c>
      <c r="K17" t="s">
        <v>4248</v>
      </c>
      <c r="L17" t="s">
        <v>4249</v>
      </c>
      <c r="M17" t="s">
        <v>4250</v>
      </c>
    </row>
    <row r="18" spans="1:13" x14ac:dyDescent="0.25">
      <c r="A18" t="s">
        <v>3958</v>
      </c>
      <c r="B18" t="s">
        <v>4251</v>
      </c>
      <c r="C18">
        <v>36</v>
      </c>
      <c r="D18" t="s">
        <v>4252</v>
      </c>
      <c r="E18" t="s">
        <v>4253</v>
      </c>
      <c r="F18" t="s">
        <v>4254</v>
      </c>
      <c r="G18">
        <v>514</v>
      </c>
      <c r="H18">
        <v>272</v>
      </c>
      <c r="I18">
        <v>9011</v>
      </c>
      <c r="J18" t="s">
        <v>4255</v>
      </c>
      <c r="K18" t="s">
        <v>4256</v>
      </c>
      <c r="L18" t="s">
        <v>4257</v>
      </c>
      <c r="M18" t="s">
        <v>4258</v>
      </c>
    </row>
    <row r="19" spans="1:13" x14ac:dyDescent="0.25">
      <c r="A19" t="s">
        <v>3958</v>
      </c>
      <c r="B19" t="s">
        <v>4259</v>
      </c>
      <c r="C19">
        <v>17</v>
      </c>
      <c r="D19" t="s">
        <v>4260</v>
      </c>
      <c r="E19" t="s">
        <v>4261</v>
      </c>
      <c r="F19" t="s">
        <v>4262</v>
      </c>
      <c r="G19">
        <v>514</v>
      </c>
      <c r="H19">
        <v>77</v>
      </c>
      <c r="I19">
        <v>9011</v>
      </c>
      <c r="J19" t="s">
        <v>4263</v>
      </c>
      <c r="K19" t="s">
        <v>4264</v>
      </c>
      <c r="L19" t="s">
        <v>4265</v>
      </c>
      <c r="M19" t="s">
        <v>4266</v>
      </c>
    </row>
    <row r="20" spans="1:13" x14ac:dyDescent="0.25">
      <c r="A20" t="s">
        <v>3958</v>
      </c>
      <c r="B20" t="s">
        <v>4267</v>
      </c>
      <c r="C20">
        <v>20</v>
      </c>
      <c r="D20" t="s">
        <v>4268</v>
      </c>
      <c r="E20" t="s">
        <v>4269</v>
      </c>
      <c r="F20" t="s">
        <v>4270</v>
      </c>
      <c r="G20">
        <v>514</v>
      </c>
      <c r="H20">
        <v>108</v>
      </c>
      <c r="I20">
        <v>9011</v>
      </c>
      <c r="J20" t="s">
        <v>4206</v>
      </c>
      <c r="K20" t="s">
        <v>4271</v>
      </c>
      <c r="L20" t="s">
        <v>4272</v>
      </c>
      <c r="M20" t="s">
        <v>4273</v>
      </c>
    </row>
    <row r="21" spans="1:13" x14ac:dyDescent="0.25">
      <c r="A21" t="s">
        <v>3958</v>
      </c>
      <c r="B21" t="s">
        <v>4274</v>
      </c>
      <c r="C21">
        <v>22</v>
      </c>
      <c r="D21" t="s">
        <v>4179</v>
      </c>
      <c r="E21" t="s">
        <v>4275</v>
      </c>
      <c r="F21" t="s">
        <v>4276</v>
      </c>
      <c r="G21">
        <v>514</v>
      </c>
      <c r="H21">
        <v>129</v>
      </c>
      <c r="I21">
        <v>9011</v>
      </c>
      <c r="J21" t="s">
        <v>4277</v>
      </c>
      <c r="K21" t="s">
        <v>4278</v>
      </c>
      <c r="L21" t="s">
        <v>4279</v>
      </c>
      <c r="M21" t="s">
        <v>4280</v>
      </c>
    </row>
    <row r="22" spans="1:13" x14ac:dyDescent="0.25">
      <c r="A22" t="s">
        <v>3958</v>
      </c>
      <c r="B22" t="s">
        <v>4281</v>
      </c>
      <c r="C22">
        <v>19</v>
      </c>
      <c r="D22" t="s">
        <v>4282</v>
      </c>
      <c r="E22" t="s">
        <v>4283</v>
      </c>
      <c r="F22" t="s">
        <v>4284</v>
      </c>
      <c r="G22">
        <v>514</v>
      </c>
      <c r="H22">
        <v>100</v>
      </c>
      <c r="I22">
        <v>9011</v>
      </c>
      <c r="J22" t="s">
        <v>4285</v>
      </c>
      <c r="K22" t="s">
        <v>4286</v>
      </c>
      <c r="L22" t="s">
        <v>4279</v>
      </c>
      <c r="M22" t="s">
        <v>4280</v>
      </c>
    </row>
    <row r="23" spans="1:13" x14ac:dyDescent="0.25">
      <c r="A23" t="s">
        <v>3958</v>
      </c>
      <c r="B23" t="s">
        <v>4287</v>
      </c>
      <c r="C23">
        <v>15</v>
      </c>
      <c r="D23" t="s">
        <v>4288</v>
      </c>
      <c r="E23" t="s">
        <v>4289</v>
      </c>
      <c r="F23" t="s">
        <v>4290</v>
      </c>
      <c r="G23">
        <v>514</v>
      </c>
      <c r="H23">
        <v>66</v>
      </c>
      <c r="I23">
        <v>9011</v>
      </c>
      <c r="J23" t="s">
        <v>4291</v>
      </c>
      <c r="K23" t="s">
        <v>4292</v>
      </c>
      <c r="L23" t="s">
        <v>4293</v>
      </c>
      <c r="M23" t="s">
        <v>4294</v>
      </c>
    </row>
    <row r="24" spans="1:13" x14ac:dyDescent="0.25">
      <c r="A24" t="s">
        <v>3958</v>
      </c>
      <c r="B24" t="s">
        <v>4295</v>
      </c>
      <c r="C24">
        <v>18</v>
      </c>
      <c r="D24" t="s">
        <v>4296</v>
      </c>
      <c r="E24" t="s">
        <v>4297</v>
      </c>
      <c r="F24" t="s">
        <v>4298</v>
      </c>
      <c r="G24">
        <v>514</v>
      </c>
      <c r="H24">
        <v>93</v>
      </c>
      <c r="I24">
        <v>9011</v>
      </c>
      <c r="J24" t="s">
        <v>4299</v>
      </c>
      <c r="K24" t="s">
        <v>4300</v>
      </c>
      <c r="L24" t="s">
        <v>4293</v>
      </c>
      <c r="M24" t="s">
        <v>4294</v>
      </c>
    </row>
    <row r="25" spans="1:13" x14ac:dyDescent="0.25">
      <c r="A25" t="s">
        <v>3958</v>
      </c>
      <c r="B25" t="s">
        <v>4301</v>
      </c>
      <c r="C25">
        <v>12</v>
      </c>
      <c r="D25" t="s">
        <v>4237</v>
      </c>
      <c r="E25" t="s">
        <v>4302</v>
      </c>
      <c r="F25" t="s">
        <v>4303</v>
      </c>
      <c r="G25">
        <v>514</v>
      </c>
      <c r="H25">
        <v>43</v>
      </c>
      <c r="I25">
        <v>9011</v>
      </c>
      <c r="J25" t="s">
        <v>4304</v>
      </c>
      <c r="K25" t="s">
        <v>4305</v>
      </c>
      <c r="L25" t="s">
        <v>4306</v>
      </c>
      <c r="M25" t="s">
        <v>4307</v>
      </c>
    </row>
    <row r="26" spans="1:13" x14ac:dyDescent="0.25">
      <c r="A26" t="s">
        <v>3958</v>
      </c>
      <c r="B26" t="s">
        <v>4308</v>
      </c>
      <c r="C26">
        <v>20</v>
      </c>
      <c r="D26" t="s">
        <v>4268</v>
      </c>
      <c r="E26" t="s">
        <v>4309</v>
      </c>
      <c r="F26" t="s">
        <v>4310</v>
      </c>
      <c r="G26">
        <v>514</v>
      </c>
      <c r="H26">
        <v>115</v>
      </c>
      <c r="I26">
        <v>9011</v>
      </c>
      <c r="J26" t="s">
        <v>4311</v>
      </c>
      <c r="K26" t="s">
        <v>4312</v>
      </c>
      <c r="L26" t="s">
        <v>4313</v>
      </c>
      <c r="M26" t="s">
        <v>4314</v>
      </c>
    </row>
    <row r="27" spans="1:13" x14ac:dyDescent="0.25">
      <c r="A27" t="s">
        <v>3958</v>
      </c>
      <c r="B27" t="s">
        <v>4315</v>
      </c>
      <c r="C27">
        <v>30</v>
      </c>
      <c r="D27" t="s">
        <v>4316</v>
      </c>
      <c r="E27" t="s">
        <v>4317</v>
      </c>
      <c r="F27" t="s">
        <v>4318</v>
      </c>
      <c r="G27">
        <v>514</v>
      </c>
      <c r="H27">
        <v>224</v>
      </c>
      <c r="I27">
        <v>9011</v>
      </c>
      <c r="J27" t="s">
        <v>4319</v>
      </c>
      <c r="K27" t="s">
        <v>4320</v>
      </c>
      <c r="L27" t="s">
        <v>4321</v>
      </c>
      <c r="M27" t="s">
        <v>4322</v>
      </c>
    </row>
    <row r="28" spans="1:13" x14ac:dyDescent="0.25">
      <c r="A28" t="s">
        <v>3958</v>
      </c>
      <c r="B28" t="s">
        <v>4323</v>
      </c>
      <c r="C28">
        <v>29</v>
      </c>
      <c r="D28" t="s">
        <v>4141</v>
      </c>
      <c r="E28" t="s">
        <v>4324</v>
      </c>
      <c r="F28" t="s">
        <v>4325</v>
      </c>
      <c r="G28">
        <v>514</v>
      </c>
      <c r="H28">
        <v>214</v>
      </c>
      <c r="I28">
        <v>9011</v>
      </c>
      <c r="J28" t="s">
        <v>4326</v>
      </c>
      <c r="K28" t="s">
        <v>4327</v>
      </c>
      <c r="L28" t="s">
        <v>4328</v>
      </c>
      <c r="M28" t="s">
        <v>4329</v>
      </c>
    </row>
    <row r="29" spans="1:13" x14ac:dyDescent="0.25">
      <c r="A29" t="s">
        <v>3958</v>
      </c>
      <c r="B29" t="s">
        <v>4330</v>
      </c>
      <c r="C29">
        <v>15</v>
      </c>
      <c r="D29" t="s">
        <v>4288</v>
      </c>
      <c r="E29" t="s">
        <v>4331</v>
      </c>
      <c r="F29" t="s">
        <v>4332</v>
      </c>
      <c r="G29">
        <v>514</v>
      </c>
      <c r="H29">
        <v>70</v>
      </c>
      <c r="I29">
        <v>9011</v>
      </c>
      <c r="J29" t="s">
        <v>4333</v>
      </c>
      <c r="K29" t="s">
        <v>4334</v>
      </c>
      <c r="L29" t="s">
        <v>4335</v>
      </c>
      <c r="M29" t="s">
        <v>4336</v>
      </c>
    </row>
    <row r="30" spans="1:13" x14ac:dyDescent="0.25">
      <c r="A30" t="s">
        <v>3958</v>
      </c>
      <c r="B30" t="s">
        <v>4337</v>
      </c>
      <c r="C30">
        <v>16</v>
      </c>
      <c r="D30" t="s">
        <v>4338</v>
      </c>
      <c r="E30" t="s">
        <v>4339</v>
      </c>
      <c r="F30" t="s">
        <v>4340</v>
      </c>
      <c r="G30">
        <v>514</v>
      </c>
      <c r="H30">
        <v>81</v>
      </c>
      <c r="I30">
        <v>9011</v>
      </c>
      <c r="J30" t="s">
        <v>4341</v>
      </c>
      <c r="K30" t="s">
        <v>4342</v>
      </c>
      <c r="L30" t="s">
        <v>4343</v>
      </c>
      <c r="M30" t="s">
        <v>4344</v>
      </c>
    </row>
    <row r="31" spans="1:13" x14ac:dyDescent="0.25">
      <c r="A31" t="s">
        <v>3958</v>
      </c>
      <c r="B31" t="s">
        <v>4345</v>
      </c>
      <c r="C31">
        <v>19</v>
      </c>
      <c r="D31" t="s">
        <v>4282</v>
      </c>
      <c r="E31" t="s">
        <v>4346</v>
      </c>
      <c r="F31" t="s">
        <v>4347</v>
      </c>
      <c r="G31">
        <v>514</v>
      </c>
      <c r="H31">
        <v>110</v>
      </c>
      <c r="I31">
        <v>9011</v>
      </c>
      <c r="J31" t="s">
        <v>4348</v>
      </c>
      <c r="K31" t="s">
        <v>4349</v>
      </c>
      <c r="L31" t="s">
        <v>4343</v>
      </c>
      <c r="M31" t="s">
        <v>4344</v>
      </c>
    </row>
    <row r="32" spans="1:13" x14ac:dyDescent="0.25">
      <c r="A32" t="s">
        <v>3958</v>
      </c>
      <c r="B32" t="s">
        <v>4350</v>
      </c>
      <c r="C32">
        <v>23</v>
      </c>
      <c r="D32" t="s">
        <v>4187</v>
      </c>
      <c r="E32" t="s">
        <v>4351</v>
      </c>
      <c r="F32" t="s">
        <v>4352</v>
      </c>
      <c r="G32">
        <v>514</v>
      </c>
      <c r="H32">
        <v>152</v>
      </c>
      <c r="I32">
        <v>9011</v>
      </c>
      <c r="J32" t="s">
        <v>4353</v>
      </c>
      <c r="K32" t="s">
        <v>4354</v>
      </c>
      <c r="L32" t="s">
        <v>4355</v>
      </c>
      <c r="M32" t="s">
        <v>4356</v>
      </c>
    </row>
    <row r="33" spans="1:13" x14ac:dyDescent="0.25">
      <c r="A33" t="s">
        <v>3958</v>
      </c>
      <c r="B33" t="s">
        <v>4357</v>
      </c>
      <c r="C33">
        <v>15</v>
      </c>
      <c r="D33" t="s">
        <v>4288</v>
      </c>
      <c r="E33" t="s">
        <v>4358</v>
      </c>
      <c r="F33" t="s">
        <v>4359</v>
      </c>
      <c r="G33">
        <v>514</v>
      </c>
      <c r="H33">
        <v>73</v>
      </c>
      <c r="I33">
        <v>9011</v>
      </c>
      <c r="J33" t="s">
        <v>4360</v>
      </c>
      <c r="K33" t="s">
        <v>4361</v>
      </c>
      <c r="L33" t="s">
        <v>4362</v>
      </c>
      <c r="M33" t="s">
        <v>4363</v>
      </c>
    </row>
    <row r="34" spans="1:13" x14ac:dyDescent="0.25">
      <c r="A34" t="s">
        <v>3958</v>
      </c>
      <c r="B34" t="s">
        <v>4053</v>
      </c>
      <c r="C34">
        <v>20</v>
      </c>
      <c r="D34" t="s">
        <v>4268</v>
      </c>
      <c r="E34" t="s">
        <v>4364</v>
      </c>
      <c r="F34" t="s">
        <v>4365</v>
      </c>
      <c r="G34">
        <v>514</v>
      </c>
      <c r="H34">
        <v>124</v>
      </c>
      <c r="I34">
        <v>9011</v>
      </c>
      <c r="J34" t="s">
        <v>4366</v>
      </c>
      <c r="K34" t="s">
        <v>4367</v>
      </c>
      <c r="L34" t="s">
        <v>4368</v>
      </c>
      <c r="M34" t="s">
        <v>4369</v>
      </c>
    </row>
    <row r="35" spans="1:13" x14ac:dyDescent="0.25">
      <c r="A35" t="s">
        <v>3958</v>
      </c>
      <c r="B35" t="s">
        <v>4370</v>
      </c>
      <c r="C35">
        <v>28</v>
      </c>
      <c r="D35" t="s">
        <v>4245</v>
      </c>
      <c r="E35" t="s">
        <v>4371</v>
      </c>
      <c r="F35" t="s">
        <v>4372</v>
      </c>
      <c r="G35">
        <v>514</v>
      </c>
      <c r="H35">
        <v>216</v>
      </c>
      <c r="I35">
        <v>9011</v>
      </c>
      <c r="J35" t="s">
        <v>4373</v>
      </c>
      <c r="K35" t="s">
        <v>4374</v>
      </c>
      <c r="L35" t="s">
        <v>4375</v>
      </c>
      <c r="M35" t="s">
        <v>4376</v>
      </c>
    </row>
    <row r="36" spans="1:13" x14ac:dyDescent="0.25">
      <c r="A36" t="s">
        <v>3958</v>
      </c>
      <c r="B36" t="s">
        <v>4377</v>
      </c>
      <c r="C36">
        <v>22</v>
      </c>
      <c r="D36" t="s">
        <v>4179</v>
      </c>
      <c r="E36" t="s">
        <v>4378</v>
      </c>
      <c r="F36" t="s">
        <v>4379</v>
      </c>
      <c r="G36">
        <v>514</v>
      </c>
      <c r="H36">
        <v>149</v>
      </c>
      <c r="I36">
        <v>9011</v>
      </c>
      <c r="J36" t="s">
        <v>4380</v>
      </c>
      <c r="K36" t="s">
        <v>4381</v>
      </c>
      <c r="L36" t="s">
        <v>4382</v>
      </c>
      <c r="M36" t="s">
        <v>4383</v>
      </c>
    </row>
    <row r="37" spans="1:13" x14ac:dyDescent="0.25">
      <c r="A37" t="s">
        <v>3958</v>
      </c>
      <c r="B37" t="s">
        <v>4384</v>
      </c>
      <c r="C37">
        <v>29</v>
      </c>
      <c r="D37" t="s">
        <v>4141</v>
      </c>
      <c r="E37" t="s">
        <v>4385</v>
      </c>
      <c r="F37" t="s">
        <v>4386</v>
      </c>
      <c r="G37">
        <v>514</v>
      </c>
      <c r="H37">
        <v>231</v>
      </c>
      <c r="I37">
        <v>9011</v>
      </c>
      <c r="J37" t="s">
        <v>4387</v>
      </c>
      <c r="K37" t="s">
        <v>4388</v>
      </c>
      <c r="L37" t="s">
        <v>4389</v>
      </c>
      <c r="M37" t="s">
        <v>4390</v>
      </c>
    </row>
    <row r="38" spans="1:13" x14ac:dyDescent="0.25">
      <c r="A38" t="s">
        <v>3958</v>
      </c>
      <c r="B38" t="s">
        <v>4391</v>
      </c>
      <c r="C38">
        <v>22</v>
      </c>
      <c r="D38" t="s">
        <v>4179</v>
      </c>
      <c r="E38" t="s">
        <v>4392</v>
      </c>
      <c r="F38" t="s">
        <v>4393</v>
      </c>
      <c r="G38">
        <v>514</v>
      </c>
      <c r="H38">
        <v>152</v>
      </c>
      <c r="I38">
        <v>9011</v>
      </c>
      <c r="J38" t="s">
        <v>4394</v>
      </c>
      <c r="K38" t="s">
        <v>4395</v>
      </c>
      <c r="L38" t="s">
        <v>4396</v>
      </c>
      <c r="M38" t="s">
        <v>4397</v>
      </c>
    </row>
    <row r="39" spans="1:13" x14ac:dyDescent="0.25">
      <c r="A39" t="s">
        <v>3958</v>
      </c>
      <c r="B39" t="s">
        <v>4398</v>
      </c>
      <c r="C39">
        <v>16</v>
      </c>
      <c r="D39" t="s">
        <v>4338</v>
      </c>
      <c r="E39" t="s">
        <v>4399</v>
      </c>
      <c r="F39" t="s">
        <v>4400</v>
      </c>
      <c r="G39">
        <v>514</v>
      </c>
      <c r="H39">
        <v>90</v>
      </c>
      <c r="I39">
        <v>9011</v>
      </c>
      <c r="J39" t="s">
        <v>4229</v>
      </c>
      <c r="K39" t="s">
        <v>4401</v>
      </c>
      <c r="L39" t="s">
        <v>4402</v>
      </c>
      <c r="M39" t="s">
        <v>4403</v>
      </c>
    </row>
    <row r="40" spans="1:13" x14ac:dyDescent="0.25">
      <c r="A40" t="s">
        <v>3958</v>
      </c>
      <c r="B40" t="s">
        <v>4404</v>
      </c>
      <c r="C40">
        <v>14</v>
      </c>
      <c r="D40" t="s">
        <v>4149</v>
      </c>
      <c r="E40" t="s">
        <v>4405</v>
      </c>
      <c r="F40" t="s">
        <v>4406</v>
      </c>
      <c r="G40">
        <v>514</v>
      </c>
      <c r="H40">
        <v>71</v>
      </c>
      <c r="I40">
        <v>9011</v>
      </c>
      <c r="J40" t="s">
        <v>4407</v>
      </c>
      <c r="K40" t="s">
        <v>4408</v>
      </c>
      <c r="L40" t="s">
        <v>4409</v>
      </c>
      <c r="M40" t="s">
        <v>4410</v>
      </c>
    </row>
    <row r="41" spans="1:13" x14ac:dyDescent="0.25">
      <c r="A41" t="s">
        <v>3958</v>
      </c>
      <c r="B41" t="s">
        <v>4411</v>
      </c>
      <c r="C41">
        <v>12</v>
      </c>
      <c r="D41" t="s">
        <v>4237</v>
      </c>
      <c r="E41" t="s">
        <v>4412</v>
      </c>
      <c r="F41" t="s">
        <v>4413</v>
      </c>
      <c r="G41">
        <v>514</v>
      </c>
      <c r="H41">
        <v>57</v>
      </c>
      <c r="I41">
        <v>9011</v>
      </c>
      <c r="J41" t="s">
        <v>4414</v>
      </c>
      <c r="K41" t="s">
        <v>4415</v>
      </c>
      <c r="L41" t="s">
        <v>4416</v>
      </c>
      <c r="M41" t="s">
        <v>4417</v>
      </c>
    </row>
    <row r="42" spans="1:13" x14ac:dyDescent="0.25">
      <c r="A42" t="s">
        <v>3958</v>
      </c>
      <c r="B42" t="s">
        <v>4418</v>
      </c>
      <c r="C42">
        <v>18</v>
      </c>
      <c r="D42" t="s">
        <v>4296</v>
      </c>
      <c r="E42" t="s">
        <v>4419</v>
      </c>
      <c r="F42" t="s">
        <v>4420</v>
      </c>
      <c r="G42">
        <v>514</v>
      </c>
      <c r="H42">
        <v>117</v>
      </c>
      <c r="I42">
        <v>9011</v>
      </c>
      <c r="J42" t="s">
        <v>4421</v>
      </c>
      <c r="K42" t="s">
        <v>4422</v>
      </c>
      <c r="L42" t="s">
        <v>4416</v>
      </c>
      <c r="M42" t="s">
        <v>4417</v>
      </c>
    </row>
    <row r="43" spans="1:13" x14ac:dyDescent="0.25">
      <c r="A43" t="s">
        <v>3958</v>
      </c>
      <c r="B43" t="s">
        <v>4423</v>
      </c>
      <c r="C43">
        <v>23</v>
      </c>
      <c r="D43" t="s">
        <v>4187</v>
      </c>
      <c r="E43" t="s">
        <v>4424</v>
      </c>
      <c r="F43" t="s">
        <v>4425</v>
      </c>
      <c r="G43">
        <v>514</v>
      </c>
      <c r="H43">
        <v>173</v>
      </c>
      <c r="I43">
        <v>9011</v>
      </c>
      <c r="J43" t="s">
        <v>4426</v>
      </c>
      <c r="K43" t="s">
        <v>4427</v>
      </c>
      <c r="L43" t="s">
        <v>4416</v>
      </c>
      <c r="M43" t="s">
        <v>4417</v>
      </c>
    </row>
    <row r="44" spans="1:13" x14ac:dyDescent="0.25">
      <c r="A44" t="s">
        <v>3958</v>
      </c>
      <c r="B44" t="s">
        <v>4428</v>
      </c>
      <c r="C44">
        <v>16</v>
      </c>
      <c r="D44" t="s">
        <v>4338</v>
      </c>
      <c r="E44" t="s">
        <v>4429</v>
      </c>
      <c r="F44" t="s">
        <v>4430</v>
      </c>
      <c r="G44">
        <v>514</v>
      </c>
      <c r="H44">
        <v>98</v>
      </c>
      <c r="I44">
        <v>9011</v>
      </c>
      <c r="J44" t="s">
        <v>4431</v>
      </c>
      <c r="K44" t="s">
        <v>4432</v>
      </c>
      <c r="L44" t="s">
        <v>4433</v>
      </c>
      <c r="M44" t="s">
        <v>4434</v>
      </c>
    </row>
    <row r="45" spans="1:13" x14ac:dyDescent="0.25">
      <c r="A45" t="s">
        <v>3958</v>
      </c>
      <c r="B45" t="s">
        <v>4435</v>
      </c>
      <c r="C45">
        <v>20</v>
      </c>
      <c r="D45" t="s">
        <v>4268</v>
      </c>
      <c r="E45" t="s">
        <v>4436</v>
      </c>
      <c r="F45" t="s">
        <v>4437</v>
      </c>
      <c r="G45">
        <v>514</v>
      </c>
      <c r="H45">
        <v>142</v>
      </c>
      <c r="I45">
        <v>9011</v>
      </c>
      <c r="J45" t="s">
        <v>4438</v>
      </c>
      <c r="K45" t="s">
        <v>4439</v>
      </c>
      <c r="L45" t="s">
        <v>4440</v>
      </c>
      <c r="M45" t="s">
        <v>4441</v>
      </c>
    </row>
    <row r="46" spans="1:13" x14ac:dyDescent="0.25">
      <c r="A46" t="s">
        <v>3958</v>
      </c>
      <c r="B46" t="s">
        <v>4442</v>
      </c>
      <c r="C46">
        <v>19</v>
      </c>
      <c r="D46" t="s">
        <v>4282</v>
      </c>
      <c r="E46" t="s">
        <v>4443</v>
      </c>
      <c r="F46" t="s">
        <v>4444</v>
      </c>
      <c r="G46">
        <v>514</v>
      </c>
      <c r="H46">
        <v>131</v>
      </c>
      <c r="I46">
        <v>9011</v>
      </c>
      <c r="J46" t="s">
        <v>4445</v>
      </c>
      <c r="K46" t="s">
        <v>4446</v>
      </c>
      <c r="L46" t="s">
        <v>4440</v>
      </c>
      <c r="M46" t="s">
        <v>4441</v>
      </c>
    </row>
    <row r="47" spans="1:13" x14ac:dyDescent="0.25">
      <c r="A47" t="s">
        <v>3958</v>
      </c>
      <c r="B47" t="s">
        <v>4447</v>
      </c>
      <c r="C47">
        <v>29</v>
      </c>
      <c r="D47" t="s">
        <v>4141</v>
      </c>
      <c r="E47" t="s">
        <v>4448</v>
      </c>
      <c r="F47" t="s">
        <v>4449</v>
      </c>
      <c r="G47">
        <v>514</v>
      </c>
      <c r="H47">
        <v>250</v>
      </c>
      <c r="I47">
        <v>9011</v>
      </c>
      <c r="J47" t="s">
        <v>4450</v>
      </c>
      <c r="K47" t="s">
        <v>4451</v>
      </c>
      <c r="L47" t="s">
        <v>4452</v>
      </c>
      <c r="M47" t="s">
        <v>4453</v>
      </c>
    </row>
    <row r="48" spans="1:13" x14ac:dyDescent="0.25">
      <c r="A48" t="s">
        <v>3958</v>
      </c>
      <c r="B48" t="s">
        <v>4454</v>
      </c>
      <c r="C48">
        <v>19</v>
      </c>
      <c r="D48" t="s">
        <v>4282</v>
      </c>
      <c r="E48" t="s">
        <v>4455</v>
      </c>
      <c r="F48" t="s">
        <v>3393</v>
      </c>
      <c r="G48">
        <v>514</v>
      </c>
      <c r="H48">
        <v>134</v>
      </c>
      <c r="I48">
        <v>9011</v>
      </c>
      <c r="J48" t="s">
        <v>4456</v>
      </c>
      <c r="K48" t="s">
        <v>4457</v>
      </c>
      <c r="L48" t="s">
        <v>4458</v>
      </c>
      <c r="M48" t="s">
        <v>4459</v>
      </c>
    </row>
    <row r="49" spans="1:13" x14ac:dyDescent="0.25">
      <c r="A49" t="s">
        <v>3958</v>
      </c>
      <c r="B49" t="s">
        <v>4460</v>
      </c>
      <c r="C49">
        <v>17</v>
      </c>
      <c r="D49" t="s">
        <v>4260</v>
      </c>
      <c r="E49" t="s">
        <v>4461</v>
      </c>
      <c r="F49" t="s">
        <v>4462</v>
      </c>
      <c r="G49">
        <v>514</v>
      </c>
      <c r="H49">
        <v>112</v>
      </c>
      <c r="I49">
        <v>9011</v>
      </c>
      <c r="J49" t="s">
        <v>4463</v>
      </c>
      <c r="K49" t="s">
        <v>4464</v>
      </c>
      <c r="L49" t="s">
        <v>4458</v>
      </c>
      <c r="M49" t="s">
        <v>4459</v>
      </c>
    </row>
    <row r="50" spans="1:13" x14ac:dyDescent="0.25">
      <c r="A50" t="s">
        <v>3958</v>
      </c>
      <c r="B50" t="s">
        <v>4465</v>
      </c>
      <c r="C50">
        <v>12</v>
      </c>
      <c r="D50" t="s">
        <v>4237</v>
      </c>
      <c r="E50" t="s">
        <v>4466</v>
      </c>
      <c r="F50" t="s">
        <v>4467</v>
      </c>
      <c r="G50">
        <v>514</v>
      </c>
      <c r="H50">
        <v>61</v>
      </c>
      <c r="I50">
        <v>9011</v>
      </c>
      <c r="J50" t="s">
        <v>4468</v>
      </c>
      <c r="K50" t="s">
        <v>4469</v>
      </c>
      <c r="L50" t="s">
        <v>4458</v>
      </c>
      <c r="M50" t="s">
        <v>4459</v>
      </c>
    </row>
    <row r="51" spans="1:13" x14ac:dyDescent="0.25">
      <c r="A51" t="s">
        <v>3958</v>
      </c>
      <c r="B51" t="s">
        <v>4470</v>
      </c>
      <c r="C51">
        <v>13</v>
      </c>
      <c r="D51" t="s">
        <v>4471</v>
      </c>
      <c r="E51" t="s">
        <v>4472</v>
      </c>
      <c r="F51" t="s">
        <v>4473</v>
      </c>
      <c r="G51">
        <v>514</v>
      </c>
      <c r="H51">
        <v>71</v>
      </c>
      <c r="I51">
        <v>9011</v>
      </c>
      <c r="J51" t="s">
        <v>4136</v>
      </c>
      <c r="K51" t="s">
        <v>4474</v>
      </c>
      <c r="L51" t="s">
        <v>4475</v>
      </c>
      <c r="M51" t="s">
        <v>4476</v>
      </c>
    </row>
    <row r="52" spans="1:13" x14ac:dyDescent="0.25">
      <c r="A52" t="s">
        <v>3958</v>
      </c>
      <c r="B52" t="s">
        <v>4477</v>
      </c>
      <c r="C52">
        <v>17</v>
      </c>
      <c r="D52" t="s">
        <v>4260</v>
      </c>
      <c r="E52" t="s">
        <v>4478</v>
      </c>
      <c r="F52" t="s">
        <v>4479</v>
      </c>
      <c r="G52">
        <v>514</v>
      </c>
      <c r="H52">
        <v>113</v>
      </c>
      <c r="I52">
        <v>9011</v>
      </c>
      <c r="J52" t="s">
        <v>4480</v>
      </c>
      <c r="K52" t="s">
        <v>4481</v>
      </c>
      <c r="L52" t="s">
        <v>4482</v>
      </c>
      <c r="M52" t="s">
        <v>4483</v>
      </c>
    </row>
    <row r="53" spans="1:13" x14ac:dyDescent="0.25">
      <c r="A53" t="s">
        <v>3958</v>
      </c>
      <c r="B53" t="s">
        <v>4484</v>
      </c>
      <c r="C53">
        <v>15</v>
      </c>
      <c r="D53" t="s">
        <v>4288</v>
      </c>
      <c r="E53" t="s">
        <v>4485</v>
      </c>
      <c r="F53" t="s">
        <v>4486</v>
      </c>
      <c r="G53">
        <v>514</v>
      </c>
      <c r="H53">
        <v>92</v>
      </c>
      <c r="I53">
        <v>9011</v>
      </c>
      <c r="J53" t="s">
        <v>4487</v>
      </c>
      <c r="K53" t="s">
        <v>4488</v>
      </c>
      <c r="L53" t="s">
        <v>4489</v>
      </c>
      <c r="M53" t="s">
        <v>4490</v>
      </c>
    </row>
    <row r="54" spans="1:13" x14ac:dyDescent="0.25">
      <c r="A54" t="s">
        <v>3958</v>
      </c>
      <c r="B54" t="s">
        <v>4491</v>
      </c>
      <c r="C54">
        <v>19</v>
      </c>
      <c r="D54" t="s">
        <v>4282</v>
      </c>
      <c r="E54" t="s">
        <v>4492</v>
      </c>
      <c r="F54" t="s">
        <v>4493</v>
      </c>
      <c r="G54">
        <v>514</v>
      </c>
      <c r="H54">
        <v>136</v>
      </c>
      <c r="I54">
        <v>9011</v>
      </c>
      <c r="J54" t="s">
        <v>4494</v>
      </c>
      <c r="K54" t="s">
        <v>4495</v>
      </c>
      <c r="L54" t="s">
        <v>4496</v>
      </c>
      <c r="M54" t="s">
        <v>4497</v>
      </c>
    </row>
    <row r="55" spans="1:13" x14ac:dyDescent="0.25">
      <c r="A55" t="s">
        <v>3958</v>
      </c>
      <c r="B55" t="s">
        <v>4498</v>
      </c>
      <c r="C55">
        <v>13</v>
      </c>
      <c r="D55" t="s">
        <v>4471</v>
      </c>
      <c r="E55" t="s">
        <v>4499</v>
      </c>
      <c r="F55" t="s">
        <v>3392</v>
      </c>
      <c r="G55">
        <v>514</v>
      </c>
      <c r="H55">
        <v>72</v>
      </c>
      <c r="I55">
        <v>9011</v>
      </c>
      <c r="J55" t="s">
        <v>4500</v>
      </c>
      <c r="K55" t="s">
        <v>4501</v>
      </c>
      <c r="L55" t="s">
        <v>4496</v>
      </c>
      <c r="M55" t="s">
        <v>4497</v>
      </c>
    </row>
    <row r="56" spans="1:13" x14ac:dyDescent="0.25">
      <c r="A56" t="s">
        <v>3958</v>
      </c>
      <c r="B56" t="s">
        <v>4502</v>
      </c>
      <c r="C56">
        <v>19</v>
      </c>
      <c r="D56" t="s">
        <v>4282</v>
      </c>
      <c r="E56" t="s">
        <v>4503</v>
      </c>
      <c r="F56" t="s">
        <v>4504</v>
      </c>
      <c r="G56">
        <v>514</v>
      </c>
      <c r="H56">
        <v>137</v>
      </c>
      <c r="I56">
        <v>9011</v>
      </c>
      <c r="J56" t="s">
        <v>4505</v>
      </c>
      <c r="K56" t="s">
        <v>4506</v>
      </c>
      <c r="L56" t="s">
        <v>4507</v>
      </c>
      <c r="M56" t="s">
        <v>4508</v>
      </c>
    </row>
    <row r="57" spans="1:13" x14ac:dyDescent="0.25">
      <c r="A57" t="s">
        <v>3958</v>
      </c>
      <c r="B57" t="s">
        <v>4509</v>
      </c>
      <c r="C57">
        <v>26</v>
      </c>
      <c r="D57" t="s">
        <v>4510</v>
      </c>
      <c r="E57" t="s">
        <v>4511</v>
      </c>
      <c r="F57" t="s">
        <v>4512</v>
      </c>
      <c r="G57">
        <v>514</v>
      </c>
      <c r="H57">
        <v>222</v>
      </c>
      <c r="I57">
        <v>9011</v>
      </c>
      <c r="J57" t="s">
        <v>4513</v>
      </c>
      <c r="K57" t="s">
        <v>4514</v>
      </c>
      <c r="L57" t="s">
        <v>4515</v>
      </c>
      <c r="M57" t="s">
        <v>4516</v>
      </c>
    </row>
    <row r="58" spans="1:13" x14ac:dyDescent="0.25">
      <c r="A58" t="s">
        <v>3958</v>
      </c>
      <c r="B58" t="s">
        <v>4517</v>
      </c>
      <c r="C58">
        <v>21</v>
      </c>
      <c r="D58" t="s">
        <v>4211</v>
      </c>
      <c r="E58" t="s">
        <v>4518</v>
      </c>
      <c r="F58" t="s">
        <v>4519</v>
      </c>
      <c r="G58">
        <v>514</v>
      </c>
      <c r="H58">
        <v>162</v>
      </c>
      <c r="I58">
        <v>9011</v>
      </c>
      <c r="J58" t="s">
        <v>4373</v>
      </c>
      <c r="K58" t="s">
        <v>4520</v>
      </c>
      <c r="L58" t="s">
        <v>4521</v>
      </c>
      <c r="M58" t="s">
        <v>4522</v>
      </c>
    </row>
    <row r="59" spans="1:13" x14ac:dyDescent="0.25">
      <c r="A59" t="s">
        <v>3958</v>
      </c>
      <c r="B59" t="s">
        <v>4523</v>
      </c>
      <c r="C59">
        <v>14</v>
      </c>
      <c r="D59" t="s">
        <v>4149</v>
      </c>
      <c r="E59" t="s">
        <v>4524</v>
      </c>
      <c r="F59" t="s">
        <v>4525</v>
      </c>
      <c r="G59">
        <v>514</v>
      </c>
      <c r="H59">
        <v>84</v>
      </c>
      <c r="I59">
        <v>9011</v>
      </c>
      <c r="J59" t="s">
        <v>4526</v>
      </c>
      <c r="K59" t="s">
        <v>4527</v>
      </c>
      <c r="L59" t="s">
        <v>4521</v>
      </c>
      <c r="M59" t="s">
        <v>4522</v>
      </c>
    </row>
    <row r="60" spans="1:13" x14ac:dyDescent="0.25">
      <c r="A60" t="s">
        <v>3958</v>
      </c>
      <c r="B60" t="s">
        <v>4528</v>
      </c>
      <c r="C60">
        <v>21</v>
      </c>
      <c r="D60" t="s">
        <v>4211</v>
      </c>
      <c r="E60" t="s">
        <v>4529</v>
      </c>
      <c r="F60" t="s">
        <v>4530</v>
      </c>
      <c r="G60">
        <v>514</v>
      </c>
      <c r="H60">
        <v>163</v>
      </c>
      <c r="I60">
        <v>9011</v>
      </c>
      <c r="J60" t="s">
        <v>4531</v>
      </c>
      <c r="K60" t="s">
        <v>4532</v>
      </c>
      <c r="L60" t="s">
        <v>4533</v>
      </c>
      <c r="M60" t="s">
        <v>4534</v>
      </c>
    </row>
    <row r="61" spans="1:13" x14ac:dyDescent="0.25">
      <c r="A61" t="s">
        <v>3958</v>
      </c>
      <c r="B61" t="s">
        <v>4535</v>
      </c>
      <c r="C61">
        <v>14</v>
      </c>
      <c r="D61" t="s">
        <v>4149</v>
      </c>
      <c r="E61" t="s">
        <v>4536</v>
      </c>
      <c r="F61" t="s">
        <v>3394</v>
      </c>
      <c r="G61">
        <v>514</v>
      </c>
      <c r="H61">
        <v>86</v>
      </c>
      <c r="I61">
        <v>9011</v>
      </c>
      <c r="J61" t="s">
        <v>4537</v>
      </c>
      <c r="K61" t="s">
        <v>4538</v>
      </c>
      <c r="L61" t="s">
        <v>4539</v>
      </c>
      <c r="M61" t="s">
        <v>4540</v>
      </c>
    </row>
    <row r="62" spans="1:13" x14ac:dyDescent="0.25">
      <c r="A62" t="s">
        <v>3958</v>
      </c>
      <c r="B62" t="s">
        <v>4541</v>
      </c>
      <c r="C62">
        <v>14</v>
      </c>
      <c r="D62" t="s">
        <v>4149</v>
      </c>
      <c r="E62" t="s">
        <v>4536</v>
      </c>
      <c r="F62" t="s">
        <v>4542</v>
      </c>
      <c r="G62">
        <v>514</v>
      </c>
      <c r="H62">
        <v>86</v>
      </c>
      <c r="I62">
        <v>9011</v>
      </c>
      <c r="J62" t="s">
        <v>4537</v>
      </c>
      <c r="K62" t="s">
        <v>4538</v>
      </c>
      <c r="L62" t="s">
        <v>4539</v>
      </c>
      <c r="M62" t="s">
        <v>4540</v>
      </c>
    </row>
    <row r="63" spans="1:13" x14ac:dyDescent="0.25">
      <c r="A63" t="s">
        <v>3958</v>
      </c>
      <c r="B63" t="s">
        <v>4543</v>
      </c>
      <c r="C63">
        <v>31</v>
      </c>
      <c r="D63" t="s">
        <v>4195</v>
      </c>
      <c r="E63" t="s">
        <v>4544</v>
      </c>
      <c r="F63" t="s">
        <v>4545</v>
      </c>
      <c r="G63">
        <v>514</v>
      </c>
      <c r="H63">
        <v>294</v>
      </c>
      <c r="I63">
        <v>9011</v>
      </c>
      <c r="J63" t="s">
        <v>4546</v>
      </c>
      <c r="K63" t="s">
        <v>4547</v>
      </c>
      <c r="L63" t="s">
        <v>4548</v>
      </c>
      <c r="M63" t="s">
        <v>4549</v>
      </c>
    </row>
    <row r="64" spans="1:13" x14ac:dyDescent="0.25">
      <c r="A64" t="s">
        <v>3958</v>
      </c>
      <c r="B64" t="s">
        <v>4550</v>
      </c>
      <c r="C64">
        <v>14</v>
      </c>
      <c r="D64" t="s">
        <v>4149</v>
      </c>
      <c r="E64" t="s">
        <v>4551</v>
      </c>
      <c r="F64" t="s">
        <v>4552</v>
      </c>
      <c r="G64">
        <v>514</v>
      </c>
      <c r="H64">
        <v>90</v>
      </c>
      <c r="I64">
        <v>9011</v>
      </c>
      <c r="J64" t="s">
        <v>4176</v>
      </c>
      <c r="K64" t="s">
        <v>4553</v>
      </c>
      <c r="L64" t="s">
        <v>4554</v>
      </c>
      <c r="M64" t="s">
        <v>4555</v>
      </c>
    </row>
    <row r="65" spans="1:13" x14ac:dyDescent="0.25">
      <c r="A65" t="s">
        <v>3958</v>
      </c>
      <c r="B65" t="s">
        <v>4556</v>
      </c>
      <c r="C65">
        <v>15</v>
      </c>
      <c r="D65" t="s">
        <v>4288</v>
      </c>
      <c r="E65" t="s">
        <v>4557</v>
      </c>
      <c r="F65" t="s">
        <v>3395</v>
      </c>
      <c r="G65">
        <v>514</v>
      </c>
      <c r="H65">
        <v>101</v>
      </c>
      <c r="I65">
        <v>9011</v>
      </c>
      <c r="J65" t="s">
        <v>4558</v>
      </c>
      <c r="K65" t="s">
        <v>4559</v>
      </c>
      <c r="L65" t="s">
        <v>4554</v>
      </c>
      <c r="M65" t="s">
        <v>4555</v>
      </c>
    </row>
    <row r="66" spans="1:13" x14ac:dyDescent="0.25">
      <c r="A66" t="s">
        <v>3958</v>
      </c>
      <c r="B66" t="s">
        <v>4560</v>
      </c>
      <c r="C66">
        <v>12</v>
      </c>
      <c r="D66" t="s">
        <v>4237</v>
      </c>
      <c r="E66" t="s">
        <v>4561</v>
      </c>
      <c r="F66" t="s">
        <v>4562</v>
      </c>
      <c r="G66">
        <v>514</v>
      </c>
      <c r="H66">
        <v>70</v>
      </c>
      <c r="I66">
        <v>9011</v>
      </c>
      <c r="J66" t="s">
        <v>4563</v>
      </c>
      <c r="K66" t="s">
        <v>4564</v>
      </c>
      <c r="L66" t="s">
        <v>4565</v>
      </c>
      <c r="M66" t="s">
        <v>4566</v>
      </c>
    </row>
    <row r="67" spans="1:13" x14ac:dyDescent="0.25">
      <c r="A67" t="s">
        <v>3958</v>
      </c>
      <c r="B67" t="s">
        <v>4567</v>
      </c>
      <c r="C67">
        <v>14</v>
      </c>
      <c r="D67" t="s">
        <v>4149</v>
      </c>
      <c r="E67" t="s">
        <v>4568</v>
      </c>
      <c r="F67" t="s">
        <v>4569</v>
      </c>
      <c r="G67">
        <v>514</v>
      </c>
      <c r="H67">
        <v>93</v>
      </c>
      <c r="I67">
        <v>9011</v>
      </c>
      <c r="J67" t="s">
        <v>4570</v>
      </c>
      <c r="K67" t="s">
        <v>4571</v>
      </c>
      <c r="L67" t="s">
        <v>4572</v>
      </c>
      <c r="M67" t="s">
        <v>4573</v>
      </c>
    </row>
    <row r="68" spans="1:13" x14ac:dyDescent="0.25">
      <c r="A68" t="s">
        <v>3958</v>
      </c>
      <c r="B68" t="s">
        <v>4574</v>
      </c>
      <c r="C68">
        <v>15</v>
      </c>
      <c r="D68" t="s">
        <v>4288</v>
      </c>
      <c r="E68" t="s">
        <v>4575</v>
      </c>
      <c r="F68" t="s">
        <v>4576</v>
      </c>
      <c r="G68">
        <v>514</v>
      </c>
      <c r="H68">
        <v>105</v>
      </c>
      <c r="I68">
        <v>9011</v>
      </c>
      <c r="J68" t="s">
        <v>4577</v>
      </c>
      <c r="K68" t="s">
        <v>4578</v>
      </c>
      <c r="L68" t="s">
        <v>4579</v>
      </c>
      <c r="M68" t="s">
        <v>4580</v>
      </c>
    </row>
    <row r="69" spans="1:13" x14ac:dyDescent="0.25">
      <c r="A69" t="s">
        <v>3958</v>
      </c>
      <c r="B69" t="s">
        <v>4581</v>
      </c>
      <c r="C69">
        <v>14</v>
      </c>
      <c r="D69" t="s">
        <v>4149</v>
      </c>
      <c r="E69" t="s">
        <v>4582</v>
      </c>
      <c r="F69" t="s">
        <v>4583</v>
      </c>
      <c r="G69">
        <v>514</v>
      </c>
      <c r="H69">
        <v>94</v>
      </c>
      <c r="I69">
        <v>9011</v>
      </c>
      <c r="J69" t="s">
        <v>4584</v>
      </c>
      <c r="K69" t="s">
        <v>4585</v>
      </c>
      <c r="L69" t="s">
        <v>4586</v>
      </c>
      <c r="M69" t="s">
        <v>4587</v>
      </c>
    </row>
    <row r="70" spans="1:13" x14ac:dyDescent="0.25">
      <c r="A70" t="s">
        <v>3958</v>
      </c>
      <c r="B70" t="s">
        <v>4588</v>
      </c>
      <c r="C70">
        <v>18</v>
      </c>
      <c r="D70" t="s">
        <v>4296</v>
      </c>
      <c r="E70" t="s">
        <v>4589</v>
      </c>
      <c r="F70" t="s">
        <v>4590</v>
      </c>
      <c r="G70">
        <v>514</v>
      </c>
      <c r="H70">
        <v>141</v>
      </c>
      <c r="I70">
        <v>9011</v>
      </c>
      <c r="J70" t="s">
        <v>4591</v>
      </c>
      <c r="K70" t="s">
        <v>4592</v>
      </c>
      <c r="L70" t="s">
        <v>4593</v>
      </c>
      <c r="M70" t="s">
        <v>4594</v>
      </c>
    </row>
    <row r="71" spans="1:13" x14ac:dyDescent="0.25">
      <c r="A71" t="s">
        <v>3958</v>
      </c>
      <c r="B71" t="s">
        <v>4595</v>
      </c>
      <c r="C71">
        <v>24</v>
      </c>
      <c r="D71" t="s">
        <v>4226</v>
      </c>
      <c r="E71" t="s">
        <v>4596</v>
      </c>
      <c r="F71" t="s">
        <v>4597</v>
      </c>
      <c r="G71">
        <v>514</v>
      </c>
      <c r="H71">
        <v>220</v>
      </c>
      <c r="I71">
        <v>9011</v>
      </c>
      <c r="J71" t="s">
        <v>4598</v>
      </c>
      <c r="K71" t="s">
        <v>4599</v>
      </c>
      <c r="L71" t="s">
        <v>4600</v>
      </c>
      <c r="M71" t="s">
        <v>4601</v>
      </c>
    </row>
    <row r="72" spans="1:13" x14ac:dyDescent="0.25">
      <c r="A72" t="s">
        <v>3958</v>
      </c>
      <c r="B72" t="s">
        <v>4602</v>
      </c>
      <c r="C72">
        <v>12</v>
      </c>
      <c r="D72" t="s">
        <v>4237</v>
      </c>
      <c r="E72" t="s">
        <v>4603</v>
      </c>
      <c r="F72" t="s">
        <v>4604</v>
      </c>
      <c r="G72">
        <v>514</v>
      </c>
      <c r="H72">
        <v>76</v>
      </c>
      <c r="I72">
        <v>9011</v>
      </c>
      <c r="J72" t="s">
        <v>4605</v>
      </c>
      <c r="K72" t="s">
        <v>4606</v>
      </c>
      <c r="L72" t="s">
        <v>4607</v>
      </c>
      <c r="M72" t="s">
        <v>4608</v>
      </c>
    </row>
    <row r="73" spans="1:13" x14ac:dyDescent="0.25">
      <c r="A73" t="s">
        <v>3958</v>
      </c>
      <c r="B73" t="s">
        <v>4609</v>
      </c>
      <c r="C73">
        <v>13</v>
      </c>
      <c r="D73" t="s">
        <v>4471</v>
      </c>
      <c r="E73" t="s">
        <v>4610</v>
      </c>
      <c r="F73" t="s">
        <v>4611</v>
      </c>
      <c r="G73">
        <v>514</v>
      </c>
      <c r="H73">
        <v>88</v>
      </c>
      <c r="I73">
        <v>9011</v>
      </c>
      <c r="J73" t="s">
        <v>4612</v>
      </c>
      <c r="K73" t="s">
        <v>4613</v>
      </c>
      <c r="L73" t="s">
        <v>4614</v>
      </c>
      <c r="M73" t="s">
        <v>4615</v>
      </c>
    </row>
    <row r="74" spans="1:13" x14ac:dyDescent="0.25">
      <c r="A74" t="s">
        <v>3958</v>
      </c>
      <c r="B74" t="s">
        <v>4616</v>
      </c>
      <c r="C74">
        <v>18</v>
      </c>
      <c r="D74" t="s">
        <v>4296</v>
      </c>
      <c r="E74" t="s">
        <v>4617</v>
      </c>
      <c r="F74" t="s">
        <v>4618</v>
      </c>
      <c r="G74">
        <v>514</v>
      </c>
      <c r="H74">
        <v>147</v>
      </c>
      <c r="I74">
        <v>9011</v>
      </c>
      <c r="J74" t="s">
        <v>4619</v>
      </c>
      <c r="K74" t="s">
        <v>4620</v>
      </c>
      <c r="L74" t="s">
        <v>4621</v>
      </c>
      <c r="M74" t="s">
        <v>4622</v>
      </c>
    </row>
    <row r="75" spans="1:13" x14ac:dyDescent="0.25">
      <c r="A75" t="s">
        <v>3958</v>
      </c>
      <c r="B75" t="s">
        <v>4623</v>
      </c>
      <c r="C75">
        <v>14</v>
      </c>
      <c r="D75" t="s">
        <v>4149</v>
      </c>
      <c r="E75" t="s">
        <v>4624</v>
      </c>
      <c r="F75" t="s">
        <v>4625</v>
      </c>
      <c r="G75">
        <v>514</v>
      </c>
      <c r="H75">
        <v>100</v>
      </c>
      <c r="I75">
        <v>9011</v>
      </c>
      <c r="J75" t="s">
        <v>4626</v>
      </c>
      <c r="K75" t="s">
        <v>4627</v>
      </c>
      <c r="L75" t="s">
        <v>4628</v>
      </c>
      <c r="M75" t="s">
        <v>4629</v>
      </c>
    </row>
    <row r="76" spans="1:13" x14ac:dyDescent="0.25">
      <c r="A76" t="s">
        <v>3958</v>
      </c>
      <c r="B76" t="s">
        <v>4630</v>
      </c>
      <c r="C76">
        <v>10</v>
      </c>
      <c r="D76" t="s">
        <v>4631</v>
      </c>
      <c r="E76" t="s">
        <v>4632</v>
      </c>
      <c r="F76" t="s">
        <v>4633</v>
      </c>
      <c r="G76">
        <v>514</v>
      </c>
      <c r="H76">
        <v>57</v>
      </c>
      <c r="I76">
        <v>9011</v>
      </c>
      <c r="J76" t="s">
        <v>4634</v>
      </c>
      <c r="K76" t="s">
        <v>4635</v>
      </c>
      <c r="L76" t="s">
        <v>4636</v>
      </c>
      <c r="M76" t="s">
        <v>4637</v>
      </c>
    </row>
    <row r="77" spans="1:13" x14ac:dyDescent="0.25">
      <c r="A77" t="s">
        <v>3958</v>
      </c>
      <c r="B77" t="s">
        <v>4638</v>
      </c>
      <c r="C77">
        <v>11</v>
      </c>
      <c r="D77" t="s">
        <v>4639</v>
      </c>
      <c r="E77" t="s">
        <v>4640</v>
      </c>
      <c r="F77" t="s">
        <v>4641</v>
      </c>
      <c r="G77">
        <v>514</v>
      </c>
      <c r="H77">
        <v>68</v>
      </c>
      <c r="I77">
        <v>9011</v>
      </c>
      <c r="J77" t="s">
        <v>4642</v>
      </c>
      <c r="K77" t="s">
        <v>4643</v>
      </c>
      <c r="L77" t="s">
        <v>4644</v>
      </c>
      <c r="M77" t="s">
        <v>4645</v>
      </c>
    </row>
    <row r="78" spans="1:13" x14ac:dyDescent="0.25">
      <c r="A78" t="s">
        <v>3958</v>
      </c>
      <c r="B78" t="s">
        <v>4646</v>
      </c>
      <c r="C78">
        <v>26</v>
      </c>
      <c r="D78" t="s">
        <v>4510</v>
      </c>
      <c r="E78" t="s">
        <v>4647</v>
      </c>
      <c r="F78" t="s">
        <v>4648</v>
      </c>
      <c r="G78">
        <v>514</v>
      </c>
      <c r="H78">
        <v>253</v>
      </c>
      <c r="I78">
        <v>9011</v>
      </c>
      <c r="J78" t="s">
        <v>4649</v>
      </c>
      <c r="K78" t="s">
        <v>4650</v>
      </c>
      <c r="L78" t="s">
        <v>4644</v>
      </c>
      <c r="M78" t="s">
        <v>4645</v>
      </c>
    </row>
    <row r="79" spans="1:13" x14ac:dyDescent="0.25">
      <c r="A79" t="s">
        <v>3958</v>
      </c>
      <c r="B79" t="s">
        <v>4651</v>
      </c>
      <c r="C79">
        <v>14</v>
      </c>
      <c r="D79" t="s">
        <v>4149</v>
      </c>
      <c r="E79" t="s">
        <v>4652</v>
      </c>
      <c r="F79" t="s">
        <v>3396</v>
      </c>
      <c r="G79">
        <v>514</v>
      </c>
      <c r="H79">
        <v>102</v>
      </c>
      <c r="I79">
        <v>9011</v>
      </c>
      <c r="J79" t="s">
        <v>4653</v>
      </c>
      <c r="K79" t="s">
        <v>4654</v>
      </c>
      <c r="L79" t="s">
        <v>4644</v>
      </c>
      <c r="M79" t="s">
        <v>4645</v>
      </c>
    </row>
    <row r="80" spans="1:13" x14ac:dyDescent="0.25">
      <c r="A80" t="s">
        <v>3958</v>
      </c>
      <c r="B80" t="s">
        <v>4655</v>
      </c>
      <c r="C80">
        <v>25</v>
      </c>
      <c r="D80" t="s">
        <v>4203</v>
      </c>
      <c r="E80" t="s">
        <v>4656</v>
      </c>
      <c r="F80" t="s">
        <v>4657</v>
      </c>
      <c r="G80">
        <v>514</v>
      </c>
      <c r="H80">
        <v>240</v>
      </c>
      <c r="I80">
        <v>9011</v>
      </c>
      <c r="J80" t="s">
        <v>4658</v>
      </c>
      <c r="K80" t="s">
        <v>4659</v>
      </c>
      <c r="L80" t="s">
        <v>4644</v>
      </c>
      <c r="M80" t="s">
        <v>4645</v>
      </c>
    </row>
    <row r="81" spans="1:13" x14ac:dyDescent="0.25">
      <c r="A81" t="s">
        <v>3958</v>
      </c>
      <c r="B81" t="s">
        <v>4660</v>
      </c>
      <c r="C81">
        <v>25</v>
      </c>
      <c r="D81" t="s">
        <v>4203</v>
      </c>
      <c r="E81" t="s">
        <v>4656</v>
      </c>
      <c r="F81" t="s">
        <v>4661</v>
      </c>
      <c r="G81">
        <v>514</v>
      </c>
      <c r="H81">
        <v>240</v>
      </c>
      <c r="I81">
        <v>9011</v>
      </c>
      <c r="J81" t="s">
        <v>4658</v>
      </c>
      <c r="K81" t="s">
        <v>4659</v>
      </c>
      <c r="L81" t="s">
        <v>4644</v>
      </c>
      <c r="M81" t="s">
        <v>4645</v>
      </c>
    </row>
    <row r="82" spans="1:13" x14ac:dyDescent="0.25">
      <c r="A82" t="s">
        <v>3958</v>
      </c>
      <c r="B82" t="s">
        <v>4662</v>
      </c>
      <c r="C82">
        <v>10</v>
      </c>
      <c r="D82" t="s">
        <v>4631</v>
      </c>
      <c r="E82" t="s">
        <v>4663</v>
      </c>
      <c r="F82" t="s">
        <v>4664</v>
      </c>
      <c r="G82">
        <v>514</v>
      </c>
      <c r="H82">
        <v>58</v>
      </c>
      <c r="I82">
        <v>9011</v>
      </c>
      <c r="J82" t="s">
        <v>4665</v>
      </c>
      <c r="K82" t="s">
        <v>4666</v>
      </c>
      <c r="L82" t="s">
        <v>4644</v>
      </c>
      <c r="M82" t="s">
        <v>4645</v>
      </c>
    </row>
    <row r="83" spans="1:13" x14ac:dyDescent="0.25">
      <c r="A83" t="s">
        <v>3958</v>
      </c>
      <c r="B83" t="s">
        <v>4667</v>
      </c>
      <c r="C83">
        <v>10</v>
      </c>
      <c r="D83" t="s">
        <v>4631</v>
      </c>
      <c r="E83" t="s">
        <v>4663</v>
      </c>
      <c r="F83" t="s">
        <v>4668</v>
      </c>
      <c r="G83">
        <v>514</v>
      </c>
      <c r="H83">
        <v>58</v>
      </c>
      <c r="I83">
        <v>9011</v>
      </c>
      <c r="J83" t="s">
        <v>4665</v>
      </c>
      <c r="K83" t="s">
        <v>4666</v>
      </c>
      <c r="L83" t="s">
        <v>4644</v>
      </c>
      <c r="M83" t="s">
        <v>4645</v>
      </c>
    </row>
    <row r="84" spans="1:13" x14ac:dyDescent="0.25">
      <c r="A84" t="s">
        <v>3958</v>
      </c>
      <c r="B84" t="s">
        <v>4669</v>
      </c>
      <c r="C84">
        <v>24</v>
      </c>
      <c r="D84" t="s">
        <v>4226</v>
      </c>
      <c r="E84" t="s">
        <v>4670</v>
      </c>
      <c r="F84" t="s">
        <v>4671</v>
      </c>
      <c r="G84">
        <v>514</v>
      </c>
      <c r="H84">
        <v>235</v>
      </c>
      <c r="I84">
        <v>9011</v>
      </c>
      <c r="J84" t="s">
        <v>4672</v>
      </c>
      <c r="K84" t="s">
        <v>4673</v>
      </c>
      <c r="L84" t="s">
        <v>4674</v>
      </c>
      <c r="M84" t="s">
        <v>4675</v>
      </c>
    </row>
    <row r="85" spans="1:13" x14ac:dyDescent="0.25">
      <c r="A85" t="s">
        <v>3958</v>
      </c>
      <c r="B85" t="s">
        <v>4676</v>
      </c>
      <c r="C85">
        <v>10</v>
      </c>
      <c r="D85" t="s">
        <v>4631</v>
      </c>
      <c r="E85" t="s">
        <v>4677</v>
      </c>
      <c r="F85" t="s">
        <v>4678</v>
      </c>
      <c r="G85">
        <v>514</v>
      </c>
      <c r="H85">
        <v>62</v>
      </c>
      <c r="I85">
        <v>9011</v>
      </c>
      <c r="J85" t="s">
        <v>4366</v>
      </c>
      <c r="K85" t="s">
        <v>4679</v>
      </c>
      <c r="L85" t="s">
        <v>4680</v>
      </c>
      <c r="M85" t="s">
        <v>4681</v>
      </c>
    </row>
    <row r="86" spans="1:13" x14ac:dyDescent="0.25">
      <c r="A86" t="s">
        <v>3958</v>
      </c>
      <c r="B86" t="s">
        <v>4682</v>
      </c>
      <c r="C86">
        <v>10</v>
      </c>
      <c r="D86" t="s">
        <v>4631</v>
      </c>
      <c r="E86" t="s">
        <v>4677</v>
      </c>
      <c r="F86" t="s">
        <v>4683</v>
      </c>
      <c r="G86">
        <v>514</v>
      </c>
      <c r="H86">
        <v>62</v>
      </c>
      <c r="I86">
        <v>9011</v>
      </c>
      <c r="J86" t="s">
        <v>4366</v>
      </c>
      <c r="K86" t="s">
        <v>4679</v>
      </c>
      <c r="L86" t="s">
        <v>4680</v>
      </c>
      <c r="M86" t="s">
        <v>4681</v>
      </c>
    </row>
    <row r="87" spans="1:13" x14ac:dyDescent="0.25">
      <c r="A87" t="s">
        <v>3958</v>
      </c>
      <c r="B87" t="s">
        <v>4684</v>
      </c>
      <c r="C87">
        <v>7</v>
      </c>
      <c r="D87" t="s">
        <v>4685</v>
      </c>
      <c r="E87" t="s">
        <v>4686</v>
      </c>
      <c r="F87" t="s">
        <v>4687</v>
      </c>
      <c r="G87">
        <v>514</v>
      </c>
      <c r="H87">
        <v>32</v>
      </c>
      <c r="I87">
        <v>9011</v>
      </c>
      <c r="J87" t="s">
        <v>4688</v>
      </c>
      <c r="K87" t="s">
        <v>4689</v>
      </c>
      <c r="L87" t="s">
        <v>4690</v>
      </c>
      <c r="M87" t="s">
        <v>4691</v>
      </c>
    </row>
    <row r="88" spans="1:13" x14ac:dyDescent="0.25">
      <c r="A88" t="s">
        <v>3958</v>
      </c>
      <c r="B88" t="s">
        <v>4692</v>
      </c>
      <c r="C88">
        <v>12</v>
      </c>
      <c r="D88" t="s">
        <v>4237</v>
      </c>
      <c r="E88" t="s">
        <v>4693</v>
      </c>
      <c r="F88" t="s">
        <v>4694</v>
      </c>
      <c r="G88">
        <v>514</v>
      </c>
      <c r="H88">
        <v>85</v>
      </c>
      <c r="I88">
        <v>9011</v>
      </c>
      <c r="J88" t="s">
        <v>4695</v>
      </c>
      <c r="K88" t="s">
        <v>4696</v>
      </c>
      <c r="L88" t="s">
        <v>4690</v>
      </c>
      <c r="M88" t="s">
        <v>4691</v>
      </c>
    </row>
    <row r="89" spans="1:13" x14ac:dyDescent="0.25">
      <c r="A89" t="s">
        <v>3958</v>
      </c>
      <c r="B89" t="s">
        <v>4697</v>
      </c>
      <c r="C89">
        <v>28</v>
      </c>
      <c r="D89" t="s">
        <v>4245</v>
      </c>
      <c r="E89" t="s">
        <v>4698</v>
      </c>
      <c r="F89" t="s">
        <v>4699</v>
      </c>
      <c r="G89">
        <v>514</v>
      </c>
      <c r="H89">
        <v>292</v>
      </c>
      <c r="I89">
        <v>9011</v>
      </c>
      <c r="J89" t="s">
        <v>4700</v>
      </c>
      <c r="K89" t="s">
        <v>4701</v>
      </c>
      <c r="L89" t="s">
        <v>4702</v>
      </c>
      <c r="M89" t="s">
        <v>4703</v>
      </c>
    </row>
    <row r="90" spans="1:13" x14ac:dyDescent="0.25">
      <c r="A90" t="s">
        <v>3958</v>
      </c>
      <c r="B90" t="s">
        <v>4704</v>
      </c>
      <c r="C90">
        <v>114</v>
      </c>
      <c r="D90" t="s">
        <v>4705</v>
      </c>
      <c r="E90" t="s">
        <v>4706</v>
      </c>
      <c r="F90" t="s">
        <v>4707</v>
      </c>
      <c r="G90">
        <v>514</v>
      </c>
      <c r="H90">
        <v>1621</v>
      </c>
      <c r="I90">
        <v>9011</v>
      </c>
      <c r="J90" t="s">
        <v>4708</v>
      </c>
      <c r="K90" t="s">
        <v>4709</v>
      </c>
      <c r="L90" t="s">
        <v>4710</v>
      </c>
      <c r="M90" t="s">
        <v>4711</v>
      </c>
    </row>
    <row r="91" spans="1:13" x14ac:dyDescent="0.25">
      <c r="A91" t="s">
        <v>3958</v>
      </c>
      <c r="B91" t="s">
        <v>4712</v>
      </c>
      <c r="C91">
        <v>21</v>
      </c>
      <c r="D91" t="s">
        <v>4211</v>
      </c>
      <c r="E91" t="s">
        <v>4713</v>
      </c>
      <c r="F91" t="s">
        <v>4714</v>
      </c>
      <c r="G91">
        <v>514</v>
      </c>
      <c r="H91">
        <v>201</v>
      </c>
      <c r="I91">
        <v>9011</v>
      </c>
      <c r="J91" t="s">
        <v>4715</v>
      </c>
      <c r="K91" t="s">
        <v>4716</v>
      </c>
      <c r="L91" t="s">
        <v>4717</v>
      </c>
      <c r="M91" t="s">
        <v>4718</v>
      </c>
    </row>
    <row r="92" spans="1:13" x14ac:dyDescent="0.25">
      <c r="A92" t="s">
        <v>3958</v>
      </c>
      <c r="B92" t="s">
        <v>4719</v>
      </c>
      <c r="C92">
        <v>11</v>
      </c>
      <c r="D92" t="s">
        <v>4639</v>
      </c>
      <c r="E92" t="s">
        <v>4720</v>
      </c>
      <c r="F92" t="s">
        <v>4721</v>
      </c>
      <c r="G92">
        <v>514</v>
      </c>
      <c r="H92">
        <v>76</v>
      </c>
      <c r="I92">
        <v>9011</v>
      </c>
      <c r="J92" t="s">
        <v>4394</v>
      </c>
      <c r="K92" t="s">
        <v>4722</v>
      </c>
      <c r="L92" t="s">
        <v>4723</v>
      </c>
      <c r="M92" t="s">
        <v>4724</v>
      </c>
    </row>
    <row r="93" spans="1:13" x14ac:dyDescent="0.25">
      <c r="A93" t="s">
        <v>3958</v>
      </c>
      <c r="B93" t="s">
        <v>4725</v>
      </c>
      <c r="C93">
        <v>14</v>
      </c>
      <c r="D93" t="s">
        <v>4149</v>
      </c>
      <c r="E93" t="s">
        <v>4726</v>
      </c>
      <c r="F93" t="s">
        <v>4727</v>
      </c>
      <c r="G93">
        <v>514</v>
      </c>
      <c r="H93">
        <v>112</v>
      </c>
      <c r="I93">
        <v>9011</v>
      </c>
      <c r="J93" t="s">
        <v>4728</v>
      </c>
      <c r="K93" t="s">
        <v>4729</v>
      </c>
      <c r="L93" t="s">
        <v>4730</v>
      </c>
      <c r="M93" t="s">
        <v>4731</v>
      </c>
    </row>
    <row r="94" spans="1:13" x14ac:dyDescent="0.25">
      <c r="A94" t="s">
        <v>3958</v>
      </c>
      <c r="B94" t="s">
        <v>4732</v>
      </c>
      <c r="C94">
        <v>17</v>
      </c>
      <c r="D94" t="s">
        <v>4260</v>
      </c>
      <c r="E94" t="s">
        <v>4733</v>
      </c>
      <c r="F94" t="s">
        <v>4734</v>
      </c>
      <c r="G94">
        <v>514</v>
      </c>
      <c r="H94">
        <v>153</v>
      </c>
      <c r="I94">
        <v>9011</v>
      </c>
      <c r="J94" t="s">
        <v>4735</v>
      </c>
      <c r="K94" t="s">
        <v>4736</v>
      </c>
      <c r="L94" t="s">
        <v>4737</v>
      </c>
      <c r="M94" t="s">
        <v>4738</v>
      </c>
    </row>
    <row r="95" spans="1:13" x14ac:dyDescent="0.25">
      <c r="A95" t="s">
        <v>3958</v>
      </c>
      <c r="B95" t="s">
        <v>4739</v>
      </c>
      <c r="C95">
        <v>11</v>
      </c>
      <c r="D95" t="s">
        <v>4639</v>
      </c>
      <c r="E95" t="s">
        <v>4740</v>
      </c>
      <c r="F95" t="s">
        <v>4741</v>
      </c>
      <c r="G95">
        <v>514</v>
      </c>
      <c r="H95">
        <v>79</v>
      </c>
      <c r="I95">
        <v>9011</v>
      </c>
      <c r="J95" t="s">
        <v>4742</v>
      </c>
      <c r="K95" t="s">
        <v>4743</v>
      </c>
      <c r="L95" t="s">
        <v>4744</v>
      </c>
      <c r="M95" t="s">
        <v>4745</v>
      </c>
    </row>
    <row r="96" spans="1:13" x14ac:dyDescent="0.25">
      <c r="A96" t="s">
        <v>3958</v>
      </c>
      <c r="B96" t="s">
        <v>4746</v>
      </c>
      <c r="C96">
        <v>13</v>
      </c>
      <c r="D96" t="s">
        <v>4471</v>
      </c>
      <c r="E96" t="s">
        <v>4747</v>
      </c>
      <c r="F96" t="s">
        <v>4748</v>
      </c>
      <c r="G96">
        <v>514</v>
      </c>
      <c r="H96">
        <v>103</v>
      </c>
      <c r="I96">
        <v>9011</v>
      </c>
      <c r="J96" t="s">
        <v>4749</v>
      </c>
      <c r="K96" t="s">
        <v>4750</v>
      </c>
      <c r="L96" t="s">
        <v>4744</v>
      </c>
      <c r="M96" t="s">
        <v>4745</v>
      </c>
    </row>
    <row r="97" spans="1:13" x14ac:dyDescent="0.25">
      <c r="A97" t="s">
        <v>3958</v>
      </c>
      <c r="B97" t="s">
        <v>4751</v>
      </c>
      <c r="C97">
        <v>24</v>
      </c>
      <c r="D97" t="s">
        <v>4226</v>
      </c>
      <c r="E97" t="s">
        <v>4752</v>
      </c>
      <c r="F97" t="s">
        <v>4753</v>
      </c>
      <c r="G97">
        <v>514</v>
      </c>
      <c r="H97">
        <v>248</v>
      </c>
      <c r="I97">
        <v>9011</v>
      </c>
      <c r="J97" t="s">
        <v>4754</v>
      </c>
      <c r="K97" t="s">
        <v>4755</v>
      </c>
      <c r="L97" t="s">
        <v>4756</v>
      </c>
      <c r="M97" t="s">
        <v>4757</v>
      </c>
    </row>
    <row r="98" spans="1:13" x14ac:dyDescent="0.25">
      <c r="A98" t="s">
        <v>3958</v>
      </c>
      <c r="B98" t="s">
        <v>4758</v>
      </c>
      <c r="C98">
        <v>10</v>
      </c>
      <c r="D98" t="s">
        <v>4631</v>
      </c>
      <c r="E98" t="s">
        <v>4759</v>
      </c>
      <c r="F98" t="s">
        <v>4760</v>
      </c>
      <c r="G98">
        <v>514</v>
      </c>
      <c r="H98">
        <v>68</v>
      </c>
      <c r="I98">
        <v>9011</v>
      </c>
      <c r="J98" t="s">
        <v>4761</v>
      </c>
      <c r="K98" t="s">
        <v>4762</v>
      </c>
      <c r="L98" t="s">
        <v>4756</v>
      </c>
      <c r="M98" t="s">
        <v>4757</v>
      </c>
    </row>
    <row r="99" spans="1:13" x14ac:dyDescent="0.25">
      <c r="A99" t="s">
        <v>3958</v>
      </c>
      <c r="B99" t="s">
        <v>4763</v>
      </c>
      <c r="C99">
        <v>21</v>
      </c>
      <c r="D99" t="s">
        <v>4211</v>
      </c>
      <c r="E99" t="s">
        <v>4764</v>
      </c>
      <c r="F99" t="s">
        <v>4765</v>
      </c>
      <c r="G99">
        <v>514</v>
      </c>
      <c r="H99">
        <v>208</v>
      </c>
      <c r="I99">
        <v>9011</v>
      </c>
      <c r="J99" t="s">
        <v>4766</v>
      </c>
      <c r="K99" t="s">
        <v>4767</v>
      </c>
      <c r="L99" t="s">
        <v>4768</v>
      </c>
      <c r="M99" t="s">
        <v>4769</v>
      </c>
    </row>
    <row r="100" spans="1:13" x14ac:dyDescent="0.25">
      <c r="A100" t="s">
        <v>3958</v>
      </c>
      <c r="B100" t="s">
        <v>4770</v>
      </c>
      <c r="C100">
        <v>11</v>
      </c>
      <c r="D100" t="s">
        <v>4639</v>
      </c>
      <c r="E100" t="s">
        <v>4771</v>
      </c>
      <c r="F100" t="s">
        <v>4772</v>
      </c>
      <c r="G100">
        <v>514</v>
      </c>
      <c r="H100">
        <v>80</v>
      </c>
      <c r="I100">
        <v>9011</v>
      </c>
      <c r="J100" t="s">
        <v>4773</v>
      </c>
      <c r="K100" t="s">
        <v>4774</v>
      </c>
      <c r="L100" t="s">
        <v>4768</v>
      </c>
      <c r="M100" t="s">
        <v>4769</v>
      </c>
    </row>
    <row r="101" spans="1:13" x14ac:dyDescent="0.25">
      <c r="A101" t="s">
        <v>3958</v>
      </c>
      <c r="B101" t="s">
        <v>4086</v>
      </c>
      <c r="C101">
        <v>12</v>
      </c>
      <c r="D101" t="s">
        <v>4237</v>
      </c>
      <c r="E101" t="s">
        <v>4775</v>
      </c>
      <c r="F101" t="s">
        <v>4776</v>
      </c>
      <c r="G101">
        <v>514</v>
      </c>
      <c r="H101">
        <v>92</v>
      </c>
      <c r="I101">
        <v>9011</v>
      </c>
      <c r="J101" t="s">
        <v>4777</v>
      </c>
      <c r="K101" t="s">
        <v>4778</v>
      </c>
      <c r="L101" t="s">
        <v>4768</v>
      </c>
      <c r="M101" t="s">
        <v>4769</v>
      </c>
    </row>
    <row r="102" spans="1:13" x14ac:dyDescent="0.25">
      <c r="A102" t="s">
        <v>3958</v>
      </c>
      <c r="B102" t="s">
        <v>4779</v>
      </c>
      <c r="C102">
        <v>19</v>
      </c>
      <c r="D102" t="s">
        <v>4282</v>
      </c>
      <c r="E102" t="s">
        <v>4780</v>
      </c>
      <c r="F102" t="s">
        <v>4781</v>
      </c>
      <c r="G102">
        <v>514</v>
      </c>
      <c r="H102">
        <v>182</v>
      </c>
      <c r="I102">
        <v>9011</v>
      </c>
      <c r="J102" t="s">
        <v>4782</v>
      </c>
      <c r="K102" t="s">
        <v>4783</v>
      </c>
      <c r="L102" t="s">
        <v>4784</v>
      </c>
      <c r="M102" t="s">
        <v>4785</v>
      </c>
    </row>
    <row r="103" spans="1:13" x14ac:dyDescent="0.25">
      <c r="A103" t="s">
        <v>3958</v>
      </c>
      <c r="B103" t="s">
        <v>4786</v>
      </c>
      <c r="C103">
        <v>13</v>
      </c>
      <c r="D103" t="s">
        <v>4471</v>
      </c>
      <c r="E103" t="s">
        <v>4787</v>
      </c>
      <c r="F103" t="s">
        <v>4788</v>
      </c>
      <c r="G103">
        <v>514</v>
      </c>
      <c r="H103">
        <v>105</v>
      </c>
      <c r="I103">
        <v>9011</v>
      </c>
      <c r="J103" t="s">
        <v>4789</v>
      </c>
      <c r="K103" t="s">
        <v>4790</v>
      </c>
      <c r="L103" t="s">
        <v>4791</v>
      </c>
      <c r="M103" t="s">
        <v>4792</v>
      </c>
    </row>
    <row r="104" spans="1:13" x14ac:dyDescent="0.25">
      <c r="A104" t="s">
        <v>3958</v>
      </c>
      <c r="B104" t="s">
        <v>4793</v>
      </c>
      <c r="C104">
        <v>16</v>
      </c>
      <c r="D104" t="s">
        <v>4338</v>
      </c>
      <c r="E104" t="s">
        <v>4794</v>
      </c>
      <c r="F104" t="s">
        <v>4795</v>
      </c>
      <c r="G104">
        <v>514</v>
      </c>
      <c r="H104">
        <v>144</v>
      </c>
      <c r="I104">
        <v>9011</v>
      </c>
      <c r="J104" t="s">
        <v>4735</v>
      </c>
      <c r="K104" t="s">
        <v>4796</v>
      </c>
      <c r="L104" t="s">
        <v>4797</v>
      </c>
      <c r="M104" t="s">
        <v>4798</v>
      </c>
    </row>
    <row r="105" spans="1:13" x14ac:dyDescent="0.25">
      <c r="A105" t="s">
        <v>3958</v>
      </c>
      <c r="B105" t="s">
        <v>4799</v>
      </c>
      <c r="C105">
        <v>18</v>
      </c>
      <c r="D105" t="s">
        <v>4296</v>
      </c>
      <c r="E105" t="s">
        <v>4800</v>
      </c>
      <c r="F105" t="s">
        <v>4801</v>
      </c>
      <c r="G105">
        <v>514</v>
      </c>
      <c r="H105">
        <v>171</v>
      </c>
      <c r="I105">
        <v>9011</v>
      </c>
      <c r="J105" t="s">
        <v>4802</v>
      </c>
      <c r="K105" t="s">
        <v>4803</v>
      </c>
      <c r="L105" t="s">
        <v>4804</v>
      </c>
      <c r="M105" t="s">
        <v>4805</v>
      </c>
    </row>
    <row r="106" spans="1:13" x14ac:dyDescent="0.25">
      <c r="A106" t="s">
        <v>3958</v>
      </c>
      <c r="B106" t="s">
        <v>4019</v>
      </c>
      <c r="C106">
        <v>33</v>
      </c>
      <c r="D106" t="s">
        <v>4806</v>
      </c>
      <c r="E106" t="s">
        <v>4807</v>
      </c>
      <c r="F106" t="s">
        <v>4808</v>
      </c>
      <c r="G106">
        <v>514</v>
      </c>
      <c r="H106">
        <v>383</v>
      </c>
      <c r="I106">
        <v>9011</v>
      </c>
      <c r="J106" t="s">
        <v>4809</v>
      </c>
      <c r="K106" t="s">
        <v>4810</v>
      </c>
      <c r="L106" t="s">
        <v>4811</v>
      </c>
      <c r="M106" t="s">
        <v>4812</v>
      </c>
    </row>
    <row r="107" spans="1:13" x14ac:dyDescent="0.25">
      <c r="A107" t="s">
        <v>3958</v>
      </c>
      <c r="B107" t="s">
        <v>4813</v>
      </c>
      <c r="C107">
        <v>14</v>
      </c>
      <c r="D107" t="s">
        <v>4149</v>
      </c>
      <c r="E107" t="s">
        <v>4814</v>
      </c>
      <c r="F107" t="s">
        <v>4815</v>
      </c>
      <c r="G107">
        <v>514</v>
      </c>
      <c r="H107">
        <v>120</v>
      </c>
      <c r="I107">
        <v>9011</v>
      </c>
      <c r="J107" t="s">
        <v>4816</v>
      </c>
      <c r="K107" t="s">
        <v>4817</v>
      </c>
      <c r="L107" t="s">
        <v>4811</v>
      </c>
      <c r="M107" t="s">
        <v>4812</v>
      </c>
    </row>
    <row r="108" spans="1:13" x14ac:dyDescent="0.25">
      <c r="A108" t="s">
        <v>3958</v>
      </c>
      <c r="B108" t="s">
        <v>4818</v>
      </c>
      <c r="C108">
        <v>7</v>
      </c>
      <c r="D108" t="s">
        <v>4685</v>
      </c>
      <c r="E108" t="s">
        <v>4819</v>
      </c>
      <c r="F108" t="s">
        <v>4820</v>
      </c>
      <c r="G108">
        <v>514</v>
      </c>
      <c r="H108">
        <v>38</v>
      </c>
      <c r="I108">
        <v>9011</v>
      </c>
      <c r="J108" t="s">
        <v>4821</v>
      </c>
      <c r="K108" t="s">
        <v>4822</v>
      </c>
      <c r="L108" t="s">
        <v>4823</v>
      </c>
      <c r="M108" t="s">
        <v>4824</v>
      </c>
    </row>
    <row r="109" spans="1:13" x14ac:dyDescent="0.25">
      <c r="A109" t="s">
        <v>3958</v>
      </c>
      <c r="B109" t="s">
        <v>4825</v>
      </c>
      <c r="C109">
        <v>18</v>
      </c>
      <c r="D109" t="s">
        <v>4296</v>
      </c>
      <c r="E109" t="s">
        <v>4826</v>
      </c>
      <c r="F109" t="s">
        <v>4827</v>
      </c>
      <c r="G109">
        <v>514</v>
      </c>
      <c r="H109">
        <v>173</v>
      </c>
      <c r="I109">
        <v>9011</v>
      </c>
      <c r="J109" t="s">
        <v>4828</v>
      </c>
      <c r="K109" t="s">
        <v>4829</v>
      </c>
      <c r="L109" t="s">
        <v>4823</v>
      </c>
      <c r="M109" t="s">
        <v>4824</v>
      </c>
    </row>
    <row r="110" spans="1:13" x14ac:dyDescent="0.25">
      <c r="A110" t="s">
        <v>3958</v>
      </c>
      <c r="B110" t="s">
        <v>4830</v>
      </c>
      <c r="C110">
        <v>9</v>
      </c>
      <c r="D110" t="s">
        <v>4831</v>
      </c>
      <c r="E110" t="s">
        <v>4832</v>
      </c>
      <c r="F110" t="s">
        <v>4833</v>
      </c>
      <c r="G110">
        <v>514</v>
      </c>
      <c r="H110">
        <v>60</v>
      </c>
      <c r="I110">
        <v>9011</v>
      </c>
      <c r="J110" t="s">
        <v>4834</v>
      </c>
      <c r="K110" t="s">
        <v>4835</v>
      </c>
      <c r="L110" t="s">
        <v>4836</v>
      </c>
      <c r="M110" t="s">
        <v>4837</v>
      </c>
    </row>
    <row r="111" spans="1:13" x14ac:dyDescent="0.25">
      <c r="A111" t="s">
        <v>3958</v>
      </c>
      <c r="B111" t="s">
        <v>4838</v>
      </c>
      <c r="C111">
        <v>18</v>
      </c>
      <c r="D111" t="s">
        <v>4296</v>
      </c>
      <c r="E111" t="s">
        <v>4839</v>
      </c>
      <c r="F111" t="s">
        <v>4840</v>
      </c>
      <c r="G111">
        <v>514</v>
      </c>
      <c r="H111">
        <v>174</v>
      </c>
      <c r="I111">
        <v>9011</v>
      </c>
      <c r="J111" t="s">
        <v>4841</v>
      </c>
      <c r="K111" t="s">
        <v>4842</v>
      </c>
      <c r="L111" t="s">
        <v>4843</v>
      </c>
      <c r="M111" t="s">
        <v>4844</v>
      </c>
    </row>
    <row r="112" spans="1:13" x14ac:dyDescent="0.25">
      <c r="A112" t="s">
        <v>3958</v>
      </c>
      <c r="B112" t="s">
        <v>4845</v>
      </c>
      <c r="C112">
        <v>22</v>
      </c>
      <c r="D112" t="s">
        <v>4179</v>
      </c>
      <c r="E112" t="s">
        <v>4846</v>
      </c>
      <c r="F112" t="s">
        <v>4847</v>
      </c>
      <c r="G112">
        <v>514</v>
      </c>
      <c r="H112">
        <v>229</v>
      </c>
      <c r="I112">
        <v>9011</v>
      </c>
      <c r="J112" t="s">
        <v>4848</v>
      </c>
      <c r="K112" t="s">
        <v>4849</v>
      </c>
      <c r="L112" t="s">
        <v>4850</v>
      </c>
      <c r="M112" t="s">
        <v>4851</v>
      </c>
    </row>
    <row r="113" spans="1:13" x14ac:dyDescent="0.25">
      <c r="A113" t="s">
        <v>3958</v>
      </c>
      <c r="B113" t="s">
        <v>4852</v>
      </c>
      <c r="C113">
        <v>6</v>
      </c>
      <c r="D113" t="s">
        <v>4853</v>
      </c>
      <c r="E113" t="s">
        <v>4854</v>
      </c>
      <c r="F113" t="s">
        <v>4855</v>
      </c>
      <c r="G113">
        <v>514</v>
      </c>
      <c r="H113">
        <v>29</v>
      </c>
      <c r="I113">
        <v>9011</v>
      </c>
      <c r="J113" t="s">
        <v>4856</v>
      </c>
      <c r="K113" t="s">
        <v>4857</v>
      </c>
      <c r="L113" t="s">
        <v>4858</v>
      </c>
      <c r="M113" t="s">
        <v>4859</v>
      </c>
    </row>
    <row r="114" spans="1:13" x14ac:dyDescent="0.25">
      <c r="A114" t="s">
        <v>3958</v>
      </c>
      <c r="B114" t="s">
        <v>4860</v>
      </c>
      <c r="C114">
        <v>12</v>
      </c>
      <c r="D114" t="s">
        <v>4237</v>
      </c>
      <c r="E114" t="s">
        <v>4861</v>
      </c>
      <c r="F114" t="s">
        <v>4862</v>
      </c>
      <c r="G114">
        <v>514</v>
      </c>
      <c r="H114">
        <v>98</v>
      </c>
      <c r="I114">
        <v>9011</v>
      </c>
      <c r="J114" t="s">
        <v>4619</v>
      </c>
      <c r="K114" t="s">
        <v>4863</v>
      </c>
      <c r="L114" t="s">
        <v>4864</v>
      </c>
      <c r="M114" t="s">
        <v>4865</v>
      </c>
    </row>
    <row r="115" spans="1:13" x14ac:dyDescent="0.25">
      <c r="A115" t="s">
        <v>3958</v>
      </c>
      <c r="B115" t="s">
        <v>4866</v>
      </c>
      <c r="C115">
        <v>11</v>
      </c>
      <c r="D115" t="s">
        <v>4639</v>
      </c>
      <c r="E115" t="s">
        <v>4867</v>
      </c>
      <c r="F115" t="s">
        <v>4868</v>
      </c>
      <c r="G115">
        <v>514</v>
      </c>
      <c r="H115">
        <v>86</v>
      </c>
      <c r="I115">
        <v>9011</v>
      </c>
      <c r="J115" t="s">
        <v>4869</v>
      </c>
      <c r="K115" t="s">
        <v>4870</v>
      </c>
      <c r="L115" t="s">
        <v>4871</v>
      </c>
      <c r="M115" t="s">
        <v>4872</v>
      </c>
    </row>
    <row r="116" spans="1:13" x14ac:dyDescent="0.25">
      <c r="A116" t="s">
        <v>3958</v>
      </c>
      <c r="B116" t="s">
        <v>4873</v>
      </c>
      <c r="C116">
        <v>10</v>
      </c>
      <c r="D116" t="s">
        <v>4631</v>
      </c>
      <c r="E116" t="s">
        <v>4874</v>
      </c>
      <c r="F116" t="s">
        <v>4875</v>
      </c>
      <c r="G116">
        <v>514</v>
      </c>
      <c r="H116">
        <v>74</v>
      </c>
      <c r="I116">
        <v>9011</v>
      </c>
      <c r="J116" t="s">
        <v>4876</v>
      </c>
      <c r="K116" t="s">
        <v>4877</v>
      </c>
      <c r="L116" t="s">
        <v>4878</v>
      </c>
      <c r="M116" t="s">
        <v>4879</v>
      </c>
    </row>
    <row r="117" spans="1:13" x14ac:dyDescent="0.25">
      <c r="A117" t="s">
        <v>3958</v>
      </c>
      <c r="B117" t="s">
        <v>4880</v>
      </c>
      <c r="C117">
        <v>31</v>
      </c>
      <c r="D117" t="s">
        <v>4195</v>
      </c>
      <c r="E117" t="s">
        <v>4881</v>
      </c>
      <c r="F117" t="s">
        <v>4882</v>
      </c>
      <c r="G117">
        <v>514</v>
      </c>
      <c r="H117">
        <v>362</v>
      </c>
      <c r="I117">
        <v>9011</v>
      </c>
      <c r="J117" t="s">
        <v>4883</v>
      </c>
      <c r="K117" t="s">
        <v>4884</v>
      </c>
      <c r="L117" t="s">
        <v>4885</v>
      </c>
      <c r="M117" t="s">
        <v>4886</v>
      </c>
    </row>
    <row r="118" spans="1:13" x14ac:dyDescent="0.25">
      <c r="A118" t="s">
        <v>3958</v>
      </c>
      <c r="B118" t="s">
        <v>4887</v>
      </c>
      <c r="C118">
        <v>9</v>
      </c>
      <c r="D118" t="s">
        <v>4831</v>
      </c>
      <c r="E118" t="s">
        <v>4888</v>
      </c>
      <c r="F118" t="s">
        <v>4889</v>
      </c>
      <c r="G118">
        <v>514</v>
      </c>
      <c r="H118">
        <v>63</v>
      </c>
      <c r="I118">
        <v>9011</v>
      </c>
      <c r="J118" t="s">
        <v>4577</v>
      </c>
      <c r="K118" t="s">
        <v>4890</v>
      </c>
      <c r="L118" t="s">
        <v>4891</v>
      </c>
      <c r="M118" t="s">
        <v>4892</v>
      </c>
    </row>
    <row r="119" spans="1:13" x14ac:dyDescent="0.25">
      <c r="A119" t="s">
        <v>3958</v>
      </c>
      <c r="B119" t="s">
        <v>4893</v>
      </c>
      <c r="C119">
        <v>8</v>
      </c>
      <c r="D119" t="s">
        <v>4894</v>
      </c>
      <c r="E119" t="s">
        <v>4895</v>
      </c>
      <c r="F119" t="s">
        <v>3397</v>
      </c>
      <c r="G119">
        <v>514</v>
      </c>
      <c r="H119">
        <v>52</v>
      </c>
      <c r="I119">
        <v>9011</v>
      </c>
      <c r="J119" t="s">
        <v>4421</v>
      </c>
      <c r="K119" t="s">
        <v>4896</v>
      </c>
      <c r="L119" t="s">
        <v>4897</v>
      </c>
      <c r="M119" t="s">
        <v>4898</v>
      </c>
    </row>
    <row r="120" spans="1:13" x14ac:dyDescent="0.25">
      <c r="A120" t="s">
        <v>3958</v>
      </c>
      <c r="B120" t="s">
        <v>4899</v>
      </c>
      <c r="C120">
        <v>11</v>
      </c>
      <c r="D120" t="s">
        <v>4639</v>
      </c>
      <c r="E120" t="s">
        <v>4900</v>
      </c>
      <c r="F120" t="s">
        <v>4901</v>
      </c>
      <c r="G120">
        <v>514</v>
      </c>
      <c r="H120">
        <v>88</v>
      </c>
      <c r="I120">
        <v>9011</v>
      </c>
      <c r="J120" t="s">
        <v>4902</v>
      </c>
      <c r="K120" t="s">
        <v>4903</v>
      </c>
      <c r="L120" t="s">
        <v>4904</v>
      </c>
      <c r="M120" t="s">
        <v>4905</v>
      </c>
    </row>
    <row r="121" spans="1:13" x14ac:dyDescent="0.25">
      <c r="A121" t="s">
        <v>3958</v>
      </c>
      <c r="B121" t="s">
        <v>4906</v>
      </c>
      <c r="C121">
        <v>10</v>
      </c>
      <c r="D121" t="s">
        <v>4631</v>
      </c>
      <c r="E121" t="s">
        <v>4907</v>
      </c>
      <c r="F121" t="s">
        <v>3400</v>
      </c>
      <c r="G121">
        <v>514</v>
      </c>
      <c r="H121">
        <v>76</v>
      </c>
      <c r="I121">
        <v>9011</v>
      </c>
      <c r="J121" t="s">
        <v>4908</v>
      </c>
      <c r="K121" t="s">
        <v>4909</v>
      </c>
      <c r="L121" t="s">
        <v>4910</v>
      </c>
      <c r="M121" t="s">
        <v>4911</v>
      </c>
    </row>
    <row r="122" spans="1:13" x14ac:dyDescent="0.25">
      <c r="A122" t="s">
        <v>3958</v>
      </c>
      <c r="B122" t="s">
        <v>4912</v>
      </c>
      <c r="C122">
        <v>13</v>
      </c>
      <c r="D122" t="s">
        <v>4471</v>
      </c>
      <c r="E122" t="s">
        <v>4913</v>
      </c>
      <c r="F122" t="s">
        <v>4914</v>
      </c>
      <c r="G122">
        <v>514</v>
      </c>
      <c r="H122">
        <v>114</v>
      </c>
      <c r="I122">
        <v>9011</v>
      </c>
      <c r="J122" t="s">
        <v>4915</v>
      </c>
      <c r="K122" t="s">
        <v>4916</v>
      </c>
      <c r="L122" t="s">
        <v>4917</v>
      </c>
      <c r="M122" t="s">
        <v>4918</v>
      </c>
    </row>
    <row r="123" spans="1:13" x14ac:dyDescent="0.25">
      <c r="A123" t="s">
        <v>3958</v>
      </c>
      <c r="B123" t="s">
        <v>4919</v>
      </c>
      <c r="C123">
        <v>5</v>
      </c>
      <c r="D123" t="s">
        <v>4920</v>
      </c>
      <c r="E123" t="s">
        <v>4921</v>
      </c>
      <c r="F123" t="s">
        <v>3398</v>
      </c>
      <c r="G123">
        <v>514</v>
      </c>
      <c r="H123">
        <v>21</v>
      </c>
      <c r="I123">
        <v>9011</v>
      </c>
      <c r="J123" t="s">
        <v>4922</v>
      </c>
      <c r="K123" t="s">
        <v>4923</v>
      </c>
      <c r="L123" t="s">
        <v>4917</v>
      </c>
      <c r="M123" t="s">
        <v>4918</v>
      </c>
    </row>
    <row r="124" spans="1:13" x14ac:dyDescent="0.25">
      <c r="A124" t="s">
        <v>3958</v>
      </c>
      <c r="B124" t="s">
        <v>4924</v>
      </c>
      <c r="C124">
        <v>18</v>
      </c>
      <c r="D124" t="s">
        <v>4296</v>
      </c>
      <c r="E124" t="s">
        <v>4925</v>
      </c>
      <c r="F124" t="s">
        <v>3402</v>
      </c>
      <c r="G124">
        <v>514</v>
      </c>
      <c r="H124">
        <v>181</v>
      </c>
      <c r="I124">
        <v>9011</v>
      </c>
      <c r="J124" t="s">
        <v>4926</v>
      </c>
      <c r="K124" t="s">
        <v>4927</v>
      </c>
      <c r="L124" t="s">
        <v>4917</v>
      </c>
      <c r="M124" t="s">
        <v>4918</v>
      </c>
    </row>
    <row r="125" spans="1:13" x14ac:dyDescent="0.25">
      <c r="A125" t="s">
        <v>3958</v>
      </c>
      <c r="B125" t="s">
        <v>4928</v>
      </c>
      <c r="C125">
        <v>11</v>
      </c>
      <c r="D125" t="s">
        <v>4639</v>
      </c>
      <c r="E125" t="s">
        <v>4929</v>
      </c>
      <c r="F125" t="s">
        <v>3403</v>
      </c>
      <c r="G125">
        <v>514</v>
      </c>
      <c r="H125">
        <v>89</v>
      </c>
      <c r="I125">
        <v>9011</v>
      </c>
      <c r="J125" t="s">
        <v>4930</v>
      </c>
      <c r="K125" t="s">
        <v>4931</v>
      </c>
      <c r="L125" t="s">
        <v>4932</v>
      </c>
      <c r="M125" t="s">
        <v>4933</v>
      </c>
    </row>
    <row r="126" spans="1:13" x14ac:dyDescent="0.25">
      <c r="A126" t="s">
        <v>3958</v>
      </c>
      <c r="B126" t="s">
        <v>4934</v>
      </c>
      <c r="C126">
        <v>11</v>
      </c>
      <c r="D126" t="s">
        <v>4639</v>
      </c>
      <c r="E126" t="s">
        <v>4935</v>
      </c>
      <c r="F126" t="s">
        <v>4936</v>
      </c>
      <c r="G126">
        <v>514</v>
      </c>
      <c r="H126">
        <v>91</v>
      </c>
      <c r="I126">
        <v>9011</v>
      </c>
      <c r="J126" t="s">
        <v>4937</v>
      </c>
      <c r="K126" t="s">
        <v>4938</v>
      </c>
      <c r="L126" t="s">
        <v>4939</v>
      </c>
      <c r="M126" t="s">
        <v>4940</v>
      </c>
    </row>
    <row r="127" spans="1:13" x14ac:dyDescent="0.25">
      <c r="A127" t="s">
        <v>3958</v>
      </c>
      <c r="B127" t="s">
        <v>4941</v>
      </c>
      <c r="C127">
        <v>14</v>
      </c>
      <c r="D127" t="s">
        <v>4149</v>
      </c>
      <c r="E127" t="s">
        <v>4942</v>
      </c>
      <c r="F127" t="s">
        <v>4943</v>
      </c>
      <c r="G127">
        <v>514</v>
      </c>
      <c r="H127">
        <v>131</v>
      </c>
      <c r="I127">
        <v>9011</v>
      </c>
      <c r="J127" t="s">
        <v>4944</v>
      </c>
      <c r="K127" t="s">
        <v>4945</v>
      </c>
      <c r="L127" t="s">
        <v>4946</v>
      </c>
      <c r="M127" t="s">
        <v>4947</v>
      </c>
    </row>
    <row r="128" spans="1:13" x14ac:dyDescent="0.25">
      <c r="A128" t="s">
        <v>3958</v>
      </c>
      <c r="B128" t="s">
        <v>4948</v>
      </c>
      <c r="C128">
        <v>13</v>
      </c>
      <c r="D128" t="s">
        <v>4471</v>
      </c>
      <c r="E128" t="s">
        <v>4949</v>
      </c>
      <c r="F128" t="s">
        <v>4950</v>
      </c>
      <c r="G128">
        <v>514</v>
      </c>
      <c r="H128">
        <v>118</v>
      </c>
      <c r="I128">
        <v>9011</v>
      </c>
      <c r="J128" t="s">
        <v>4951</v>
      </c>
      <c r="K128" t="s">
        <v>4952</v>
      </c>
      <c r="L128" t="s">
        <v>4953</v>
      </c>
      <c r="M128" t="s">
        <v>4954</v>
      </c>
    </row>
    <row r="129" spans="1:13" x14ac:dyDescent="0.25">
      <c r="A129" t="s">
        <v>3958</v>
      </c>
      <c r="B129" t="s">
        <v>4955</v>
      </c>
      <c r="C129">
        <v>7</v>
      </c>
      <c r="D129" t="s">
        <v>4685</v>
      </c>
      <c r="E129" t="s">
        <v>4956</v>
      </c>
      <c r="F129" t="s">
        <v>3401</v>
      </c>
      <c r="G129">
        <v>514</v>
      </c>
      <c r="H129">
        <v>44</v>
      </c>
      <c r="I129">
        <v>9011</v>
      </c>
      <c r="J129" t="s">
        <v>4957</v>
      </c>
      <c r="K129" t="s">
        <v>4958</v>
      </c>
      <c r="L129" t="s">
        <v>4959</v>
      </c>
      <c r="M129" t="s">
        <v>4960</v>
      </c>
    </row>
    <row r="130" spans="1:13" x14ac:dyDescent="0.25">
      <c r="A130" t="s">
        <v>3958</v>
      </c>
      <c r="B130" t="s">
        <v>4961</v>
      </c>
      <c r="C130">
        <v>11</v>
      </c>
      <c r="D130" t="s">
        <v>4639</v>
      </c>
      <c r="E130" t="s">
        <v>4962</v>
      </c>
      <c r="F130" t="s">
        <v>4963</v>
      </c>
      <c r="G130">
        <v>514</v>
      </c>
      <c r="H130">
        <v>93</v>
      </c>
      <c r="I130">
        <v>9011</v>
      </c>
      <c r="J130" t="s">
        <v>4964</v>
      </c>
      <c r="K130" t="s">
        <v>4965</v>
      </c>
      <c r="L130" t="s">
        <v>4966</v>
      </c>
      <c r="M130" t="s">
        <v>4967</v>
      </c>
    </row>
    <row r="131" spans="1:13" x14ac:dyDescent="0.25">
      <c r="A131" t="s">
        <v>3958</v>
      </c>
      <c r="B131" t="s">
        <v>4968</v>
      </c>
      <c r="C131">
        <v>15</v>
      </c>
      <c r="D131" t="s">
        <v>4288</v>
      </c>
      <c r="E131" t="s">
        <v>4969</v>
      </c>
      <c r="F131" t="s">
        <v>4970</v>
      </c>
      <c r="G131">
        <v>514</v>
      </c>
      <c r="H131">
        <v>146</v>
      </c>
      <c r="I131">
        <v>9011</v>
      </c>
      <c r="J131" t="s">
        <v>4971</v>
      </c>
      <c r="K131" t="s">
        <v>4972</v>
      </c>
      <c r="L131" t="s">
        <v>4966</v>
      </c>
      <c r="M131" t="s">
        <v>4967</v>
      </c>
    </row>
    <row r="132" spans="1:13" x14ac:dyDescent="0.25">
      <c r="A132" t="s">
        <v>3958</v>
      </c>
      <c r="B132" t="s">
        <v>4973</v>
      </c>
      <c r="C132">
        <v>15</v>
      </c>
      <c r="D132" t="s">
        <v>4288</v>
      </c>
      <c r="E132" t="s">
        <v>4974</v>
      </c>
      <c r="F132" t="s">
        <v>4975</v>
      </c>
      <c r="G132">
        <v>514</v>
      </c>
      <c r="H132">
        <v>147</v>
      </c>
      <c r="I132">
        <v>9011</v>
      </c>
      <c r="J132" t="s">
        <v>4976</v>
      </c>
      <c r="K132" t="s">
        <v>4977</v>
      </c>
      <c r="L132" t="s">
        <v>4978</v>
      </c>
      <c r="M132" t="s">
        <v>4979</v>
      </c>
    </row>
    <row r="133" spans="1:13" x14ac:dyDescent="0.25">
      <c r="A133" t="s">
        <v>3958</v>
      </c>
      <c r="B133" t="s">
        <v>4980</v>
      </c>
      <c r="C133">
        <v>12</v>
      </c>
      <c r="D133" t="s">
        <v>4237</v>
      </c>
      <c r="E133" t="s">
        <v>4981</v>
      </c>
      <c r="F133" t="s">
        <v>4982</v>
      </c>
      <c r="G133">
        <v>514</v>
      </c>
      <c r="H133">
        <v>107</v>
      </c>
      <c r="I133">
        <v>9011</v>
      </c>
      <c r="J133" t="s">
        <v>4983</v>
      </c>
      <c r="K133" t="s">
        <v>4984</v>
      </c>
      <c r="L133" t="s">
        <v>4978</v>
      </c>
      <c r="M133" t="s">
        <v>4979</v>
      </c>
    </row>
    <row r="134" spans="1:13" x14ac:dyDescent="0.25">
      <c r="A134" t="s">
        <v>3958</v>
      </c>
      <c r="B134" t="s">
        <v>4985</v>
      </c>
      <c r="C134">
        <v>11</v>
      </c>
      <c r="D134" t="s">
        <v>4639</v>
      </c>
      <c r="E134" t="s">
        <v>4986</v>
      </c>
      <c r="F134" t="s">
        <v>4987</v>
      </c>
      <c r="G134">
        <v>514</v>
      </c>
      <c r="H134">
        <v>94</v>
      </c>
      <c r="I134">
        <v>9011</v>
      </c>
      <c r="J134" t="s">
        <v>4988</v>
      </c>
      <c r="K134" t="s">
        <v>4989</v>
      </c>
      <c r="L134" t="s">
        <v>4978</v>
      </c>
      <c r="M134" t="s">
        <v>4979</v>
      </c>
    </row>
    <row r="135" spans="1:13" x14ac:dyDescent="0.25">
      <c r="A135" t="s">
        <v>3958</v>
      </c>
      <c r="B135" t="s">
        <v>4990</v>
      </c>
      <c r="C135">
        <v>6</v>
      </c>
      <c r="D135" t="s">
        <v>4853</v>
      </c>
      <c r="E135" t="s">
        <v>4991</v>
      </c>
      <c r="F135" t="s">
        <v>3399</v>
      </c>
      <c r="G135">
        <v>514</v>
      </c>
      <c r="H135">
        <v>34</v>
      </c>
      <c r="I135">
        <v>9011</v>
      </c>
      <c r="J135" t="s">
        <v>4992</v>
      </c>
      <c r="K135" t="s">
        <v>4993</v>
      </c>
      <c r="L135" t="s">
        <v>4994</v>
      </c>
      <c r="M135" t="s">
        <v>4995</v>
      </c>
    </row>
    <row r="136" spans="1:13" x14ac:dyDescent="0.25">
      <c r="A136" t="s">
        <v>3958</v>
      </c>
      <c r="B136" t="s">
        <v>4996</v>
      </c>
      <c r="C136">
        <v>13</v>
      </c>
      <c r="D136" t="s">
        <v>4471</v>
      </c>
      <c r="E136" t="s">
        <v>4997</v>
      </c>
      <c r="F136" t="s">
        <v>3405</v>
      </c>
      <c r="G136">
        <v>514</v>
      </c>
      <c r="H136">
        <v>121</v>
      </c>
      <c r="I136">
        <v>9011</v>
      </c>
      <c r="J136" t="s">
        <v>4998</v>
      </c>
      <c r="K136" t="s">
        <v>4999</v>
      </c>
      <c r="L136" t="s">
        <v>5000</v>
      </c>
      <c r="M136" t="s">
        <v>5001</v>
      </c>
    </row>
    <row r="137" spans="1:13" x14ac:dyDescent="0.25">
      <c r="A137" t="s">
        <v>3958</v>
      </c>
      <c r="B137" t="s">
        <v>5002</v>
      </c>
      <c r="C137">
        <v>9</v>
      </c>
      <c r="D137" t="s">
        <v>4831</v>
      </c>
      <c r="E137" t="s">
        <v>5003</v>
      </c>
      <c r="F137" t="s">
        <v>5004</v>
      </c>
      <c r="G137">
        <v>514</v>
      </c>
      <c r="H137">
        <v>70</v>
      </c>
      <c r="I137">
        <v>9011</v>
      </c>
      <c r="J137" t="s">
        <v>5005</v>
      </c>
      <c r="K137" t="s">
        <v>5006</v>
      </c>
      <c r="L137" t="s">
        <v>5007</v>
      </c>
      <c r="M137" t="s">
        <v>5008</v>
      </c>
    </row>
    <row r="138" spans="1:13" x14ac:dyDescent="0.25">
      <c r="A138" t="s">
        <v>3958</v>
      </c>
      <c r="B138" t="s">
        <v>5009</v>
      </c>
      <c r="C138">
        <v>8</v>
      </c>
      <c r="D138" t="s">
        <v>4894</v>
      </c>
      <c r="E138" t="s">
        <v>5010</v>
      </c>
      <c r="F138" t="s">
        <v>5011</v>
      </c>
      <c r="G138">
        <v>514</v>
      </c>
      <c r="H138">
        <v>58</v>
      </c>
      <c r="I138">
        <v>9011</v>
      </c>
      <c r="J138" t="s">
        <v>5012</v>
      </c>
      <c r="K138" t="s">
        <v>5013</v>
      </c>
      <c r="L138" t="s">
        <v>5014</v>
      </c>
      <c r="M138" t="s">
        <v>5015</v>
      </c>
    </row>
    <row r="139" spans="1:13" x14ac:dyDescent="0.25">
      <c r="A139" t="s">
        <v>3958</v>
      </c>
      <c r="B139" t="s">
        <v>5016</v>
      </c>
      <c r="C139">
        <v>12</v>
      </c>
      <c r="D139" t="s">
        <v>4237</v>
      </c>
      <c r="E139" t="s">
        <v>5017</v>
      </c>
      <c r="F139" t="s">
        <v>3406</v>
      </c>
      <c r="G139">
        <v>514</v>
      </c>
      <c r="H139">
        <v>110</v>
      </c>
      <c r="I139">
        <v>9011</v>
      </c>
      <c r="J139" t="s">
        <v>4598</v>
      </c>
      <c r="K139" t="s">
        <v>5018</v>
      </c>
      <c r="L139" t="s">
        <v>5019</v>
      </c>
      <c r="M139" t="s">
        <v>5020</v>
      </c>
    </row>
    <row r="140" spans="1:13" x14ac:dyDescent="0.25">
      <c r="A140" t="s">
        <v>3958</v>
      </c>
      <c r="B140" t="s">
        <v>5021</v>
      </c>
      <c r="C140">
        <v>11</v>
      </c>
      <c r="D140" t="s">
        <v>4639</v>
      </c>
      <c r="E140" t="s">
        <v>5022</v>
      </c>
      <c r="F140" t="s">
        <v>5023</v>
      </c>
      <c r="G140">
        <v>514</v>
      </c>
      <c r="H140">
        <v>97</v>
      </c>
      <c r="I140">
        <v>9011</v>
      </c>
      <c r="J140" t="s">
        <v>5024</v>
      </c>
      <c r="K140" t="s">
        <v>5025</v>
      </c>
      <c r="L140" t="s">
        <v>5026</v>
      </c>
      <c r="M140" t="s">
        <v>5027</v>
      </c>
    </row>
    <row r="141" spans="1:13" x14ac:dyDescent="0.25">
      <c r="A141" t="s">
        <v>3958</v>
      </c>
      <c r="B141" t="s">
        <v>5028</v>
      </c>
      <c r="C141">
        <v>9</v>
      </c>
      <c r="D141" t="s">
        <v>4831</v>
      </c>
      <c r="E141" t="s">
        <v>5029</v>
      </c>
      <c r="F141" t="s">
        <v>5030</v>
      </c>
      <c r="G141">
        <v>514</v>
      </c>
      <c r="H141">
        <v>72</v>
      </c>
      <c r="I141">
        <v>9011</v>
      </c>
      <c r="J141" t="s">
        <v>4902</v>
      </c>
      <c r="K141" t="s">
        <v>5031</v>
      </c>
      <c r="L141" t="s">
        <v>5032</v>
      </c>
      <c r="M141" t="s">
        <v>5033</v>
      </c>
    </row>
    <row r="142" spans="1:13" x14ac:dyDescent="0.25">
      <c r="A142" t="s">
        <v>3958</v>
      </c>
      <c r="B142" t="s">
        <v>5034</v>
      </c>
      <c r="C142">
        <v>8</v>
      </c>
      <c r="D142" t="s">
        <v>4894</v>
      </c>
      <c r="E142" t="s">
        <v>5035</v>
      </c>
      <c r="F142" t="s">
        <v>5036</v>
      </c>
      <c r="G142">
        <v>514</v>
      </c>
      <c r="H142">
        <v>61</v>
      </c>
      <c r="I142">
        <v>9011</v>
      </c>
      <c r="J142" t="s">
        <v>5037</v>
      </c>
      <c r="K142" t="s">
        <v>5038</v>
      </c>
      <c r="L142" t="s">
        <v>5039</v>
      </c>
      <c r="M142" t="s">
        <v>5040</v>
      </c>
    </row>
    <row r="143" spans="1:13" x14ac:dyDescent="0.25">
      <c r="A143" t="s">
        <v>3958</v>
      </c>
      <c r="B143" t="s">
        <v>5041</v>
      </c>
      <c r="C143">
        <v>9</v>
      </c>
      <c r="D143" t="s">
        <v>4831</v>
      </c>
      <c r="E143" t="s">
        <v>5042</v>
      </c>
      <c r="F143" t="s">
        <v>5043</v>
      </c>
      <c r="G143">
        <v>514</v>
      </c>
      <c r="H143">
        <v>74</v>
      </c>
      <c r="I143">
        <v>9011</v>
      </c>
      <c r="J143" t="s">
        <v>5044</v>
      </c>
      <c r="K143" t="s">
        <v>5045</v>
      </c>
      <c r="L143" t="s">
        <v>5046</v>
      </c>
      <c r="M143" t="s">
        <v>5047</v>
      </c>
    </row>
    <row r="144" spans="1:13" x14ac:dyDescent="0.25">
      <c r="A144" t="s">
        <v>3958</v>
      </c>
      <c r="B144" t="s">
        <v>5048</v>
      </c>
      <c r="C144">
        <v>17</v>
      </c>
      <c r="D144" t="s">
        <v>4260</v>
      </c>
      <c r="E144" t="s">
        <v>5049</v>
      </c>
      <c r="F144" t="s">
        <v>5050</v>
      </c>
      <c r="G144">
        <v>514</v>
      </c>
      <c r="H144">
        <v>184</v>
      </c>
      <c r="I144">
        <v>9011</v>
      </c>
      <c r="J144" t="s">
        <v>5051</v>
      </c>
      <c r="K144" t="s">
        <v>5052</v>
      </c>
      <c r="L144" t="s">
        <v>5053</v>
      </c>
      <c r="M144" t="s">
        <v>5054</v>
      </c>
    </row>
    <row r="145" spans="1:13" x14ac:dyDescent="0.25">
      <c r="A145" t="s">
        <v>3958</v>
      </c>
      <c r="B145" t="s">
        <v>5055</v>
      </c>
      <c r="C145">
        <v>15</v>
      </c>
      <c r="D145" t="s">
        <v>4288</v>
      </c>
      <c r="E145" t="s">
        <v>5056</v>
      </c>
      <c r="F145" t="s">
        <v>5057</v>
      </c>
      <c r="G145">
        <v>514</v>
      </c>
      <c r="H145">
        <v>156</v>
      </c>
      <c r="I145">
        <v>9011</v>
      </c>
      <c r="J145" t="s">
        <v>5058</v>
      </c>
      <c r="K145" t="s">
        <v>5059</v>
      </c>
      <c r="L145" t="s">
        <v>5060</v>
      </c>
      <c r="M145" t="s">
        <v>5061</v>
      </c>
    </row>
    <row r="146" spans="1:13" x14ac:dyDescent="0.25">
      <c r="A146" t="s">
        <v>3958</v>
      </c>
      <c r="B146" t="s">
        <v>5062</v>
      </c>
      <c r="C146">
        <v>8</v>
      </c>
      <c r="D146" t="s">
        <v>4894</v>
      </c>
      <c r="E146" t="s">
        <v>5063</v>
      </c>
      <c r="F146" t="s">
        <v>3404</v>
      </c>
      <c r="G146">
        <v>514</v>
      </c>
      <c r="H146">
        <v>62</v>
      </c>
      <c r="I146">
        <v>9011</v>
      </c>
      <c r="J146" t="s">
        <v>5064</v>
      </c>
      <c r="K146" t="s">
        <v>5065</v>
      </c>
      <c r="L146" t="s">
        <v>5066</v>
      </c>
      <c r="M146" t="s">
        <v>5067</v>
      </c>
    </row>
    <row r="147" spans="1:13" x14ac:dyDescent="0.25">
      <c r="A147" t="s">
        <v>3958</v>
      </c>
      <c r="B147" t="s">
        <v>5068</v>
      </c>
      <c r="C147">
        <v>9</v>
      </c>
      <c r="D147" t="s">
        <v>4831</v>
      </c>
      <c r="E147" t="s">
        <v>5069</v>
      </c>
      <c r="F147" t="s">
        <v>5070</v>
      </c>
      <c r="G147">
        <v>514</v>
      </c>
      <c r="H147">
        <v>75</v>
      </c>
      <c r="I147">
        <v>9011</v>
      </c>
      <c r="J147" t="s">
        <v>5071</v>
      </c>
      <c r="K147" t="s">
        <v>5072</v>
      </c>
      <c r="L147" t="s">
        <v>5073</v>
      </c>
      <c r="M147" t="s">
        <v>5074</v>
      </c>
    </row>
    <row r="148" spans="1:13" x14ac:dyDescent="0.25">
      <c r="A148" t="s">
        <v>3958</v>
      </c>
      <c r="B148" t="s">
        <v>5075</v>
      </c>
      <c r="C148">
        <v>7</v>
      </c>
      <c r="D148" t="s">
        <v>4685</v>
      </c>
      <c r="E148" t="s">
        <v>5076</v>
      </c>
      <c r="F148" t="s">
        <v>5077</v>
      </c>
      <c r="G148">
        <v>514</v>
      </c>
      <c r="H148">
        <v>50</v>
      </c>
      <c r="I148">
        <v>9011</v>
      </c>
      <c r="J148" t="s">
        <v>4626</v>
      </c>
      <c r="K148" t="s">
        <v>5078</v>
      </c>
      <c r="L148" t="s">
        <v>5073</v>
      </c>
      <c r="M148" t="s">
        <v>5074</v>
      </c>
    </row>
    <row r="149" spans="1:13" x14ac:dyDescent="0.25">
      <c r="A149" t="s">
        <v>3958</v>
      </c>
      <c r="B149" t="s">
        <v>5079</v>
      </c>
      <c r="C149">
        <v>15</v>
      </c>
      <c r="D149" t="s">
        <v>4288</v>
      </c>
      <c r="E149" t="s">
        <v>5080</v>
      </c>
      <c r="F149" t="s">
        <v>5081</v>
      </c>
      <c r="G149">
        <v>514</v>
      </c>
      <c r="H149">
        <v>157</v>
      </c>
      <c r="I149">
        <v>9011</v>
      </c>
      <c r="J149" t="s">
        <v>5082</v>
      </c>
      <c r="K149" t="s">
        <v>5083</v>
      </c>
      <c r="L149" t="s">
        <v>5073</v>
      </c>
      <c r="M149" t="s">
        <v>5074</v>
      </c>
    </row>
    <row r="150" spans="1:13" x14ac:dyDescent="0.25">
      <c r="A150" t="s">
        <v>3958</v>
      </c>
      <c r="B150" t="s">
        <v>4035</v>
      </c>
      <c r="C150">
        <v>36</v>
      </c>
      <c r="D150" t="s">
        <v>4252</v>
      </c>
      <c r="E150" t="s">
        <v>5084</v>
      </c>
      <c r="F150" t="s">
        <v>5085</v>
      </c>
      <c r="G150">
        <v>514</v>
      </c>
      <c r="H150">
        <v>471</v>
      </c>
      <c r="I150">
        <v>9011</v>
      </c>
      <c r="J150" t="s">
        <v>5086</v>
      </c>
      <c r="K150" t="s">
        <v>5087</v>
      </c>
      <c r="L150" t="s">
        <v>5073</v>
      </c>
      <c r="M150" t="s">
        <v>5074</v>
      </c>
    </row>
    <row r="151" spans="1:13" x14ac:dyDescent="0.25">
      <c r="A151" t="s">
        <v>3958</v>
      </c>
      <c r="B151" t="s">
        <v>4124</v>
      </c>
      <c r="C151">
        <v>8</v>
      </c>
      <c r="D151" t="s">
        <v>4894</v>
      </c>
      <c r="E151" t="s">
        <v>5088</v>
      </c>
      <c r="F151" t="s">
        <v>5089</v>
      </c>
      <c r="G151">
        <v>514</v>
      </c>
      <c r="H151">
        <v>63</v>
      </c>
      <c r="I151">
        <v>9011</v>
      </c>
      <c r="J151" t="s">
        <v>5090</v>
      </c>
      <c r="K151" t="s">
        <v>5091</v>
      </c>
      <c r="L151" t="s">
        <v>5092</v>
      </c>
      <c r="M151" t="s">
        <v>5093</v>
      </c>
    </row>
    <row r="152" spans="1:13" x14ac:dyDescent="0.25">
      <c r="A152" t="s">
        <v>3958</v>
      </c>
      <c r="B152" t="s">
        <v>5094</v>
      </c>
      <c r="C152">
        <v>9</v>
      </c>
      <c r="D152" t="s">
        <v>4831</v>
      </c>
      <c r="E152" t="s">
        <v>5095</v>
      </c>
      <c r="F152" t="s">
        <v>5096</v>
      </c>
      <c r="G152">
        <v>514</v>
      </c>
      <c r="H152">
        <v>76</v>
      </c>
      <c r="I152">
        <v>9011</v>
      </c>
      <c r="J152" t="s">
        <v>5097</v>
      </c>
      <c r="K152" t="s">
        <v>5098</v>
      </c>
      <c r="L152" t="s">
        <v>5099</v>
      </c>
      <c r="M152" t="s">
        <v>5100</v>
      </c>
    </row>
    <row r="153" spans="1:13" x14ac:dyDescent="0.25">
      <c r="A153" t="s">
        <v>3958</v>
      </c>
      <c r="B153" t="s">
        <v>5101</v>
      </c>
      <c r="C153">
        <v>7</v>
      </c>
      <c r="D153" t="s">
        <v>4685</v>
      </c>
      <c r="E153" t="s">
        <v>5102</v>
      </c>
      <c r="F153" t="s">
        <v>5103</v>
      </c>
      <c r="G153">
        <v>514</v>
      </c>
      <c r="H153">
        <v>52</v>
      </c>
      <c r="I153">
        <v>9011</v>
      </c>
      <c r="J153" t="s">
        <v>5104</v>
      </c>
      <c r="K153" t="s">
        <v>5105</v>
      </c>
      <c r="L153" t="s">
        <v>5106</v>
      </c>
      <c r="M153" t="s">
        <v>5107</v>
      </c>
    </row>
    <row r="154" spans="1:13" x14ac:dyDescent="0.25">
      <c r="A154" t="s">
        <v>3958</v>
      </c>
      <c r="B154" t="s">
        <v>5108</v>
      </c>
      <c r="C154">
        <v>14</v>
      </c>
      <c r="D154" t="s">
        <v>4149</v>
      </c>
      <c r="E154" t="s">
        <v>5109</v>
      </c>
      <c r="F154" t="s">
        <v>5110</v>
      </c>
      <c r="G154">
        <v>514</v>
      </c>
      <c r="H154">
        <v>148</v>
      </c>
      <c r="I154">
        <v>9011</v>
      </c>
      <c r="J154" t="s">
        <v>5111</v>
      </c>
      <c r="K154" t="s">
        <v>5112</v>
      </c>
      <c r="L154" t="s">
        <v>5113</v>
      </c>
      <c r="M154" t="s">
        <v>5114</v>
      </c>
    </row>
    <row r="155" spans="1:13" x14ac:dyDescent="0.25">
      <c r="A155" t="s">
        <v>3958</v>
      </c>
      <c r="B155" t="s">
        <v>5115</v>
      </c>
      <c r="C155">
        <v>6</v>
      </c>
      <c r="D155" t="s">
        <v>4853</v>
      </c>
      <c r="E155" t="s">
        <v>5116</v>
      </c>
      <c r="F155" t="s">
        <v>5117</v>
      </c>
      <c r="G155">
        <v>514</v>
      </c>
      <c r="H155">
        <v>41</v>
      </c>
      <c r="I155">
        <v>9011</v>
      </c>
      <c r="J155" t="s">
        <v>5118</v>
      </c>
      <c r="K155" t="s">
        <v>5119</v>
      </c>
      <c r="L155" t="s">
        <v>5120</v>
      </c>
      <c r="M155" t="s">
        <v>5121</v>
      </c>
    </row>
    <row r="156" spans="1:13" x14ac:dyDescent="0.25">
      <c r="A156" t="s">
        <v>3958</v>
      </c>
      <c r="B156" t="s">
        <v>5122</v>
      </c>
      <c r="C156">
        <v>10</v>
      </c>
      <c r="D156" t="s">
        <v>4631</v>
      </c>
      <c r="E156" t="s">
        <v>5123</v>
      </c>
      <c r="F156" t="s">
        <v>5124</v>
      </c>
      <c r="G156">
        <v>514</v>
      </c>
      <c r="H156">
        <v>93</v>
      </c>
      <c r="I156">
        <v>9011</v>
      </c>
      <c r="J156" t="s">
        <v>5125</v>
      </c>
      <c r="K156" t="s">
        <v>5126</v>
      </c>
      <c r="L156" t="s">
        <v>5120</v>
      </c>
      <c r="M156" t="s">
        <v>5121</v>
      </c>
    </row>
    <row r="157" spans="1:13" x14ac:dyDescent="0.25">
      <c r="A157" t="s">
        <v>3958</v>
      </c>
      <c r="B157" t="s">
        <v>4027</v>
      </c>
      <c r="C157">
        <v>28</v>
      </c>
      <c r="D157" t="s">
        <v>4245</v>
      </c>
      <c r="E157" t="s">
        <v>5127</v>
      </c>
      <c r="F157" t="s">
        <v>5128</v>
      </c>
      <c r="G157">
        <v>514</v>
      </c>
      <c r="H157">
        <v>359</v>
      </c>
      <c r="I157">
        <v>9011</v>
      </c>
      <c r="J157" t="s">
        <v>5129</v>
      </c>
      <c r="K157" t="s">
        <v>5130</v>
      </c>
      <c r="L157" t="s">
        <v>5131</v>
      </c>
      <c r="M157" t="s">
        <v>5132</v>
      </c>
    </row>
    <row r="158" spans="1:13" x14ac:dyDescent="0.25">
      <c r="A158" t="s">
        <v>3958</v>
      </c>
      <c r="B158" t="s">
        <v>5133</v>
      </c>
      <c r="C158">
        <v>7</v>
      </c>
      <c r="D158" t="s">
        <v>4685</v>
      </c>
      <c r="E158" t="s">
        <v>5134</v>
      </c>
      <c r="F158" t="s">
        <v>5135</v>
      </c>
      <c r="G158">
        <v>514</v>
      </c>
      <c r="H158">
        <v>54</v>
      </c>
      <c r="I158">
        <v>9011</v>
      </c>
      <c r="J158" t="s">
        <v>4373</v>
      </c>
      <c r="K158" t="s">
        <v>5136</v>
      </c>
      <c r="L158" t="s">
        <v>5131</v>
      </c>
      <c r="M158" t="s">
        <v>5132</v>
      </c>
    </row>
    <row r="159" spans="1:13" x14ac:dyDescent="0.25">
      <c r="A159" t="s">
        <v>3958</v>
      </c>
      <c r="B159" t="s">
        <v>5137</v>
      </c>
      <c r="C159">
        <v>14</v>
      </c>
      <c r="D159" t="s">
        <v>4149</v>
      </c>
      <c r="E159" t="s">
        <v>5138</v>
      </c>
      <c r="F159" t="s">
        <v>5139</v>
      </c>
      <c r="G159">
        <v>514</v>
      </c>
      <c r="H159">
        <v>150</v>
      </c>
      <c r="I159">
        <v>9011</v>
      </c>
      <c r="J159" t="s">
        <v>5140</v>
      </c>
      <c r="K159" t="s">
        <v>5141</v>
      </c>
      <c r="L159" t="s">
        <v>5131</v>
      </c>
      <c r="M159" t="s">
        <v>5132</v>
      </c>
    </row>
    <row r="160" spans="1:13" x14ac:dyDescent="0.25">
      <c r="A160" t="s">
        <v>3958</v>
      </c>
      <c r="B160" t="s">
        <v>5142</v>
      </c>
      <c r="C160">
        <v>8</v>
      </c>
      <c r="D160" t="s">
        <v>4894</v>
      </c>
      <c r="E160" t="s">
        <v>5143</v>
      </c>
      <c r="F160" t="s">
        <v>5144</v>
      </c>
      <c r="G160">
        <v>514</v>
      </c>
      <c r="H160">
        <v>67</v>
      </c>
      <c r="I160">
        <v>9011</v>
      </c>
      <c r="J160" t="s">
        <v>5145</v>
      </c>
      <c r="K160" t="s">
        <v>5146</v>
      </c>
      <c r="L160" t="s">
        <v>5131</v>
      </c>
      <c r="M160" t="s">
        <v>5132</v>
      </c>
    </row>
    <row r="161" spans="1:13" x14ac:dyDescent="0.25">
      <c r="A161" t="s">
        <v>3958</v>
      </c>
      <c r="B161" t="s">
        <v>5147</v>
      </c>
      <c r="C161">
        <v>10</v>
      </c>
      <c r="D161" t="s">
        <v>4631</v>
      </c>
      <c r="E161" t="s">
        <v>5148</v>
      </c>
      <c r="F161" t="s">
        <v>5149</v>
      </c>
      <c r="G161">
        <v>514</v>
      </c>
      <c r="H161">
        <v>95</v>
      </c>
      <c r="I161">
        <v>9011</v>
      </c>
      <c r="J161" t="s">
        <v>5150</v>
      </c>
      <c r="K161" t="s">
        <v>5151</v>
      </c>
      <c r="L161" t="s">
        <v>5152</v>
      </c>
      <c r="M161" t="s">
        <v>5153</v>
      </c>
    </row>
    <row r="162" spans="1:13" x14ac:dyDescent="0.25">
      <c r="A162" t="s">
        <v>3958</v>
      </c>
      <c r="B162" t="s">
        <v>5154</v>
      </c>
      <c r="C162">
        <v>5</v>
      </c>
      <c r="D162" t="s">
        <v>4920</v>
      </c>
      <c r="E162" t="s">
        <v>5155</v>
      </c>
      <c r="F162" t="s">
        <v>5156</v>
      </c>
      <c r="G162">
        <v>514</v>
      </c>
      <c r="H162">
        <v>31</v>
      </c>
      <c r="I162">
        <v>9011</v>
      </c>
      <c r="J162" t="s">
        <v>4366</v>
      </c>
      <c r="K162" t="s">
        <v>5157</v>
      </c>
      <c r="L162" t="s">
        <v>5158</v>
      </c>
      <c r="M162" t="s">
        <v>5159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9A86-1A84-46EE-959B-A3DD95ADD76F}">
  <dimension ref="A1:G77"/>
  <sheetViews>
    <sheetView tabSelected="1" workbookViewId="0">
      <selection activeCell="I36" sqref="I36"/>
    </sheetView>
  </sheetViews>
  <sheetFormatPr defaultRowHeight="15" x14ac:dyDescent="0.25"/>
  <cols>
    <col min="2" max="2" width="77.28515625" bestFit="1" customWidth="1"/>
  </cols>
  <sheetData>
    <row r="1" spans="1:7" x14ac:dyDescent="0.25">
      <c r="A1" s="9" t="s">
        <v>5160</v>
      </c>
      <c r="B1" s="9" t="s">
        <v>3408</v>
      </c>
      <c r="C1" s="9" t="s">
        <v>5161</v>
      </c>
      <c r="D1" s="9" t="s">
        <v>5162</v>
      </c>
      <c r="E1" s="9" t="s">
        <v>5163</v>
      </c>
      <c r="F1" s="9" t="s">
        <v>5164</v>
      </c>
      <c r="G1" s="9"/>
    </row>
    <row r="2" spans="1:7" x14ac:dyDescent="0.25">
      <c r="A2" t="s">
        <v>5165</v>
      </c>
      <c r="B2" t="s">
        <v>5166</v>
      </c>
      <c r="C2">
        <v>26</v>
      </c>
      <c r="D2" t="s">
        <v>5167</v>
      </c>
      <c r="E2" t="s">
        <v>5168</v>
      </c>
      <c r="F2" t="s">
        <v>5169</v>
      </c>
    </row>
    <row r="3" spans="1:7" x14ac:dyDescent="0.25">
      <c r="A3" t="s">
        <v>5170</v>
      </c>
      <c r="B3" t="s">
        <v>5171</v>
      </c>
      <c r="C3">
        <v>25</v>
      </c>
      <c r="D3" t="s">
        <v>5172</v>
      </c>
      <c r="E3" t="s">
        <v>5173</v>
      </c>
      <c r="F3" t="s">
        <v>5174</v>
      </c>
    </row>
    <row r="4" spans="1:7" x14ac:dyDescent="0.25">
      <c r="A4" t="s">
        <v>5175</v>
      </c>
      <c r="B4" t="s">
        <v>5176</v>
      </c>
      <c r="C4">
        <v>9</v>
      </c>
      <c r="D4" t="s">
        <v>5177</v>
      </c>
      <c r="E4" t="s">
        <v>5178</v>
      </c>
      <c r="F4" t="s">
        <v>5179</v>
      </c>
    </row>
    <row r="5" spans="1:7" x14ac:dyDescent="0.25">
      <c r="A5" t="s">
        <v>5180</v>
      </c>
      <c r="B5" t="s">
        <v>5181</v>
      </c>
      <c r="C5">
        <v>8</v>
      </c>
      <c r="D5" t="s">
        <v>5182</v>
      </c>
      <c r="E5" t="s">
        <v>5183</v>
      </c>
      <c r="F5" t="s">
        <v>5184</v>
      </c>
    </row>
    <row r="6" spans="1:7" x14ac:dyDescent="0.25">
      <c r="A6" t="s">
        <v>5185</v>
      </c>
      <c r="B6" t="s">
        <v>5186</v>
      </c>
      <c r="C6">
        <v>5</v>
      </c>
      <c r="D6" t="s">
        <v>5187</v>
      </c>
      <c r="E6" t="s">
        <v>5188</v>
      </c>
      <c r="F6" t="s">
        <v>5189</v>
      </c>
    </row>
    <row r="7" spans="1:7" x14ac:dyDescent="0.25">
      <c r="A7" t="s">
        <v>5190</v>
      </c>
      <c r="B7" t="s">
        <v>5191</v>
      </c>
      <c r="C7">
        <v>9</v>
      </c>
      <c r="D7" t="s">
        <v>5192</v>
      </c>
      <c r="E7" t="s">
        <v>5193</v>
      </c>
      <c r="F7" t="s">
        <v>5194</v>
      </c>
    </row>
    <row r="8" spans="1:7" x14ac:dyDescent="0.25">
      <c r="A8" t="s">
        <v>5195</v>
      </c>
      <c r="B8" t="s">
        <v>5196</v>
      </c>
      <c r="C8">
        <v>5</v>
      </c>
      <c r="D8" t="s">
        <v>5197</v>
      </c>
      <c r="E8" t="s">
        <v>5198</v>
      </c>
      <c r="F8" t="s">
        <v>5199</v>
      </c>
    </row>
    <row r="9" spans="1:7" x14ac:dyDescent="0.25">
      <c r="A9" t="s">
        <v>5200</v>
      </c>
      <c r="B9" t="s">
        <v>5201</v>
      </c>
      <c r="C9">
        <v>4</v>
      </c>
      <c r="D9" t="s">
        <v>5202</v>
      </c>
      <c r="E9" t="s">
        <v>5198</v>
      </c>
      <c r="F9" t="s">
        <v>5203</v>
      </c>
    </row>
    <row r="10" spans="1:7" x14ac:dyDescent="0.25">
      <c r="A10" t="s">
        <v>5204</v>
      </c>
      <c r="B10" t="s">
        <v>5205</v>
      </c>
      <c r="C10">
        <v>11</v>
      </c>
      <c r="D10" t="s">
        <v>5206</v>
      </c>
      <c r="E10" t="s">
        <v>5198</v>
      </c>
      <c r="F10" t="s">
        <v>5207</v>
      </c>
    </row>
    <row r="11" spans="1:7" x14ac:dyDescent="0.25">
      <c r="A11" t="s">
        <v>5208</v>
      </c>
      <c r="B11" t="s">
        <v>5209</v>
      </c>
      <c r="C11">
        <v>5</v>
      </c>
      <c r="D11" t="s">
        <v>5210</v>
      </c>
      <c r="E11" t="s">
        <v>5211</v>
      </c>
      <c r="F11" t="s">
        <v>5212</v>
      </c>
    </row>
    <row r="12" spans="1:7" x14ac:dyDescent="0.25">
      <c r="A12" t="s">
        <v>5213</v>
      </c>
      <c r="B12" t="s">
        <v>5214</v>
      </c>
      <c r="C12">
        <v>4</v>
      </c>
      <c r="D12" t="s">
        <v>5215</v>
      </c>
      <c r="E12" t="s">
        <v>5216</v>
      </c>
      <c r="F12" t="s">
        <v>5217</v>
      </c>
    </row>
    <row r="13" spans="1:7" x14ac:dyDescent="0.25">
      <c r="A13" t="s">
        <v>5218</v>
      </c>
      <c r="B13" t="s">
        <v>5219</v>
      </c>
      <c r="C13">
        <v>21</v>
      </c>
      <c r="D13" t="s">
        <v>5220</v>
      </c>
      <c r="E13" t="s">
        <v>5221</v>
      </c>
      <c r="F13" t="s">
        <v>5222</v>
      </c>
    </row>
    <row r="14" spans="1:7" x14ac:dyDescent="0.25">
      <c r="A14" t="s">
        <v>5223</v>
      </c>
      <c r="B14" t="s">
        <v>5224</v>
      </c>
      <c r="C14">
        <v>4</v>
      </c>
      <c r="D14" t="s">
        <v>5225</v>
      </c>
      <c r="E14" t="s">
        <v>5226</v>
      </c>
      <c r="F14" t="s">
        <v>5227</v>
      </c>
    </row>
    <row r="15" spans="1:7" x14ac:dyDescent="0.25">
      <c r="A15" t="s">
        <v>5228</v>
      </c>
      <c r="B15" t="s">
        <v>5229</v>
      </c>
      <c r="C15">
        <v>3</v>
      </c>
      <c r="D15" t="s">
        <v>5230</v>
      </c>
      <c r="E15" t="s">
        <v>5231</v>
      </c>
      <c r="F15" t="s">
        <v>5232</v>
      </c>
    </row>
    <row r="16" spans="1:7" x14ac:dyDescent="0.25">
      <c r="A16" t="s">
        <v>5233</v>
      </c>
      <c r="B16" t="s">
        <v>5234</v>
      </c>
      <c r="C16">
        <v>4</v>
      </c>
      <c r="D16" t="s">
        <v>5235</v>
      </c>
      <c r="E16" t="s">
        <v>5236</v>
      </c>
      <c r="F16" t="s">
        <v>5237</v>
      </c>
    </row>
    <row r="17" spans="1:6" x14ac:dyDescent="0.25">
      <c r="A17" t="s">
        <v>5238</v>
      </c>
      <c r="B17" t="s">
        <v>5239</v>
      </c>
      <c r="C17">
        <v>3</v>
      </c>
      <c r="D17" t="s">
        <v>5240</v>
      </c>
      <c r="E17" t="s">
        <v>5241</v>
      </c>
      <c r="F17" t="s">
        <v>5242</v>
      </c>
    </row>
    <row r="18" spans="1:6" x14ac:dyDescent="0.25">
      <c r="A18" t="s">
        <v>5243</v>
      </c>
      <c r="B18" t="s">
        <v>5244</v>
      </c>
      <c r="C18">
        <v>5</v>
      </c>
      <c r="D18" t="s">
        <v>5245</v>
      </c>
      <c r="E18" t="s">
        <v>5241</v>
      </c>
      <c r="F18" t="s">
        <v>5246</v>
      </c>
    </row>
    <row r="19" spans="1:6" x14ac:dyDescent="0.25">
      <c r="A19" t="s">
        <v>5247</v>
      </c>
      <c r="B19" t="s">
        <v>5248</v>
      </c>
      <c r="C19">
        <v>3</v>
      </c>
      <c r="D19" t="s">
        <v>5249</v>
      </c>
      <c r="E19" t="s">
        <v>5250</v>
      </c>
      <c r="F19" t="s">
        <v>5251</v>
      </c>
    </row>
    <row r="20" spans="1:6" x14ac:dyDescent="0.25">
      <c r="A20" t="s">
        <v>5252</v>
      </c>
      <c r="B20" t="s">
        <v>5253</v>
      </c>
      <c r="C20">
        <v>3</v>
      </c>
      <c r="D20" t="s">
        <v>5249</v>
      </c>
      <c r="E20" t="s">
        <v>5250</v>
      </c>
      <c r="F20" t="s">
        <v>5254</v>
      </c>
    </row>
    <row r="21" spans="1:6" x14ac:dyDescent="0.25">
      <c r="A21" t="s">
        <v>5255</v>
      </c>
      <c r="B21" t="s">
        <v>5256</v>
      </c>
      <c r="C21">
        <v>2</v>
      </c>
      <c r="D21" t="s">
        <v>5257</v>
      </c>
      <c r="E21" t="s">
        <v>5250</v>
      </c>
      <c r="F21" t="s">
        <v>5258</v>
      </c>
    </row>
    <row r="22" spans="1:6" x14ac:dyDescent="0.25">
      <c r="A22" t="s">
        <v>5259</v>
      </c>
      <c r="B22" t="s">
        <v>5260</v>
      </c>
      <c r="C22">
        <v>2</v>
      </c>
      <c r="D22" t="s">
        <v>5257</v>
      </c>
      <c r="E22" t="s">
        <v>5250</v>
      </c>
      <c r="F22" t="s">
        <v>5261</v>
      </c>
    </row>
    <row r="23" spans="1:6" x14ac:dyDescent="0.25">
      <c r="A23" t="s">
        <v>5262</v>
      </c>
      <c r="B23" t="s">
        <v>5263</v>
      </c>
      <c r="C23">
        <v>8</v>
      </c>
      <c r="D23" t="s">
        <v>5264</v>
      </c>
      <c r="E23" t="s">
        <v>5265</v>
      </c>
      <c r="F23" t="s">
        <v>5266</v>
      </c>
    </row>
    <row r="24" spans="1:6" x14ac:dyDescent="0.25">
      <c r="A24" t="s">
        <v>5267</v>
      </c>
      <c r="B24" t="s">
        <v>5268</v>
      </c>
      <c r="C24">
        <v>3</v>
      </c>
      <c r="D24" t="s">
        <v>5269</v>
      </c>
      <c r="E24" t="s">
        <v>5265</v>
      </c>
      <c r="F24" t="s">
        <v>5270</v>
      </c>
    </row>
    <row r="25" spans="1:6" x14ac:dyDescent="0.25">
      <c r="A25" t="s">
        <v>5271</v>
      </c>
      <c r="B25" t="s">
        <v>5272</v>
      </c>
      <c r="C25">
        <v>3</v>
      </c>
      <c r="D25" t="s">
        <v>5269</v>
      </c>
      <c r="E25" t="s">
        <v>5265</v>
      </c>
      <c r="F25" t="s">
        <v>5273</v>
      </c>
    </row>
    <row r="26" spans="1:6" x14ac:dyDescent="0.25">
      <c r="A26" t="s">
        <v>5274</v>
      </c>
      <c r="B26" t="s">
        <v>5275</v>
      </c>
      <c r="C26">
        <v>2</v>
      </c>
      <c r="D26" t="s">
        <v>5276</v>
      </c>
      <c r="E26" t="s">
        <v>5277</v>
      </c>
      <c r="F26" t="s">
        <v>5278</v>
      </c>
    </row>
    <row r="27" spans="1:6" x14ac:dyDescent="0.25">
      <c r="A27" t="s">
        <v>5279</v>
      </c>
      <c r="B27" t="s">
        <v>5280</v>
      </c>
      <c r="C27">
        <v>3</v>
      </c>
      <c r="D27" t="s">
        <v>5281</v>
      </c>
      <c r="E27" t="s">
        <v>5282</v>
      </c>
      <c r="F27" t="s">
        <v>5283</v>
      </c>
    </row>
    <row r="28" spans="1:6" x14ac:dyDescent="0.25">
      <c r="A28" t="s">
        <v>5284</v>
      </c>
      <c r="B28" t="s">
        <v>5285</v>
      </c>
      <c r="C28">
        <v>2</v>
      </c>
      <c r="D28" t="s">
        <v>5286</v>
      </c>
      <c r="E28" t="s">
        <v>5282</v>
      </c>
      <c r="F28" t="s">
        <v>5287</v>
      </c>
    </row>
    <row r="29" spans="1:6" x14ac:dyDescent="0.25">
      <c r="A29" t="s">
        <v>5288</v>
      </c>
      <c r="B29" t="s">
        <v>5289</v>
      </c>
      <c r="C29">
        <v>3</v>
      </c>
      <c r="D29" t="s">
        <v>5290</v>
      </c>
      <c r="E29" t="s">
        <v>5291</v>
      </c>
      <c r="F29" t="s">
        <v>5292</v>
      </c>
    </row>
    <row r="30" spans="1:6" x14ac:dyDescent="0.25">
      <c r="A30" t="s">
        <v>5293</v>
      </c>
      <c r="B30" t="s">
        <v>5294</v>
      </c>
      <c r="C30">
        <v>2</v>
      </c>
      <c r="D30" t="s">
        <v>5295</v>
      </c>
      <c r="E30" t="s">
        <v>5296</v>
      </c>
      <c r="F30" t="s">
        <v>5297</v>
      </c>
    </row>
    <row r="31" spans="1:6" x14ac:dyDescent="0.25">
      <c r="A31" t="s">
        <v>5298</v>
      </c>
      <c r="B31" t="s">
        <v>5299</v>
      </c>
      <c r="C31">
        <v>4</v>
      </c>
      <c r="D31" t="s">
        <v>5300</v>
      </c>
      <c r="E31" t="s">
        <v>5301</v>
      </c>
      <c r="F31" t="s">
        <v>5302</v>
      </c>
    </row>
    <row r="32" spans="1:6" x14ac:dyDescent="0.25">
      <c r="A32" t="s">
        <v>5303</v>
      </c>
      <c r="B32" t="s">
        <v>5304</v>
      </c>
      <c r="C32">
        <v>2</v>
      </c>
      <c r="D32" t="s">
        <v>5305</v>
      </c>
      <c r="E32" t="s">
        <v>5306</v>
      </c>
      <c r="F32" t="s">
        <v>5307</v>
      </c>
    </row>
    <row r="33" spans="1:6" x14ac:dyDescent="0.25">
      <c r="A33" t="s">
        <v>5308</v>
      </c>
      <c r="B33" t="s">
        <v>5309</v>
      </c>
      <c r="C33">
        <v>4</v>
      </c>
      <c r="D33" t="s">
        <v>5310</v>
      </c>
      <c r="E33" t="s">
        <v>5311</v>
      </c>
      <c r="F33" t="s">
        <v>5312</v>
      </c>
    </row>
    <row r="34" spans="1:6" x14ac:dyDescent="0.25">
      <c r="A34" t="s">
        <v>5313</v>
      </c>
      <c r="B34" t="s">
        <v>5314</v>
      </c>
      <c r="C34">
        <v>2</v>
      </c>
      <c r="D34" t="s">
        <v>5315</v>
      </c>
      <c r="E34" t="s">
        <v>5311</v>
      </c>
      <c r="F34" t="s">
        <v>5316</v>
      </c>
    </row>
    <row r="35" spans="1:6" x14ac:dyDescent="0.25">
      <c r="A35" t="s">
        <v>5317</v>
      </c>
      <c r="B35" t="s">
        <v>5318</v>
      </c>
      <c r="C35">
        <v>3</v>
      </c>
      <c r="D35" t="s">
        <v>5319</v>
      </c>
      <c r="E35" t="s">
        <v>5311</v>
      </c>
      <c r="F35" t="s">
        <v>5320</v>
      </c>
    </row>
    <row r="36" spans="1:6" x14ac:dyDescent="0.25">
      <c r="A36" t="s">
        <v>5321</v>
      </c>
      <c r="B36" t="s">
        <v>5322</v>
      </c>
      <c r="C36">
        <v>2</v>
      </c>
      <c r="D36" t="s">
        <v>5323</v>
      </c>
      <c r="E36" t="s">
        <v>5324</v>
      </c>
      <c r="F36" t="s">
        <v>5325</v>
      </c>
    </row>
    <row r="37" spans="1:6" x14ac:dyDescent="0.25">
      <c r="A37" t="s">
        <v>5326</v>
      </c>
      <c r="B37" t="s">
        <v>5327</v>
      </c>
      <c r="C37">
        <v>2</v>
      </c>
      <c r="D37" t="s">
        <v>5328</v>
      </c>
      <c r="E37" t="s">
        <v>5329</v>
      </c>
      <c r="F37" t="s">
        <v>5330</v>
      </c>
    </row>
    <row r="38" spans="1:6" x14ac:dyDescent="0.25">
      <c r="A38" t="s">
        <v>5331</v>
      </c>
      <c r="B38" t="s">
        <v>5332</v>
      </c>
      <c r="C38">
        <v>4</v>
      </c>
      <c r="D38" t="s">
        <v>5333</v>
      </c>
      <c r="E38" t="s">
        <v>5334</v>
      </c>
      <c r="F38" t="s">
        <v>5335</v>
      </c>
    </row>
    <row r="39" spans="1:6" x14ac:dyDescent="0.25">
      <c r="A39" t="s">
        <v>5336</v>
      </c>
      <c r="B39" t="s">
        <v>5337</v>
      </c>
      <c r="C39">
        <v>3</v>
      </c>
      <c r="D39" t="s">
        <v>5338</v>
      </c>
      <c r="E39" t="s">
        <v>5334</v>
      </c>
      <c r="F39" t="s">
        <v>5339</v>
      </c>
    </row>
    <row r="40" spans="1:6" x14ac:dyDescent="0.25">
      <c r="A40" t="s">
        <v>5340</v>
      </c>
      <c r="B40" t="s">
        <v>5341</v>
      </c>
      <c r="C40">
        <v>2</v>
      </c>
      <c r="D40" t="s">
        <v>5342</v>
      </c>
      <c r="E40" t="s">
        <v>5343</v>
      </c>
      <c r="F40" t="s">
        <v>5344</v>
      </c>
    </row>
    <row r="41" spans="1:6" x14ac:dyDescent="0.25">
      <c r="A41" t="s">
        <v>5345</v>
      </c>
      <c r="B41" t="s">
        <v>5346</v>
      </c>
      <c r="C41">
        <v>2</v>
      </c>
      <c r="D41" t="s">
        <v>5347</v>
      </c>
      <c r="E41" t="s">
        <v>5348</v>
      </c>
      <c r="F41" t="s">
        <v>5349</v>
      </c>
    </row>
    <row r="42" spans="1:6" x14ac:dyDescent="0.25">
      <c r="A42" t="s">
        <v>5350</v>
      </c>
      <c r="B42" t="s">
        <v>5351</v>
      </c>
      <c r="C42">
        <v>2</v>
      </c>
      <c r="D42" t="s">
        <v>5352</v>
      </c>
      <c r="E42" t="s">
        <v>5348</v>
      </c>
      <c r="F42" t="s">
        <v>5353</v>
      </c>
    </row>
    <row r="43" spans="1:6" x14ac:dyDescent="0.25">
      <c r="A43" t="s">
        <v>5354</v>
      </c>
      <c r="B43" t="s">
        <v>5355</v>
      </c>
      <c r="C43">
        <v>2</v>
      </c>
      <c r="D43" t="s">
        <v>5352</v>
      </c>
      <c r="E43" t="s">
        <v>5348</v>
      </c>
      <c r="F43" t="s">
        <v>5356</v>
      </c>
    </row>
    <row r="44" spans="1:6" x14ac:dyDescent="0.25">
      <c r="A44" t="s">
        <v>5357</v>
      </c>
      <c r="B44" t="s">
        <v>5358</v>
      </c>
      <c r="C44">
        <v>2</v>
      </c>
      <c r="D44" t="s">
        <v>5352</v>
      </c>
      <c r="E44" t="s">
        <v>5348</v>
      </c>
      <c r="F44" t="s">
        <v>5359</v>
      </c>
    </row>
    <row r="45" spans="1:6" x14ac:dyDescent="0.25">
      <c r="A45" t="s">
        <v>5360</v>
      </c>
      <c r="B45" t="s">
        <v>5361</v>
      </c>
      <c r="C45">
        <v>6</v>
      </c>
      <c r="D45" t="s">
        <v>5362</v>
      </c>
      <c r="E45" t="s">
        <v>5348</v>
      </c>
      <c r="F45" t="s">
        <v>5363</v>
      </c>
    </row>
    <row r="46" spans="1:6" x14ac:dyDescent="0.25">
      <c r="A46" t="s">
        <v>5364</v>
      </c>
      <c r="B46" t="s">
        <v>5365</v>
      </c>
      <c r="C46">
        <v>2</v>
      </c>
      <c r="D46" t="s">
        <v>5366</v>
      </c>
      <c r="E46" t="s">
        <v>5367</v>
      </c>
      <c r="F46" t="s">
        <v>5368</v>
      </c>
    </row>
    <row r="47" spans="1:6" x14ac:dyDescent="0.25">
      <c r="A47" t="s">
        <v>5369</v>
      </c>
      <c r="B47" t="s">
        <v>5370</v>
      </c>
      <c r="C47">
        <v>2</v>
      </c>
      <c r="D47" t="s">
        <v>5371</v>
      </c>
      <c r="E47" t="s">
        <v>5372</v>
      </c>
      <c r="F47" t="s">
        <v>5373</v>
      </c>
    </row>
    <row r="48" spans="1:6" x14ac:dyDescent="0.25">
      <c r="A48" t="s">
        <v>5374</v>
      </c>
      <c r="B48" t="s">
        <v>5375</v>
      </c>
      <c r="C48">
        <v>4</v>
      </c>
      <c r="D48" t="s">
        <v>5376</v>
      </c>
      <c r="E48" t="s">
        <v>5377</v>
      </c>
      <c r="F48" t="s">
        <v>5378</v>
      </c>
    </row>
    <row r="49" spans="1:6" x14ac:dyDescent="0.25">
      <c r="A49" t="s">
        <v>5379</v>
      </c>
      <c r="B49" t="s">
        <v>5380</v>
      </c>
      <c r="C49">
        <v>2</v>
      </c>
      <c r="D49" t="s">
        <v>5381</v>
      </c>
      <c r="E49" t="s">
        <v>5377</v>
      </c>
      <c r="F49" t="s">
        <v>5382</v>
      </c>
    </row>
    <row r="50" spans="1:6" x14ac:dyDescent="0.25">
      <c r="A50" t="s">
        <v>5383</v>
      </c>
      <c r="B50" t="s">
        <v>5384</v>
      </c>
      <c r="C50">
        <v>2</v>
      </c>
      <c r="D50" t="s">
        <v>5381</v>
      </c>
      <c r="E50" t="s">
        <v>5377</v>
      </c>
      <c r="F50" t="s">
        <v>5385</v>
      </c>
    </row>
    <row r="51" spans="1:6" x14ac:dyDescent="0.25">
      <c r="A51" t="s">
        <v>5386</v>
      </c>
      <c r="B51" t="s">
        <v>5387</v>
      </c>
      <c r="C51">
        <v>5</v>
      </c>
      <c r="D51" t="s">
        <v>5388</v>
      </c>
      <c r="E51" t="s">
        <v>5377</v>
      </c>
      <c r="F51" t="s">
        <v>5389</v>
      </c>
    </row>
    <row r="52" spans="1:6" x14ac:dyDescent="0.25">
      <c r="A52" t="s">
        <v>5390</v>
      </c>
      <c r="B52" t="s">
        <v>5391</v>
      </c>
      <c r="C52">
        <v>3</v>
      </c>
      <c r="D52" t="s">
        <v>5392</v>
      </c>
      <c r="E52" t="s">
        <v>5377</v>
      </c>
      <c r="F52" t="s">
        <v>5393</v>
      </c>
    </row>
    <row r="53" spans="1:6" x14ac:dyDescent="0.25">
      <c r="A53" t="s">
        <v>5394</v>
      </c>
      <c r="B53" t="s">
        <v>5395</v>
      </c>
      <c r="C53">
        <v>2</v>
      </c>
      <c r="D53" t="s">
        <v>5396</v>
      </c>
      <c r="E53" t="s">
        <v>5397</v>
      </c>
      <c r="F53" t="s">
        <v>5398</v>
      </c>
    </row>
    <row r="54" spans="1:6" x14ac:dyDescent="0.25">
      <c r="A54" t="s">
        <v>5399</v>
      </c>
      <c r="B54" t="s">
        <v>5400</v>
      </c>
      <c r="C54">
        <v>2</v>
      </c>
      <c r="D54" t="s">
        <v>5329</v>
      </c>
      <c r="E54" t="s">
        <v>5401</v>
      </c>
      <c r="F54" t="s">
        <v>5402</v>
      </c>
    </row>
    <row r="55" spans="1:6" x14ac:dyDescent="0.25">
      <c r="A55" t="s">
        <v>5403</v>
      </c>
      <c r="B55" t="s">
        <v>5404</v>
      </c>
      <c r="C55">
        <v>2</v>
      </c>
      <c r="D55" t="s">
        <v>5405</v>
      </c>
      <c r="E55" t="s">
        <v>5406</v>
      </c>
      <c r="F55" t="s">
        <v>5407</v>
      </c>
    </row>
    <row r="56" spans="1:6" x14ac:dyDescent="0.25">
      <c r="A56" t="s">
        <v>5408</v>
      </c>
      <c r="B56" t="s">
        <v>5409</v>
      </c>
      <c r="C56">
        <v>4</v>
      </c>
      <c r="D56" t="s">
        <v>5410</v>
      </c>
      <c r="E56" t="s">
        <v>5411</v>
      </c>
      <c r="F56" t="s">
        <v>5412</v>
      </c>
    </row>
    <row r="57" spans="1:6" x14ac:dyDescent="0.25">
      <c r="A57" t="s">
        <v>5413</v>
      </c>
      <c r="B57" t="s">
        <v>5414</v>
      </c>
      <c r="C57">
        <v>3</v>
      </c>
      <c r="D57" t="s">
        <v>5415</v>
      </c>
      <c r="E57" t="s">
        <v>5416</v>
      </c>
      <c r="F57" t="s">
        <v>5417</v>
      </c>
    </row>
    <row r="58" spans="1:6" x14ac:dyDescent="0.25">
      <c r="A58" t="s">
        <v>5418</v>
      </c>
      <c r="B58" t="s">
        <v>5419</v>
      </c>
      <c r="C58">
        <v>2</v>
      </c>
      <c r="D58" t="s">
        <v>5420</v>
      </c>
      <c r="E58" t="s">
        <v>5421</v>
      </c>
      <c r="F58" t="s">
        <v>5422</v>
      </c>
    </row>
    <row r="59" spans="1:6" x14ac:dyDescent="0.25">
      <c r="A59" t="s">
        <v>5423</v>
      </c>
      <c r="B59" t="s">
        <v>5424</v>
      </c>
      <c r="C59">
        <v>2</v>
      </c>
      <c r="D59" t="s">
        <v>5425</v>
      </c>
      <c r="E59" t="s">
        <v>5426</v>
      </c>
      <c r="F59" t="s">
        <v>5427</v>
      </c>
    </row>
    <row r="60" spans="1:6" x14ac:dyDescent="0.25">
      <c r="A60" t="s">
        <v>5428</v>
      </c>
      <c r="B60" t="s">
        <v>5429</v>
      </c>
      <c r="C60">
        <v>2</v>
      </c>
      <c r="D60" t="s">
        <v>5430</v>
      </c>
      <c r="E60" t="s">
        <v>5431</v>
      </c>
      <c r="F60" t="s">
        <v>5432</v>
      </c>
    </row>
    <row r="61" spans="1:6" x14ac:dyDescent="0.25">
      <c r="A61" t="s">
        <v>5433</v>
      </c>
      <c r="B61" t="s">
        <v>5434</v>
      </c>
      <c r="C61">
        <v>3</v>
      </c>
      <c r="D61" t="s">
        <v>5435</v>
      </c>
      <c r="E61" t="s">
        <v>5436</v>
      </c>
      <c r="F61" t="s">
        <v>5437</v>
      </c>
    </row>
    <row r="62" spans="1:6" x14ac:dyDescent="0.25">
      <c r="A62" t="s">
        <v>5438</v>
      </c>
      <c r="B62" t="s">
        <v>5439</v>
      </c>
      <c r="C62">
        <v>4</v>
      </c>
      <c r="D62" t="s">
        <v>5416</v>
      </c>
      <c r="E62" t="s">
        <v>5440</v>
      </c>
      <c r="F62" t="s">
        <v>5441</v>
      </c>
    </row>
    <row r="63" spans="1:6" x14ac:dyDescent="0.25">
      <c r="A63" t="s">
        <v>5442</v>
      </c>
      <c r="B63" t="s">
        <v>5443</v>
      </c>
      <c r="C63">
        <v>2</v>
      </c>
      <c r="D63" t="s">
        <v>5444</v>
      </c>
      <c r="E63" t="s">
        <v>5445</v>
      </c>
      <c r="F63" t="s">
        <v>5446</v>
      </c>
    </row>
    <row r="64" spans="1:6" x14ac:dyDescent="0.25">
      <c r="A64" t="s">
        <v>5447</v>
      </c>
      <c r="B64" t="s">
        <v>5448</v>
      </c>
      <c r="C64">
        <v>2</v>
      </c>
      <c r="D64" t="s">
        <v>5444</v>
      </c>
      <c r="E64" t="s">
        <v>5445</v>
      </c>
      <c r="F64" t="s">
        <v>5449</v>
      </c>
    </row>
    <row r="65" spans="1:6" x14ac:dyDescent="0.25">
      <c r="A65" t="s">
        <v>5450</v>
      </c>
      <c r="B65" t="s">
        <v>5451</v>
      </c>
      <c r="C65">
        <v>2</v>
      </c>
      <c r="D65" t="s">
        <v>5452</v>
      </c>
      <c r="E65" t="s">
        <v>5453</v>
      </c>
      <c r="F65" t="s">
        <v>5454</v>
      </c>
    </row>
    <row r="66" spans="1:6" x14ac:dyDescent="0.25">
      <c r="A66" t="s">
        <v>5455</v>
      </c>
      <c r="B66" t="s">
        <v>5456</v>
      </c>
      <c r="C66">
        <v>3</v>
      </c>
      <c r="D66" t="s">
        <v>5457</v>
      </c>
      <c r="E66" t="s">
        <v>5453</v>
      </c>
      <c r="F66" t="s">
        <v>5458</v>
      </c>
    </row>
    <row r="67" spans="1:6" x14ac:dyDescent="0.25">
      <c r="A67" t="s">
        <v>5459</v>
      </c>
      <c r="B67" t="s">
        <v>5460</v>
      </c>
      <c r="C67">
        <v>3</v>
      </c>
      <c r="D67" t="s">
        <v>5457</v>
      </c>
      <c r="E67" t="s">
        <v>5453</v>
      </c>
      <c r="F67" t="s">
        <v>5461</v>
      </c>
    </row>
    <row r="68" spans="1:6" x14ac:dyDescent="0.25">
      <c r="A68" t="s">
        <v>5462</v>
      </c>
      <c r="B68" t="s">
        <v>5463</v>
      </c>
      <c r="C68">
        <v>2</v>
      </c>
      <c r="D68" t="s">
        <v>5464</v>
      </c>
      <c r="E68" t="s">
        <v>5453</v>
      </c>
      <c r="F68" t="s">
        <v>5465</v>
      </c>
    </row>
    <row r="69" spans="1:6" x14ac:dyDescent="0.25">
      <c r="A69" t="s">
        <v>5466</v>
      </c>
      <c r="B69" t="s">
        <v>5467</v>
      </c>
      <c r="C69">
        <v>2</v>
      </c>
      <c r="D69" t="s">
        <v>5468</v>
      </c>
      <c r="E69" t="s">
        <v>5469</v>
      </c>
      <c r="F69" t="s">
        <v>5470</v>
      </c>
    </row>
    <row r="70" spans="1:6" x14ac:dyDescent="0.25">
      <c r="A70" t="s">
        <v>5471</v>
      </c>
      <c r="B70" t="s">
        <v>5472</v>
      </c>
      <c r="C70">
        <v>2</v>
      </c>
      <c r="D70" t="s">
        <v>5473</v>
      </c>
      <c r="E70" t="s">
        <v>5474</v>
      </c>
      <c r="F70" t="s">
        <v>5475</v>
      </c>
    </row>
    <row r="71" spans="1:6" x14ac:dyDescent="0.25">
      <c r="A71" t="s">
        <v>5476</v>
      </c>
      <c r="B71" t="s">
        <v>5477</v>
      </c>
      <c r="C71">
        <v>5</v>
      </c>
      <c r="D71" t="s">
        <v>5478</v>
      </c>
      <c r="E71" t="s">
        <v>5474</v>
      </c>
      <c r="F71" t="s">
        <v>5479</v>
      </c>
    </row>
    <row r="72" spans="1:6" x14ac:dyDescent="0.25">
      <c r="A72" t="s">
        <v>5480</v>
      </c>
      <c r="B72" t="s">
        <v>5481</v>
      </c>
      <c r="C72">
        <v>2</v>
      </c>
      <c r="D72" t="s">
        <v>5482</v>
      </c>
      <c r="E72" t="s">
        <v>5474</v>
      </c>
      <c r="F72" t="s">
        <v>5483</v>
      </c>
    </row>
    <row r="73" spans="1:6" x14ac:dyDescent="0.25">
      <c r="A73" t="s">
        <v>5484</v>
      </c>
      <c r="B73" t="s">
        <v>5485</v>
      </c>
      <c r="C73">
        <v>2</v>
      </c>
      <c r="D73" t="s">
        <v>5486</v>
      </c>
      <c r="E73" t="s">
        <v>5487</v>
      </c>
      <c r="F73" t="s">
        <v>5488</v>
      </c>
    </row>
    <row r="74" spans="1:6" x14ac:dyDescent="0.25">
      <c r="A74" t="s">
        <v>5489</v>
      </c>
      <c r="B74" t="s">
        <v>5490</v>
      </c>
      <c r="C74">
        <v>2</v>
      </c>
      <c r="D74" t="s">
        <v>5491</v>
      </c>
      <c r="E74" t="s">
        <v>5492</v>
      </c>
      <c r="F74" t="s">
        <v>5493</v>
      </c>
    </row>
    <row r="75" spans="1:6" x14ac:dyDescent="0.25">
      <c r="A75" t="s">
        <v>5494</v>
      </c>
      <c r="B75" t="s">
        <v>5495</v>
      </c>
      <c r="C75">
        <v>2</v>
      </c>
      <c r="D75" t="s">
        <v>5496</v>
      </c>
      <c r="E75" t="s">
        <v>5497</v>
      </c>
      <c r="F75" t="s">
        <v>5498</v>
      </c>
    </row>
    <row r="76" spans="1:6" x14ac:dyDescent="0.25">
      <c r="A76" t="s">
        <v>5499</v>
      </c>
      <c r="B76" t="s">
        <v>5500</v>
      </c>
      <c r="C76">
        <v>2</v>
      </c>
      <c r="D76" t="s">
        <v>5501</v>
      </c>
      <c r="E76" t="s">
        <v>5502</v>
      </c>
      <c r="F76" t="s">
        <v>5503</v>
      </c>
    </row>
    <row r="77" spans="1:6" x14ac:dyDescent="0.25">
      <c r="A77" t="s">
        <v>5504</v>
      </c>
      <c r="B77" t="s">
        <v>5505</v>
      </c>
      <c r="C77">
        <v>2</v>
      </c>
      <c r="D77" t="s">
        <v>5502</v>
      </c>
      <c r="E77" t="s">
        <v>5502</v>
      </c>
      <c r="F77" t="s">
        <v>5506</v>
      </c>
    </row>
  </sheetData>
  <conditionalFormatting sqref="A1:A13">
    <cfRule type="containsText" dxfId="0" priority="1" operator="containsText" text="human">
      <formula>NOT(ISERROR(SEARCH("human",A1)))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I F A A B Q S w M E F A A C A A g A L F Y 6 W E a n f G + m A A A A 9 g A A A B I A H A B D b 2 5 m a W c v U G F j a 2 F n Z S 5 4 b W w g o h g A K K A U A A A A A A A A A A A A A A A A A A A A A A A A A A A A h Y + x D o I w G I R f h X S n L d U Y Q n 7 K Y N w k M S E x r k 2 t 0 A j F 0 E J 5 N w c f y V c Q o 6 i b 4 9 1 9 l 9 z d r z f I x q Y O B t V Z 3 Z o U R Z i i Q B n Z H r U p U 9 S 7 U x i j j M N O y L M o V T D B x i a j 1 S m q n L s k h H j v s V / g t i s J o z Q i h 3 x b y E o 1 I t T G O m G k Q p / W 8 X 8 L c d i / x n C G I 7 b E K x Z j C m Q 2 I d f m C 7 B p 7 z P 9 M W H d 1 6 7 v F L d D W G y A z B L I + w N / A F B L A w Q U A A I A C A A s V j p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F Y 6 W M / G Z E w 6 A g A A L g s A A B M A H A B G b 3 J t d W x h c y 9 T Z W N 0 a W 9 u M S 5 t I K I Y A C i g F A A A A A A A A A A A A A A A A A A A A A A A A A A A A O 2 U 3 U 7 b M B S A r 1 e p 7 2 A F T W q l E J H S s o 0 p F 6 V N C w K V r k m Z g O z C J I f W 4 N j F d i o q x K P t a i 8 2 9 2 c i J f W Y N G k X U 3 O T 5 D v O O T 4 6 X y w h V o Q z F C z v 7 u d y q V y S Y y w g Q T t W c y o v U R 0 l W G E J S l r I Q x R U u Y T 0 d Z U I f q d B S 0 6 d N o + z F J i q d A g F p 8 W Z 0 i + y Y v m H 0 a D X l P C A M M N 0 J o m M + B Q E x Z N c 1 u h V F S e W U 6 t q X 7 e B k p Q o E J 5 l W z Z q c Z q l T H p u w 0 Y + i 3 l C 2 M h z a 4 0 9 G 3 3 J u I J A z S h 4 L 4 9 O j z P 4 V r W X u 9 2 x r v Q G g f 3 4 j t R s M m 8 k x D d 6 U S g w k 7 d c p M v 0 4 W w C s r J o z X 5 6 s p b Q 1 d X 1 R 4 A U P K p n G / 3 i N Q P f N / C 6 g T c M / M D A P x j 4 R w P / Z O D u n i l g 6 t g 1 t e y a e n Z N T b v r X T 9 X y y X C N s 4 q r + S w P / C 7 w 7 N m 6 L f z L g Y 8 E z G 8 I W P r M B p K E D J K s b z H L D p n 0 B Z k C m g X n Z 4 4 g R 8 F 9 / r 1 h o s E V H R 0 s V t D z Z F 2 b G V w d I m m E j W j U 7 / b j X L b c N S j e m X r u 7 y t + + u 2 1 v 7 Q 1 r 7 g q Y 4 l 6 B h w o j f 9 Y u w q s u K V Z e s 2 u l 7 x J q V B j C k W 0 l M i y 6 d s j T E b 6 Y x z x 9 / 4 A T b U X / w O W M G I i 1 l h p C G I d M O c M 6 Y 0 P W H q o O 7 M E y / w + 8 L C / g W m G R R w V z s g C / S M S I V C r j A t p u 7 z C T o m S m 6 O G D 7 q c J r o E Q k S j + f W F A o e c X Y L Q n B G i i F g d z g l G y K d 9 u A 3 e q 9 N Y v 3 E z Q t e q V W t r e V b y / 8 3 y 9 v n X 3 v / 6 B h f K 7 W V e C v x 3 0 n 8 E 1 B L A Q I t A B Q A A g A I A C x W O l h G p 3 x v p g A A A P Y A A A A S A A A A A A A A A A A A A A A A A A A A A A B D b 2 5 m a W c v U G F j a 2 F n Z S 5 4 b W x Q S w E C L Q A U A A I A C A A s V j p Y D 8 r p q 6 Q A A A D p A A A A E w A A A A A A A A A A A A A A A A D y A A A A W 0 N v b n R l b n R f V H l w Z X N d L n h t b F B L A Q I t A B Q A A g A I A C x W O l j P x m R M O g I A A C 4 L A A A T A A A A A A A A A A A A A A A A A O M B A A B G b 3 J t d W x h c y 9 T Z W N 0 a W 9 u M S 5 t U E s F B g A A A A A D A A M A w g A A A G o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Q 8 A A A A A A A A U j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n N Z J T I w N C U y M G R h d G F z Z X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t d I i A v P j x F b n R y e S B U e X B l P S J G a W x s Q 2 9 s d W 1 u V H l w Z X M i I F Z h b H V l P S J z Q m d Z R 0 J n W U d C Z 1 l H Q m d Z R 0 J n W U c i I C 8 + P E V u d H J 5 I F R 5 c G U 9 I k Z p b G x M Y X N 0 V X B k Y X R l Z C I g V m F s d W U 9 I m Q y M D I y L T A x L T E z V D E z O j E 2 O j E 4 L j Y x M z I 4 O T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j M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d n N Z I D Q g Z G F 0 Y X N l d H M v Q X V 0 b 1 J l b W 9 2 Z W R D b 2 x 1 b W 5 z M S 5 7 Q 2 9 s d W 1 u M S w w f S Z x d W 9 0 O y w m c X V v d D t T Z W N 0 a W 9 u M S 9 B d n N Z I D Q g Z G F 0 Y X N l d H M v Q X V 0 b 1 J l b W 9 2 Z W R D b 2 x 1 b W 5 z M S 5 7 Q 2 9 s d W 1 u M i w x f S Z x d W 9 0 O y w m c X V v d D t T Z W N 0 a W 9 u M S 9 B d n N Z I D Q g Z G F 0 Y X N l d H M v Q X V 0 b 1 J l b W 9 2 Z W R D b 2 x 1 b W 5 z M S 5 7 Q 2 9 s d W 1 u M y w y f S Z x d W 9 0 O y w m c X V v d D t T Z W N 0 a W 9 u M S 9 B d n N Z I D Q g Z G F 0 Y X N l d H M v Q X V 0 b 1 J l b W 9 2 Z W R D b 2 x 1 b W 5 z M S 5 7 Q 2 9 s d W 1 u N C w z f S Z x d W 9 0 O y w m c X V v d D t T Z W N 0 a W 9 u M S 9 B d n N Z I D Q g Z G F 0 Y X N l d H M v Q X V 0 b 1 J l b W 9 2 Z W R D b 2 x 1 b W 5 z M S 5 7 Q 2 9 s d W 1 u N S w 0 f S Z x d W 9 0 O y w m c X V v d D t T Z W N 0 a W 9 u M S 9 B d n N Z I D Q g Z G F 0 Y X N l d H M v Q X V 0 b 1 J l b W 9 2 Z W R D b 2 x 1 b W 5 z M S 5 7 Q 2 9 s d W 1 u N i w 1 f S Z x d W 9 0 O y w m c X V v d D t T Z W N 0 a W 9 u M S 9 B d n N Z I D Q g Z G F 0 Y X N l d H M v Q X V 0 b 1 J l b W 9 2 Z W R D b 2 x 1 b W 5 z M S 5 7 Q 2 9 s d W 1 u N y w 2 f S Z x d W 9 0 O y w m c X V v d D t T Z W N 0 a W 9 u M S 9 B d n N Z I D Q g Z G F 0 Y X N l d H M v Q X V 0 b 1 J l b W 9 2 Z W R D b 2 x 1 b W 5 z M S 5 7 Q 2 9 s d W 1 u O C w 3 f S Z x d W 9 0 O y w m c X V v d D t T Z W N 0 a W 9 u M S 9 B d n N Z I D Q g Z G F 0 Y X N l d H M v Q X V 0 b 1 J l b W 9 2 Z W R D b 2 x 1 b W 5 z M S 5 7 Q 2 9 s d W 1 u O S w 4 f S Z x d W 9 0 O y w m c X V v d D t T Z W N 0 a W 9 u M S 9 B d n N Z I D Q g Z G F 0 Y X N l d H M v Q X V 0 b 1 J l b W 9 2 Z W R D b 2 x 1 b W 5 z M S 5 7 Q 2 9 s d W 1 u M T A s O X 0 m c X V v d D s s J n F 1 b 3 Q 7 U 2 V j d G l v b j E v Q X Z z W S A 0 I G R h d G F z Z X R z L 0 F 1 d G 9 S Z W 1 v d m V k Q 2 9 s d W 1 u c z E u e 0 N v b H V t b j E x L D E w f S Z x d W 9 0 O y w m c X V v d D t T Z W N 0 a W 9 u M S 9 B d n N Z I D Q g Z G F 0 Y X N l d H M v Q X V 0 b 1 J l b W 9 2 Z W R D b 2 x 1 b W 5 z M S 5 7 Q 2 9 s d W 1 u M T I s M T F 9 J n F 1 b 3 Q 7 L C Z x d W 9 0 O 1 N l Y 3 R p b 2 4 x L 0 F 2 c 1 k g N C B k Y X R h c 2 V 0 c y 9 B d X R v U m V t b 3 Z l Z E N v b H V t b n M x L n t D b 2 x 1 b W 4 x M y w x M n 0 m c X V v d D s s J n F 1 b 3 Q 7 U 2 V j d G l v b j E v Q X Z z W S A 0 I G R h d G F z Z X R z L 0 F 1 d G 9 S Z W 1 v d m V k Q 2 9 s d W 1 u c z E u e 0 N v b H V t b j E 0 L D E z f S Z x d W 9 0 O y w m c X V v d D t T Z W N 0 a W 9 u M S 9 B d n N Z I D Q g Z G F 0 Y X N l d H M v Q X V 0 b 1 J l b W 9 2 Z W R D b 2 x 1 b W 5 z M S 5 7 Q 2 9 s d W 1 u M T U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d n N Z I D Q g Z G F 0 Y X N l d H M v Q X V 0 b 1 J l b W 9 2 Z W R D b 2 x 1 b W 5 z M S 5 7 Q 2 9 s d W 1 u M S w w f S Z x d W 9 0 O y w m c X V v d D t T Z W N 0 a W 9 u M S 9 B d n N Z I D Q g Z G F 0 Y X N l d H M v Q X V 0 b 1 J l b W 9 2 Z W R D b 2 x 1 b W 5 z M S 5 7 Q 2 9 s d W 1 u M i w x f S Z x d W 9 0 O y w m c X V v d D t T Z W N 0 a W 9 u M S 9 B d n N Z I D Q g Z G F 0 Y X N l d H M v Q X V 0 b 1 J l b W 9 2 Z W R D b 2 x 1 b W 5 z M S 5 7 Q 2 9 s d W 1 u M y w y f S Z x d W 9 0 O y w m c X V v d D t T Z W N 0 a W 9 u M S 9 B d n N Z I D Q g Z G F 0 Y X N l d H M v Q X V 0 b 1 J l b W 9 2 Z W R D b 2 x 1 b W 5 z M S 5 7 Q 2 9 s d W 1 u N C w z f S Z x d W 9 0 O y w m c X V v d D t T Z W N 0 a W 9 u M S 9 B d n N Z I D Q g Z G F 0 Y X N l d H M v Q X V 0 b 1 J l b W 9 2 Z W R D b 2 x 1 b W 5 z M S 5 7 Q 2 9 s d W 1 u N S w 0 f S Z x d W 9 0 O y w m c X V v d D t T Z W N 0 a W 9 u M S 9 B d n N Z I D Q g Z G F 0 Y X N l d H M v Q X V 0 b 1 J l b W 9 2 Z W R D b 2 x 1 b W 5 z M S 5 7 Q 2 9 s d W 1 u N i w 1 f S Z x d W 9 0 O y w m c X V v d D t T Z W N 0 a W 9 u M S 9 B d n N Z I D Q g Z G F 0 Y X N l d H M v Q X V 0 b 1 J l b W 9 2 Z W R D b 2 x 1 b W 5 z M S 5 7 Q 2 9 s d W 1 u N y w 2 f S Z x d W 9 0 O y w m c X V v d D t T Z W N 0 a W 9 u M S 9 B d n N Z I D Q g Z G F 0 Y X N l d H M v Q X V 0 b 1 J l b W 9 2 Z W R D b 2 x 1 b W 5 z M S 5 7 Q 2 9 s d W 1 u O C w 3 f S Z x d W 9 0 O y w m c X V v d D t T Z W N 0 a W 9 u M S 9 B d n N Z I D Q g Z G F 0 Y X N l d H M v Q X V 0 b 1 J l b W 9 2 Z W R D b 2 x 1 b W 5 z M S 5 7 Q 2 9 s d W 1 u O S w 4 f S Z x d W 9 0 O y w m c X V v d D t T Z W N 0 a W 9 u M S 9 B d n N Z I D Q g Z G F 0 Y X N l d H M v Q X V 0 b 1 J l b W 9 2 Z W R D b 2 x 1 b W 5 z M S 5 7 Q 2 9 s d W 1 u M T A s O X 0 m c X V v d D s s J n F 1 b 3 Q 7 U 2 V j d G l v b j E v Q X Z z W S A 0 I G R h d G F z Z X R z L 0 F 1 d G 9 S Z W 1 v d m V k Q 2 9 s d W 1 u c z E u e 0 N v b H V t b j E x L D E w f S Z x d W 9 0 O y w m c X V v d D t T Z W N 0 a W 9 u M S 9 B d n N Z I D Q g Z G F 0 Y X N l d H M v Q X V 0 b 1 J l b W 9 2 Z W R D b 2 x 1 b W 5 z M S 5 7 Q 2 9 s d W 1 u M T I s M T F 9 J n F 1 b 3 Q 7 L C Z x d W 9 0 O 1 N l Y 3 R p b 2 4 x L 0 F 2 c 1 k g N C B k Y X R h c 2 V 0 c y 9 B d X R v U m V t b 3 Z l Z E N v b H V t b n M x L n t D b 2 x 1 b W 4 x M y w x M n 0 m c X V v d D s s J n F 1 b 3 Q 7 U 2 V j d G l v b j E v Q X Z z W S A 0 I G R h d G F z Z X R z L 0 F 1 d G 9 S Z W 1 v d m V k Q 2 9 s d W 1 u c z E u e 0 N v b H V t b j E 0 L D E z f S Z x d W 9 0 O y w m c X V v d D t T Z W N 0 a W 9 u M S 9 B d n N Z I D Q g Z G F 0 Y X N l d H M v Q X V 0 b 1 J l b W 9 2 Z W R D b 2 x 1 b W 5 z M S 5 7 Q 2 9 s d W 1 u M T U s M T R 9 J n F 1 b 3 Q 7 X S w m c X V v d D t S Z W x h d G l v b n N o a X B J b m Z v J n F 1 b 3 Q 7 O l t d f S I g L z 4 8 R W 5 0 c n k g V H l w Z T 0 i U X V l c n l J R C I g V m F s d W U 9 I n N m Y m E y Z G U w Z S 0 0 N T c 2 L T Q 5 M z I t Y W I y O C 0 5 M z l h N T c 4 N D Q 3 N D Q i I C 8 + P C 9 T d G F i b G V F b n R y a W V z P j w v S X R l b T 4 8 S X R l b T 4 8 S X R l b U x v Y 2 F 0 a W 9 u P j x J d G V t V H l w Z T 5 G b 3 J t d W x h P C 9 J d G V t V H l w Z T 4 8 S X R l b V B h d G g + U 2 V j d G l v b j E v Q X Z z W S U y M D Q l M j B k Y X R h c 2 V 0 c y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2 c 1 k l M j A 0 J T I w Z G F 0 Y X N l d H M v W m 1 l b m V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V B S R U d V T E F U R U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h d G V n b 3 J 5 J n F 1 b 3 Q 7 L C Z x d W 9 0 O 1 R l c m 0 m c X V v d D s s J n F 1 b 3 Q 7 Q 2 9 1 b n Q m c X V v d D s s J n F 1 b 3 Q 7 J S Z x d W 9 0 O y w m c X V v d D t Q V m F s d W U m c X V v d D s s J n F 1 b 3 Q 7 R 2 V u Z X M m c X V v d D s s J n F 1 b 3 Q 7 T G l z d C B U b 3 R h b C Z x d W 9 0 O y w m c X V v d D t Q b 3 A g S G l 0 c y Z x d W 9 0 O y w m c X V v d D t Q b 3 A g V G 9 0 Y W w m c X V v d D s s J n F 1 b 3 Q 7 R m 9 s Z C B F b n J p Y 2 h t Z W 5 0 J n F 1 b 3 Q 7 L C Z x d W 9 0 O 0 J v b m Z l c n J v b m k m c X V v d D s s J n F 1 b 3 Q 7 Q m V u a m F t a W 5 p J n F 1 b 3 Q 7 L C Z x d W 9 0 O 0 Z E U i Z x d W 9 0 O 1 0 i I C 8 + P E V u d H J 5 I F R 5 c G U 9 I k Z p b G x D b 2 x 1 b W 5 U e X B l c y I g V m F s d W U 9 I n N C Z 1 l E Q m d Z R 0 F 3 T U R C Z 1 l H Q m c 9 P S I g L z 4 8 R W 5 0 c n k g V H l w Z T 0 i R m l s b E x h c 3 R V c G R h d G V k I i B W Y W x 1 Z T 0 i Z D I w M j M t M D M t M j R U M T Y 6 M D I 6 N D c u M D k 1 M j U 2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U F J F R 1 V M Q V R F R C 9 B d X R v U m V t b 3 Z l Z E N v b H V t b n M x L n t D Y X R l Z 2 9 y e S w w f S Z x d W 9 0 O y w m c X V v d D t T Z W N 0 a W 9 u M S 9 V U F J F R 1 V M Q V R F R C 9 B d X R v U m V t b 3 Z l Z E N v b H V t b n M x L n t U Z X J t L D F 9 J n F 1 b 3 Q 7 L C Z x d W 9 0 O 1 N l Y 3 R p b 2 4 x L 1 V Q U k V H V U x B V E V E L 0 F 1 d G 9 S Z W 1 v d m V k Q 2 9 s d W 1 u c z E u e 0 N v d W 5 0 L D J 9 J n F 1 b 3 Q 7 L C Z x d W 9 0 O 1 N l Y 3 R p b 2 4 x L 1 V Q U k V H V U x B V E V E L 0 F 1 d G 9 S Z W 1 v d m V k Q 2 9 s d W 1 u c z E u e y U s M 3 0 m c X V v d D s s J n F 1 b 3 Q 7 U 2 V j d G l v b j E v V V B S R U d V T E F U R U Q v Q X V 0 b 1 J l b W 9 2 Z W R D b 2 x 1 b W 5 z M S 5 7 U F Z h b H V l L D R 9 J n F 1 b 3 Q 7 L C Z x d W 9 0 O 1 N l Y 3 R p b 2 4 x L 1 V Q U k V H V U x B V E V E L 0 F 1 d G 9 S Z W 1 v d m V k Q 2 9 s d W 1 u c z E u e 0 d l b m V z L D V 9 J n F 1 b 3 Q 7 L C Z x d W 9 0 O 1 N l Y 3 R p b 2 4 x L 1 V Q U k V H V U x B V E V E L 0 F 1 d G 9 S Z W 1 v d m V k Q 2 9 s d W 1 u c z E u e 0 x p c 3 Q g V G 9 0 Y W w s N n 0 m c X V v d D s s J n F 1 b 3 Q 7 U 2 V j d G l v b j E v V V B S R U d V T E F U R U Q v Q X V 0 b 1 J l b W 9 2 Z W R D b 2 x 1 b W 5 z M S 5 7 U G 9 w I E h p d H M s N 3 0 m c X V v d D s s J n F 1 b 3 Q 7 U 2 V j d G l v b j E v V V B S R U d V T E F U R U Q v Q X V 0 b 1 J l b W 9 2 Z W R D b 2 x 1 b W 5 z M S 5 7 U G 9 w I F R v d G F s L D h 9 J n F 1 b 3 Q 7 L C Z x d W 9 0 O 1 N l Y 3 R p b 2 4 x L 1 V Q U k V H V U x B V E V E L 0 F 1 d G 9 S Z W 1 v d m V k Q 2 9 s d W 1 u c z E u e 0 Z v b G Q g R W 5 y a W N o b W V u d C w 5 f S Z x d W 9 0 O y w m c X V v d D t T Z W N 0 a W 9 u M S 9 V U F J F R 1 V M Q V R F R C 9 B d X R v U m V t b 3 Z l Z E N v b H V t b n M x L n t C b 2 5 m Z X J y b 2 5 p L D E w f S Z x d W 9 0 O y w m c X V v d D t T Z W N 0 a W 9 u M S 9 V U F J F R 1 V M Q V R F R C 9 B d X R v U m V t b 3 Z l Z E N v b H V t b n M x L n t C Z W 5 q Y W 1 p b m k s M T F 9 J n F 1 b 3 Q 7 L C Z x d W 9 0 O 1 N l Y 3 R p b 2 4 x L 1 V Q U k V H V U x B V E V E L 0 F 1 d G 9 S Z W 1 v d m V k Q 2 9 s d W 1 u c z E u e 0 Z E U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V Q U k V H V U x B V E V E L 0 F 1 d G 9 S Z W 1 v d m V k Q 2 9 s d W 1 u c z E u e 0 N h d G V n b 3 J 5 L D B 9 J n F 1 b 3 Q 7 L C Z x d W 9 0 O 1 N l Y 3 R p b 2 4 x L 1 V Q U k V H V U x B V E V E L 0 F 1 d G 9 S Z W 1 v d m V k Q 2 9 s d W 1 u c z E u e 1 R l c m 0 s M X 0 m c X V v d D s s J n F 1 b 3 Q 7 U 2 V j d G l v b j E v V V B S R U d V T E F U R U Q v Q X V 0 b 1 J l b W 9 2 Z W R D b 2 x 1 b W 5 z M S 5 7 Q 2 9 1 b n Q s M n 0 m c X V v d D s s J n F 1 b 3 Q 7 U 2 V j d G l v b j E v V V B S R U d V T E F U R U Q v Q X V 0 b 1 J l b W 9 2 Z W R D b 2 x 1 b W 5 z M S 5 7 J S w z f S Z x d W 9 0 O y w m c X V v d D t T Z W N 0 a W 9 u M S 9 V U F J F R 1 V M Q V R F R C 9 B d X R v U m V t b 3 Z l Z E N v b H V t b n M x L n t Q V m F s d W U s N H 0 m c X V v d D s s J n F 1 b 3 Q 7 U 2 V j d G l v b j E v V V B S R U d V T E F U R U Q v Q X V 0 b 1 J l b W 9 2 Z W R D b 2 x 1 b W 5 z M S 5 7 R 2 V u Z X M s N X 0 m c X V v d D s s J n F 1 b 3 Q 7 U 2 V j d G l v b j E v V V B S R U d V T E F U R U Q v Q X V 0 b 1 J l b W 9 2 Z W R D b 2 x 1 b W 5 z M S 5 7 T G l z d C B U b 3 R h b C w 2 f S Z x d W 9 0 O y w m c X V v d D t T Z W N 0 a W 9 u M S 9 V U F J F R 1 V M Q V R F R C 9 B d X R v U m V t b 3 Z l Z E N v b H V t b n M x L n t Q b 3 A g S G l 0 c y w 3 f S Z x d W 9 0 O y w m c X V v d D t T Z W N 0 a W 9 u M S 9 V U F J F R 1 V M Q V R F R C 9 B d X R v U m V t b 3 Z l Z E N v b H V t b n M x L n t Q b 3 A g V G 9 0 Y W w s O H 0 m c X V v d D s s J n F 1 b 3 Q 7 U 2 V j d G l v b j E v V V B S R U d V T E F U R U Q v Q X V 0 b 1 J l b W 9 2 Z W R D b 2 x 1 b W 5 z M S 5 7 R m 9 s Z C B F b n J p Y 2 h t Z W 5 0 L D l 9 J n F 1 b 3 Q 7 L C Z x d W 9 0 O 1 N l Y 3 R p b 2 4 x L 1 V Q U k V H V U x B V E V E L 0 F 1 d G 9 S Z W 1 v d m V k Q 2 9 s d W 1 u c z E u e 0 J v b m Z l c n J v b m k s M T B 9 J n F 1 b 3 Q 7 L C Z x d W 9 0 O 1 N l Y 3 R p b 2 4 x L 1 V Q U k V H V U x B V E V E L 0 F 1 d G 9 S Z W 1 v d m V k Q 2 9 s d W 1 u c z E u e 0 J l b m p h b W l u a S w x M X 0 m c X V v d D s s J n F 1 b 3 Q 7 U 2 V j d G l v b j E v V V B S R U d V T E F U R U Q v Q X V 0 b 1 J l b W 9 2 Z W R D b 2 x 1 b W 5 z M S 5 7 R k R S L D E y f S Z x d W 9 0 O 1 0 s J n F 1 b 3 Q 7 U m V s Y X R p b 2 5 z a G l w S W 5 m b y Z x d W 9 0 O z p b X X 0 i I C 8 + P E V u d H J 5 I F R 5 c G U 9 I l F 1 Z X J 5 S U Q i I F Z h b H V l P S J z N j I 1 O W Y 1 Z D k t N T g x M S 0 0 Y W Z m L W J i Z j I t N m U 0 N j Z l Y z l h N G Y 2 I i A v P j w v U 3 R h Y m x l R W 5 0 c m l l c z 4 8 L 0 l 0 Z W 0 + P E l 0 Z W 0 + P E l 0 Z W 1 M b 2 N h d G l v b j 4 8 S X R l b V R 5 c G U + R m 9 y b X V s Y T w v S X R l b V R 5 c G U + P E l 0 Z W 1 Q Y X R o P l N l Y 3 R p b 2 4 x L 1 V Q U k V H V U x B V E V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Q U k V H V U x B V E V E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Q U k V H V U x B V E V E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V B S R U d V T E F U R U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U F J F R 1 V M Q V R F R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h d G V n b 3 J 5 J n F 1 b 3 Q 7 L C Z x d W 9 0 O 1 R l c m 0 m c X V v d D s s J n F 1 b 3 Q 7 Q 2 9 1 b n Q m c X V v d D s s J n F 1 b 3 Q 7 J S Z x d W 9 0 O y w m c X V v d D t Q V m F s d W U m c X V v d D s s J n F 1 b 3 Q 7 R 2 V u Z X M m c X V v d D s s J n F 1 b 3 Q 7 T G l z d C B U b 3 R h b C Z x d W 9 0 O y w m c X V v d D t Q b 3 A g S G l 0 c y Z x d W 9 0 O y w m c X V v d D t Q b 3 A g V G 9 0 Y W w m c X V v d D s s J n F 1 b 3 Q 7 R m 9 s Z C B F b n J p Y 2 h t Z W 5 0 J n F 1 b 3 Q 7 L C Z x d W 9 0 O 0 J v b m Z l c n J v b m k m c X V v d D s s J n F 1 b 3 Q 7 Q m V u a m F t a W 5 p J n F 1 b 3 Q 7 L C Z x d W 9 0 O 0 Z E U i Z x d W 9 0 O 1 0 i I C 8 + P E V u d H J 5 I F R 5 c G U 9 I k Z p b G x D b 2 x 1 b W 5 U e X B l c y I g V m F s d W U 9 I n N C Z 1 l E Q m d Z R 0 F 3 T U R C Z 1 l H Q m c 9 P S I g L z 4 8 R W 5 0 c n k g V H l w Z T 0 i R m l s b E x h c 3 R V c G R h d G V k I i B W Y W x 1 Z T 0 i Z D I w M j M t M D M t M j R U M T Y 6 M D I 6 N D c u M D k 1 M j U 2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1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U F J F R 1 V M Q V R F R C 9 B d X R v U m V t b 3 Z l Z E N v b H V t b n M x L n t D Y X R l Z 2 9 y e S w w f S Z x d W 9 0 O y w m c X V v d D t T Z W N 0 a W 9 u M S 9 V U F J F R 1 V M Q V R F R C 9 B d X R v U m V t b 3 Z l Z E N v b H V t b n M x L n t U Z X J t L D F 9 J n F 1 b 3 Q 7 L C Z x d W 9 0 O 1 N l Y 3 R p b 2 4 x L 1 V Q U k V H V U x B V E V E L 0 F 1 d G 9 S Z W 1 v d m V k Q 2 9 s d W 1 u c z E u e 0 N v d W 5 0 L D J 9 J n F 1 b 3 Q 7 L C Z x d W 9 0 O 1 N l Y 3 R p b 2 4 x L 1 V Q U k V H V U x B V E V E L 0 F 1 d G 9 S Z W 1 v d m V k Q 2 9 s d W 1 u c z E u e y U s M 3 0 m c X V v d D s s J n F 1 b 3 Q 7 U 2 V j d G l v b j E v V V B S R U d V T E F U R U Q v Q X V 0 b 1 J l b W 9 2 Z W R D b 2 x 1 b W 5 z M S 5 7 U F Z h b H V l L D R 9 J n F 1 b 3 Q 7 L C Z x d W 9 0 O 1 N l Y 3 R p b 2 4 x L 1 V Q U k V H V U x B V E V E L 0 F 1 d G 9 S Z W 1 v d m V k Q 2 9 s d W 1 u c z E u e 0 d l b m V z L D V 9 J n F 1 b 3 Q 7 L C Z x d W 9 0 O 1 N l Y 3 R p b 2 4 x L 1 V Q U k V H V U x B V E V E L 0 F 1 d G 9 S Z W 1 v d m V k Q 2 9 s d W 1 u c z E u e 0 x p c 3 Q g V G 9 0 Y W w s N n 0 m c X V v d D s s J n F 1 b 3 Q 7 U 2 V j d G l v b j E v V V B S R U d V T E F U R U Q v Q X V 0 b 1 J l b W 9 2 Z W R D b 2 x 1 b W 5 z M S 5 7 U G 9 w I E h p d H M s N 3 0 m c X V v d D s s J n F 1 b 3 Q 7 U 2 V j d G l v b j E v V V B S R U d V T E F U R U Q v Q X V 0 b 1 J l b W 9 2 Z W R D b 2 x 1 b W 5 z M S 5 7 U G 9 w I F R v d G F s L D h 9 J n F 1 b 3 Q 7 L C Z x d W 9 0 O 1 N l Y 3 R p b 2 4 x L 1 V Q U k V H V U x B V E V E L 0 F 1 d G 9 S Z W 1 v d m V k Q 2 9 s d W 1 u c z E u e 0 Z v b G Q g R W 5 y a W N o b W V u d C w 5 f S Z x d W 9 0 O y w m c X V v d D t T Z W N 0 a W 9 u M S 9 V U F J F R 1 V M Q V R F R C 9 B d X R v U m V t b 3 Z l Z E N v b H V t b n M x L n t C b 2 5 m Z X J y b 2 5 p L D E w f S Z x d W 9 0 O y w m c X V v d D t T Z W N 0 a W 9 u M S 9 V U F J F R 1 V M Q V R F R C 9 B d X R v U m V t b 3 Z l Z E N v b H V t b n M x L n t C Z W 5 q Y W 1 p b m k s M T F 9 J n F 1 b 3 Q 7 L C Z x d W 9 0 O 1 N l Y 3 R p b 2 4 x L 1 V Q U k V H V U x B V E V E L 0 F 1 d G 9 S Z W 1 v d m V k Q 2 9 s d W 1 u c z E u e 0 Z E U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V Q U k V H V U x B V E V E L 0 F 1 d G 9 S Z W 1 v d m V k Q 2 9 s d W 1 u c z E u e 0 N h d G V n b 3 J 5 L D B 9 J n F 1 b 3 Q 7 L C Z x d W 9 0 O 1 N l Y 3 R p b 2 4 x L 1 V Q U k V H V U x B V E V E L 0 F 1 d G 9 S Z W 1 v d m V k Q 2 9 s d W 1 u c z E u e 1 R l c m 0 s M X 0 m c X V v d D s s J n F 1 b 3 Q 7 U 2 V j d G l v b j E v V V B S R U d V T E F U R U Q v Q X V 0 b 1 J l b W 9 2 Z W R D b 2 x 1 b W 5 z M S 5 7 Q 2 9 1 b n Q s M n 0 m c X V v d D s s J n F 1 b 3 Q 7 U 2 V j d G l v b j E v V V B S R U d V T E F U R U Q v Q X V 0 b 1 J l b W 9 2 Z W R D b 2 x 1 b W 5 z M S 5 7 J S w z f S Z x d W 9 0 O y w m c X V v d D t T Z W N 0 a W 9 u M S 9 V U F J F R 1 V M Q V R F R C 9 B d X R v U m V t b 3 Z l Z E N v b H V t b n M x L n t Q V m F s d W U s N H 0 m c X V v d D s s J n F 1 b 3 Q 7 U 2 V j d G l v b j E v V V B S R U d V T E F U R U Q v Q X V 0 b 1 J l b W 9 2 Z W R D b 2 x 1 b W 5 z M S 5 7 R 2 V u Z X M s N X 0 m c X V v d D s s J n F 1 b 3 Q 7 U 2 V j d G l v b j E v V V B S R U d V T E F U R U Q v Q X V 0 b 1 J l b W 9 2 Z W R D b 2 x 1 b W 5 z M S 5 7 T G l z d C B U b 3 R h b C w 2 f S Z x d W 9 0 O y w m c X V v d D t T Z W N 0 a W 9 u M S 9 V U F J F R 1 V M Q V R F R C 9 B d X R v U m V t b 3 Z l Z E N v b H V t b n M x L n t Q b 3 A g S G l 0 c y w 3 f S Z x d W 9 0 O y w m c X V v d D t T Z W N 0 a W 9 u M S 9 V U F J F R 1 V M Q V R F R C 9 B d X R v U m V t b 3 Z l Z E N v b H V t b n M x L n t Q b 3 A g V G 9 0 Y W w s O H 0 m c X V v d D s s J n F 1 b 3 Q 7 U 2 V j d G l v b j E v V V B S R U d V T E F U R U Q v Q X V 0 b 1 J l b W 9 2 Z W R D b 2 x 1 b W 5 z M S 5 7 R m 9 s Z C B F b n J p Y 2 h t Z W 5 0 L D l 9 J n F 1 b 3 Q 7 L C Z x d W 9 0 O 1 N l Y 3 R p b 2 4 x L 1 V Q U k V H V U x B V E V E L 0 F 1 d G 9 S Z W 1 v d m V k Q 2 9 s d W 1 u c z E u e 0 J v b m Z l c n J v b m k s M T B 9 J n F 1 b 3 Q 7 L C Z x d W 9 0 O 1 N l Y 3 R p b 2 4 x L 1 V Q U k V H V U x B V E V E L 0 F 1 d G 9 S Z W 1 v d m V k Q 2 9 s d W 1 u c z E u e 0 J l b m p h b W l u a S w x M X 0 m c X V v d D s s J n F 1 b 3 Q 7 U 2 V j d G l v b j E v V V B S R U d V T E F U R U Q v Q X V 0 b 1 J l b W 9 2 Z W R D b 2 x 1 b W 5 z M S 5 7 R k R S L D E y f S Z x d W 9 0 O 1 0 s J n F 1 b 3 Q 7 U m V s Y X R p b 2 5 z a G l w S W 5 m b y Z x d W 9 0 O z p b X X 0 i I C 8 + P E V u d H J 5 I F R 5 c G U 9 I l F 1 Z X J 5 S U Q i I F Z h b H V l P S J z Z m J m N G F j M 2 I t Y W Q 5 M S 0 0 Z m I 3 L T h l N j A t O G U 4 N j E 4 N D A y Z D A w I i A v P j w v U 3 R h Y m x l R W 5 0 c m l l c z 4 8 L 0 l 0 Z W 0 + P E l 0 Z W 0 + P E l 0 Z W 1 M b 2 N h d G l v b j 4 8 S X R l b V R 5 c G U + R m 9 y b X V s Y T w v S X R l b V R 5 c G U + P E l 0 Z W 1 Q Y X R o P l N l Y 3 R p b 2 4 x L 1 V Q U k V H V U x B V E V E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Q U k V H V U x B V E V E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Q U k V H V U x B V E V E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9 X T l J F R 1 V M Q V R F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E T 1 d O U k V H V U x B V E V E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F 0 Z W d v c n k m c X V v d D s s J n F 1 b 3 Q 7 V G V y b S Z x d W 9 0 O y w m c X V v d D t D b 3 V u d C Z x d W 9 0 O y w m c X V v d D s l J n F 1 b 3 Q 7 L C Z x d W 9 0 O 1 B W Y W x 1 Z S Z x d W 9 0 O y w m c X V v d D t H Z W 5 l c y Z x d W 9 0 O y w m c X V v d D t M a X N 0 I F R v d G F s J n F 1 b 3 Q 7 L C Z x d W 9 0 O 1 B v c C B I a X R z J n F 1 b 3 Q 7 L C Z x d W 9 0 O 1 B v c C B U b 3 R h b C Z x d W 9 0 O y w m c X V v d D t G b 2 x k I E V u c m l j a G 1 l b n Q m c X V v d D s s J n F 1 b 3 Q 7 Q m 9 u Z m V y c m 9 u a S Z x d W 9 0 O y w m c X V v d D t C Z W 5 q Y W 1 p b m k m c X V v d D s s J n F 1 b 3 Q 7 R k R S J n F 1 b 3 Q 7 X S I g L z 4 8 R W 5 0 c n k g V H l w Z T 0 i R m l s b E N v b H V t b l R 5 c G V z I i B W Y W x 1 Z T 0 i c 0 J n W U R C Z 1 l H Q X d N R E J n W U d C Z z 0 9 I i A v P j x F b n R y e S B U e X B l P S J G a W x s T G F z d F V w Z G F 0 Z W Q i I F Z h b H V l P S J k M j A y M y 0 w M y 0 y N F Q x N j o w M j o y M i 4 y M T Q y N T k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Y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T 1 d O U k V H V U x B V E V E L 0 F 1 d G 9 S Z W 1 v d m V k Q 2 9 s d W 1 u c z E u e 0 N h d G V n b 3 J 5 L D B 9 J n F 1 b 3 Q 7 L C Z x d W 9 0 O 1 N l Y 3 R p b 2 4 x L 0 R P V 0 5 S R U d V T E F U R U Q v Q X V 0 b 1 J l b W 9 2 Z W R D b 2 x 1 b W 5 z M S 5 7 V G V y b S w x f S Z x d W 9 0 O y w m c X V v d D t T Z W N 0 a W 9 u M S 9 E T 1 d O U k V H V U x B V E V E L 0 F 1 d G 9 S Z W 1 v d m V k Q 2 9 s d W 1 u c z E u e 0 N v d W 5 0 L D J 9 J n F 1 b 3 Q 7 L C Z x d W 9 0 O 1 N l Y 3 R p b 2 4 x L 0 R P V 0 5 S R U d V T E F U R U Q v Q X V 0 b 1 J l b W 9 2 Z W R D b 2 x 1 b W 5 z M S 5 7 J S w z f S Z x d W 9 0 O y w m c X V v d D t T Z W N 0 a W 9 u M S 9 E T 1 d O U k V H V U x B V E V E L 0 F 1 d G 9 S Z W 1 v d m V k Q 2 9 s d W 1 u c z E u e 1 B W Y W x 1 Z S w 0 f S Z x d W 9 0 O y w m c X V v d D t T Z W N 0 a W 9 u M S 9 E T 1 d O U k V H V U x B V E V E L 0 F 1 d G 9 S Z W 1 v d m V k Q 2 9 s d W 1 u c z E u e 0 d l b m V z L D V 9 J n F 1 b 3 Q 7 L C Z x d W 9 0 O 1 N l Y 3 R p b 2 4 x L 0 R P V 0 5 S R U d V T E F U R U Q v Q X V 0 b 1 J l b W 9 2 Z W R D b 2 x 1 b W 5 z M S 5 7 T G l z d C B U b 3 R h b C w 2 f S Z x d W 9 0 O y w m c X V v d D t T Z W N 0 a W 9 u M S 9 E T 1 d O U k V H V U x B V E V E L 0 F 1 d G 9 S Z W 1 v d m V k Q 2 9 s d W 1 u c z E u e 1 B v c C B I a X R z L D d 9 J n F 1 b 3 Q 7 L C Z x d W 9 0 O 1 N l Y 3 R p b 2 4 x L 0 R P V 0 5 S R U d V T E F U R U Q v Q X V 0 b 1 J l b W 9 2 Z W R D b 2 x 1 b W 5 z M S 5 7 U G 9 w I F R v d G F s L D h 9 J n F 1 b 3 Q 7 L C Z x d W 9 0 O 1 N l Y 3 R p b 2 4 x L 0 R P V 0 5 S R U d V T E F U R U Q v Q X V 0 b 1 J l b W 9 2 Z W R D b 2 x 1 b W 5 z M S 5 7 R m 9 s Z C B F b n J p Y 2 h t Z W 5 0 L D l 9 J n F 1 b 3 Q 7 L C Z x d W 9 0 O 1 N l Y 3 R p b 2 4 x L 0 R P V 0 5 S R U d V T E F U R U Q v Q X V 0 b 1 J l b W 9 2 Z W R D b 2 x 1 b W 5 z M S 5 7 Q m 9 u Z m V y c m 9 u a S w x M H 0 m c X V v d D s s J n F 1 b 3 Q 7 U 2 V j d G l v b j E v R E 9 X T l J F R 1 V M Q V R F R C 9 B d X R v U m V t b 3 Z l Z E N v b H V t b n M x L n t C Z W 5 q Y W 1 p b m k s M T F 9 J n F 1 b 3 Q 7 L C Z x d W 9 0 O 1 N l Y 3 R p b 2 4 x L 0 R P V 0 5 S R U d V T E F U R U Q v Q X V 0 b 1 J l b W 9 2 Z W R D b 2 x 1 b W 5 z M S 5 7 R k R S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E 9 X T l J F R 1 V M Q V R F R C 9 B d X R v U m V t b 3 Z l Z E N v b H V t b n M x L n t D Y X R l Z 2 9 y e S w w f S Z x d W 9 0 O y w m c X V v d D t T Z W N 0 a W 9 u M S 9 E T 1 d O U k V H V U x B V E V E L 0 F 1 d G 9 S Z W 1 v d m V k Q 2 9 s d W 1 u c z E u e 1 R l c m 0 s M X 0 m c X V v d D s s J n F 1 b 3 Q 7 U 2 V j d G l v b j E v R E 9 X T l J F R 1 V M Q V R F R C 9 B d X R v U m V t b 3 Z l Z E N v b H V t b n M x L n t D b 3 V u d C w y f S Z x d W 9 0 O y w m c X V v d D t T Z W N 0 a W 9 u M S 9 E T 1 d O U k V H V U x B V E V E L 0 F 1 d G 9 S Z W 1 v d m V k Q 2 9 s d W 1 u c z E u e y U s M 3 0 m c X V v d D s s J n F 1 b 3 Q 7 U 2 V j d G l v b j E v R E 9 X T l J F R 1 V M Q V R F R C 9 B d X R v U m V t b 3 Z l Z E N v b H V t b n M x L n t Q V m F s d W U s N H 0 m c X V v d D s s J n F 1 b 3 Q 7 U 2 V j d G l v b j E v R E 9 X T l J F R 1 V M Q V R F R C 9 B d X R v U m V t b 3 Z l Z E N v b H V t b n M x L n t H Z W 5 l c y w 1 f S Z x d W 9 0 O y w m c X V v d D t T Z W N 0 a W 9 u M S 9 E T 1 d O U k V H V U x B V E V E L 0 F 1 d G 9 S Z W 1 v d m V k Q 2 9 s d W 1 u c z E u e 0 x p c 3 Q g V G 9 0 Y W w s N n 0 m c X V v d D s s J n F 1 b 3 Q 7 U 2 V j d G l v b j E v R E 9 X T l J F R 1 V M Q V R F R C 9 B d X R v U m V t b 3 Z l Z E N v b H V t b n M x L n t Q b 3 A g S G l 0 c y w 3 f S Z x d W 9 0 O y w m c X V v d D t T Z W N 0 a W 9 u M S 9 E T 1 d O U k V H V U x B V E V E L 0 F 1 d G 9 S Z W 1 v d m V k Q 2 9 s d W 1 u c z E u e 1 B v c C B U b 3 R h b C w 4 f S Z x d W 9 0 O y w m c X V v d D t T Z W N 0 a W 9 u M S 9 E T 1 d O U k V H V U x B V E V E L 0 F 1 d G 9 S Z W 1 v d m V k Q 2 9 s d W 1 u c z E u e 0 Z v b G Q g R W 5 y a W N o b W V u d C w 5 f S Z x d W 9 0 O y w m c X V v d D t T Z W N 0 a W 9 u M S 9 E T 1 d O U k V H V U x B V E V E L 0 F 1 d G 9 S Z W 1 v d m V k Q 2 9 s d W 1 u c z E u e 0 J v b m Z l c n J v b m k s M T B 9 J n F 1 b 3 Q 7 L C Z x d W 9 0 O 1 N l Y 3 R p b 2 4 x L 0 R P V 0 5 S R U d V T E F U R U Q v Q X V 0 b 1 J l b W 9 2 Z W R D b 2 x 1 b W 5 z M S 5 7 Q m V u a m F t a W 5 p L D E x f S Z x d W 9 0 O y w m c X V v d D t T Z W N 0 a W 9 u M S 9 E T 1 d O U k V H V U x B V E V E L 0 F 1 d G 9 S Z W 1 v d m V k Q 2 9 s d W 1 u c z E u e 0 Z E U i w x M n 0 m c X V v d D t d L C Z x d W 9 0 O 1 J l b G F 0 a W 9 u c 2 h p c E l u Z m 8 m c X V v d D s 6 W 1 1 9 I i A v P j x F b n R y e S B U e X B l P S J R d W V y e U l E I i B W Y W x 1 Z T 0 i c z l k Z T R m N z U 3 L T U x M m Q t N D c w O C 1 i Z m M 5 L W Y 3 N T g y Y z A z M 2 U z Y S I g L z 4 8 L 1 N 0 Y W J s Z U V u d H J p Z X M + P C 9 J d G V t P j x J d G V t P j x J d G V t T G 9 j Y X R p b 2 4 + P E l 0 Z W 1 U e X B l P k Z v c m 1 1 b G E 8 L 0 l 0 Z W 1 U e X B l P j x J d G V t U G F 0 a D 5 T Z W N 0 a W 9 u M S 9 E T 1 d O U k V H V U x B V E V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V 0 5 S R U d V T E F U R U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9 X T l J F R 1 V M Q V R F R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6 A d p B / z A 6 S 7 j Y X e R M e N 6 A A A A A A A I A A A A A A A N m A A D A A A A A E A A A A I 6 u I + 0 r 5 4 6 9 p K 9 o x T O / m j o A A A A A B I A A A K A A A A A Q A A A A / C y i j / T o L 1 p S P e L y c E 1 3 x 1 A A A A D E r B H f / j p B w I E L v W S p A P R j u m v x m o 8 X e u M C W 7 L K w M B i i v g 0 6 Q B V 7 4 0 y C / 6 J l Q J 9 M 9 S H m k N n 4 Q D k J a u 8 7 v W u h P 5 F S 5 i 3 c + m 3 V 8 0 l t A k x u I R M v x Q A A A B C w s G K C H j 7 / e 6 O Z q u 2 R R g 8 / 1 R 3 L A = = < / D a t a M a s h u p > 
</file>

<file path=customXml/itemProps1.xml><?xml version="1.0" encoding="utf-8"?>
<ds:datastoreItem xmlns:ds="http://schemas.openxmlformats.org/officeDocument/2006/customXml" ds:itemID="{C0018148-A0FF-4D8B-90A1-AB432A42F7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DEGs Aged vs Control</vt:lpstr>
      <vt:lpstr>GO BP terms downregulated AvsC</vt:lpstr>
      <vt:lpstr>GO BP terms upregulated AvsC</vt:lpstr>
      <vt:lpstr>KEGG pathway upregulated AvC</vt:lpstr>
      <vt:lpstr>KEGG pathway downregulated AvsC</vt:lpstr>
      <vt:lpstr>TRRUST analysis negat AvsC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Skandik</dc:creator>
  <cp:lastModifiedBy>Martin Skandik</cp:lastModifiedBy>
  <dcterms:created xsi:type="dcterms:W3CDTF">2015-06-05T18:17:20Z</dcterms:created>
  <dcterms:modified xsi:type="dcterms:W3CDTF">2024-01-29T14:35:16Z</dcterms:modified>
</cp:coreProperties>
</file>