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zab/Documents/Papers/Whole_brain_FUS/A1/"/>
    </mc:Choice>
  </mc:AlternateContent>
  <xr:revisionPtr revIDLastSave="0" documentId="8_{1E6F2427-C626-154E-A793-96C1FE8779B9}" xr6:coauthVersionLast="47" xr6:coauthVersionMax="47" xr10:uidLastSave="{00000000-0000-0000-0000-000000000000}"/>
  <bookViews>
    <workbookView xWindow="0" yWindow="760" windowWidth="36080" windowHeight="26180" tabRatio="833" firstSheet="4" activeTab="12" xr2:uid="{0B50059E-0D76-4F76-8741-B27BA8B7AA3B}"/>
  </bookViews>
  <sheets>
    <sheet name="Fig2_C" sheetId="1" r:id="rId1"/>
    <sheet name="Fig2_d" sheetId="6" r:id="rId2"/>
    <sheet name="Fig2_e" sheetId="7" r:id="rId3"/>
    <sheet name="Fig2_f" sheetId="8" r:id="rId4"/>
    <sheet name="Fig2_g" sheetId="9" r:id="rId5"/>
    <sheet name="Fig_3" sheetId="3" r:id="rId6"/>
    <sheet name="Fig4_a" sheetId="13" r:id="rId7"/>
    <sheet name="Fig4_c" sheetId="17" r:id="rId8"/>
    <sheet name="Fig4_d" sheetId="10" r:id="rId9"/>
    <sheet name="Fig4_e" sheetId="16" r:id="rId10"/>
    <sheet name="Fig4_f" sheetId="18" r:id="rId11"/>
    <sheet name="Fig4_g" sheetId="2" r:id="rId12"/>
    <sheet name="Fig4_h" sheetId="19" r:id="rId13"/>
    <sheet name="Fig5_C" sheetId="4" r:id="rId14"/>
    <sheet name="Fig5_d" sheetId="11" r:id="rId15"/>
    <sheet name="Fig5_e" sheetId="12" r:id="rId16"/>
    <sheet name="SI5" sheetId="5" r:id="rId17"/>
    <sheet name="SI4a" sheetId="20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6" i="5" l="1"/>
  <c r="J106" i="5"/>
  <c r="H106" i="5"/>
  <c r="F106" i="5"/>
  <c r="D106" i="5"/>
  <c r="B106" i="5"/>
  <c r="L105" i="5"/>
  <c r="J105" i="5"/>
  <c r="H105" i="5"/>
  <c r="F105" i="5"/>
  <c r="D105" i="5"/>
  <c r="B105" i="5"/>
  <c r="L104" i="5"/>
  <c r="J104" i="5"/>
  <c r="H104" i="5"/>
  <c r="F104" i="5"/>
  <c r="D104" i="5"/>
  <c r="B104" i="5"/>
  <c r="L103" i="5"/>
  <c r="J103" i="5"/>
  <c r="H103" i="5"/>
  <c r="F103" i="5"/>
  <c r="D103" i="5"/>
  <c r="B103" i="5"/>
  <c r="L102" i="5"/>
  <c r="J102" i="5"/>
  <c r="H102" i="5"/>
  <c r="F102" i="5"/>
  <c r="D102" i="5"/>
  <c r="B102" i="5"/>
  <c r="L101" i="5"/>
  <c r="J101" i="5"/>
  <c r="H101" i="5"/>
  <c r="F101" i="5"/>
  <c r="D101" i="5"/>
  <c r="B101" i="5"/>
  <c r="L100" i="5"/>
  <c r="J100" i="5"/>
  <c r="H100" i="5"/>
  <c r="F100" i="5"/>
  <c r="D100" i="5"/>
  <c r="B100" i="5"/>
  <c r="L99" i="5"/>
  <c r="J99" i="5"/>
  <c r="H99" i="5"/>
  <c r="F99" i="5"/>
  <c r="D99" i="5"/>
  <c r="B99" i="5"/>
  <c r="L98" i="5"/>
  <c r="J98" i="5"/>
  <c r="H98" i="5"/>
  <c r="F98" i="5"/>
  <c r="D98" i="5"/>
  <c r="B98" i="5"/>
  <c r="L97" i="5"/>
  <c r="J97" i="5"/>
  <c r="H97" i="5"/>
  <c r="F97" i="5"/>
  <c r="D97" i="5"/>
  <c r="B97" i="5"/>
  <c r="L96" i="5"/>
  <c r="J96" i="5"/>
  <c r="H96" i="5"/>
  <c r="F96" i="5"/>
  <c r="D96" i="5"/>
  <c r="B96" i="5"/>
  <c r="L95" i="5"/>
  <c r="J95" i="5"/>
  <c r="H95" i="5"/>
  <c r="F95" i="5"/>
  <c r="D95" i="5"/>
  <c r="B95" i="5"/>
  <c r="L94" i="5"/>
  <c r="J94" i="5"/>
  <c r="H94" i="5"/>
  <c r="F94" i="5"/>
  <c r="D94" i="5"/>
  <c r="B94" i="5"/>
  <c r="L93" i="5"/>
  <c r="J93" i="5"/>
  <c r="H93" i="5"/>
  <c r="F93" i="5"/>
  <c r="D93" i="5"/>
  <c r="B93" i="5"/>
  <c r="L92" i="5"/>
  <c r="J92" i="5"/>
  <c r="H92" i="5"/>
  <c r="F92" i="5"/>
  <c r="D92" i="5"/>
  <c r="B92" i="5"/>
  <c r="L91" i="5"/>
  <c r="J91" i="5"/>
  <c r="H91" i="5"/>
  <c r="F91" i="5"/>
  <c r="D91" i="5"/>
  <c r="B91" i="5"/>
  <c r="L90" i="5"/>
  <c r="J90" i="5"/>
  <c r="H90" i="5"/>
  <c r="F90" i="5"/>
  <c r="D90" i="5"/>
  <c r="B90" i="5"/>
  <c r="L89" i="5"/>
  <c r="J89" i="5"/>
  <c r="H89" i="5"/>
  <c r="F89" i="5"/>
  <c r="D89" i="5"/>
  <c r="B89" i="5"/>
  <c r="L88" i="5"/>
  <c r="J88" i="5"/>
  <c r="H88" i="5"/>
  <c r="F88" i="5"/>
  <c r="D88" i="5"/>
  <c r="B88" i="5"/>
  <c r="L87" i="5"/>
  <c r="J87" i="5"/>
  <c r="H87" i="5"/>
  <c r="F87" i="5"/>
  <c r="D87" i="5"/>
  <c r="B87" i="5"/>
  <c r="L86" i="5"/>
  <c r="J86" i="5"/>
  <c r="H86" i="5"/>
  <c r="F86" i="5"/>
  <c r="D86" i="5"/>
  <c r="B86" i="5"/>
  <c r="L85" i="5"/>
  <c r="J85" i="5"/>
  <c r="H85" i="5"/>
  <c r="F85" i="5"/>
  <c r="D85" i="5"/>
  <c r="B85" i="5"/>
  <c r="L84" i="5"/>
  <c r="J84" i="5"/>
  <c r="H84" i="5"/>
  <c r="F84" i="5"/>
  <c r="D84" i="5"/>
  <c r="B84" i="5"/>
  <c r="L83" i="5"/>
  <c r="J83" i="5"/>
  <c r="H83" i="5"/>
  <c r="F83" i="5"/>
  <c r="D83" i="5"/>
  <c r="B83" i="5"/>
  <c r="L82" i="5"/>
  <c r="J82" i="5"/>
  <c r="H82" i="5"/>
  <c r="F82" i="5"/>
  <c r="D82" i="5"/>
  <c r="B82" i="5"/>
  <c r="L81" i="5"/>
  <c r="J81" i="5"/>
  <c r="H81" i="5"/>
  <c r="F81" i="5"/>
  <c r="D81" i="5"/>
  <c r="B81" i="5"/>
  <c r="L80" i="5"/>
  <c r="J80" i="5"/>
  <c r="H80" i="5"/>
  <c r="F80" i="5"/>
  <c r="D80" i="5"/>
  <c r="B80" i="5"/>
  <c r="L79" i="5"/>
  <c r="J79" i="5"/>
  <c r="H79" i="5"/>
  <c r="F79" i="5"/>
  <c r="D79" i="5"/>
  <c r="B79" i="5"/>
  <c r="L78" i="5"/>
  <c r="J78" i="5"/>
  <c r="H78" i="5"/>
  <c r="F78" i="5"/>
  <c r="D78" i="5"/>
  <c r="B78" i="5"/>
  <c r="L77" i="5"/>
  <c r="J77" i="5"/>
  <c r="H77" i="5"/>
  <c r="F77" i="5"/>
  <c r="D77" i="5"/>
  <c r="B77" i="5"/>
  <c r="L76" i="5"/>
  <c r="J76" i="5"/>
  <c r="H76" i="5"/>
  <c r="F76" i="5"/>
  <c r="D76" i="5"/>
  <c r="B76" i="5"/>
  <c r="L75" i="5"/>
  <c r="J75" i="5"/>
  <c r="H75" i="5"/>
  <c r="F75" i="5"/>
  <c r="D75" i="5"/>
  <c r="B75" i="5"/>
  <c r="L74" i="5"/>
  <c r="J74" i="5"/>
  <c r="H74" i="5"/>
  <c r="F74" i="5"/>
  <c r="D74" i="5"/>
  <c r="B74" i="5"/>
  <c r="L73" i="5"/>
  <c r="J73" i="5"/>
  <c r="H73" i="5"/>
  <c r="F73" i="5"/>
  <c r="D73" i="5"/>
  <c r="B73" i="5"/>
  <c r="L72" i="5"/>
  <c r="J72" i="5"/>
  <c r="H72" i="5"/>
  <c r="F72" i="5"/>
  <c r="D72" i="5"/>
  <c r="B72" i="5"/>
  <c r="L71" i="5"/>
  <c r="J71" i="5"/>
  <c r="H71" i="5"/>
  <c r="F71" i="5"/>
  <c r="D71" i="5"/>
  <c r="B71" i="5"/>
  <c r="L70" i="5"/>
  <c r="J70" i="5"/>
  <c r="F70" i="5"/>
  <c r="D70" i="5"/>
  <c r="B70" i="5"/>
  <c r="L69" i="5"/>
  <c r="J69" i="5"/>
  <c r="H69" i="5"/>
  <c r="F69" i="5"/>
  <c r="D69" i="5"/>
  <c r="B69" i="5"/>
  <c r="L68" i="5"/>
  <c r="J68" i="5"/>
  <c r="H68" i="5"/>
  <c r="F68" i="5"/>
  <c r="B68" i="5"/>
  <c r="L67" i="5"/>
  <c r="J67" i="5"/>
  <c r="H67" i="5"/>
  <c r="F67" i="5"/>
  <c r="D67" i="5"/>
  <c r="B67" i="5"/>
  <c r="L66" i="5"/>
  <c r="J66" i="5"/>
  <c r="H66" i="5"/>
  <c r="F66" i="5"/>
  <c r="D66" i="5"/>
  <c r="B66" i="5"/>
  <c r="L65" i="5"/>
  <c r="J65" i="5"/>
  <c r="H65" i="5"/>
  <c r="F65" i="5"/>
  <c r="D65" i="5"/>
  <c r="B65" i="5"/>
  <c r="L64" i="5"/>
  <c r="J64" i="5"/>
  <c r="H64" i="5"/>
  <c r="F64" i="5"/>
  <c r="D64" i="5"/>
  <c r="B64" i="5"/>
  <c r="L63" i="5"/>
  <c r="J63" i="5"/>
  <c r="H63" i="5"/>
  <c r="F63" i="5"/>
  <c r="D63" i="5"/>
  <c r="B63" i="5"/>
  <c r="L62" i="5"/>
  <c r="J62" i="5"/>
  <c r="F62" i="5"/>
  <c r="D62" i="5"/>
  <c r="B62" i="5"/>
  <c r="L61" i="5"/>
  <c r="J61" i="5"/>
  <c r="H61" i="5"/>
  <c r="F61" i="5"/>
  <c r="D61" i="5"/>
  <c r="B61" i="5"/>
  <c r="F60" i="5"/>
  <c r="D60" i="5"/>
  <c r="L59" i="5"/>
  <c r="J59" i="5"/>
  <c r="F59" i="5"/>
  <c r="D59" i="5"/>
  <c r="B59" i="5"/>
  <c r="L58" i="5"/>
  <c r="J58" i="5"/>
  <c r="H58" i="5"/>
  <c r="F58" i="5"/>
  <c r="D58" i="5"/>
  <c r="B58" i="5"/>
  <c r="L57" i="5"/>
  <c r="J57" i="5"/>
  <c r="H57" i="5"/>
  <c r="F57" i="5"/>
  <c r="D57" i="5"/>
  <c r="B57" i="5"/>
  <c r="L56" i="5"/>
  <c r="J56" i="5"/>
  <c r="H56" i="5"/>
  <c r="F56" i="5"/>
  <c r="D56" i="5"/>
  <c r="B56" i="5"/>
  <c r="L55" i="5"/>
  <c r="J55" i="5"/>
  <c r="H55" i="5"/>
  <c r="F55" i="5"/>
  <c r="D55" i="5"/>
  <c r="B55" i="5"/>
  <c r="L54" i="5"/>
  <c r="J54" i="5"/>
  <c r="F54" i="5"/>
  <c r="D54" i="5"/>
  <c r="B54" i="5"/>
  <c r="L53" i="5"/>
  <c r="L60" i="5" s="1"/>
  <c r="J53" i="5"/>
  <c r="H53" i="5"/>
  <c r="F53" i="5"/>
  <c r="D53" i="5"/>
  <c r="B53" i="5"/>
  <c r="B60" i="5" s="1"/>
  <c r="J52" i="5"/>
  <c r="H52" i="5"/>
  <c r="F52" i="5"/>
  <c r="D52" i="5"/>
  <c r="B52" i="5"/>
  <c r="L51" i="5"/>
  <c r="J51" i="5"/>
  <c r="H51" i="5"/>
  <c r="F51" i="5"/>
  <c r="D51" i="5"/>
  <c r="B51" i="5"/>
  <c r="L50" i="5"/>
  <c r="J50" i="5"/>
  <c r="H50" i="5"/>
  <c r="F50" i="5"/>
  <c r="D50" i="5"/>
  <c r="B50" i="5"/>
  <c r="L49" i="5"/>
  <c r="J49" i="5"/>
  <c r="F49" i="5"/>
  <c r="D49" i="5"/>
  <c r="B49" i="5"/>
  <c r="L48" i="5"/>
  <c r="J48" i="5"/>
  <c r="H48" i="5"/>
  <c r="F48" i="5"/>
  <c r="D48" i="5"/>
  <c r="B48" i="5"/>
  <c r="L47" i="5"/>
  <c r="J47" i="5"/>
  <c r="H47" i="5"/>
  <c r="F47" i="5"/>
  <c r="D47" i="5"/>
  <c r="B47" i="5"/>
  <c r="L46" i="5"/>
  <c r="J46" i="5"/>
  <c r="H46" i="5"/>
  <c r="F46" i="5"/>
  <c r="D46" i="5"/>
  <c r="B46" i="5"/>
  <c r="L45" i="5"/>
  <c r="J45" i="5"/>
  <c r="H45" i="5"/>
  <c r="F45" i="5"/>
  <c r="D45" i="5"/>
  <c r="B45" i="5"/>
  <c r="L44" i="5"/>
  <c r="J44" i="5"/>
  <c r="H44" i="5"/>
  <c r="F44" i="5"/>
  <c r="D44" i="5"/>
  <c r="B44" i="5"/>
  <c r="L43" i="5"/>
  <c r="J43" i="5"/>
  <c r="F43" i="5"/>
  <c r="D43" i="5"/>
  <c r="B43" i="5"/>
  <c r="L42" i="5"/>
  <c r="J42" i="5"/>
  <c r="H42" i="5"/>
  <c r="F42" i="5"/>
  <c r="D42" i="5"/>
  <c r="B42" i="5"/>
  <c r="L41" i="5"/>
  <c r="J41" i="5"/>
  <c r="H41" i="5"/>
  <c r="F41" i="5"/>
  <c r="D41" i="5"/>
  <c r="B41" i="5"/>
  <c r="L40" i="5"/>
  <c r="J40" i="5"/>
  <c r="H40" i="5"/>
  <c r="F40" i="5"/>
  <c r="D40" i="5"/>
  <c r="B40" i="5"/>
  <c r="L39" i="5"/>
  <c r="J39" i="5"/>
  <c r="H39" i="5"/>
  <c r="F39" i="5"/>
  <c r="D39" i="5"/>
  <c r="B39" i="5"/>
  <c r="L38" i="5"/>
  <c r="J38" i="5"/>
  <c r="H38" i="5"/>
  <c r="F38" i="5"/>
  <c r="D38" i="5"/>
  <c r="B38" i="5"/>
  <c r="L37" i="5"/>
  <c r="H37" i="5"/>
  <c r="F37" i="5"/>
  <c r="D37" i="5"/>
  <c r="B37" i="5"/>
  <c r="L36" i="5"/>
  <c r="J36" i="5"/>
  <c r="H36" i="5"/>
  <c r="F36" i="5"/>
  <c r="D36" i="5"/>
  <c r="B36" i="5"/>
  <c r="L35" i="5"/>
  <c r="J35" i="5"/>
  <c r="H35" i="5"/>
  <c r="F35" i="5"/>
  <c r="D35" i="5"/>
  <c r="B35" i="5"/>
  <c r="L34" i="5"/>
  <c r="J34" i="5"/>
  <c r="H34" i="5"/>
  <c r="F34" i="5"/>
  <c r="D34" i="5"/>
  <c r="L33" i="5"/>
  <c r="J33" i="5"/>
  <c r="H33" i="5"/>
  <c r="F33" i="5"/>
  <c r="D33" i="5"/>
  <c r="J32" i="5"/>
  <c r="H32" i="5"/>
  <c r="F32" i="5"/>
  <c r="D32" i="5"/>
  <c r="B32" i="5"/>
  <c r="J31" i="5"/>
  <c r="H31" i="5"/>
  <c r="F31" i="5"/>
  <c r="D31" i="5"/>
  <c r="B31" i="5"/>
  <c r="L30" i="5"/>
  <c r="H30" i="5"/>
  <c r="F30" i="5"/>
  <c r="D30" i="5"/>
  <c r="B30" i="5"/>
  <c r="L29" i="5"/>
  <c r="H29" i="5"/>
  <c r="F29" i="5"/>
  <c r="D29" i="5"/>
  <c r="B29" i="5"/>
  <c r="J28" i="5"/>
  <c r="H28" i="5"/>
  <c r="F28" i="5"/>
  <c r="D28" i="5"/>
  <c r="B28" i="5"/>
  <c r="J27" i="5"/>
  <c r="F27" i="5"/>
  <c r="D27" i="5"/>
  <c r="B27" i="5"/>
  <c r="L26" i="5"/>
  <c r="J26" i="5"/>
  <c r="H26" i="5"/>
  <c r="F26" i="5"/>
  <c r="D26" i="5"/>
  <c r="B26" i="5"/>
  <c r="L25" i="5"/>
  <c r="J25" i="5"/>
  <c r="H25" i="5"/>
  <c r="F25" i="5"/>
  <c r="D25" i="5"/>
  <c r="B25" i="5"/>
  <c r="L24" i="5"/>
  <c r="J24" i="5"/>
  <c r="H24" i="5"/>
  <c r="F24" i="5"/>
  <c r="D24" i="5"/>
  <c r="B24" i="5"/>
  <c r="L23" i="5"/>
  <c r="J23" i="5"/>
  <c r="H23" i="5"/>
  <c r="F23" i="5"/>
  <c r="D23" i="5"/>
  <c r="B23" i="5"/>
  <c r="L22" i="5"/>
  <c r="J22" i="5"/>
  <c r="H22" i="5"/>
  <c r="F22" i="5"/>
  <c r="D22" i="5"/>
  <c r="B22" i="5"/>
  <c r="L21" i="5"/>
  <c r="J21" i="5"/>
  <c r="H21" i="5"/>
  <c r="F21" i="5"/>
  <c r="D21" i="5"/>
  <c r="B21" i="5"/>
  <c r="B33" i="5" s="1"/>
  <c r="L20" i="5"/>
  <c r="J20" i="5"/>
  <c r="H20" i="5"/>
  <c r="F20" i="5"/>
  <c r="D20" i="5"/>
  <c r="B20" i="5"/>
  <c r="L19" i="5"/>
  <c r="J19" i="5"/>
  <c r="F19" i="5"/>
  <c r="D19" i="5"/>
  <c r="B19" i="5"/>
  <c r="L18" i="5"/>
  <c r="J18" i="5" s="1"/>
  <c r="H18" i="5"/>
  <c r="F18" i="5"/>
  <c r="D18" i="5"/>
  <c r="B18" i="5"/>
  <c r="L17" i="5"/>
  <c r="J17" i="5"/>
  <c r="H17" i="5"/>
  <c r="F17" i="5"/>
  <c r="D17" i="5"/>
  <c r="B17" i="5"/>
  <c r="L16" i="5"/>
  <c r="J16" i="5"/>
  <c r="H16" i="5"/>
  <c r="F16" i="5"/>
  <c r="D16" i="5"/>
  <c r="B16" i="5"/>
  <c r="L15" i="5"/>
  <c r="J15" i="5"/>
  <c r="H15" i="5"/>
  <c r="F15" i="5"/>
  <c r="D15" i="5"/>
  <c r="B15" i="5"/>
  <c r="L14" i="5"/>
  <c r="J14" i="5"/>
  <c r="H14" i="5"/>
  <c r="F14" i="5"/>
  <c r="D14" i="5"/>
  <c r="B14" i="5"/>
  <c r="L13" i="5"/>
  <c r="J13" i="5"/>
  <c r="H13" i="5"/>
  <c r="F13" i="5"/>
  <c r="D13" i="5"/>
  <c r="B13" i="5"/>
  <c r="L12" i="5"/>
  <c r="J12" i="5"/>
  <c r="H12" i="5"/>
  <c r="F12" i="5"/>
  <c r="D12" i="5"/>
  <c r="B12" i="5"/>
  <c r="L11" i="5"/>
  <c r="J11" i="5"/>
  <c r="F11" i="5"/>
  <c r="D11" i="5"/>
  <c r="B11" i="5"/>
  <c r="H10" i="5"/>
  <c r="F10" i="5"/>
  <c r="D10" i="5"/>
  <c r="B10" i="5"/>
  <c r="L9" i="5"/>
  <c r="J9" i="5"/>
  <c r="H9" i="5"/>
  <c r="F9" i="5"/>
  <c r="D9" i="5"/>
  <c r="B9" i="5"/>
  <c r="L8" i="5"/>
  <c r="J8" i="5"/>
  <c r="H8" i="5"/>
  <c r="F8" i="5"/>
  <c r="D8" i="5"/>
  <c r="B8" i="5"/>
  <c r="L7" i="5"/>
  <c r="J7" i="5"/>
  <c r="H7" i="5"/>
  <c r="F7" i="5"/>
  <c r="D7" i="5"/>
  <c r="B7" i="5"/>
  <c r="L6" i="5"/>
  <c r="J6" i="5"/>
  <c r="H6" i="5"/>
  <c r="F6" i="5"/>
  <c r="D6" i="5"/>
  <c r="B6" i="5"/>
  <c r="L5" i="5"/>
  <c r="J5" i="5"/>
  <c r="H5" i="5"/>
  <c r="F5" i="5"/>
  <c r="D5" i="5"/>
  <c r="B5" i="5"/>
  <c r="L4" i="5"/>
  <c r="H4" i="5"/>
  <c r="H60" i="5" l="1"/>
  <c r="J60" i="5"/>
  <c r="D68" i="5"/>
  <c r="H70" i="5"/>
  <c r="L31" i="5"/>
</calcChain>
</file>

<file path=xl/sharedStrings.xml><?xml version="1.0" encoding="utf-8"?>
<sst xmlns="http://schemas.openxmlformats.org/spreadsheetml/2006/main" count="897" uniqueCount="286">
  <si>
    <t>c</t>
  </si>
  <si>
    <t>Str</t>
  </si>
  <si>
    <t>Hpc</t>
  </si>
  <si>
    <t>Cb</t>
  </si>
  <si>
    <t>Ctx</t>
  </si>
  <si>
    <t>Mb</t>
  </si>
  <si>
    <t>region analysis</t>
  </si>
  <si>
    <t>11 Targeted Sites</t>
  </si>
  <si>
    <t>d</t>
  </si>
  <si>
    <t>e</t>
  </si>
  <si>
    <t>f</t>
  </si>
  <si>
    <t>g</t>
  </si>
  <si>
    <t>22 Targeted Sites</t>
  </si>
  <si>
    <t>105 Targeted Sites</t>
  </si>
  <si>
    <t>+</t>
  </si>
  <si>
    <t>-</t>
  </si>
  <si>
    <t>GFAP activation 22 sites targeting</t>
  </si>
  <si>
    <t>Site number</t>
  </si>
  <si>
    <t>Mouse 1</t>
  </si>
  <si>
    <t>N sections</t>
  </si>
  <si>
    <t>Mouse 2</t>
  </si>
  <si>
    <t>Mouse 3</t>
  </si>
  <si>
    <t>Mouse 4</t>
  </si>
  <si>
    <t>Mouse 5</t>
  </si>
  <si>
    <t>Mouse 6</t>
  </si>
  <si>
    <t>C</t>
  </si>
  <si>
    <t>E</t>
  </si>
  <si>
    <t xml:space="preserve">targetd sites </t>
  </si>
  <si>
    <t>Untargeted Sites</t>
  </si>
  <si>
    <t>11 sites targeting N=5 mice</t>
  </si>
  <si>
    <t>Table Analyzed</t>
  </si>
  <si>
    <t>11 sites targeting</t>
  </si>
  <si>
    <t>Column B</t>
  </si>
  <si>
    <t>vs.</t>
  </si>
  <si>
    <t>Column A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</si>
  <si>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</si>
  <si>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</si>
  <si>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</si>
  <si>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</si>
  <si>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</si>
  <si>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</si>
  <si>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</si>
  <si>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</si>
  <si>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</si>
  <si>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How big is the difference?</t>
  </si>
  <si>
    <t>95% confidence interval</t>
  </si>
  <si>
    <t>Data analyzed</t>
  </si>
  <si>
    <t>Sample size, column A</t>
  </si>
  <si>
    <t>Sample size, column B</t>
  </si>
  <si>
    <t>22 sites Targeting</t>
  </si>
  <si>
    <t>22sites targeting</t>
  </si>
  <si>
    <t>11</t>
  </si>
  <si>
    <t>22</t>
  </si>
  <si>
    <t>105 Sites</t>
  </si>
  <si>
    <t xml:space="preserve">Untargeted sites 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</si>
  <si>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</si>
  <si>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</si>
  <si>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</si>
  <si>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</si>
  <si>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</si>
  <si>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</si>
  <si>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</si>
  <si>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</si>
  <si>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</si>
  <si>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11 vs. 22</t>
  </si>
  <si>
    <t>-2.066 to 1.221</t>
  </si>
  <si>
    <t>No</t>
  </si>
  <si>
    <t>ns</t>
  </si>
  <si>
    <t>A-B</t>
  </si>
  <si>
    <t>11 vs. 105 Sites</t>
  </si>
  <si>
    <t>-0.2506 to 3.214</t>
  </si>
  <si>
    <t>A-C</t>
  </si>
  <si>
    <t>22 vs. 105 Sites</t>
  </si>
  <si>
    <t>0.2605 to 3.548</t>
  </si>
  <si>
    <t>*</t>
  </si>
  <si>
    <t>B-C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</si>
  <si>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</si>
  <si>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</si>
  <si>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</si>
  <si>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</si>
  <si>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</si>
  <si>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</si>
  <si>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</si>
  <si>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</si>
  <si>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Ordinary One-way Anova</t>
  </si>
  <si>
    <t>11 Targeted Sites vs. 22 Targeted Sites</t>
  </si>
  <si>
    <t>-20.61 to -3.533</t>
  </si>
  <si>
    <t>**</t>
  </si>
  <si>
    <t>11 Targeted Sites vs. 105 Targeted Sites</t>
  </si>
  <si>
    <t>-35.45 to -20.36</t>
  </si>
  <si>
    <t>22 Targeted Sites vs. 105 Targeted Sites</t>
  </si>
  <si>
    <t>-20.89 to -10.77</t>
  </si>
  <si>
    <t>105 sites</t>
  </si>
  <si>
    <t>105 sites targeting</t>
  </si>
  <si>
    <t>Str vs. Hpc</t>
  </si>
  <si>
    <t>-20.84 to 14.62</t>
  </si>
  <si>
    <t>Str vs. Cb</t>
  </si>
  <si>
    <t>-5.841 to 29.62</t>
  </si>
  <si>
    <t>Str vs. Ctx</t>
  </si>
  <si>
    <t>-11.42 to 24.04</t>
  </si>
  <si>
    <t>A-D</t>
  </si>
  <si>
    <t>Str vs. Mb</t>
  </si>
  <si>
    <t>-13.21 to 22.25</t>
  </si>
  <si>
    <t>A-E</t>
  </si>
  <si>
    <t>Hpc vs. Cb</t>
  </si>
  <si>
    <t>-2.733 to 32.72</t>
  </si>
  <si>
    <t>Hpc vs. Ctx</t>
  </si>
  <si>
    <t>-8.311 to 27.15</t>
  </si>
  <si>
    <t>B-D</t>
  </si>
  <si>
    <t>Hpc vs. Mb</t>
  </si>
  <si>
    <t>-10.10 to 25.36</t>
  </si>
  <si>
    <t>B-E</t>
  </si>
  <si>
    <t>Cb vs. Ctx</t>
  </si>
  <si>
    <t>-23.31 to 12.15</t>
  </si>
  <si>
    <t>C-D</t>
  </si>
  <si>
    <t>Cb vs. Mb</t>
  </si>
  <si>
    <t>-25.10 to 10.36</t>
  </si>
  <si>
    <t>C-E</t>
  </si>
  <si>
    <t>Ctx vs. Mb</t>
  </si>
  <si>
    <t>-19.52 to 15.94</t>
  </si>
  <si>
    <t>D-E</t>
  </si>
  <si>
    <t>ANOVA summary</t>
  </si>
  <si>
    <t>F</t>
  </si>
  <si>
    <t>Significant diff. among means (P &lt; 0.05)?</t>
  </si>
  <si>
    <t>R squared</t>
  </si>
  <si>
    <t>Brown-Forsythe test</t>
  </si>
  <si>
    <t>F (DFn, DFd)</t>
  </si>
  <si>
    <t>1.713 (4, 25)</t>
  </si>
  <si>
    <t>Are SDs significantly different (P &lt; 0.05)?</t>
  </si>
  <si>
    <t>Bartlett's test</t>
  </si>
  <si>
    <t>Bartlett's statistic (corrected)</t>
  </si>
  <si>
    <t>ANOVA table</t>
  </si>
  <si>
    <t>SS</t>
  </si>
  <si>
    <t>MS</t>
  </si>
  <si>
    <t>Treatment (between columns)</t>
  </si>
  <si>
    <t>F (4, 25) = 1.843</t>
  </si>
  <si>
    <t>P=0.1521</t>
  </si>
  <si>
    <t>Residual (within columns)</t>
  </si>
  <si>
    <t>Total</t>
  </si>
  <si>
    <t>Data summary</t>
  </si>
  <si>
    <t>Number of treatments (columns)</t>
  </si>
  <si>
    <t>Number of values (total)</t>
  </si>
  <si>
    <t>Targeted</t>
  </si>
  <si>
    <t>Untargeted</t>
  </si>
  <si>
    <t>22 site neuron count</t>
  </si>
  <si>
    <t>Paired t test</t>
  </si>
  <si>
    <t>t=0.2797, df=109</t>
  </si>
  <si>
    <t>Number of pairs</t>
  </si>
  <si>
    <t>Mean of differences (B - A)</t>
  </si>
  <si>
    <t>SD of differences</t>
  </si>
  <si>
    <t>SEM of differences</t>
  </si>
  <si>
    <t>-11.76 to 8.852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</si>
  <si>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</si>
  <si>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</si>
  <si>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</si>
  <si>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</si>
  <si>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</si>
  <si>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GFP</t>
  </si>
  <si>
    <t xml:space="preserve">transduction efficiency  </t>
  </si>
  <si>
    <t>tdtomato_sidebside</t>
  </si>
  <si>
    <t>t=9.302, df=109</t>
  </si>
  <si>
    <t>-8.182 to -5.307</t>
  </si>
  <si>
    <t>td tomato expression</t>
  </si>
  <si>
    <t>paired t test</t>
  </si>
  <si>
    <t>t=16.87, df=109</t>
  </si>
  <si>
    <t>-23.76 to -18.76</t>
  </si>
  <si>
    <t>Neuron loss - site by site _ JCY _ Vidal Avg</t>
  </si>
  <si>
    <t>***</t>
  </si>
  <si>
    <t>t=3.917, df=109</t>
  </si>
  <si>
    <t>13.32 to 40.59</t>
  </si>
  <si>
    <t>Neuron Loss</t>
  </si>
  <si>
    <t>Control</t>
  </si>
  <si>
    <t>paired T test</t>
  </si>
  <si>
    <t>t=11.25, df=43</t>
  </si>
  <si>
    <t>-36.67 to -25.52</t>
  </si>
  <si>
    <t>t=17.19, df=54</t>
  </si>
  <si>
    <t>-48.98 to -38.75</t>
  </si>
  <si>
    <t>11 sites</t>
  </si>
  <si>
    <t>22 sites</t>
  </si>
  <si>
    <t>weight loss</t>
  </si>
  <si>
    <t>Grouped: Two-way ANOVA (two data sets)</t>
  </si>
  <si>
    <t>Mixed-effects model (REML)</t>
  </si>
  <si>
    <t>Matching: Stacked</t>
  </si>
  <si>
    <t>Assume sphericity?</t>
  </si>
  <si>
    <t>Fixed effects (type III)</t>
  </si>
  <si>
    <t>Statistically significant (P &lt; 0.05)?</t>
  </si>
  <si>
    <t>Geisser-Greenhouse's epsilon</t>
  </si>
  <si>
    <t>Time</t>
  </si>
  <si>
    <t>F (3.300, 38.50) = 0.7774</t>
  </si>
  <si>
    <t>Column Factor</t>
  </si>
  <si>
    <t>F (2, 12) = 1.357</t>
  </si>
  <si>
    <t>Time x Column Factor</t>
  </si>
  <si>
    <t>F (12, 70) = 1.037</t>
  </si>
  <si>
    <t>Random effects</t>
  </si>
  <si>
    <t>SD</t>
  </si>
  <si>
    <t>Variance</t>
  </si>
  <si>
    <t>Subject</t>
  </si>
  <si>
    <t>Residual</t>
  </si>
  <si>
    <t>Was the matching effective?</t>
  </si>
  <si>
    <t>Chi-square, df</t>
  </si>
  <si>
    <t>3.147, 1</t>
  </si>
  <si>
    <t>Is there significant matching (P &lt; 0.05)?</t>
  </si>
  <si>
    <t>Number of columns (Column Factor)</t>
  </si>
  <si>
    <t>Number of rows (Time)</t>
  </si>
  <si>
    <t>Number of subjects (Subject)</t>
  </si>
  <si>
    <t>Number of missing values</t>
  </si>
  <si>
    <t>Within each column, compare rows (simple effects within columns)</t>
  </si>
  <si>
    <t>Dunnett's multiple comparisons test</t>
  </si>
  <si>
    <t>1 vs. 4</t>
  </si>
  <si>
    <t>-0.03147 to 0.06537</t>
  </si>
  <si>
    <t>1 vs. 7</t>
  </si>
  <si>
    <t>-0.1771 to 0.2248</t>
  </si>
  <si>
    <t>1 vs. 10</t>
  </si>
  <si>
    <t>-0.1027 to 0.1160</t>
  </si>
  <si>
    <t>1 vs. 13</t>
  </si>
  <si>
    <t>-0.3167 to 0.4116</t>
  </si>
  <si>
    <t>1 vs. 16</t>
  </si>
  <si>
    <t>-0.1991 to 0.1532</t>
  </si>
  <si>
    <t>1 vs. 19</t>
  </si>
  <si>
    <t>-0.01200 to 0.01841</t>
  </si>
  <si>
    <t>-0.07402 to 0.1368</t>
  </si>
  <si>
    <t>-0.08372 to 0.1332</t>
  </si>
  <si>
    <t>-0.1083 to 0.1698</t>
  </si>
  <si>
    <t>-0.1200 to 0.09483</t>
  </si>
  <si>
    <t>-0.1364 to 0.1716</t>
  </si>
  <si>
    <t>-0.1078 to 0.09852</t>
  </si>
  <si>
    <t>-0.1319 to 0.05166</t>
  </si>
  <si>
    <t>-0.1643 to 0.09285</t>
  </si>
  <si>
    <t>-0.1722 to 0.1483</t>
  </si>
  <si>
    <t>-0.1890 to 0.08025</t>
  </si>
  <si>
    <t>-0.1828 to 0.06217</t>
  </si>
  <si>
    <t>-0.1708 to 0.04006</t>
  </si>
  <si>
    <t>N1</t>
  </si>
  <si>
    <t>N2</t>
  </si>
  <si>
    <t>Unpaired t test</t>
  </si>
  <si>
    <t>t=18.95, df=520</t>
  </si>
  <si>
    <t>Mean of column A</t>
  </si>
  <si>
    <t>Mean of column B</t>
  </si>
  <si>
    <t>Difference between means (B - A) ± SEM</t>
  </si>
  <si>
    <t>-60.48 ± 3.191</t>
  </si>
  <si>
    <t>-66.75 to -54.21</t>
  </si>
  <si>
    <t>R squared (eta squared)</t>
  </si>
  <si>
    <t>F test to compare variances</t>
  </si>
  <si>
    <t>F, DFn, Dfd</t>
  </si>
  <si>
    <t>759.3, 477, 43</t>
  </si>
  <si>
    <t>Data sets analyzed</t>
  </si>
  <si>
    <t>3.543 (2, 629)</t>
  </si>
  <si>
    <t>F (2, 629) = 57.62</t>
  </si>
  <si>
    <t>P&lt;0.0001</t>
  </si>
  <si>
    <t>Data 6</t>
  </si>
  <si>
    <t>left hemisphere</t>
  </si>
  <si>
    <t>right hemisphere</t>
  </si>
  <si>
    <t>NeuN 105 sites</t>
  </si>
  <si>
    <t>t=0.4923, df=943</t>
  </si>
  <si>
    <t>2.665 ± 5.414</t>
  </si>
  <si>
    <t>-7.959 to 13.29</t>
  </si>
  <si>
    <t>1.100, 629, 314</t>
  </si>
  <si>
    <t>Treated</t>
  </si>
  <si>
    <t>NeuN 11 sites</t>
  </si>
  <si>
    <t>t=0.1032, df=43</t>
  </si>
  <si>
    <t>-26.13 to 23.59</t>
  </si>
  <si>
    <t>FUS</t>
  </si>
  <si>
    <t>105 sites GFAP</t>
  </si>
  <si>
    <t>11 site GFAP</t>
  </si>
  <si>
    <t>M1</t>
  </si>
  <si>
    <t>M2</t>
  </si>
  <si>
    <t>M3</t>
  </si>
  <si>
    <t>M4</t>
  </si>
  <si>
    <t>M5</t>
  </si>
  <si>
    <t>M6</t>
  </si>
  <si>
    <t>Number of microns radius within which all the hemorrhages / RBC petechiae were enclosed</t>
  </si>
  <si>
    <t>Site tested / mouse</t>
  </si>
  <si>
    <t>Wilcoxon matched-pairs signed rank test</t>
  </si>
  <si>
    <t>Exact or approximate P value?</t>
  </si>
  <si>
    <t>Exact</t>
  </si>
  <si>
    <t>Sum of positive, negative ranks</t>
  </si>
  <si>
    <t>357.0 , -633.0</t>
  </si>
  <si>
    <t>Sum of signed ranks (W)</t>
  </si>
  <si>
    <t>Number of ties (ignored)</t>
  </si>
  <si>
    <t>Median of differences</t>
  </si>
  <si>
    <t>Median</t>
  </si>
  <si>
    <t>rs (Spearman)</t>
  </si>
  <si>
    <t>22 sites GFAP</t>
  </si>
  <si>
    <t>2440 , -3665</t>
  </si>
  <si>
    <t>Approximate</t>
  </si>
  <si>
    <t>15347 , -34423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</si>
</sst>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6"/>
      <color rgb="FF000000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10" fillId="0" borderId="0" xfId="0" applyFont="1"/>
    <xf numFmtId="0" fontId="5" fillId="0" borderId="1" xfId="0" applyFont="1" applyBorder="1" applyAlignment="1">
      <alignment horizontal="center"/>
    </xf>
    <xf numFmtId="0" fontId="11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/>
    <xf numFmtId="0" fontId="13" fillId="0" borderId="1" xfId="0" applyFont="1" applyBorder="1"/>
    <xf numFmtId="0" fontId="13" fillId="0" borderId="0" xfId="0" applyFont="1"/>
    <xf numFmtId="0" fontId="0" fillId="0" borderId="1" xfId="0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6" fillId="0" borderId="0" xfId="0" applyFont="1"/>
    <xf numFmtId="0" fontId="12" fillId="0" borderId="0" xfId="0" applyFont="1"/>
    <xf numFmtId="0" fontId="1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5" xfId="0" applyFont="1" applyBorder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" Type="http://schemas.openxmlformats.org/officeDocument/2006/relationships/customXml" Target="../ink/ink1.xml"/><Relationship Id="rId11" Type="http://schemas.openxmlformats.org/officeDocument/2006/relationships/customXml" Target="../ink/ink2.xml"/><Relationship Id="rId10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ustomXml" Target="../ink/ink9.xml"/><Relationship Id="rId18" Type="http://schemas.openxmlformats.org/officeDocument/2006/relationships/image" Target="../media/image9.png"/><Relationship Id="rId26" Type="http://schemas.openxmlformats.org/officeDocument/2006/relationships/customXml" Target="../ink/ink16.xml"/><Relationship Id="rId39" Type="http://schemas.openxmlformats.org/officeDocument/2006/relationships/customXml" Target="../ink/ink27.xml"/><Relationship Id="rId21" Type="http://schemas.openxmlformats.org/officeDocument/2006/relationships/customXml" Target="../ink/ink13.xml"/><Relationship Id="rId34" Type="http://schemas.openxmlformats.org/officeDocument/2006/relationships/customXml" Target="../ink/ink22.xml"/><Relationship Id="rId42" Type="http://schemas.openxmlformats.org/officeDocument/2006/relationships/customXml" Target="../ink/ink30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29" Type="http://schemas.openxmlformats.org/officeDocument/2006/relationships/customXml" Target="../ink/ink18.xml"/><Relationship Id="rId41" Type="http://schemas.openxmlformats.org/officeDocument/2006/relationships/customXml" Target="../ink/ink29.xml"/><Relationship Id="rId1" Type="http://schemas.openxmlformats.org/officeDocument/2006/relationships/customXml" Target="../ink/ink3.xml"/><Relationship Id="rId6" Type="http://schemas.openxmlformats.org/officeDocument/2006/relationships/image" Target="../media/image3.png"/><Relationship Id="rId11" Type="http://schemas.openxmlformats.org/officeDocument/2006/relationships/customXml" Target="../ink/ink8.xml"/><Relationship Id="rId24" Type="http://schemas.openxmlformats.org/officeDocument/2006/relationships/image" Target="../media/image12.png"/><Relationship Id="rId32" Type="http://schemas.openxmlformats.org/officeDocument/2006/relationships/customXml" Target="../ink/ink20.xml"/><Relationship Id="rId37" Type="http://schemas.openxmlformats.org/officeDocument/2006/relationships/customXml" Target="../ink/ink25.xml"/><Relationship Id="rId40" Type="http://schemas.openxmlformats.org/officeDocument/2006/relationships/customXml" Target="../ink/ink28.xml"/><Relationship Id="rId5" Type="http://schemas.openxmlformats.org/officeDocument/2006/relationships/customXml" Target="../ink/ink5.xml"/><Relationship Id="rId15" Type="http://schemas.openxmlformats.org/officeDocument/2006/relationships/customXml" Target="../ink/ink10.xml"/><Relationship Id="rId23" Type="http://schemas.openxmlformats.org/officeDocument/2006/relationships/customXml" Target="../ink/ink14.xml"/><Relationship Id="rId28" Type="http://schemas.openxmlformats.org/officeDocument/2006/relationships/customXml" Target="../ink/ink17.xml"/><Relationship Id="rId36" Type="http://schemas.openxmlformats.org/officeDocument/2006/relationships/customXml" Target="../ink/ink24.xml"/><Relationship Id="rId10" Type="http://schemas.openxmlformats.org/officeDocument/2006/relationships/image" Target="../media/image20.png"/><Relationship Id="rId19" Type="http://schemas.openxmlformats.org/officeDocument/2006/relationships/customXml" Target="../ink/ink12.xml"/><Relationship Id="rId31" Type="http://schemas.openxmlformats.org/officeDocument/2006/relationships/customXml" Target="../ink/ink19.xml"/><Relationship Id="rId4" Type="http://schemas.openxmlformats.org/officeDocument/2006/relationships/image" Target="../media/image2.png"/><Relationship Id="rId9" Type="http://schemas.openxmlformats.org/officeDocument/2006/relationships/customXml" Target="../ink/ink7.xml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image" Target="../media/image51.png"/><Relationship Id="rId30" Type="http://schemas.openxmlformats.org/officeDocument/2006/relationships/image" Target="../media/image50.png"/><Relationship Id="rId35" Type="http://schemas.openxmlformats.org/officeDocument/2006/relationships/customXml" Target="../ink/ink23.xml"/><Relationship Id="rId8" Type="http://schemas.openxmlformats.org/officeDocument/2006/relationships/image" Target="../media/image13.png"/><Relationship Id="rId3" Type="http://schemas.openxmlformats.org/officeDocument/2006/relationships/customXml" Target="../ink/ink4.xml"/><Relationship Id="rId12" Type="http://schemas.openxmlformats.org/officeDocument/2006/relationships/image" Target="../media/image6.png"/><Relationship Id="rId17" Type="http://schemas.openxmlformats.org/officeDocument/2006/relationships/customXml" Target="../ink/ink11.xml"/><Relationship Id="rId25" Type="http://schemas.openxmlformats.org/officeDocument/2006/relationships/customXml" Target="../ink/ink15.xml"/><Relationship Id="rId33" Type="http://schemas.openxmlformats.org/officeDocument/2006/relationships/customXml" Target="../ink/ink21.xml"/><Relationship Id="rId38" Type="http://schemas.openxmlformats.org/officeDocument/2006/relationships/customXml" Target="../ink/ink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362287</xdr:colOff>
      <xdr:row>22</xdr:row>
      <xdr:rowOff>131760</xdr:rowOff>
    </xdr:from>
    <xdr:to>
      <xdr:col>6</xdr:col>
      <xdr:colOff>375607</xdr:colOff>
      <xdr:row>22</xdr:row>
      <xdr:rowOff>144720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20B5CC3-0288-4850-A433-F4D4E63F345E}"/>
                </a:ext>
              </a:extLst>
            </xdr14:cNvPr>
            <xdr14:cNvContentPartPr/>
          </xdr14:nvContentPartPr>
          <xdr14:nvPr macro=""/>
          <xdr14:xfrm>
            <a:off x="2177640" y="4132260"/>
            <a:ext cx="13320" cy="129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D47C3B49-230E-4C51-A30B-F43B8820EE22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2173320" y="4127940"/>
              <a:ext cx="21960" cy="21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172376</xdr:colOff>
      <xdr:row>31</xdr:row>
      <xdr:rowOff>38100</xdr:rowOff>
    </xdr:from>
    <xdr:to>
      <xdr:col>6</xdr:col>
      <xdr:colOff>184616</xdr:colOff>
      <xdr:row>31</xdr:row>
      <xdr:rowOff>82380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B772163-A13F-4BD0-98BD-54558012748E}"/>
                </a:ext>
              </a:extLst>
            </xdr14:cNvPr>
            <xdr14:cNvContentPartPr/>
          </xdr14:nvContentPartPr>
          <xdr14:nvPr macro=""/>
          <xdr14:xfrm>
            <a:off x="4408200" y="1752600"/>
            <a:ext cx="12240" cy="4428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4032157A-F665-48DE-9B41-F4EC8CC40EA0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403880" y="1748280"/>
              <a:ext cx="20880" cy="529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107730</xdr:colOff>
      <xdr:row>88</xdr:row>
      <xdr:rowOff>129690</xdr:rowOff>
    </xdr:from>
    <xdr:to>
      <xdr:col>1</xdr:col>
      <xdr:colOff>152370</xdr:colOff>
      <xdr:row>89</xdr:row>
      <xdr:rowOff>30795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3F74DF0-CD0B-4775-ACD9-502DF17095F9}"/>
                </a:ext>
              </a:extLst>
            </xdr14:cNvPr>
            <xdr14:cNvContentPartPr/>
          </xdr14:nvContentPartPr>
          <xdr14:nvPr macro=""/>
          <xdr14:xfrm>
            <a:off x="717330" y="16893690"/>
            <a:ext cx="44640" cy="8208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E84D2DA3-8CFA-467F-A3EF-4A4AD83B378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08330" y="16885050"/>
              <a:ext cx="62280" cy="99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243120</xdr:colOff>
      <xdr:row>94</xdr:row>
      <xdr:rowOff>107880</xdr:rowOff>
    </xdr:from>
    <xdr:to>
      <xdr:col>3</xdr:col>
      <xdr:colOff>386760</xdr:colOff>
      <xdr:row>94</xdr:row>
      <xdr:rowOff>168720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C5C6C501-2790-45F7-BE09-2872E72A63CF}"/>
                </a:ext>
              </a:extLst>
            </xdr14:cNvPr>
            <xdr14:cNvContentPartPr/>
          </xdr14:nvContentPartPr>
          <xdr14:nvPr macro=""/>
          <xdr14:xfrm>
            <a:off x="1462320" y="18014880"/>
            <a:ext cx="143640" cy="6084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749A0CD3-9E0C-45A6-A741-5EDE1274BAC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53680" y="18006240"/>
              <a:ext cx="161280" cy="78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132240</xdr:colOff>
      <xdr:row>94</xdr:row>
      <xdr:rowOff>50640</xdr:rowOff>
    </xdr:from>
    <xdr:to>
      <xdr:col>3</xdr:col>
      <xdr:colOff>166440</xdr:colOff>
      <xdr:row>94</xdr:row>
      <xdr:rowOff>120480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DA1A454B-F456-4ACF-A57F-6A285F14E939}"/>
                </a:ext>
              </a:extLst>
            </xdr14:cNvPr>
            <xdr14:cNvContentPartPr/>
          </xdr14:nvContentPartPr>
          <xdr14:nvPr macro=""/>
          <xdr14:xfrm>
            <a:off x="1351440" y="17957640"/>
            <a:ext cx="34200" cy="6984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B8EEE7EF-01AB-47FA-B136-6A2C00CA9819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42800" y="17948686"/>
              <a:ext cx="51840" cy="8739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1027785</xdr:colOff>
      <xdr:row>29</xdr:row>
      <xdr:rowOff>61200</xdr:rowOff>
    </xdr:from>
    <xdr:to>
      <xdr:col>6</xdr:col>
      <xdr:colOff>25005</xdr:colOff>
      <xdr:row>29</xdr:row>
      <xdr:rowOff>83880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BA327B83-861B-49B9-A647-CC02DCAF37BE}"/>
                </a:ext>
              </a:extLst>
            </xdr14:cNvPr>
            <xdr14:cNvContentPartPr/>
          </xdr14:nvContentPartPr>
          <xdr14:nvPr macro=""/>
          <xdr14:xfrm>
            <a:off x="14381835" y="2347200"/>
            <a:ext cx="25920" cy="2268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0597E63C-16D2-E2AF-B81C-A9348E7439A9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4377515" y="2342880"/>
              <a:ext cx="34560" cy="31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196905</xdr:colOff>
      <xdr:row>32</xdr:row>
      <xdr:rowOff>110100</xdr:rowOff>
    </xdr:from>
    <xdr:to>
      <xdr:col>5</xdr:col>
      <xdr:colOff>225705</xdr:colOff>
      <xdr:row>32</xdr:row>
      <xdr:rowOff>167700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7313ED88-D037-4629-A9BA-9B33EBFF4DFE}"/>
                </a:ext>
              </a:extLst>
            </xdr14:cNvPr>
            <xdr14:cNvContentPartPr/>
          </xdr14:nvContentPartPr>
          <xdr14:nvPr macro=""/>
          <xdr14:xfrm>
            <a:off x="13550955" y="2586600"/>
            <a:ext cx="28800" cy="5760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8AA03251-FB5F-F9A7-4E4A-1A8E72F09D27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3546635" y="2582280"/>
              <a:ext cx="37440" cy="66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426030</xdr:colOff>
      <xdr:row>73</xdr:row>
      <xdr:rowOff>89400</xdr:rowOff>
    </xdr:from>
    <xdr:to>
      <xdr:col>5</xdr:col>
      <xdr:colOff>466710</xdr:colOff>
      <xdr:row>73</xdr:row>
      <xdr:rowOff>123240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82CCDE4A-75AC-4524-AC7D-BE43E7EA24CE}"/>
                </a:ext>
              </a:extLst>
            </xdr14:cNvPr>
            <xdr14:cNvContentPartPr/>
          </xdr14:nvContentPartPr>
          <xdr14:nvPr macro=""/>
          <xdr14:xfrm>
            <a:off x="17513880" y="851400"/>
            <a:ext cx="40680" cy="3384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D3CDE2C6-B427-80E4-FEE5-10CBEE049D47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7509560" y="847080"/>
              <a:ext cx="49320" cy="42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339630</xdr:colOff>
      <xdr:row>73</xdr:row>
      <xdr:rowOff>76440</xdr:rowOff>
    </xdr:from>
    <xdr:to>
      <xdr:col>5</xdr:col>
      <xdr:colOff>368790</xdr:colOff>
      <xdr:row>73</xdr:row>
      <xdr:rowOff>120720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79CC9DFB-39A0-43DA-85FB-11C6AD7CC87C}"/>
                </a:ext>
              </a:extLst>
            </xdr14:cNvPr>
            <xdr14:cNvContentPartPr/>
          </xdr14:nvContentPartPr>
          <xdr14:nvPr macro=""/>
          <xdr14:xfrm>
            <a:off x="17427480" y="838440"/>
            <a:ext cx="29160" cy="4428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D32E279D-6BCC-3344-273D-1E48AD83FDAD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17423160" y="834120"/>
              <a:ext cx="37800" cy="52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330990</xdr:colOff>
      <xdr:row>74</xdr:row>
      <xdr:rowOff>114540</xdr:rowOff>
    </xdr:from>
    <xdr:to>
      <xdr:col>5</xdr:col>
      <xdr:colOff>362310</xdr:colOff>
      <xdr:row>74</xdr:row>
      <xdr:rowOff>165300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9606278B-0164-474C-9554-E6F29A10E21C}"/>
                </a:ext>
              </a:extLst>
            </xdr14:cNvPr>
            <xdr14:cNvContentPartPr/>
          </xdr14:nvContentPartPr>
          <xdr14:nvPr macro=""/>
          <xdr14:xfrm>
            <a:off x="17418840" y="1067040"/>
            <a:ext cx="31320" cy="507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5F5234C8-09B8-8A83-18C3-F595D2833F3F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17414520" y="1062720"/>
              <a:ext cx="39960" cy="59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234150</xdr:colOff>
      <xdr:row>74</xdr:row>
      <xdr:rowOff>113820</xdr:rowOff>
    </xdr:from>
    <xdr:to>
      <xdr:col>5</xdr:col>
      <xdr:colOff>242430</xdr:colOff>
      <xdr:row>74</xdr:row>
      <xdr:rowOff>119580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BE8722D2-8A2D-457D-A947-65815FA0A843}"/>
                </a:ext>
              </a:extLst>
            </xdr14:cNvPr>
            <xdr14:cNvContentPartPr/>
          </xdr14:nvContentPartPr>
          <xdr14:nvPr macro=""/>
          <xdr14:xfrm>
            <a:off x="17322000" y="1066320"/>
            <a:ext cx="8280" cy="57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06E4CBCC-9D22-C866-52AC-B77BA1C01EA9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17317680" y="1062000"/>
              <a:ext cx="16920" cy="14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576510</xdr:colOff>
      <xdr:row>77</xdr:row>
      <xdr:rowOff>162960</xdr:rowOff>
    </xdr:from>
    <xdr:to>
      <xdr:col>5</xdr:col>
      <xdr:colOff>594510</xdr:colOff>
      <xdr:row>77</xdr:row>
      <xdr:rowOff>174840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286D7811-98C0-4CD9-8602-BE4E25DAC89B}"/>
                </a:ext>
              </a:extLst>
            </xdr14:cNvPr>
            <xdr14:cNvContentPartPr/>
          </xdr14:nvContentPartPr>
          <xdr14:nvPr macro=""/>
          <xdr14:xfrm>
            <a:off x="17664360" y="1686960"/>
            <a:ext cx="18000" cy="1188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8FC11590-75FC-7308-4CF3-D384998E13E9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7660040" y="1682640"/>
              <a:ext cx="26640" cy="20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459510</xdr:colOff>
      <xdr:row>77</xdr:row>
      <xdr:rowOff>123360</xdr:rowOff>
    </xdr:from>
    <xdr:to>
      <xdr:col>5</xdr:col>
      <xdr:colOff>491190</xdr:colOff>
      <xdr:row>77</xdr:row>
      <xdr:rowOff>132000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7CC602F6-FF73-4DD7-8E9B-B2333BCCAF94}"/>
                </a:ext>
              </a:extLst>
            </xdr14:cNvPr>
            <xdr14:cNvContentPartPr/>
          </xdr14:nvContentPartPr>
          <xdr14:nvPr macro=""/>
          <xdr14:xfrm>
            <a:off x="17547360" y="1647360"/>
            <a:ext cx="31680" cy="864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AB627E2D-9BA3-4A22-8B4C-E50FBB60A63E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17543040" y="1643040"/>
              <a:ext cx="40320" cy="17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461565</xdr:colOff>
      <xdr:row>5</xdr:row>
      <xdr:rowOff>95100</xdr:rowOff>
    </xdr:from>
    <xdr:to>
      <xdr:col>7</xdr:col>
      <xdr:colOff>470925</xdr:colOff>
      <xdr:row>5</xdr:row>
      <xdr:rowOff>110220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AE47929-71D4-4D52-931D-EFE6AB2E6724}"/>
                </a:ext>
              </a:extLst>
            </xdr14:cNvPr>
            <xdr14:cNvContentPartPr/>
          </xdr14:nvContentPartPr>
          <xdr14:nvPr macro=""/>
          <xdr14:xfrm>
            <a:off x="19625865" y="1047600"/>
            <a:ext cx="9360" cy="15120"/>
          </xdr14:xfrm>
        </xdr:contentPart>
      </mc:Choice>
      <mc:Fallback xmlns=""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3CE8A6BB-C1EF-D5C6-9BDA-0923FB6B4FF8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19621545" y="1043280"/>
              <a:ext cx="18000" cy="23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1027785</xdr:colOff>
      <xdr:row>29</xdr:row>
      <xdr:rowOff>61200</xdr:rowOff>
    </xdr:from>
    <xdr:to>
      <xdr:col>7</xdr:col>
      <xdr:colOff>25005</xdr:colOff>
      <xdr:row>29</xdr:row>
      <xdr:rowOff>83880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92295BD3-FA4C-4799-B7C5-36A2AA6F43FF}"/>
                </a:ext>
              </a:extLst>
            </xdr14:cNvPr>
            <xdr14:cNvContentPartPr/>
          </xdr14:nvContentPartPr>
          <xdr14:nvPr macro=""/>
          <xdr14:xfrm>
            <a:off x="14381835" y="2347200"/>
            <a:ext cx="25920" cy="2268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0597E63C-16D2-E2AF-B81C-A9348E7439A9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4377515" y="2342880"/>
              <a:ext cx="34560" cy="31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774405</xdr:colOff>
      <xdr:row>31</xdr:row>
      <xdr:rowOff>190440</xdr:rowOff>
    </xdr:from>
    <xdr:to>
      <xdr:col>7</xdr:col>
      <xdr:colOff>8640</xdr:colOff>
      <xdr:row>32</xdr:row>
      <xdr:rowOff>33225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A10A9211-F2C0-4755-A2F8-E6F413FB3980}"/>
                </a:ext>
              </a:extLst>
            </xdr14:cNvPr>
            <xdr14:cNvContentPartPr/>
          </xdr14:nvContentPartPr>
          <xdr14:nvPr macro=""/>
          <xdr14:xfrm>
            <a:off x="13166430" y="3619440"/>
            <a:ext cx="5760" cy="237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245F133A-53A5-357E-65C1-8B67419EC89D}"/>
                </a:ext>
              </a:extLst>
            </xdr:cNvPr>
            <xdr:cNvPicPr/>
          </xdr:nvPicPr>
          <xdr:blipFill>
            <a:blip xmlns:r="http://schemas.openxmlformats.org/officeDocument/2006/relationships" r:embed="rId27"/>
            <a:stretch>
              <a:fillRect/>
            </a:stretch>
          </xdr:blipFill>
          <xdr:spPr>
            <a:xfrm>
              <a:off x="13162110" y="3615120"/>
              <a:ext cx="14400" cy="32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774405</xdr:colOff>
      <xdr:row>41</xdr:row>
      <xdr:rowOff>190440</xdr:rowOff>
    </xdr:from>
    <xdr:to>
      <xdr:col>7</xdr:col>
      <xdr:colOff>8640</xdr:colOff>
      <xdr:row>42</xdr:row>
      <xdr:rowOff>33225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73FF33D-C19D-482F-8859-FD99F1443B35}"/>
                </a:ext>
              </a:extLst>
            </xdr14:cNvPr>
            <xdr14:cNvContentPartPr/>
          </xdr14:nvContentPartPr>
          <xdr14:nvPr macro=""/>
          <xdr14:xfrm>
            <a:off x="13166430" y="3619440"/>
            <a:ext cx="5760" cy="237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245F133A-53A5-357E-65C1-8B67419EC89D}"/>
                </a:ext>
              </a:extLst>
            </xdr:cNvPr>
            <xdr:cNvPicPr/>
          </xdr:nvPicPr>
          <xdr:blipFill>
            <a:blip xmlns:r="http://schemas.openxmlformats.org/officeDocument/2006/relationships" r:embed="rId27"/>
            <a:stretch>
              <a:fillRect/>
            </a:stretch>
          </xdr:blipFill>
          <xdr:spPr>
            <a:xfrm>
              <a:off x="13162110" y="3615120"/>
              <a:ext cx="14400" cy="32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774405</xdr:colOff>
      <xdr:row>49</xdr:row>
      <xdr:rowOff>190440</xdr:rowOff>
    </xdr:from>
    <xdr:to>
      <xdr:col>7</xdr:col>
      <xdr:colOff>8640</xdr:colOff>
      <xdr:row>50</xdr:row>
      <xdr:rowOff>33225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FE41588C-AC4C-4A77-BED8-5FE12A2829EC}"/>
                </a:ext>
              </a:extLst>
            </xdr14:cNvPr>
            <xdr14:cNvContentPartPr/>
          </xdr14:nvContentPartPr>
          <xdr14:nvPr macro=""/>
          <xdr14:xfrm>
            <a:off x="13166430" y="3619440"/>
            <a:ext cx="5760" cy="237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245F133A-53A5-357E-65C1-8B67419EC89D}"/>
                </a:ext>
              </a:extLst>
            </xdr:cNvPr>
            <xdr:cNvPicPr/>
          </xdr:nvPicPr>
          <xdr:blipFill>
            <a:blip xmlns:r="http://schemas.openxmlformats.org/officeDocument/2006/relationships" r:embed="rId30"/>
            <a:stretch>
              <a:fillRect/>
            </a:stretch>
          </xdr:blipFill>
          <xdr:spPr>
            <a:xfrm>
              <a:off x="13162110" y="3615120"/>
              <a:ext cx="14400" cy="324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15</xdr:col>
      <xdr:colOff>107730</xdr:colOff>
      <xdr:row>88</xdr:row>
      <xdr:rowOff>129690</xdr:rowOff>
    </xdr:from>
    <xdr:ext cx="44640" cy="86423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398484B9-CFCA-4A75-9D71-26CEED15A195}"/>
                </a:ext>
              </a:extLst>
            </xdr14:cNvPr>
            <xdr14:cNvContentPartPr/>
          </xdr14:nvContentPartPr>
          <xdr14:nvPr macro=""/>
          <xdr14:xfrm>
            <a:off x="717330" y="16893690"/>
            <a:ext cx="44640" cy="8208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E84D2DA3-8CFA-467F-A3EF-4A4AD83B378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08330" y="16885050"/>
              <a:ext cx="62280" cy="9972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243120</xdr:colOff>
      <xdr:row>94</xdr:row>
      <xdr:rowOff>107880</xdr:rowOff>
    </xdr:from>
    <xdr:ext cx="143640" cy="60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304391-0144-4514-A12A-7EB8606626C8}"/>
                </a:ext>
              </a:extLst>
            </xdr14:cNvPr>
            <xdr14:cNvContentPartPr/>
          </xdr14:nvContentPartPr>
          <xdr14:nvPr macro=""/>
          <xdr14:xfrm>
            <a:off x="1462320" y="18014880"/>
            <a:ext cx="143640" cy="6084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749A0CD3-9E0C-45A6-A741-5EDE1274BAC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53680" y="18006240"/>
              <a:ext cx="161280" cy="78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132240</xdr:colOff>
      <xdr:row>94</xdr:row>
      <xdr:rowOff>50640</xdr:rowOff>
    </xdr:from>
    <xdr:ext cx="342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63B8023A-CDF7-499E-9DFD-D4447A628043}"/>
                </a:ext>
              </a:extLst>
            </xdr14:cNvPr>
            <xdr14:cNvContentPartPr/>
          </xdr14:nvContentPartPr>
          <xdr14:nvPr macro=""/>
          <xdr14:xfrm>
            <a:off x="1351440" y="17957640"/>
            <a:ext cx="34200" cy="6984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B8EEE7EF-01AB-47FA-B136-6A2C00CA9819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42800" y="17948686"/>
              <a:ext cx="51840" cy="8739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196905</xdr:colOff>
      <xdr:row>32</xdr:row>
      <xdr:rowOff>110100</xdr:rowOff>
    </xdr:from>
    <xdr:ext cx="28800" cy="5760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1EA5FD32-3509-41E0-80C3-ABC4711445B2}"/>
                </a:ext>
              </a:extLst>
            </xdr14:cNvPr>
            <xdr14:cNvContentPartPr/>
          </xdr14:nvContentPartPr>
          <xdr14:nvPr macro=""/>
          <xdr14:xfrm>
            <a:off x="13550955" y="2586600"/>
            <a:ext cx="28800" cy="5760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8AA03251-FB5F-F9A7-4E4A-1A8E72F09D27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3546635" y="2582280"/>
              <a:ext cx="37440" cy="6624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426030</xdr:colOff>
      <xdr:row>73</xdr:row>
      <xdr:rowOff>89400</xdr:rowOff>
    </xdr:from>
    <xdr:ext cx="40680" cy="3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D4005C2D-80B3-497F-A9EE-175C4E443933}"/>
                </a:ext>
              </a:extLst>
            </xdr14:cNvPr>
            <xdr14:cNvContentPartPr/>
          </xdr14:nvContentPartPr>
          <xdr14:nvPr macro=""/>
          <xdr14:xfrm>
            <a:off x="17513880" y="851400"/>
            <a:ext cx="40680" cy="3384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D3CDE2C6-B427-80E4-FEE5-10CBEE049D47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7509560" y="847080"/>
              <a:ext cx="49320" cy="42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339630</xdr:colOff>
      <xdr:row>73</xdr:row>
      <xdr:rowOff>76440</xdr:rowOff>
    </xdr:from>
    <xdr:ext cx="29160" cy="4428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ADF405F3-5D70-433D-8286-0147F9F6931D}"/>
                </a:ext>
              </a:extLst>
            </xdr14:cNvPr>
            <xdr14:cNvContentPartPr/>
          </xdr14:nvContentPartPr>
          <xdr14:nvPr macro=""/>
          <xdr14:xfrm>
            <a:off x="17427480" y="838440"/>
            <a:ext cx="29160" cy="4428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D32E279D-6BCC-3344-273D-1E48AD83FDAD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17423160" y="834120"/>
              <a:ext cx="37800" cy="5292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330990</xdr:colOff>
      <xdr:row>74</xdr:row>
      <xdr:rowOff>114540</xdr:rowOff>
    </xdr:from>
    <xdr:ext cx="31320" cy="507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64750F3B-43E6-4E3A-AA8F-9BAA0B972C11}"/>
                </a:ext>
              </a:extLst>
            </xdr14:cNvPr>
            <xdr14:cNvContentPartPr/>
          </xdr14:nvContentPartPr>
          <xdr14:nvPr macro=""/>
          <xdr14:xfrm>
            <a:off x="17418840" y="1067040"/>
            <a:ext cx="31320" cy="507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5F5234C8-09B8-8A83-18C3-F595D2833F3F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17414520" y="1062720"/>
              <a:ext cx="39960" cy="594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234150</xdr:colOff>
      <xdr:row>74</xdr:row>
      <xdr:rowOff>113820</xdr:rowOff>
    </xdr:from>
    <xdr:ext cx="8280" cy="57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26C1E57E-13A9-4BA9-B221-C9B3B686F2DA}"/>
                </a:ext>
              </a:extLst>
            </xdr14:cNvPr>
            <xdr14:cNvContentPartPr/>
          </xdr14:nvContentPartPr>
          <xdr14:nvPr macro=""/>
          <xdr14:xfrm>
            <a:off x="17322000" y="1066320"/>
            <a:ext cx="8280" cy="57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06E4CBCC-9D22-C866-52AC-B77BA1C01EA9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17317680" y="1062000"/>
              <a:ext cx="16920" cy="144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576510</xdr:colOff>
      <xdr:row>77</xdr:row>
      <xdr:rowOff>162960</xdr:rowOff>
    </xdr:from>
    <xdr:ext cx="18000" cy="1188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9E3AE704-5E12-49A2-8854-3D69D43F5B55}"/>
                </a:ext>
              </a:extLst>
            </xdr14:cNvPr>
            <xdr14:cNvContentPartPr/>
          </xdr14:nvContentPartPr>
          <xdr14:nvPr macro=""/>
          <xdr14:xfrm>
            <a:off x="17664360" y="1686960"/>
            <a:ext cx="18000" cy="1188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8FC11590-75FC-7308-4CF3-D384998E13E9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7660040" y="1682640"/>
              <a:ext cx="26640" cy="2052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459510</xdr:colOff>
      <xdr:row>77</xdr:row>
      <xdr:rowOff>123360</xdr:rowOff>
    </xdr:from>
    <xdr:ext cx="31680" cy="86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D6900FFB-DDA2-43B9-A303-BDE5FA0DCC72}"/>
                </a:ext>
              </a:extLst>
            </xdr14:cNvPr>
            <xdr14:cNvContentPartPr/>
          </xdr14:nvContentPartPr>
          <xdr14:nvPr macro=""/>
          <xdr14:xfrm>
            <a:off x="17547360" y="1647360"/>
            <a:ext cx="31680" cy="864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AB627E2D-9BA3-4A22-8B4C-E50FBB60A63E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17543040" y="1643040"/>
              <a:ext cx="40320" cy="172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461565</xdr:colOff>
      <xdr:row>5</xdr:row>
      <xdr:rowOff>95100</xdr:rowOff>
    </xdr:from>
    <xdr:ext cx="9360" cy="151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28BBC0EA-C56C-46AE-9F20-762FDEF71164}"/>
                </a:ext>
              </a:extLst>
            </xdr14:cNvPr>
            <xdr14:cNvContentPartPr/>
          </xdr14:nvContentPartPr>
          <xdr14:nvPr macro=""/>
          <xdr14:xfrm>
            <a:off x="19625865" y="1047600"/>
            <a:ext cx="9360" cy="15120"/>
          </xdr14:xfrm>
        </xdr:contentPart>
      </mc:Choice>
      <mc:Fallback xmlns=""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3CE8A6BB-C1EF-D5C6-9BDA-0923FB6B4FF8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19621545" y="1043280"/>
              <a:ext cx="18000" cy="237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1027785</xdr:colOff>
      <xdr:row>29</xdr:row>
      <xdr:rowOff>61200</xdr:rowOff>
    </xdr:from>
    <xdr:ext cx="19789" cy="2268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3F42A410-407D-4A4D-B755-2FAC392CA282}"/>
                </a:ext>
              </a:extLst>
            </xdr14:cNvPr>
            <xdr14:cNvContentPartPr/>
          </xdr14:nvContentPartPr>
          <xdr14:nvPr macro=""/>
          <xdr14:xfrm>
            <a:off x="14381835" y="2347200"/>
            <a:ext cx="25920" cy="2268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0597E63C-16D2-E2AF-B81C-A9348E7439A9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4377515" y="2342880"/>
              <a:ext cx="34560" cy="3132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18:56.99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36 0 3592,'0'0'91,"-3"4"-94,-9 10-5,9-11 0,-6 4-377,0 0-1502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29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38 140 6552,'2'0'27,"0"0"0,0 1 0,0-1 0,0 0 0,0 0 1,1 0-1,-1-1 0,0 1 0,0 0 0,0-1 0,0 0 0,0 1 1,0-1-1,0 0 0,0 0 0,0 0 0,0 0 0,-1 0 0,1 0 1,0-1-1,1-1 0,-2 0 20,0 0 0,-1 0 1,1-1-1,-1 1 1,0 0-1,0 0 0,0 0 1,0-1-1,-1 1 0,1 0 1,-1 0-1,0 0 0,-2-6 1,1 1 10,-1 0 1,0-1-1,0 1 1,-8-12-1,10 18-84,1 1 0,-1-1-1,0 1 1,0 0 0,0 0 0,0-1-1,0 1 1,0 0 0,0 0 0,0 0-1,0 0 1,0 0 0,-1 0 0,1 0-1,0 1 1,-1-1 0,1 0 0,-1 1-1,1-1 1,-1 1 0,1-1 0,-1 1-1,1 0 1,-1 0 0,1 0 0,-1 0-1,1 0 1,-1 0 0,1 0 0,-1 0 0,1 0-1,-1 1 1,-2 0 0,-8 4-4674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0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23 1 4760,'0'7'-1,"-17"0"-30,11-6-518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1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49 1 7176,'0'0'896,"-22"1"-936,5 18-906,7-7-3660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2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88 0 7712,'-29'10'-719,"18"-9"631,5 0-59,0 0-1,1 0 1,-1 0-1,0 0 1,1 1 0,-8 3-1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3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25 26 6456,'-1'-4'105,"-3"-13"51,3 13 183,-1 5-256,1 0 0,0 0 0,0 0 0,0 0 0,-1 1 1,1-1-1,0 0 0,1 1 0,-1-1 0,0 0 0,0 1 0,0-1 0,1 1 1,-1-1-1,1 1 0,-1 0 0,1-1 0,0 1 0,0 0 0,0 2 1,0-3-62,-1 0 99,-1 6-850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4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72 33 3056,'-3'-4'56,"-20"-23"28,22 25 56,-17 12 592,7 38 356,10-47-947,-13 2-201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517 0 1800,'0'0'4162,"-103"8"-4060,70-3-146,-37-1-12,-1 2 0,38-2-1,-2 0 1,3 2-1,-4-2 1,1 2-1,2-2 1,-2 1-1,35 7 1,0 12-3384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517 0 1800,'0'0'4162,"-103"8"-4060,70-3-146,-37-1-12,-1 2 0,38-2-1,-2 0 1,3 2-1,-4-2 1,1 2-1,2-2 1,-2 1-1,35 7 1,0 12-3384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7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517 0 1800,'0'0'4162,"-103"8"-4060,70-3-146,-37-1-12,-1 2 0,38-2-1,-2 0 1,3 2-1,-4-2 1,1 2-1,2-2 1,-2 1-1,35 7 1,0 12-3384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123 109 8432,'0'0'88,"-2"21"8,-2-13 0,-9-1-96,3-3-200,-3-2 200,0-1-5904</inkml:trace>
  <inkml:trace contextRef="#ctx0" brushRef="#br0" timeOffset="1">84 109 6816,'0'1'9,"0"3"8,10 48 386,-4-27-152,3 11-501</inkml:trace>
  <inkml:trace contextRef="#ctx0" brushRef="#br0" timeOffset="2">34 6 6368,'0'0'93,"1"-1"-65,1-3-739</inkml:trace>
  <inkml:trace contextRef="#ctx0" brushRef="#br0" timeOffset="3">47 6 5920,'0'0'80,"-14"5"177,9-3-169,-16 16-697,14-13-3031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19:40.08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34 0 4488,'0'0'119,"-2"4"11,-2 5-19,0 0 0,1 0-1,1 0 1,-1 1 0,2-1-1,-2 18 1,-3-2-260,5-22-158,-3 5-2853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4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46 8 7000,'0'-1'-32,"0"-4"-4,0 4-16,2 2-107,4 4-632</inkml:trace>
  <inkml:trace contextRef="#ctx0" brushRef="#br0" timeOffset="1">1 22 4936,'0'0'272,"0"2"-79,0 4 19,1-1-147,1 1 0,1-1 0,-1 0 0,1 1-1,0-1 1,0 0 0,0-1 0,1 1 0,0-1 0,0 1 0,0-1-1,0 0 1,7 4 0,21 21-682,-15-13-3143</inkml:trace>
  <inkml:trace contextRef="#ctx0" brushRef="#br0" timeOffset="2">272 22 9776,'0'0'0,"6"-7"-952,1 13-1232,-3 1 2184,0 0-4504</inkml:trace>
  <inkml:trace contextRef="#ctx0" brushRef="#br0" timeOffset="3">318 15 5472,'9'23'48,"-5"-14"0,0 1 0,0-1 0,-1 1 0,2 13 0,-5-22-53,0 0 0,0 1 0,1-1 0,-1 0 0,0 0 0,0 1 0,-1-1 1,1 0-1,0 0 0,0 1 0,-1-1 0,1 0 0,0 0 0,-1 0 0,1 0 0,-1 0 0,0 1 0,1-1 1,-2 1-1,-1 2-524,-1 5-2684</inkml:trace>
  <inkml:trace contextRef="#ctx0" brushRef="#br0" timeOffset="4">318 169 4664,'1'-2'16,"3"-4"3,-1 5-39,-1-1 0,1 1 0,0 0 1,-1 0-1,1 0 0,0 1 1,0-1-1,0 1 0,-1-1 1,1 1-1,0 0 0,0 0 0,0 0 1,0 1-1,0-1 0,-1 1 1,1-1-1,0 1 0,0 0 1,-1 0-1,4 1 0,5 2-2573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23 10 6104,'0'0'48,"-21"-10"-48,20 18-16,1-3-560,0 3-3120</inkml:trace>
  <inkml:trace contextRef="#ctx0" brushRef="#br0" timeOffset="1">30 106 5656,'0'0'-16,"24"21"-128,7 29-604,-21-33-2192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49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59 8 3680,'0'0'145,"3"-2"-19,12-3 79,-13 12 718,-15 28 865,5-17-2075,2-1 276,4-10-15,0-1 0,0 1 1,-1-1-1,0 0 0,0 0 0,-1 0 1,0 0-1,0-1 0,0 1 0,0-1 1,-11 9-1,13-12-3986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50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113 2 2424,'-4'-1'17,"1"1"-11,0-1 0,1 1-1,-1 0 1,0 0-1,0 0 1,1 0 0,-1 1-1,0-1 1,0 1 0,1 0-1,-1-1 1,0 1-1,1 0 1,-1 1 0,1-1-1,0 0 1,-1 1 0,1-1-1,0 1 1,-3 3 0,-1 0-37,0 2 1,0-1 0,1 1 0,0 0-1,0 0 1,-4 9 0,0 3-1190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51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77 23 5744,'4'-15'-32,"-8"8"10,-12 10 12,12 0-2,0 0 1,1 1-1,-1-1 1,1 1-1,0 0 0,0 0 1,0 0-1,0 0 1,1 1-1,0-1 1,0 1-1,0-1 0,0 1 1,1 0-1,-2 7 1,-2 2-441,-6 18-2695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52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38 140 6552,'2'0'27,"0"0"0,0 1 0,0-1 0,0 0 0,0 0 1,1 0-1,-1-1 0,0 1 0,0 0 0,0-1 0,0 0 0,0 1 1,0-1-1,0 0 0,0 0 0,0 0 0,0 0 0,-1 0 0,1 0 1,0-1-1,1-1 0,-2 0 20,0 0 0,-1 0 1,1-1-1,-1 1 1,0 0-1,0 0 0,0 0 1,0-1-1,-1 1 0,1 0 1,-1 0-1,0 0 0,-2-6 1,1 1 10,-1 0 1,0-1-1,0 1 1,-8-12-1,10 18-84,1 1 0,-1-1-1,0 1 1,0 0 0,0 0 0,0-1-1,0 1 1,0 0 0,0 0 0,0 0-1,0 0 1,0 0 0,-1 0 0,1 0-1,0 1 1,-1-1 0,1 0 0,-1 1-1,1-1 1,-1 1 0,1-1 0,-1 1-1,1 0 1,-1 0 0,1 0 0,-1 0-1,1 0 1,-1 0 0,1 0 0,-1 0 0,1 0-1,-1 1 1,-2 0 0,-8 4-4674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53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23 1 4760,'0'7'-1,"-17"0"-30,11-6-518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54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49 1 7176,'0'0'896,"-22"1"-936,5 18-906,7-7-3660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5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88 0 7712,'-29'10'-719,"18"-9"631,5 0-59,0 0-1,1 0 1,-1 0-1,0 0 1,1 1 0,-8 3-1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5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25 26 6456,'-1'-4'105,"-3"-13"51,3 13 183,-1 5-256,1 0 0,0 0 0,0 0 0,0 0 0,-1 1 1,1-1-1,0 0 0,1 1 0,-1-1 0,0 0 0,0 1 0,0-1 0,1 1 1,-1-1-1,1 1 0,-1 0 0,1-1 0,0 1 0,0 0 0,0 2 1,0-3-62,-1 0 99,-1 6-850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1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123 109 8432,'0'0'88,"-2"21"8,-2-13 0,-9-1-96,3-3-200,-3-2 200,0-1-5904</inkml:trace>
  <inkml:trace contextRef="#ctx0" brushRef="#br0" timeOffset="1">84 109 6816,'0'1'9,"0"3"8,10 48 386,-4-27-152,3 11-501</inkml:trace>
  <inkml:trace contextRef="#ctx0" brushRef="#br0" timeOffset="2">34 6 6368,'0'0'93,"1"-1"-65,1-3-739</inkml:trace>
  <inkml:trace contextRef="#ctx0" brushRef="#br0" timeOffset="3">47 6 5920,'0'0'80,"-14"5"177,9-3-169,-16 16-697,14-13-3031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57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72 33 3056,'-3'-4'56,"-20"-23"28,22 25 56,-17 12 592,7 38 356,10-47-947,-13 2-201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1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46 8 7000,'0'-1'-32,"0"-4"-4,0 4-16,2 2-107,4 4-632</inkml:trace>
  <inkml:trace contextRef="#ctx0" brushRef="#br0" timeOffset="1">1 22 4936,'0'0'272,"0"2"-79,0 4 19,1-1-147,1 1 0,1-1 0,-1 0 0,1 1-1,0-1 1,0 0 0,0-1 0,1 1 0,0-1 0,0 1 0,0-1-1,0 0 1,7 4 0,21 21-682,-15-13-3143</inkml:trace>
  <inkml:trace contextRef="#ctx0" brushRef="#br0" timeOffset="2">272 22 9776,'0'0'0,"6"-7"-952,1 13-1232,-3 1 2184,0 0-4504</inkml:trace>
  <inkml:trace contextRef="#ctx0" brushRef="#br0" timeOffset="3">318 15 5472,'9'23'48,"-5"-14"0,0 1 0,0-1 0,-1 1 0,2 13 0,-5-22-53,0 0 0,0 1 0,1-1 0,-1 0 0,0 0 0,0 1 0,-1-1 1,1 0-1,0 0 0,0 1 0,-1-1 0,1 0 0,0 0 0,-1 0 0,1 0 0,-1 0 0,0 1 0,1-1 1,-2 1-1,-1 2-524,-1 5-2684</inkml:trace>
  <inkml:trace contextRef="#ctx0" brushRef="#br0" timeOffset="4">318 169 4664,'1'-2'16,"3"-4"3,-1 5-39,-1-1 0,1 1 0,0 0 1,-1 0-1,1 0 0,0 1 1,0-1-1,0 1 0,-1-1 1,1 1-1,0 0 0,0 0 0,0 0 1,0 1-1,0-1 0,-1 1 1,1-1-1,0 1 0,0 0 1,-1 0-1,4 1 0,5 2-2573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2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23 10 6104,'0'0'48,"-21"-10"-48,20 18-16,1-3-560,0 3-3120</inkml:trace>
  <inkml:trace contextRef="#ctx0" brushRef="#br0" timeOffset="1">30 106 5656,'0'0'-16,"24"21"-128,7 29-604,-21-33-2192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2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72 33 3056,'-3'-4'56,"-20"-23"28,22 25 56,-17 12 592,7 38 356,10-47-947,-13 2-201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2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59 8 3680,'0'0'145,"3"-2"-19,12-3 79,-13 12 718,-15 28 865,5-17-2075,2-1 276,4-10-15,0-1 0,0 1 1,-1-1-1,0 0 0,0 0 0,-1 0 1,0 0-1,0-1 0,0 1 0,0-1 1,-11 9-1,13-12-3986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27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113 2 2424,'-4'-1'17,"1"1"-11,0-1 0,1 1-1,-1 0 1,0 0-1,0 0 1,1 0 0,-1 1-1,0-1 1,0 1 0,1 0-1,-1-1 1,0 1-1,1 0 1,-1 1 0,1-1-1,0 0 1,-1 1 0,1-1-1,0 1 1,-3 3 0,-1 0-37,0 2 1,0-1 0,1 1 0,0 0-1,0 0 1,-4 9 0,0 3-1190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11T18:27:35.028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77 23 5744,'4'-15'-32,"-8"8"10,-12 10 12,12 0-2,0 0 1,1 1-1,-1-1 1,1 1-1,0 0 0,0 0 1,0 0-1,0 0 1,1 1-1,0-1 1,0 1-1,0-1 0,0 1 1,1 0-1,-2 7 1,-2 2-441,-6 18-2695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9C83-83EC-46D3-9F54-0A8D5AC33CFD}">
  <dimension ref="A1:H47"/>
  <sheetViews>
    <sheetView topLeftCell="A7" workbookViewId="0">
      <selection activeCell="I27" sqref="I27"/>
    </sheetView>
  </sheetViews>
  <sheetFormatPr baseColWidth="10" defaultColWidth="8.83203125" defaultRowHeight="16" x14ac:dyDescent="0.2"/>
  <cols>
    <col min="2" max="2" width="15.33203125" style="7" customWidth="1"/>
    <col min="3" max="3" width="15.83203125" customWidth="1"/>
    <col min="7" max="7" width="38.5" customWidth="1"/>
    <col min="8" max="8" width="40" customWidth="1"/>
    <col min="20" max="20" width="15.1640625" customWidth="1"/>
  </cols>
  <sheetData>
    <row r="1" spans="1:8" x14ac:dyDescent="0.2">
      <c r="B1" s="7" t="s">
        <v>29</v>
      </c>
    </row>
    <row r="2" spans="1:8" ht="24" x14ac:dyDescent="0.3">
      <c r="A2" s="1" t="s">
        <v>0</v>
      </c>
      <c r="B2" s="7" t="s">
        <v>27</v>
      </c>
      <c r="C2" t="s">
        <v>28</v>
      </c>
      <c r="G2" t="s">
        <v>172</v>
      </c>
    </row>
    <row r="3" spans="1:8" s="8" customFormat="1" ht="15" x14ac:dyDescent="0.2">
      <c r="B3" s="12" t="s">
        <v>14</v>
      </c>
      <c r="C3" s="12" t="s">
        <v>15</v>
      </c>
      <c r="G3" s="15" t="s">
        <v>30</v>
      </c>
      <c r="H3" s="13" t="s">
        <v>31</v>
      </c>
    </row>
    <row r="4" spans="1:8" ht="15" x14ac:dyDescent="0.2">
      <c r="B4" s="13">
        <v>28.879300000000001</v>
      </c>
      <c r="C4" s="13">
        <v>0.66666666669999997</v>
      </c>
      <c r="G4" s="15"/>
      <c r="H4" s="13"/>
    </row>
    <row r="5" spans="1:8" ht="15" x14ac:dyDescent="0.2">
      <c r="B5" s="13">
        <v>42.704626330000004</v>
      </c>
      <c r="C5" s="13">
        <v>0.58823529409999997</v>
      </c>
      <c r="G5" s="15" t="s">
        <v>32</v>
      </c>
      <c r="H5" s="13" t="s">
        <v>15</v>
      </c>
    </row>
    <row r="6" spans="1:8" ht="15" x14ac:dyDescent="0.2">
      <c r="B6" s="13">
        <v>19.52861953</v>
      </c>
      <c r="C6" s="13">
        <v>0</v>
      </c>
      <c r="G6" s="15" t="s">
        <v>33</v>
      </c>
      <c r="H6" s="13" t="s">
        <v>33</v>
      </c>
    </row>
    <row r="7" spans="1:8" ht="15" x14ac:dyDescent="0.2">
      <c r="B7" s="13">
        <v>43.568464730000002</v>
      </c>
      <c r="C7" s="13">
        <v>0</v>
      </c>
      <c r="G7" s="15" t="s">
        <v>34</v>
      </c>
      <c r="H7" s="13" t="s">
        <v>14</v>
      </c>
    </row>
    <row r="8" spans="1:8" ht="15" x14ac:dyDescent="0.2">
      <c r="B8" s="13">
        <v>33.64485981</v>
      </c>
      <c r="C8" s="13">
        <v>0</v>
      </c>
      <c r="G8" s="15"/>
      <c r="H8" s="13"/>
    </row>
    <row r="9" spans="1:8" ht="15" x14ac:dyDescent="0.2">
      <c r="B9" s="13">
        <v>6.9672131149999998</v>
      </c>
      <c r="C9" s="13">
        <v>0</v>
      </c>
      <c r="G9" s="15" t="s">
        <v>145</v>
      </c>
      <c r="H9" s="13"/>
    </row>
    <row r="10" spans="1:8" ht="15" x14ac:dyDescent="0.2">
      <c r="B10" s="13">
        <v>4.0752351100000004</v>
      </c>
      <c r="C10" s="13">
        <v>0</v>
      </c>
      <c r="G10" s="15" t="s">
        <v>35</v>
      </c>
      <c r="H10" s="13" t="s">
        <v>36</v>
      </c>
    </row>
    <row r="11" spans="1:8" ht="15" x14ac:dyDescent="0.2">
      <c r="B11" s="13">
        <v>1.5625</v>
      </c>
      <c r="C11" s="13">
        <v>0.82644628099999995</v>
      </c>
      <c r="G11" s="15" t="s">
        <v>37</v>
      </c>
      <c r="H11" s="13" t="s">
        <v>38</v>
      </c>
    </row>
    <row r="12" spans="1:8" ht="15" x14ac:dyDescent="0.2">
      <c r="B12" s="13">
        <v>30.4</v>
      </c>
      <c r="C12" s="13">
        <v>0</v>
      </c>
      <c r="G12" s="15" t="s">
        <v>39</v>
      </c>
      <c r="H12" s="13" t="s">
        <v>40</v>
      </c>
    </row>
    <row r="13" spans="1:8" ht="15" x14ac:dyDescent="0.2">
      <c r="B13" s="13">
        <v>11.03896104</v>
      </c>
      <c r="C13" s="13">
        <v>2.358490566</v>
      </c>
      <c r="G13" s="15" t="s">
        <v>41</v>
      </c>
      <c r="H13" s="13" t="s">
        <v>42</v>
      </c>
    </row>
    <row r="14" spans="1:8" ht="15" x14ac:dyDescent="0.2">
      <c r="B14" s="13">
        <v>7.3333333329999997</v>
      </c>
      <c r="C14" s="13">
        <v>3.8022813690000001</v>
      </c>
      <c r="G14" s="15" t="s">
        <v>43</v>
      </c>
      <c r="H14" s="13" t="s">
        <v>173</v>
      </c>
    </row>
    <row r="15" spans="1:8" ht="15" x14ac:dyDescent="0.2">
      <c r="B15" s="13">
        <v>39.080459769999997</v>
      </c>
      <c r="C15" s="13">
        <v>0.33112582779999999</v>
      </c>
      <c r="G15" s="15" t="s">
        <v>147</v>
      </c>
      <c r="H15" s="13">
        <v>44</v>
      </c>
    </row>
    <row r="16" spans="1:8" ht="15" x14ac:dyDescent="0.2">
      <c r="B16" s="13">
        <v>68.19787986</v>
      </c>
      <c r="C16" s="13">
        <v>0.41152263369999997</v>
      </c>
      <c r="G16" s="15"/>
      <c r="H16" s="13"/>
    </row>
    <row r="17" spans="2:8" ht="15" x14ac:dyDescent="0.2">
      <c r="B17" s="13">
        <v>72.9903537</v>
      </c>
      <c r="C17" s="13">
        <v>0</v>
      </c>
      <c r="G17" s="15" t="s">
        <v>44</v>
      </c>
      <c r="H17" s="13"/>
    </row>
    <row r="18" spans="2:8" ht="15" x14ac:dyDescent="0.2">
      <c r="B18" s="13">
        <v>47.440273040000001</v>
      </c>
      <c r="C18" s="13">
        <v>0</v>
      </c>
      <c r="G18" s="15" t="s">
        <v>148</v>
      </c>
      <c r="H18" s="13">
        <v>-31.1</v>
      </c>
    </row>
    <row r="19" spans="2:8" ht="15" x14ac:dyDescent="0.2">
      <c r="B19" s="13">
        <v>46.598639460000001</v>
      </c>
      <c r="C19" s="13">
        <v>0</v>
      </c>
      <c r="G19" s="15" t="s">
        <v>149</v>
      </c>
      <c r="H19" s="13">
        <v>18.329999999999998</v>
      </c>
    </row>
    <row r="20" spans="2:8" ht="15" x14ac:dyDescent="0.2">
      <c r="B20" s="13">
        <v>38.947368419999997</v>
      </c>
      <c r="C20" s="13">
        <v>0.7380073801</v>
      </c>
      <c r="G20" s="15" t="s">
        <v>150</v>
      </c>
      <c r="H20" s="13">
        <v>2.7639999999999998</v>
      </c>
    </row>
    <row r="21" spans="2:8" ht="15" x14ac:dyDescent="0.2">
      <c r="B21" s="13">
        <v>22.44318182</v>
      </c>
      <c r="C21" s="13">
        <v>0.54347826089999995</v>
      </c>
      <c r="G21" s="15" t="s">
        <v>45</v>
      </c>
      <c r="H21" s="13" t="s">
        <v>174</v>
      </c>
    </row>
    <row r="22" spans="2:8" ht="15" x14ac:dyDescent="0.2">
      <c r="B22" s="13">
        <v>76.271186439999994</v>
      </c>
      <c r="C22" s="13">
        <v>0</v>
      </c>
      <c r="G22" s="15" t="s">
        <v>152</v>
      </c>
      <c r="H22" s="13">
        <v>0.74650000000000005</v>
      </c>
    </row>
    <row r="23" spans="2:8" ht="15" x14ac:dyDescent="0.2">
      <c r="B23" s="13">
        <v>56.431535269999998</v>
      </c>
      <c r="C23" s="13">
        <v>1.6</v>
      </c>
      <c r="G23" s="15"/>
      <c r="H23" s="13"/>
    </row>
    <row r="24" spans="2:8" ht="15" x14ac:dyDescent="0.2">
      <c r="B24" s="13">
        <v>23.475609760000001</v>
      </c>
      <c r="C24" s="13">
        <v>8.846153846</v>
      </c>
      <c r="G24" s="15" t="s">
        <v>153</v>
      </c>
      <c r="H24" s="13"/>
    </row>
    <row r="25" spans="2:8" ht="15" x14ac:dyDescent="0.2">
      <c r="B25" s="13">
        <v>39.285714290000001</v>
      </c>
      <c r="C25" s="13">
        <v>21.11111111</v>
      </c>
      <c r="G25" s="15" t="s">
        <v>154</v>
      </c>
      <c r="H25" s="13">
        <v>4.3309999999999998E-3</v>
      </c>
    </row>
    <row r="26" spans="2:8" ht="15" x14ac:dyDescent="0.2">
      <c r="B26" s="13">
        <v>25.17985612</v>
      </c>
      <c r="C26" s="13">
        <v>1.9607843140000001</v>
      </c>
      <c r="G26" s="15" t="s">
        <v>155</v>
      </c>
      <c r="H26" s="13">
        <v>0.4889</v>
      </c>
    </row>
    <row r="27" spans="2:8" ht="15" x14ac:dyDescent="0.2">
      <c r="B27" s="13">
        <v>58.823529409999999</v>
      </c>
      <c r="C27" s="13">
        <v>2.0547945209999998</v>
      </c>
      <c r="G27" s="15" t="s">
        <v>37</v>
      </c>
      <c r="H27" s="13" t="s">
        <v>67</v>
      </c>
    </row>
    <row r="28" spans="2:8" ht="15" x14ac:dyDescent="0.2">
      <c r="B28" s="13">
        <v>34.306569340000003</v>
      </c>
      <c r="C28" s="13">
        <v>0.42194092830000002</v>
      </c>
      <c r="G28" s="15" t="s">
        <v>156</v>
      </c>
      <c r="H28" s="13" t="s">
        <v>66</v>
      </c>
    </row>
    <row r="29" spans="2:8" ht="15" x14ac:dyDescent="0.2">
      <c r="B29" s="13">
        <v>47.389558229999999</v>
      </c>
      <c r="C29" s="13">
        <v>0</v>
      </c>
      <c r="G29" s="15"/>
      <c r="H29" s="13"/>
    </row>
    <row r="30" spans="2:8" ht="15" x14ac:dyDescent="0.2">
      <c r="B30" s="13">
        <v>23.214285709999999</v>
      </c>
      <c r="C30" s="13">
        <v>0</v>
      </c>
      <c r="G30" s="15" t="s">
        <v>47</v>
      </c>
      <c r="H30" s="13">
        <v>44</v>
      </c>
    </row>
    <row r="31" spans="2:8" ht="15" x14ac:dyDescent="0.2">
      <c r="B31" s="13">
        <v>38.837209299999998</v>
      </c>
      <c r="C31" s="13">
        <v>0</v>
      </c>
      <c r="G31" s="15" t="s">
        <v>48</v>
      </c>
      <c r="H31" s="13">
        <v>44</v>
      </c>
    </row>
    <row r="32" spans="2:8" ht="15" x14ac:dyDescent="0.2">
      <c r="B32" s="13">
        <v>32.548179869999998</v>
      </c>
      <c r="C32" s="13">
        <v>0</v>
      </c>
    </row>
    <row r="33" spans="2:3" ht="15" x14ac:dyDescent="0.2">
      <c r="B33" s="13">
        <v>10.52631579</v>
      </c>
      <c r="C33" s="13">
        <v>0.95238095239999998</v>
      </c>
    </row>
    <row r="34" spans="2:3" ht="15" x14ac:dyDescent="0.2">
      <c r="B34" s="13">
        <v>58.021390369999999</v>
      </c>
      <c r="C34" s="13">
        <v>9.9137931029999997</v>
      </c>
    </row>
    <row r="35" spans="2:3" ht="15" x14ac:dyDescent="0.2">
      <c r="B35" s="13">
        <v>32.304526750000001</v>
      </c>
      <c r="C35" s="13">
        <v>2.358490566</v>
      </c>
    </row>
    <row r="36" spans="2:3" ht="15" x14ac:dyDescent="0.2">
      <c r="B36" s="13">
        <v>22.680412369999999</v>
      </c>
      <c r="C36" s="13">
        <v>10.04366812</v>
      </c>
    </row>
    <row r="37" spans="2:3" ht="15" x14ac:dyDescent="0.2">
      <c r="B37" s="13">
        <v>28.518518520000001</v>
      </c>
      <c r="C37" s="13">
        <v>0.84745762710000005</v>
      </c>
    </row>
    <row r="38" spans="2:3" ht="15" x14ac:dyDescent="0.2">
      <c r="B38" s="13">
        <v>38.961038960000003</v>
      </c>
      <c r="C38" s="13">
        <v>0</v>
      </c>
    </row>
    <row r="39" spans="2:3" ht="15" x14ac:dyDescent="0.2">
      <c r="B39" s="13">
        <v>26.205450729999999</v>
      </c>
      <c r="C39" s="13">
        <v>0.66225165559999999</v>
      </c>
    </row>
    <row r="40" spans="2:3" ht="15" x14ac:dyDescent="0.2">
      <c r="B40" s="13">
        <v>20.165745860000001</v>
      </c>
      <c r="C40" s="13">
        <v>0</v>
      </c>
    </row>
    <row r="41" spans="2:3" ht="15" x14ac:dyDescent="0.2">
      <c r="B41" s="13">
        <v>40.715883669999997</v>
      </c>
      <c r="C41" s="13">
        <v>0.41666666670000002</v>
      </c>
    </row>
    <row r="42" spans="2:3" ht="15" x14ac:dyDescent="0.2">
      <c r="B42" s="13">
        <v>5.0970873790000004</v>
      </c>
      <c r="C42" s="13">
        <v>0.44052863440000001</v>
      </c>
    </row>
    <row r="43" spans="2:3" ht="15" x14ac:dyDescent="0.2">
      <c r="B43" s="13">
        <v>27.9342723</v>
      </c>
      <c r="C43" s="13">
        <v>0</v>
      </c>
    </row>
    <row r="44" spans="2:3" ht="15" x14ac:dyDescent="0.2">
      <c r="B44" s="13">
        <v>34.04255319</v>
      </c>
      <c r="C44" s="13">
        <v>0.36101083029999997</v>
      </c>
    </row>
    <row r="45" spans="2:3" ht="15" x14ac:dyDescent="0.2">
      <c r="B45" s="13">
        <v>40.463917530000003</v>
      </c>
      <c r="C45" s="13">
        <v>2.1739130430000002</v>
      </c>
    </row>
    <row r="46" spans="2:3" ht="15" x14ac:dyDescent="0.2">
      <c r="B46" s="13">
        <v>24.27350427</v>
      </c>
      <c r="C46" s="13">
        <v>1.4814814810000001</v>
      </c>
    </row>
    <row r="47" spans="2:3" ht="15" x14ac:dyDescent="0.2">
      <c r="B47" s="13">
        <v>17.447916670000001</v>
      </c>
      <c r="C47" s="13">
        <v>4.375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E238-C687-C44D-972A-4CCCF0C1283C}">
  <dimension ref="A1:E631"/>
  <sheetViews>
    <sheetView workbookViewId="0">
      <selection activeCell="I16" sqref="I16"/>
    </sheetView>
  </sheetViews>
  <sheetFormatPr baseColWidth="10" defaultRowHeight="15" x14ac:dyDescent="0.2"/>
  <cols>
    <col min="4" max="4" width="38.6640625" bestFit="1" customWidth="1"/>
    <col min="5" max="5" width="16.6640625" bestFit="1" customWidth="1"/>
  </cols>
  <sheetData>
    <row r="1" spans="1:5" ht="16" x14ac:dyDescent="0.2">
      <c r="A1" s="2" t="s">
        <v>142</v>
      </c>
      <c r="B1" s="2" t="s">
        <v>171</v>
      </c>
      <c r="D1" s="28" t="s">
        <v>30</v>
      </c>
      <c r="E1" s="27" t="s">
        <v>252</v>
      </c>
    </row>
    <row r="2" spans="1:5" ht="16" x14ac:dyDescent="0.2">
      <c r="A2" s="27">
        <v>175</v>
      </c>
      <c r="B2" s="27">
        <v>106</v>
      </c>
      <c r="D2" s="28"/>
      <c r="E2" s="27"/>
    </row>
    <row r="3" spans="1:5" ht="16" x14ac:dyDescent="0.2">
      <c r="A3" s="27">
        <v>148</v>
      </c>
      <c r="B3" s="27">
        <v>64</v>
      </c>
      <c r="D3" s="28" t="s">
        <v>32</v>
      </c>
      <c r="E3" s="27" t="s">
        <v>171</v>
      </c>
    </row>
    <row r="4" spans="1:5" ht="16" x14ac:dyDescent="0.2">
      <c r="A4" s="27">
        <v>102</v>
      </c>
      <c r="B4" s="27">
        <v>100</v>
      </c>
      <c r="D4" s="28" t="s">
        <v>33</v>
      </c>
      <c r="E4" s="27" t="s">
        <v>33</v>
      </c>
    </row>
    <row r="5" spans="1:5" ht="16" x14ac:dyDescent="0.2">
      <c r="A5" s="27">
        <v>184</v>
      </c>
      <c r="B5" s="27">
        <v>116</v>
      </c>
      <c r="D5" s="28" t="s">
        <v>34</v>
      </c>
      <c r="E5" s="27" t="s">
        <v>142</v>
      </c>
    </row>
    <row r="6" spans="1:5" ht="16" x14ac:dyDescent="0.2">
      <c r="A6" s="27">
        <v>142</v>
      </c>
      <c r="B6" s="27">
        <v>83</v>
      </c>
      <c r="D6" s="28"/>
      <c r="E6" s="27"/>
    </row>
    <row r="7" spans="1:5" ht="16" x14ac:dyDescent="0.2">
      <c r="A7" s="27">
        <v>105</v>
      </c>
      <c r="B7" s="27">
        <v>95</v>
      </c>
      <c r="D7" s="28" t="s">
        <v>234</v>
      </c>
      <c r="E7" s="27"/>
    </row>
    <row r="8" spans="1:5" ht="16" x14ac:dyDescent="0.2">
      <c r="A8" s="27">
        <v>129</v>
      </c>
      <c r="B8" s="27">
        <v>100</v>
      </c>
      <c r="D8" s="28" t="s">
        <v>35</v>
      </c>
      <c r="E8" s="27">
        <v>0.62260000000000004</v>
      </c>
    </row>
    <row r="9" spans="1:5" ht="16" x14ac:dyDescent="0.2">
      <c r="A9" s="27">
        <v>94</v>
      </c>
      <c r="B9" s="27">
        <v>67</v>
      </c>
      <c r="D9" s="28" t="s">
        <v>37</v>
      </c>
      <c r="E9" s="27" t="s">
        <v>67</v>
      </c>
    </row>
    <row r="10" spans="1:5" ht="16" x14ac:dyDescent="0.2">
      <c r="A10" s="27">
        <v>86</v>
      </c>
      <c r="B10" s="27">
        <v>62</v>
      </c>
      <c r="D10" s="28" t="s">
        <v>39</v>
      </c>
      <c r="E10" s="27" t="s">
        <v>66</v>
      </c>
    </row>
    <row r="11" spans="1:5" ht="16" x14ac:dyDescent="0.2">
      <c r="A11" s="27">
        <v>96</v>
      </c>
      <c r="B11" s="27">
        <v>12</v>
      </c>
      <c r="D11" s="28" t="s">
        <v>41</v>
      </c>
      <c r="E11" s="27" t="s">
        <v>42</v>
      </c>
    </row>
    <row r="12" spans="1:5" ht="16" x14ac:dyDescent="0.2">
      <c r="A12" s="27">
        <v>184</v>
      </c>
      <c r="B12" s="27">
        <v>43</v>
      </c>
      <c r="D12" s="28" t="s">
        <v>43</v>
      </c>
      <c r="E12" s="27" t="s">
        <v>253</v>
      </c>
    </row>
    <row r="13" spans="1:5" ht="16" x14ac:dyDescent="0.2">
      <c r="A13" s="27">
        <v>108</v>
      </c>
      <c r="B13" s="27">
        <v>93</v>
      </c>
      <c r="D13" s="28"/>
      <c r="E13" s="27"/>
    </row>
    <row r="14" spans="1:5" ht="16" x14ac:dyDescent="0.2">
      <c r="A14" s="27">
        <v>115</v>
      </c>
      <c r="B14" s="27">
        <v>129</v>
      </c>
      <c r="D14" s="28" t="s">
        <v>44</v>
      </c>
      <c r="E14" s="27"/>
    </row>
    <row r="15" spans="1:5" ht="16" x14ac:dyDescent="0.2">
      <c r="A15" s="27">
        <v>159</v>
      </c>
      <c r="B15" s="27">
        <v>145</v>
      </c>
      <c r="D15" s="28" t="s">
        <v>236</v>
      </c>
      <c r="E15" s="27">
        <v>106.5</v>
      </c>
    </row>
    <row r="16" spans="1:5" ht="16" x14ac:dyDescent="0.2">
      <c r="A16" s="27">
        <v>139</v>
      </c>
      <c r="B16" s="27">
        <v>75</v>
      </c>
      <c r="D16" s="28" t="s">
        <v>237</v>
      </c>
      <c r="E16" s="27">
        <v>109.2</v>
      </c>
    </row>
    <row r="17" spans="1:5" ht="16" x14ac:dyDescent="0.2">
      <c r="A17" s="27">
        <v>228</v>
      </c>
      <c r="B17" s="27">
        <v>39</v>
      </c>
      <c r="D17" s="28" t="s">
        <v>238</v>
      </c>
      <c r="E17" s="27" t="s">
        <v>254</v>
      </c>
    </row>
    <row r="18" spans="1:5" ht="16" x14ac:dyDescent="0.2">
      <c r="A18" s="27">
        <v>16</v>
      </c>
      <c r="B18" s="27">
        <v>88</v>
      </c>
      <c r="D18" s="28" t="s">
        <v>45</v>
      </c>
      <c r="E18" s="27" t="s">
        <v>255</v>
      </c>
    </row>
    <row r="19" spans="1:5" ht="16" x14ac:dyDescent="0.2">
      <c r="A19" s="27">
        <v>44</v>
      </c>
      <c r="B19" s="27">
        <v>10</v>
      </c>
      <c r="D19" s="28" t="s">
        <v>241</v>
      </c>
      <c r="E19" s="27">
        <v>2.5690000000000001E-4</v>
      </c>
    </row>
    <row r="20" spans="1:5" ht="16" x14ac:dyDescent="0.2">
      <c r="A20" s="27">
        <v>46</v>
      </c>
      <c r="B20" s="27">
        <v>90</v>
      </c>
      <c r="D20" s="28"/>
      <c r="E20" s="27"/>
    </row>
    <row r="21" spans="1:5" ht="16" x14ac:dyDescent="0.2">
      <c r="A21" s="27">
        <v>25</v>
      </c>
      <c r="B21" s="27">
        <v>95</v>
      </c>
      <c r="D21" s="28" t="s">
        <v>242</v>
      </c>
      <c r="E21" s="27"/>
    </row>
    <row r="22" spans="1:5" ht="16" x14ac:dyDescent="0.2">
      <c r="A22" s="27">
        <v>166</v>
      </c>
      <c r="B22" s="27">
        <v>78</v>
      </c>
      <c r="D22" s="28" t="s">
        <v>243</v>
      </c>
      <c r="E22" s="27" t="s">
        <v>256</v>
      </c>
    </row>
    <row r="23" spans="1:5" ht="16" x14ac:dyDescent="0.2">
      <c r="A23" s="27">
        <v>95</v>
      </c>
      <c r="B23" s="27">
        <v>86</v>
      </c>
      <c r="D23" s="28" t="s">
        <v>35</v>
      </c>
      <c r="E23" s="27">
        <v>0.33879999999999999</v>
      </c>
    </row>
    <row r="24" spans="1:5" ht="16" x14ac:dyDescent="0.2">
      <c r="A24" s="27">
        <v>79</v>
      </c>
      <c r="B24" s="27">
        <v>75</v>
      </c>
      <c r="D24" s="28" t="s">
        <v>37</v>
      </c>
      <c r="E24" s="27" t="s">
        <v>67</v>
      </c>
    </row>
    <row r="25" spans="1:5" ht="16" x14ac:dyDescent="0.2">
      <c r="A25" s="27">
        <v>119</v>
      </c>
      <c r="B25" s="27">
        <v>114</v>
      </c>
      <c r="D25" s="28" t="s">
        <v>39</v>
      </c>
      <c r="E25" s="27" t="s">
        <v>66</v>
      </c>
    </row>
    <row r="26" spans="1:5" ht="16" x14ac:dyDescent="0.2">
      <c r="A26" s="27">
        <v>71</v>
      </c>
      <c r="B26" s="27">
        <v>118</v>
      </c>
      <c r="D26" s="28"/>
      <c r="E26" s="27"/>
    </row>
    <row r="27" spans="1:5" ht="16" x14ac:dyDescent="0.2">
      <c r="A27" s="27">
        <v>144</v>
      </c>
      <c r="B27" s="27">
        <v>53</v>
      </c>
      <c r="D27" s="28" t="s">
        <v>46</v>
      </c>
      <c r="E27" s="27"/>
    </row>
    <row r="28" spans="1:5" ht="16" x14ac:dyDescent="0.2">
      <c r="A28" s="27">
        <v>136</v>
      </c>
      <c r="B28" s="27">
        <v>188</v>
      </c>
      <c r="D28" s="28" t="s">
        <v>47</v>
      </c>
      <c r="E28" s="27">
        <v>630</v>
      </c>
    </row>
    <row r="29" spans="1:5" ht="16" x14ac:dyDescent="0.2">
      <c r="A29" s="27">
        <v>134</v>
      </c>
      <c r="B29" s="27">
        <v>101</v>
      </c>
      <c r="D29" s="28" t="s">
        <v>48</v>
      </c>
      <c r="E29" s="27">
        <v>315</v>
      </c>
    </row>
    <row r="30" spans="1:5" ht="16" x14ac:dyDescent="0.2">
      <c r="A30" s="27">
        <v>116</v>
      </c>
      <c r="B30" s="27">
        <v>88</v>
      </c>
    </row>
    <row r="31" spans="1:5" ht="16" x14ac:dyDescent="0.2">
      <c r="A31" s="27">
        <v>121</v>
      </c>
      <c r="B31" s="27">
        <v>109</v>
      </c>
    </row>
    <row r="32" spans="1:5" ht="16" x14ac:dyDescent="0.2">
      <c r="A32" s="27">
        <v>87</v>
      </c>
      <c r="B32" s="27">
        <v>163</v>
      </c>
    </row>
    <row r="33" spans="1:2" ht="16" x14ac:dyDescent="0.2">
      <c r="A33" s="27">
        <v>158</v>
      </c>
      <c r="B33" s="27">
        <v>61</v>
      </c>
    </row>
    <row r="34" spans="1:2" ht="16" x14ac:dyDescent="0.2">
      <c r="A34" s="27">
        <v>63</v>
      </c>
      <c r="B34" s="27">
        <v>31</v>
      </c>
    </row>
    <row r="35" spans="1:2" ht="16" x14ac:dyDescent="0.2">
      <c r="A35" s="27">
        <v>7</v>
      </c>
      <c r="B35" s="27">
        <v>93</v>
      </c>
    </row>
    <row r="36" spans="1:2" ht="16" x14ac:dyDescent="0.2">
      <c r="A36" s="27">
        <v>7</v>
      </c>
      <c r="B36" s="27">
        <v>41</v>
      </c>
    </row>
    <row r="37" spans="1:2" ht="16" x14ac:dyDescent="0.2">
      <c r="A37" s="27">
        <v>23</v>
      </c>
      <c r="B37" s="27">
        <v>82</v>
      </c>
    </row>
    <row r="38" spans="1:2" ht="16" x14ac:dyDescent="0.2">
      <c r="A38" s="27">
        <v>31</v>
      </c>
      <c r="B38" s="27">
        <v>56</v>
      </c>
    </row>
    <row r="39" spans="1:2" ht="16" x14ac:dyDescent="0.2">
      <c r="A39" s="27">
        <v>55</v>
      </c>
      <c r="B39" s="27">
        <v>69</v>
      </c>
    </row>
    <row r="40" spans="1:2" ht="16" x14ac:dyDescent="0.2">
      <c r="A40" s="27">
        <v>150</v>
      </c>
      <c r="B40" s="27">
        <v>119</v>
      </c>
    </row>
    <row r="41" spans="1:2" ht="16" x14ac:dyDescent="0.2">
      <c r="A41" s="27">
        <v>146</v>
      </c>
      <c r="B41" s="27">
        <v>169</v>
      </c>
    </row>
    <row r="42" spans="1:2" ht="16" x14ac:dyDescent="0.2">
      <c r="A42" s="27">
        <v>153</v>
      </c>
      <c r="B42" s="27">
        <v>130</v>
      </c>
    </row>
    <row r="43" spans="1:2" ht="16" x14ac:dyDescent="0.2">
      <c r="A43" s="27">
        <v>13</v>
      </c>
      <c r="B43" s="27">
        <v>31</v>
      </c>
    </row>
    <row r="44" spans="1:2" ht="16" x14ac:dyDescent="0.2">
      <c r="A44" s="27">
        <v>98</v>
      </c>
      <c r="B44" s="27">
        <v>25</v>
      </c>
    </row>
    <row r="45" spans="1:2" ht="16" x14ac:dyDescent="0.2">
      <c r="A45" s="27">
        <v>120</v>
      </c>
      <c r="B45" s="27">
        <v>7</v>
      </c>
    </row>
    <row r="46" spans="1:2" ht="16" x14ac:dyDescent="0.2">
      <c r="A46" s="27">
        <v>72</v>
      </c>
      <c r="B46" s="27">
        <v>101</v>
      </c>
    </row>
    <row r="47" spans="1:2" ht="16" x14ac:dyDescent="0.2">
      <c r="A47" s="27">
        <v>127</v>
      </c>
      <c r="B47" s="27">
        <v>117</v>
      </c>
    </row>
    <row r="48" spans="1:2" ht="16" x14ac:dyDescent="0.2">
      <c r="A48" s="27">
        <v>88</v>
      </c>
      <c r="B48" s="27">
        <v>74</v>
      </c>
    </row>
    <row r="49" spans="1:2" ht="16" x14ac:dyDescent="0.2">
      <c r="A49" s="27">
        <v>57</v>
      </c>
      <c r="B49" s="27">
        <v>72</v>
      </c>
    </row>
    <row r="50" spans="1:2" ht="16" x14ac:dyDescent="0.2">
      <c r="A50" s="27">
        <v>7</v>
      </c>
      <c r="B50" s="27">
        <v>12</v>
      </c>
    </row>
    <row r="51" spans="1:2" ht="16" x14ac:dyDescent="0.2">
      <c r="A51" s="27">
        <v>138</v>
      </c>
      <c r="B51" s="27">
        <v>21</v>
      </c>
    </row>
    <row r="52" spans="1:2" ht="16" x14ac:dyDescent="0.2">
      <c r="A52" s="27">
        <v>144</v>
      </c>
      <c r="B52" s="27">
        <v>95</v>
      </c>
    </row>
    <row r="53" spans="1:2" ht="16" x14ac:dyDescent="0.2">
      <c r="A53" s="27">
        <v>17</v>
      </c>
      <c r="B53" s="27">
        <v>140</v>
      </c>
    </row>
    <row r="54" spans="1:2" ht="16" x14ac:dyDescent="0.2">
      <c r="A54" s="27">
        <v>120</v>
      </c>
      <c r="B54" s="27">
        <v>47</v>
      </c>
    </row>
    <row r="55" spans="1:2" ht="16" x14ac:dyDescent="0.2">
      <c r="A55" s="27">
        <v>52</v>
      </c>
      <c r="B55" s="27">
        <v>96</v>
      </c>
    </row>
    <row r="56" spans="1:2" ht="16" x14ac:dyDescent="0.2">
      <c r="A56" s="27">
        <v>66</v>
      </c>
      <c r="B56" s="27">
        <v>72</v>
      </c>
    </row>
    <row r="57" spans="1:2" ht="16" x14ac:dyDescent="0.2">
      <c r="A57" s="27">
        <v>115</v>
      </c>
      <c r="B57" s="27">
        <v>60</v>
      </c>
    </row>
    <row r="58" spans="1:2" ht="16" x14ac:dyDescent="0.2">
      <c r="A58" s="27">
        <v>78</v>
      </c>
      <c r="B58" s="27">
        <v>98</v>
      </c>
    </row>
    <row r="59" spans="1:2" ht="16" x14ac:dyDescent="0.2">
      <c r="A59" s="27">
        <v>100</v>
      </c>
      <c r="B59" s="27">
        <v>87</v>
      </c>
    </row>
    <row r="60" spans="1:2" ht="16" x14ac:dyDescent="0.2">
      <c r="A60" s="27">
        <v>180</v>
      </c>
      <c r="B60" s="27">
        <v>18</v>
      </c>
    </row>
    <row r="61" spans="1:2" ht="16" x14ac:dyDescent="0.2">
      <c r="A61" s="27">
        <v>97</v>
      </c>
      <c r="B61" s="27">
        <v>210</v>
      </c>
    </row>
    <row r="62" spans="1:2" ht="16" x14ac:dyDescent="0.2">
      <c r="A62" s="27">
        <v>82</v>
      </c>
      <c r="B62" s="27">
        <v>195</v>
      </c>
    </row>
    <row r="63" spans="1:2" ht="16" x14ac:dyDescent="0.2">
      <c r="A63" s="27">
        <v>98</v>
      </c>
      <c r="B63" s="27">
        <v>116</v>
      </c>
    </row>
    <row r="64" spans="1:2" ht="16" x14ac:dyDescent="0.2">
      <c r="A64" s="27">
        <v>60</v>
      </c>
      <c r="B64" s="27">
        <v>67</v>
      </c>
    </row>
    <row r="65" spans="1:2" ht="16" x14ac:dyDescent="0.2">
      <c r="A65" s="27">
        <v>83</v>
      </c>
      <c r="B65" s="27">
        <v>44</v>
      </c>
    </row>
    <row r="66" spans="1:2" ht="16" x14ac:dyDescent="0.2">
      <c r="A66" s="27">
        <v>129</v>
      </c>
      <c r="B66" s="27">
        <v>150</v>
      </c>
    </row>
    <row r="67" spans="1:2" ht="16" x14ac:dyDescent="0.2">
      <c r="A67" s="27">
        <v>164</v>
      </c>
      <c r="B67" s="27">
        <v>58</v>
      </c>
    </row>
    <row r="68" spans="1:2" ht="16" x14ac:dyDescent="0.2">
      <c r="A68" s="27">
        <v>92</v>
      </c>
      <c r="B68" s="27">
        <v>75</v>
      </c>
    </row>
    <row r="69" spans="1:2" ht="16" x14ac:dyDescent="0.2">
      <c r="A69" s="27">
        <v>116</v>
      </c>
      <c r="B69" s="27">
        <v>139</v>
      </c>
    </row>
    <row r="70" spans="1:2" ht="16" x14ac:dyDescent="0.2">
      <c r="A70" s="27">
        <v>135</v>
      </c>
      <c r="B70" s="27">
        <v>99</v>
      </c>
    </row>
    <row r="71" spans="1:2" ht="16" x14ac:dyDescent="0.2">
      <c r="A71" s="27">
        <v>131</v>
      </c>
      <c r="B71" s="27">
        <v>157</v>
      </c>
    </row>
    <row r="72" spans="1:2" ht="16" x14ac:dyDescent="0.2">
      <c r="A72" s="27">
        <v>216</v>
      </c>
      <c r="B72" s="27">
        <v>735</v>
      </c>
    </row>
    <row r="73" spans="1:2" ht="16" x14ac:dyDescent="0.2">
      <c r="A73" s="27">
        <v>351</v>
      </c>
      <c r="B73" s="27">
        <v>99</v>
      </c>
    </row>
    <row r="74" spans="1:2" ht="16" x14ac:dyDescent="0.2">
      <c r="A74" s="27">
        <v>117</v>
      </c>
      <c r="B74" s="27">
        <v>157</v>
      </c>
    </row>
    <row r="75" spans="1:2" ht="16" x14ac:dyDescent="0.2">
      <c r="A75" s="27">
        <v>124</v>
      </c>
      <c r="B75" s="27">
        <v>170</v>
      </c>
    </row>
    <row r="76" spans="1:2" ht="16" x14ac:dyDescent="0.2">
      <c r="A76" s="27">
        <v>251</v>
      </c>
      <c r="B76" s="27">
        <v>215</v>
      </c>
    </row>
    <row r="77" spans="1:2" ht="16" x14ac:dyDescent="0.2">
      <c r="A77" s="27">
        <v>45</v>
      </c>
      <c r="B77" s="27">
        <v>189</v>
      </c>
    </row>
    <row r="78" spans="1:2" ht="16" x14ac:dyDescent="0.2">
      <c r="A78" s="27">
        <v>132</v>
      </c>
      <c r="B78" s="27">
        <v>24</v>
      </c>
    </row>
    <row r="79" spans="1:2" ht="16" x14ac:dyDescent="0.2">
      <c r="A79" s="27">
        <v>156</v>
      </c>
      <c r="B79" s="27">
        <v>23</v>
      </c>
    </row>
    <row r="80" spans="1:2" ht="16" x14ac:dyDescent="0.2">
      <c r="A80" s="27">
        <v>114</v>
      </c>
      <c r="B80" s="27">
        <v>15</v>
      </c>
    </row>
    <row r="81" spans="1:2" ht="16" x14ac:dyDescent="0.2">
      <c r="A81" s="27">
        <v>19</v>
      </c>
      <c r="B81" s="27">
        <v>163</v>
      </c>
    </row>
    <row r="82" spans="1:2" ht="16" x14ac:dyDescent="0.2">
      <c r="A82" s="27">
        <v>80</v>
      </c>
      <c r="B82" s="27">
        <v>373</v>
      </c>
    </row>
    <row r="83" spans="1:2" ht="16" x14ac:dyDescent="0.2">
      <c r="A83" s="27">
        <v>289</v>
      </c>
      <c r="B83" s="27">
        <v>156</v>
      </c>
    </row>
    <row r="84" spans="1:2" ht="16" x14ac:dyDescent="0.2">
      <c r="A84" s="27">
        <v>362</v>
      </c>
      <c r="B84" s="27">
        <v>216</v>
      </c>
    </row>
    <row r="85" spans="1:2" ht="16" x14ac:dyDescent="0.2">
      <c r="A85" s="27">
        <v>373</v>
      </c>
      <c r="B85" s="27">
        <v>232</v>
      </c>
    </row>
    <row r="86" spans="1:2" ht="16" x14ac:dyDescent="0.2">
      <c r="A86" s="27">
        <v>318</v>
      </c>
      <c r="B86" s="27">
        <v>221</v>
      </c>
    </row>
    <row r="87" spans="1:2" ht="16" x14ac:dyDescent="0.2">
      <c r="A87" s="27">
        <v>83</v>
      </c>
      <c r="B87" s="27">
        <v>88</v>
      </c>
    </row>
    <row r="88" spans="1:2" ht="16" x14ac:dyDescent="0.2">
      <c r="A88" s="27">
        <v>133</v>
      </c>
      <c r="B88" s="27">
        <v>111</v>
      </c>
    </row>
    <row r="89" spans="1:2" ht="16" x14ac:dyDescent="0.2">
      <c r="A89" s="27">
        <v>105</v>
      </c>
      <c r="B89" s="27">
        <v>43</v>
      </c>
    </row>
    <row r="90" spans="1:2" ht="16" x14ac:dyDescent="0.2">
      <c r="A90" s="27">
        <v>102</v>
      </c>
      <c r="B90" s="27">
        <v>10</v>
      </c>
    </row>
    <row r="91" spans="1:2" ht="16" x14ac:dyDescent="0.2">
      <c r="A91" s="27">
        <v>96</v>
      </c>
      <c r="B91" s="27">
        <v>51</v>
      </c>
    </row>
    <row r="92" spans="1:2" ht="16" x14ac:dyDescent="0.2">
      <c r="A92" s="27">
        <v>25</v>
      </c>
      <c r="B92" s="27">
        <v>24</v>
      </c>
    </row>
    <row r="93" spans="1:2" ht="16" x14ac:dyDescent="0.2">
      <c r="A93" s="27">
        <v>24</v>
      </c>
      <c r="B93" s="27">
        <v>253</v>
      </c>
    </row>
    <row r="94" spans="1:2" ht="16" x14ac:dyDescent="0.2">
      <c r="A94" s="27">
        <v>11</v>
      </c>
      <c r="B94" s="27">
        <v>119</v>
      </c>
    </row>
    <row r="95" spans="1:2" ht="16" x14ac:dyDescent="0.2">
      <c r="A95" s="27">
        <v>114</v>
      </c>
      <c r="B95" s="27">
        <v>13</v>
      </c>
    </row>
    <row r="96" spans="1:2" ht="16" x14ac:dyDescent="0.2">
      <c r="A96" s="27">
        <v>94</v>
      </c>
      <c r="B96" s="27">
        <v>204</v>
      </c>
    </row>
    <row r="97" spans="1:2" ht="16" x14ac:dyDescent="0.2">
      <c r="A97" s="27">
        <v>12</v>
      </c>
      <c r="B97" s="27">
        <v>153</v>
      </c>
    </row>
    <row r="98" spans="1:2" ht="16" x14ac:dyDescent="0.2">
      <c r="A98" s="27">
        <v>62</v>
      </c>
      <c r="B98" s="27">
        <v>14</v>
      </c>
    </row>
    <row r="99" spans="1:2" ht="16" x14ac:dyDescent="0.2">
      <c r="A99" s="27">
        <v>65</v>
      </c>
      <c r="B99" s="27">
        <v>10</v>
      </c>
    </row>
    <row r="100" spans="1:2" ht="16" x14ac:dyDescent="0.2">
      <c r="A100" s="27">
        <v>114</v>
      </c>
      <c r="B100" s="27">
        <v>15</v>
      </c>
    </row>
    <row r="101" spans="1:2" ht="16" x14ac:dyDescent="0.2">
      <c r="A101" s="27">
        <v>124</v>
      </c>
      <c r="B101" s="27">
        <v>28</v>
      </c>
    </row>
    <row r="102" spans="1:2" ht="16" x14ac:dyDescent="0.2">
      <c r="A102" s="27">
        <v>26</v>
      </c>
      <c r="B102" s="27">
        <v>26</v>
      </c>
    </row>
    <row r="103" spans="1:2" ht="16" x14ac:dyDescent="0.2">
      <c r="A103" s="27">
        <v>166</v>
      </c>
      <c r="B103" s="27">
        <v>157</v>
      </c>
    </row>
    <row r="104" spans="1:2" ht="16" x14ac:dyDescent="0.2">
      <c r="A104" s="27">
        <v>169</v>
      </c>
      <c r="B104" s="27">
        <v>51</v>
      </c>
    </row>
    <row r="105" spans="1:2" ht="16" x14ac:dyDescent="0.2">
      <c r="A105" s="27">
        <v>10</v>
      </c>
      <c r="B105" s="27">
        <v>109</v>
      </c>
    </row>
    <row r="106" spans="1:2" ht="16" x14ac:dyDescent="0.2">
      <c r="A106" s="27">
        <v>70</v>
      </c>
      <c r="B106" s="27">
        <v>121</v>
      </c>
    </row>
    <row r="107" spans="1:2" ht="16" x14ac:dyDescent="0.2">
      <c r="A107" s="27">
        <v>96</v>
      </c>
      <c r="B107" s="27">
        <v>124</v>
      </c>
    </row>
    <row r="108" spans="1:2" ht="16" x14ac:dyDescent="0.2">
      <c r="A108" s="27">
        <v>97</v>
      </c>
      <c r="B108" s="27">
        <v>130</v>
      </c>
    </row>
    <row r="109" spans="1:2" ht="16" x14ac:dyDescent="0.2">
      <c r="A109" s="27">
        <v>171</v>
      </c>
      <c r="B109" s="27">
        <v>238</v>
      </c>
    </row>
    <row r="110" spans="1:2" ht="16" x14ac:dyDescent="0.2">
      <c r="A110" s="27">
        <v>150</v>
      </c>
      <c r="B110" s="27">
        <v>186</v>
      </c>
    </row>
    <row r="111" spans="1:2" ht="16" x14ac:dyDescent="0.2">
      <c r="A111" s="27">
        <v>123</v>
      </c>
      <c r="B111" s="27">
        <v>152</v>
      </c>
    </row>
    <row r="112" spans="1:2" ht="16" x14ac:dyDescent="0.2">
      <c r="A112" s="27">
        <v>100</v>
      </c>
      <c r="B112" s="27">
        <v>147</v>
      </c>
    </row>
    <row r="113" spans="1:2" ht="16" x14ac:dyDescent="0.2">
      <c r="A113" s="27">
        <v>73</v>
      </c>
      <c r="B113" s="27">
        <v>105</v>
      </c>
    </row>
    <row r="114" spans="1:2" ht="16" x14ac:dyDescent="0.2">
      <c r="A114" s="27">
        <v>121</v>
      </c>
      <c r="B114" s="27">
        <v>267</v>
      </c>
    </row>
    <row r="115" spans="1:2" ht="16" x14ac:dyDescent="0.2">
      <c r="A115" s="27">
        <v>45</v>
      </c>
      <c r="B115" s="27">
        <v>57</v>
      </c>
    </row>
    <row r="116" spans="1:2" ht="16" x14ac:dyDescent="0.2">
      <c r="A116" s="27">
        <v>204</v>
      </c>
      <c r="B116" s="27">
        <v>255</v>
      </c>
    </row>
    <row r="117" spans="1:2" ht="16" x14ac:dyDescent="0.2">
      <c r="A117" s="27">
        <v>191</v>
      </c>
      <c r="B117" s="27">
        <v>9</v>
      </c>
    </row>
    <row r="118" spans="1:2" ht="16" x14ac:dyDescent="0.2">
      <c r="A118" s="27">
        <v>12</v>
      </c>
      <c r="B118" s="27">
        <v>133</v>
      </c>
    </row>
    <row r="119" spans="1:2" ht="16" x14ac:dyDescent="0.2">
      <c r="A119" s="27">
        <v>50</v>
      </c>
      <c r="B119" s="27">
        <v>127</v>
      </c>
    </row>
    <row r="120" spans="1:2" ht="16" x14ac:dyDescent="0.2">
      <c r="A120" s="27">
        <v>75</v>
      </c>
      <c r="B120" s="27">
        <v>111</v>
      </c>
    </row>
    <row r="121" spans="1:2" ht="16" x14ac:dyDescent="0.2">
      <c r="A121" s="27">
        <v>114</v>
      </c>
      <c r="B121" s="27">
        <v>100</v>
      </c>
    </row>
    <row r="122" spans="1:2" ht="16" x14ac:dyDescent="0.2">
      <c r="A122" s="27">
        <v>119</v>
      </c>
      <c r="B122" s="27">
        <v>185</v>
      </c>
    </row>
    <row r="123" spans="1:2" ht="16" x14ac:dyDescent="0.2">
      <c r="A123" s="27">
        <v>138</v>
      </c>
      <c r="B123" s="27">
        <v>117</v>
      </c>
    </row>
    <row r="124" spans="1:2" ht="16" x14ac:dyDescent="0.2">
      <c r="A124" s="27">
        <v>126</v>
      </c>
      <c r="B124" s="27">
        <v>186</v>
      </c>
    </row>
    <row r="125" spans="1:2" ht="16" x14ac:dyDescent="0.2">
      <c r="A125" s="27">
        <v>156</v>
      </c>
      <c r="B125" s="27">
        <v>213</v>
      </c>
    </row>
    <row r="126" spans="1:2" ht="16" x14ac:dyDescent="0.2">
      <c r="A126" s="27">
        <v>140</v>
      </c>
      <c r="B126" s="27">
        <v>113</v>
      </c>
    </row>
    <row r="127" spans="1:2" ht="16" x14ac:dyDescent="0.2">
      <c r="A127" s="27">
        <v>122</v>
      </c>
      <c r="B127" s="27">
        <v>99</v>
      </c>
    </row>
    <row r="128" spans="1:2" ht="16" x14ac:dyDescent="0.2">
      <c r="A128" s="27">
        <v>81</v>
      </c>
      <c r="B128" s="27">
        <v>127</v>
      </c>
    </row>
    <row r="129" spans="1:2" ht="16" x14ac:dyDescent="0.2">
      <c r="A129" s="27">
        <v>103</v>
      </c>
      <c r="B129" s="27">
        <v>119</v>
      </c>
    </row>
    <row r="130" spans="1:2" ht="16" x14ac:dyDescent="0.2">
      <c r="A130" s="27">
        <v>107</v>
      </c>
      <c r="B130" s="27">
        <v>124</v>
      </c>
    </row>
    <row r="131" spans="1:2" ht="16" x14ac:dyDescent="0.2">
      <c r="A131" s="27">
        <v>281</v>
      </c>
      <c r="B131" s="27">
        <v>90</v>
      </c>
    </row>
    <row r="132" spans="1:2" ht="16" x14ac:dyDescent="0.2">
      <c r="A132" s="27">
        <v>54</v>
      </c>
      <c r="B132" s="27">
        <v>37</v>
      </c>
    </row>
    <row r="133" spans="1:2" ht="16" x14ac:dyDescent="0.2">
      <c r="A133" s="27">
        <v>45</v>
      </c>
      <c r="B133" s="27">
        <v>73</v>
      </c>
    </row>
    <row r="134" spans="1:2" ht="16" x14ac:dyDescent="0.2">
      <c r="A134" s="27">
        <v>155</v>
      </c>
      <c r="B134" s="27">
        <v>43</v>
      </c>
    </row>
    <row r="135" spans="1:2" ht="16" x14ac:dyDescent="0.2">
      <c r="A135" s="27">
        <v>129</v>
      </c>
      <c r="B135" s="27">
        <v>64</v>
      </c>
    </row>
    <row r="136" spans="1:2" ht="16" x14ac:dyDescent="0.2">
      <c r="A136" s="27">
        <v>136</v>
      </c>
      <c r="B136" s="27">
        <v>161</v>
      </c>
    </row>
    <row r="137" spans="1:2" ht="16" x14ac:dyDescent="0.2">
      <c r="A137" s="27">
        <v>101</v>
      </c>
      <c r="B137" s="27">
        <v>222</v>
      </c>
    </row>
    <row r="138" spans="1:2" ht="16" x14ac:dyDescent="0.2">
      <c r="A138" s="27">
        <v>97</v>
      </c>
      <c r="B138" s="27">
        <v>147</v>
      </c>
    </row>
    <row r="139" spans="1:2" ht="16" x14ac:dyDescent="0.2">
      <c r="A139" s="27">
        <v>72</v>
      </c>
      <c r="B139" s="27">
        <v>57</v>
      </c>
    </row>
    <row r="140" spans="1:2" ht="16" x14ac:dyDescent="0.2">
      <c r="A140" s="27">
        <v>93</v>
      </c>
      <c r="B140" s="27">
        <v>57</v>
      </c>
    </row>
    <row r="141" spans="1:2" ht="16" x14ac:dyDescent="0.2">
      <c r="A141" s="27">
        <v>69</v>
      </c>
      <c r="B141" s="27">
        <v>18</v>
      </c>
    </row>
    <row r="142" spans="1:2" ht="16" x14ac:dyDescent="0.2">
      <c r="A142" s="27">
        <v>72</v>
      </c>
      <c r="B142" s="27">
        <v>116</v>
      </c>
    </row>
    <row r="143" spans="1:2" ht="16" x14ac:dyDescent="0.2">
      <c r="A143" s="27">
        <v>56</v>
      </c>
      <c r="B143" s="27">
        <v>48</v>
      </c>
    </row>
    <row r="144" spans="1:2" ht="16" x14ac:dyDescent="0.2">
      <c r="A144" s="27">
        <v>76</v>
      </c>
      <c r="B144" s="27">
        <v>87</v>
      </c>
    </row>
    <row r="145" spans="1:2" ht="16" x14ac:dyDescent="0.2">
      <c r="A145" s="27">
        <v>96</v>
      </c>
      <c r="B145" s="27">
        <v>98</v>
      </c>
    </row>
    <row r="146" spans="1:2" ht="16" x14ac:dyDescent="0.2">
      <c r="A146" s="27">
        <v>103</v>
      </c>
      <c r="B146" s="27">
        <v>172</v>
      </c>
    </row>
    <row r="147" spans="1:2" ht="16" x14ac:dyDescent="0.2">
      <c r="A147" s="27">
        <v>147</v>
      </c>
      <c r="B147" s="27">
        <v>113</v>
      </c>
    </row>
    <row r="148" spans="1:2" ht="16" x14ac:dyDescent="0.2">
      <c r="A148" s="27">
        <v>45</v>
      </c>
      <c r="B148" s="27">
        <v>12</v>
      </c>
    </row>
    <row r="149" spans="1:2" ht="16" x14ac:dyDescent="0.2">
      <c r="A149" s="27">
        <v>94</v>
      </c>
      <c r="B149" s="27">
        <v>123</v>
      </c>
    </row>
    <row r="150" spans="1:2" ht="16" x14ac:dyDescent="0.2">
      <c r="A150" s="27">
        <v>26</v>
      </c>
      <c r="B150" s="27">
        <v>110</v>
      </c>
    </row>
    <row r="151" spans="1:2" ht="16" x14ac:dyDescent="0.2">
      <c r="A151" s="27">
        <v>68</v>
      </c>
      <c r="B151" s="27">
        <v>23</v>
      </c>
    </row>
    <row r="152" spans="1:2" ht="16" x14ac:dyDescent="0.2">
      <c r="A152" s="27">
        <v>108</v>
      </c>
      <c r="B152" s="27">
        <v>96</v>
      </c>
    </row>
    <row r="153" spans="1:2" ht="16" x14ac:dyDescent="0.2">
      <c r="A153" s="27">
        <v>78</v>
      </c>
      <c r="B153" s="27">
        <v>107</v>
      </c>
    </row>
    <row r="154" spans="1:2" ht="16" x14ac:dyDescent="0.2">
      <c r="A154" s="27">
        <v>176</v>
      </c>
      <c r="B154" s="27">
        <v>242</v>
      </c>
    </row>
    <row r="155" spans="1:2" ht="16" x14ac:dyDescent="0.2">
      <c r="A155" s="27">
        <v>75</v>
      </c>
      <c r="B155" s="27">
        <v>52</v>
      </c>
    </row>
    <row r="156" spans="1:2" ht="16" x14ac:dyDescent="0.2">
      <c r="A156" s="27">
        <v>103</v>
      </c>
      <c r="B156" s="27">
        <v>101</v>
      </c>
    </row>
    <row r="157" spans="1:2" ht="16" x14ac:dyDescent="0.2">
      <c r="A157" s="27">
        <v>97</v>
      </c>
      <c r="B157" s="27">
        <v>24</v>
      </c>
    </row>
    <row r="158" spans="1:2" ht="16" x14ac:dyDescent="0.2">
      <c r="A158" s="27">
        <v>30</v>
      </c>
      <c r="B158" s="27">
        <v>47</v>
      </c>
    </row>
    <row r="159" spans="1:2" ht="16" x14ac:dyDescent="0.2">
      <c r="A159" s="27">
        <v>32</v>
      </c>
      <c r="B159" s="27">
        <v>103</v>
      </c>
    </row>
    <row r="160" spans="1:2" ht="16" x14ac:dyDescent="0.2">
      <c r="A160" s="27">
        <v>74</v>
      </c>
      <c r="B160" s="27">
        <v>178</v>
      </c>
    </row>
    <row r="161" spans="1:2" ht="16" x14ac:dyDescent="0.2">
      <c r="A161" s="27">
        <v>65</v>
      </c>
      <c r="B161" s="27">
        <v>231</v>
      </c>
    </row>
    <row r="162" spans="1:2" ht="16" x14ac:dyDescent="0.2">
      <c r="A162" s="27">
        <v>29</v>
      </c>
      <c r="B162" s="27">
        <v>179</v>
      </c>
    </row>
    <row r="163" spans="1:2" ht="16" x14ac:dyDescent="0.2">
      <c r="A163" s="27">
        <v>73</v>
      </c>
      <c r="B163" s="27">
        <v>219</v>
      </c>
    </row>
    <row r="164" spans="1:2" ht="16" x14ac:dyDescent="0.2">
      <c r="A164" s="27">
        <v>106</v>
      </c>
      <c r="B164" s="27">
        <v>73</v>
      </c>
    </row>
    <row r="165" spans="1:2" ht="16" x14ac:dyDescent="0.2">
      <c r="A165" s="27">
        <v>130</v>
      </c>
      <c r="B165" s="27">
        <v>77</v>
      </c>
    </row>
    <row r="166" spans="1:2" ht="16" x14ac:dyDescent="0.2">
      <c r="A166" s="27">
        <v>93</v>
      </c>
      <c r="B166" s="27">
        <v>198</v>
      </c>
    </row>
    <row r="167" spans="1:2" ht="16" x14ac:dyDescent="0.2">
      <c r="A167" s="27">
        <v>103</v>
      </c>
      <c r="B167" s="27">
        <v>151</v>
      </c>
    </row>
    <row r="168" spans="1:2" ht="16" x14ac:dyDescent="0.2">
      <c r="A168" s="27">
        <v>106</v>
      </c>
      <c r="B168" s="27">
        <v>125</v>
      </c>
    </row>
    <row r="169" spans="1:2" ht="16" x14ac:dyDescent="0.2">
      <c r="A169" s="27">
        <v>44</v>
      </c>
      <c r="B169" s="27">
        <v>11</v>
      </c>
    </row>
    <row r="170" spans="1:2" ht="16" x14ac:dyDescent="0.2">
      <c r="A170" s="27">
        <v>40</v>
      </c>
      <c r="B170" s="27">
        <v>181</v>
      </c>
    </row>
    <row r="171" spans="1:2" ht="16" x14ac:dyDescent="0.2">
      <c r="A171" s="27">
        <v>33</v>
      </c>
      <c r="B171" s="27">
        <v>99</v>
      </c>
    </row>
    <row r="172" spans="1:2" ht="16" x14ac:dyDescent="0.2">
      <c r="A172" s="27">
        <v>28</v>
      </c>
      <c r="B172" s="27">
        <v>128</v>
      </c>
    </row>
    <row r="173" spans="1:2" ht="16" x14ac:dyDescent="0.2">
      <c r="A173" s="27">
        <v>52</v>
      </c>
      <c r="B173" s="27">
        <v>116</v>
      </c>
    </row>
    <row r="174" spans="1:2" ht="16" x14ac:dyDescent="0.2">
      <c r="A174" s="27">
        <v>167</v>
      </c>
      <c r="B174" s="27">
        <v>161</v>
      </c>
    </row>
    <row r="175" spans="1:2" ht="16" x14ac:dyDescent="0.2">
      <c r="A175" s="27">
        <v>165</v>
      </c>
      <c r="B175" s="27">
        <v>211</v>
      </c>
    </row>
    <row r="176" spans="1:2" ht="16" x14ac:dyDescent="0.2">
      <c r="A176" s="27">
        <v>461</v>
      </c>
      <c r="B176" s="27">
        <v>34</v>
      </c>
    </row>
    <row r="177" spans="1:2" ht="16" x14ac:dyDescent="0.2">
      <c r="A177" s="27">
        <v>91</v>
      </c>
      <c r="B177" s="27">
        <v>156</v>
      </c>
    </row>
    <row r="178" spans="1:2" ht="16" x14ac:dyDescent="0.2">
      <c r="A178" s="27">
        <v>483</v>
      </c>
      <c r="B178" s="27">
        <v>109</v>
      </c>
    </row>
    <row r="179" spans="1:2" ht="16" x14ac:dyDescent="0.2">
      <c r="A179" s="27">
        <v>221</v>
      </c>
      <c r="B179" s="27">
        <v>203</v>
      </c>
    </row>
    <row r="180" spans="1:2" ht="16" x14ac:dyDescent="0.2">
      <c r="A180" s="27">
        <v>160</v>
      </c>
      <c r="B180" s="27">
        <v>237</v>
      </c>
    </row>
    <row r="181" spans="1:2" ht="16" x14ac:dyDescent="0.2">
      <c r="A181" s="27">
        <v>64</v>
      </c>
      <c r="B181" s="27">
        <v>153</v>
      </c>
    </row>
    <row r="182" spans="1:2" ht="16" x14ac:dyDescent="0.2">
      <c r="A182" s="27">
        <v>21</v>
      </c>
      <c r="B182" s="27">
        <v>130</v>
      </c>
    </row>
    <row r="183" spans="1:2" ht="16" x14ac:dyDescent="0.2">
      <c r="A183" s="27">
        <v>14</v>
      </c>
      <c r="B183" s="27">
        <v>88</v>
      </c>
    </row>
    <row r="184" spans="1:2" ht="16" x14ac:dyDescent="0.2">
      <c r="A184" s="27">
        <v>45</v>
      </c>
      <c r="B184" s="27">
        <v>95</v>
      </c>
    </row>
    <row r="185" spans="1:2" ht="16" x14ac:dyDescent="0.2">
      <c r="A185" s="27">
        <v>191</v>
      </c>
      <c r="B185" s="27">
        <v>175</v>
      </c>
    </row>
    <row r="186" spans="1:2" ht="16" x14ac:dyDescent="0.2">
      <c r="A186" s="27">
        <v>152</v>
      </c>
      <c r="B186" s="27">
        <v>69</v>
      </c>
    </row>
    <row r="187" spans="1:2" ht="16" x14ac:dyDescent="0.2">
      <c r="A187" s="27">
        <v>264</v>
      </c>
      <c r="B187" s="27">
        <v>123</v>
      </c>
    </row>
    <row r="188" spans="1:2" ht="16" x14ac:dyDescent="0.2">
      <c r="A188" s="27">
        <v>116</v>
      </c>
      <c r="B188" s="27">
        <v>18</v>
      </c>
    </row>
    <row r="189" spans="1:2" ht="16" x14ac:dyDescent="0.2">
      <c r="A189" s="27">
        <v>108</v>
      </c>
      <c r="B189" s="27">
        <v>111</v>
      </c>
    </row>
    <row r="190" spans="1:2" ht="16" x14ac:dyDescent="0.2">
      <c r="A190" s="27">
        <v>4</v>
      </c>
      <c r="B190" s="27">
        <v>109</v>
      </c>
    </row>
    <row r="191" spans="1:2" ht="16" x14ac:dyDescent="0.2">
      <c r="A191" s="27">
        <v>125</v>
      </c>
      <c r="B191" s="27">
        <v>39</v>
      </c>
    </row>
    <row r="192" spans="1:2" ht="16" x14ac:dyDescent="0.2">
      <c r="A192" s="27">
        <v>174</v>
      </c>
      <c r="B192" s="27">
        <v>103</v>
      </c>
    </row>
    <row r="193" spans="1:2" ht="16" x14ac:dyDescent="0.2">
      <c r="A193" s="27">
        <v>112</v>
      </c>
      <c r="B193" s="27">
        <v>176</v>
      </c>
    </row>
    <row r="194" spans="1:2" ht="16" x14ac:dyDescent="0.2">
      <c r="A194" s="27">
        <v>138</v>
      </c>
      <c r="B194" s="27">
        <v>30</v>
      </c>
    </row>
    <row r="195" spans="1:2" ht="16" x14ac:dyDescent="0.2">
      <c r="A195" s="27">
        <v>67</v>
      </c>
      <c r="B195" s="27">
        <v>1</v>
      </c>
    </row>
    <row r="196" spans="1:2" ht="16" x14ac:dyDescent="0.2">
      <c r="A196" s="27">
        <v>14</v>
      </c>
      <c r="B196" s="27">
        <v>138</v>
      </c>
    </row>
    <row r="197" spans="1:2" ht="16" x14ac:dyDescent="0.2">
      <c r="A197" s="27">
        <v>60</v>
      </c>
      <c r="B197" s="27">
        <v>222</v>
      </c>
    </row>
    <row r="198" spans="1:2" ht="16" x14ac:dyDescent="0.2">
      <c r="A198" s="27">
        <v>6</v>
      </c>
      <c r="B198" s="27">
        <v>204</v>
      </c>
    </row>
    <row r="199" spans="1:2" ht="16" x14ac:dyDescent="0.2">
      <c r="A199" s="27">
        <v>18</v>
      </c>
      <c r="B199" s="27">
        <v>207</v>
      </c>
    </row>
    <row r="200" spans="1:2" ht="16" x14ac:dyDescent="0.2">
      <c r="A200" s="27">
        <v>45</v>
      </c>
      <c r="B200" s="27">
        <v>157</v>
      </c>
    </row>
    <row r="201" spans="1:2" ht="16" x14ac:dyDescent="0.2">
      <c r="A201" s="27">
        <v>57</v>
      </c>
      <c r="B201" s="27">
        <v>256</v>
      </c>
    </row>
    <row r="202" spans="1:2" ht="16" x14ac:dyDescent="0.2">
      <c r="A202" s="27">
        <v>47</v>
      </c>
      <c r="B202" s="27">
        <v>203</v>
      </c>
    </row>
    <row r="203" spans="1:2" ht="16" x14ac:dyDescent="0.2">
      <c r="A203" s="27">
        <v>18</v>
      </c>
      <c r="B203" s="27">
        <v>173</v>
      </c>
    </row>
    <row r="204" spans="1:2" ht="16" x14ac:dyDescent="0.2">
      <c r="A204" s="27">
        <v>43</v>
      </c>
      <c r="B204" s="27">
        <v>1</v>
      </c>
    </row>
    <row r="205" spans="1:2" ht="16" x14ac:dyDescent="0.2">
      <c r="A205" s="27">
        <v>16</v>
      </c>
      <c r="B205" s="27">
        <v>166</v>
      </c>
    </row>
    <row r="206" spans="1:2" ht="16" x14ac:dyDescent="0.2">
      <c r="A206" s="27">
        <v>10</v>
      </c>
      <c r="B206" s="27">
        <v>37</v>
      </c>
    </row>
    <row r="207" spans="1:2" ht="16" x14ac:dyDescent="0.2">
      <c r="A207" s="27">
        <v>1</v>
      </c>
      <c r="B207" s="27">
        <v>21</v>
      </c>
    </row>
    <row r="208" spans="1:2" ht="16" x14ac:dyDescent="0.2">
      <c r="A208" s="27">
        <v>27</v>
      </c>
      <c r="B208" s="27">
        <v>7</v>
      </c>
    </row>
    <row r="209" spans="1:2" ht="16" x14ac:dyDescent="0.2">
      <c r="A209" s="27">
        <v>71</v>
      </c>
      <c r="B209" s="27">
        <v>14</v>
      </c>
    </row>
    <row r="210" spans="1:2" ht="16" x14ac:dyDescent="0.2">
      <c r="A210" s="27">
        <v>102</v>
      </c>
      <c r="B210" s="27">
        <v>54</v>
      </c>
    </row>
    <row r="211" spans="1:2" ht="16" x14ac:dyDescent="0.2">
      <c r="A211" s="27">
        <v>196</v>
      </c>
      <c r="B211" s="27">
        <v>171</v>
      </c>
    </row>
    <row r="212" spans="1:2" ht="16" x14ac:dyDescent="0.2">
      <c r="A212" s="27">
        <v>103</v>
      </c>
      <c r="B212" s="27">
        <v>176</v>
      </c>
    </row>
    <row r="213" spans="1:2" ht="16" x14ac:dyDescent="0.2">
      <c r="A213" s="27">
        <v>86</v>
      </c>
      <c r="B213" s="27">
        <v>172</v>
      </c>
    </row>
    <row r="214" spans="1:2" ht="16" x14ac:dyDescent="0.2">
      <c r="A214" s="27">
        <v>110</v>
      </c>
      <c r="B214" s="27">
        <v>141</v>
      </c>
    </row>
    <row r="215" spans="1:2" ht="16" x14ac:dyDescent="0.2">
      <c r="A215" s="27">
        <v>148</v>
      </c>
      <c r="B215" s="27">
        <v>79</v>
      </c>
    </row>
    <row r="216" spans="1:2" ht="16" x14ac:dyDescent="0.2">
      <c r="A216" s="27">
        <v>88</v>
      </c>
      <c r="B216" s="27">
        <v>141</v>
      </c>
    </row>
    <row r="217" spans="1:2" ht="16" x14ac:dyDescent="0.2">
      <c r="A217" s="27">
        <v>99</v>
      </c>
      <c r="B217" s="27">
        <v>108</v>
      </c>
    </row>
    <row r="218" spans="1:2" ht="16" x14ac:dyDescent="0.2">
      <c r="A218" s="27">
        <v>96</v>
      </c>
      <c r="B218" s="27">
        <v>93</v>
      </c>
    </row>
    <row r="219" spans="1:2" ht="16" x14ac:dyDescent="0.2">
      <c r="A219" s="27">
        <v>30</v>
      </c>
      <c r="B219" s="27">
        <v>88</v>
      </c>
    </row>
    <row r="220" spans="1:2" ht="16" x14ac:dyDescent="0.2">
      <c r="A220" s="27">
        <v>125</v>
      </c>
      <c r="B220" s="27">
        <v>142</v>
      </c>
    </row>
    <row r="221" spans="1:2" ht="16" x14ac:dyDescent="0.2">
      <c r="A221" s="27">
        <v>130</v>
      </c>
      <c r="B221" s="27">
        <v>21</v>
      </c>
    </row>
    <row r="222" spans="1:2" ht="16" x14ac:dyDescent="0.2">
      <c r="A222" s="27">
        <v>51</v>
      </c>
      <c r="B222" s="27">
        <v>31</v>
      </c>
    </row>
    <row r="223" spans="1:2" ht="16" x14ac:dyDescent="0.2">
      <c r="A223" s="27">
        <v>65</v>
      </c>
      <c r="B223" s="27">
        <v>96</v>
      </c>
    </row>
    <row r="224" spans="1:2" ht="16" x14ac:dyDescent="0.2">
      <c r="A224" s="27">
        <v>88</v>
      </c>
      <c r="B224" s="27">
        <v>102</v>
      </c>
    </row>
    <row r="225" spans="1:2" ht="16" x14ac:dyDescent="0.2">
      <c r="A225" s="27">
        <v>107</v>
      </c>
      <c r="B225" s="27">
        <v>108</v>
      </c>
    </row>
    <row r="226" spans="1:2" ht="16" x14ac:dyDescent="0.2">
      <c r="A226" s="27">
        <v>25</v>
      </c>
      <c r="B226" s="27">
        <v>81</v>
      </c>
    </row>
    <row r="227" spans="1:2" ht="16" x14ac:dyDescent="0.2">
      <c r="A227" s="27">
        <v>178</v>
      </c>
      <c r="B227" s="27">
        <v>129</v>
      </c>
    </row>
    <row r="228" spans="1:2" ht="16" x14ac:dyDescent="0.2">
      <c r="A228" s="27">
        <v>8</v>
      </c>
      <c r="B228" s="27">
        <v>105</v>
      </c>
    </row>
    <row r="229" spans="1:2" ht="16" x14ac:dyDescent="0.2">
      <c r="A229" s="27">
        <v>45</v>
      </c>
      <c r="B229" s="27">
        <v>118</v>
      </c>
    </row>
    <row r="230" spans="1:2" ht="16" x14ac:dyDescent="0.2">
      <c r="A230" s="27">
        <v>225</v>
      </c>
      <c r="B230" s="27">
        <v>121</v>
      </c>
    </row>
    <row r="231" spans="1:2" ht="16" x14ac:dyDescent="0.2">
      <c r="A231" s="27">
        <v>94</v>
      </c>
      <c r="B231" s="27">
        <v>101</v>
      </c>
    </row>
    <row r="232" spans="1:2" ht="16" x14ac:dyDescent="0.2">
      <c r="A232" s="27">
        <v>141</v>
      </c>
      <c r="B232" s="27">
        <v>74</v>
      </c>
    </row>
    <row r="233" spans="1:2" ht="16" x14ac:dyDescent="0.2">
      <c r="A233" s="27">
        <v>143</v>
      </c>
      <c r="B233" s="27">
        <v>113</v>
      </c>
    </row>
    <row r="234" spans="1:2" ht="16" x14ac:dyDescent="0.2">
      <c r="A234" s="27">
        <v>92</v>
      </c>
      <c r="B234" s="27">
        <v>38</v>
      </c>
    </row>
    <row r="235" spans="1:2" ht="16" x14ac:dyDescent="0.2">
      <c r="A235" s="27">
        <v>165</v>
      </c>
      <c r="B235" s="27">
        <v>10</v>
      </c>
    </row>
    <row r="236" spans="1:2" ht="16" x14ac:dyDescent="0.2">
      <c r="A236" s="27">
        <v>38</v>
      </c>
      <c r="B236" s="27">
        <v>123</v>
      </c>
    </row>
    <row r="237" spans="1:2" ht="16" x14ac:dyDescent="0.2">
      <c r="A237" s="27">
        <v>12</v>
      </c>
      <c r="B237" s="27">
        <v>17</v>
      </c>
    </row>
    <row r="238" spans="1:2" ht="16" x14ac:dyDescent="0.2">
      <c r="A238" s="27">
        <v>15</v>
      </c>
      <c r="B238" s="27">
        <v>54</v>
      </c>
    </row>
    <row r="239" spans="1:2" ht="16" x14ac:dyDescent="0.2">
      <c r="A239" s="27">
        <v>126</v>
      </c>
      <c r="B239" s="27">
        <v>41</v>
      </c>
    </row>
    <row r="240" spans="1:2" ht="16" x14ac:dyDescent="0.2">
      <c r="A240" s="27">
        <v>77</v>
      </c>
      <c r="B240" s="27">
        <v>49</v>
      </c>
    </row>
    <row r="241" spans="1:2" ht="16" x14ac:dyDescent="0.2">
      <c r="A241" s="27">
        <v>162</v>
      </c>
      <c r="B241" s="27">
        <v>74</v>
      </c>
    </row>
    <row r="242" spans="1:2" ht="16" x14ac:dyDescent="0.2">
      <c r="A242" s="27">
        <v>112</v>
      </c>
      <c r="B242" s="27">
        <v>181</v>
      </c>
    </row>
    <row r="243" spans="1:2" ht="16" x14ac:dyDescent="0.2">
      <c r="A243" s="27">
        <v>78</v>
      </c>
      <c r="B243" s="27">
        <v>103</v>
      </c>
    </row>
    <row r="244" spans="1:2" ht="16" x14ac:dyDescent="0.2">
      <c r="A244" s="27">
        <v>52</v>
      </c>
      <c r="B244" s="27">
        <v>93</v>
      </c>
    </row>
    <row r="245" spans="1:2" ht="16" x14ac:dyDescent="0.2">
      <c r="A245" s="27">
        <v>76</v>
      </c>
      <c r="B245" s="27">
        <v>77</v>
      </c>
    </row>
    <row r="246" spans="1:2" ht="16" x14ac:dyDescent="0.2">
      <c r="A246" s="27">
        <v>91</v>
      </c>
      <c r="B246" s="27">
        <v>12</v>
      </c>
    </row>
    <row r="247" spans="1:2" ht="16" x14ac:dyDescent="0.2">
      <c r="A247" s="27">
        <v>94</v>
      </c>
      <c r="B247" s="27">
        <v>113</v>
      </c>
    </row>
    <row r="248" spans="1:2" ht="16" x14ac:dyDescent="0.2">
      <c r="A248" s="27">
        <v>48</v>
      </c>
      <c r="B248" s="27">
        <v>58</v>
      </c>
    </row>
    <row r="249" spans="1:2" ht="16" x14ac:dyDescent="0.2">
      <c r="A249" s="27">
        <v>45</v>
      </c>
      <c r="B249" s="27">
        <v>61</v>
      </c>
    </row>
    <row r="250" spans="1:2" ht="16" x14ac:dyDescent="0.2">
      <c r="A250" s="27">
        <v>100</v>
      </c>
      <c r="B250" s="27">
        <v>91</v>
      </c>
    </row>
    <row r="251" spans="1:2" ht="16" x14ac:dyDescent="0.2">
      <c r="A251" s="27">
        <v>139</v>
      </c>
      <c r="B251" s="27">
        <v>181</v>
      </c>
    </row>
    <row r="252" spans="1:2" ht="16" x14ac:dyDescent="0.2">
      <c r="A252" s="27">
        <v>145</v>
      </c>
      <c r="B252" s="27">
        <v>115</v>
      </c>
    </row>
    <row r="253" spans="1:2" ht="16" x14ac:dyDescent="0.2">
      <c r="A253" s="27">
        <v>22</v>
      </c>
      <c r="B253" s="27">
        <v>123</v>
      </c>
    </row>
    <row r="254" spans="1:2" ht="16" x14ac:dyDescent="0.2">
      <c r="A254" s="27">
        <v>67</v>
      </c>
      <c r="B254" s="27">
        <v>76</v>
      </c>
    </row>
    <row r="255" spans="1:2" ht="16" x14ac:dyDescent="0.2">
      <c r="A255" s="27">
        <v>37</v>
      </c>
      <c r="B255" s="27">
        <v>139</v>
      </c>
    </row>
    <row r="256" spans="1:2" ht="16" x14ac:dyDescent="0.2">
      <c r="A256" s="27">
        <v>72</v>
      </c>
      <c r="B256" s="27">
        <v>119</v>
      </c>
    </row>
    <row r="257" spans="1:2" ht="16" x14ac:dyDescent="0.2">
      <c r="A257" s="27">
        <v>71</v>
      </c>
      <c r="B257" s="27">
        <v>107</v>
      </c>
    </row>
    <row r="258" spans="1:2" ht="16" x14ac:dyDescent="0.2">
      <c r="A258" s="27">
        <v>33</v>
      </c>
      <c r="B258" s="27">
        <v>43</v>
      </c>
    </row>
    <row r="259" spans="1:2" ht="16" x14ac:dyDescent="0.2">
      <c r="A259" s="27">
        <v>44</v>
      </c>
      <c r="B259" s="27">
        <v>77</v>
      </c>
    </row>
    <row r="260" spans="1:2" ht="16" x14ac:dyDescent="0.2">
      <c r="A260" s="27">
        <v>41</v>
      </c>
      <c r="B260" s="27">
        <v>86</v>
      </c>
    </row>
    <row r="261" spans="1:2" ht="16" x14ac:dyDescent="0.2">
      <c r="A261" s="27">
        <v>62</v>
      </c>
      <c r="B261" s="27">
        <v>68</v>
      </c>
    </row>
    <row r="262" spans="1:2" ht="16" x14ac:dyDescent="0.2">
      <c r="A262" s="27">
        <v>86</v>
      </c>
      <c r="B262" s="27">
        <v>118</v>
      </c>
    </row>
    <row r="263" spans="1:2" ht="16" x14ac:dyDescent="0.2">
      <c r="A263" s="27">
        <v>117</v>
      </c>
      <c r="B263" s="27">
        <v>46</v>
      </c>
    </row>
    <row r="264" spans="1:2" ht="16" x14ac:dyDescent="0.2">
      <c r="A264" s="27">
        <v>161</v>
      </c>
      <c r="B264" s="27">
        <v>71</v>
      </c>
    </row>
    <row r="265" spans="1:2" ht="16" x14ac:dyDescent="0.2">
      <c r="A265" s="27">
        <v>67</v>
      </c>
      <c r="B265" s="27">
        <v>158</v>
      </c>
    </row>
    <row r="266" spans="1:2" ht="16" x14ac:dyDescent="0.2">
      <c r="A266" s="27">
        <v>60</v>
      </c>
      <c r="B266" s="27">
        <v>184</v>
      </c>
    </row>
    <row r="267" spans="1:2" ht="16" x14ac:dyDescent="0.2">
      <c r="A267" s="27">
        <v>71</v>
      </c>
      <c r="B267" s="27">
        <v>143</v>
      </c>
    </row>
    <row r="268" spans="1:2" ht="16" x14ac:dyDescent="0.2">
      <c r="A268" s="27">
        <v>56</v>
      </c>
      <c r="B268" s="27">
        <v>100</v>
      </c>
    </row>
    <row r="269" spans="1:2" ht="16" x14ac:dyDescent="0.2">
      <c r="A269" s="27">
        <v>83</v>
      </c>
      <c r="B269" s="27">
        <v>64</v>
      </c>
    </row>
    <row r="270" spans="1:2" ht="16" x14ac:dyDescent="0.2">
      <c r="A270" s="27">
        <v>130</v>
      </c>
      <c r="B270" s="27">
        <v>31</v>
      </c>
    </row>
    <row r="271" spans="1:2" ht="16" x14ac:dyDescent="0.2">
      <c r="A271" s="27">
        <v>160</v>
      </c>
      <c r="B271" s="27">
        <v>130</v>
      </c>
    </row>
    <row r="272" spans="1:2" ht="16" x14ac:dyDescent="0.2">
      <c r="A272" s="27">
        <v>180</v>
      </c>
      <c r="B272" s="27">
        <v>124</v>
      </c>
    </row>
    <row r="273" spans="1:2" ht="16" x14ac:dyDescent="0.2">
      <c r="A273" s="27">
        <v>125</v>
      </c>
      <c r="B273" s="27">
        <v>158</v>
      </c>
    </row>
    <row r="274" spans="1:2" ht="16" x14ac:dyDescent="0.2">
      <c r="A274" s="27">
        <v>44</v>
      </c>
      <c r="B274" s="27">
        <v>30</v>
      </c>
    </row>
    <row r="275" spans="1:2" ht="16" x14ac:dyDescent="0.2">
      <c r="A275" s="27">
        <v>31</v>
      </c>
      <c r="B275" s="27">
        <v>61</v>
      </c>
    </row>
    <row r="276" spans="1:2" ht="16" x14ac:dyDescent="0.2">
      <c r="A276" s="27">
        <v>144</v>
      </c>
      <c r="B276" s="27">
        <v>51</v>
      </c>
    </row>
    <row r="277" spans="1:2" ht="16" x14ac:dyDescent="0.2">
      <c r="A277" s="27">
        <v>85</v>
      </c>
      <c r="B277" s="27">
        <v>42</v>
      </c>
    </row>
    <row r="278" spans="1:2" ht="16" x14ac:dyDescent="0.2">
      <c r="A278" s="27">
        <v>17</v>
      </c>
      <c r="B278" s="27">
        <v>94</v>
      </c>
    </row>
    <row r="279" spans="1:2" ht="16" x14ac:dyDescent="0.2">
      <c r="A279" s="27">
        <v>105</v>
      </c>
      <c r="B279" s="27">
        <v>117</v>
      </c>
    </row>
    <row r="280" spans="1:2" ht="16" x14ac:dyDescent="0.2">
      <c r="A280" s="27">
        <v>148</v>
      </c>
      <c r="B280" s="27">
        <v>104</v>
      </c>
    </row>
    <row r="281" spans="1:2" ht="16" x14ac:dyDescent="0.2">
      <c r="A281" s="27">
        <v>176</v>
      </c>
      <c r="B281" s="27">
        <v>101</v>
      </c>
    </row>
    <row r="282" spans="1:2" ht="16" x14ac:dyDescent="0.2">
      <c r="A282" s="27">
        <v>104</v>
      </c>
      <c r="B282" s="27">
        <v>31</v>
      </c>
    </row>
    <row r="283" spans="1:2" ht="16" x14ac:dyDescent="0.2">
      <c r="A283" s="27">
        <v>9</v>
      </c>
      <c r="B283" s="27">
        <v>302</v>
      </c>
    </row>
    <row r="284" spans="1:2" ht="16" x14ac:dyDescent="0.2">
      <c r="A284" s="27">
        <v>18</v>
      </c>
      <c r="B284" s="27">
        <v>146</v>
      </c>
    </row>
    <row r="285" spans="1:2" ht="16" x14ac:dyDescent="0.2">
      <c r="A285" s="27">
        <v>259</v>
      </c>
      <c r="B285" s="27">
        <v>211</v>
      </c>
    </row>
    <row r="286" spans="1:2" ht="16" x14ac:dyDescent="0.2">
      <c r="A286" s="27">
        <v>194</v>
      </c>
      <c r="B286" s="27">
        <v>187</v>
      </c>
    </row>
    <row r="287" spans="1:2" ht="16" x14ac:dyDescent="0.2">
      <c r="A287" s="27">
        <v>302</v>
      </c>
      <c r="B287" s="27">
        <v>169</v>
      </c>
    </row>
    <row r="288" spans="1:2" ht="16" x14ac:dyDescent="0.2">
      <c r="A288" s="27">
        <v>46</v>
      </c>
      <c r="B288" s="27">
        <v>46</v>
      </c>
    </row>
    <row r="289" spans="1:2" ht="16" x14ac:dyDescent="0.2">
      <c r="A289" s="27">
        <v>23</v>
      </c>
      <c r="B289" s="27">
        <v>147</v>
      </c>
    </row>
    <row r="290" spans="1:2" ht="16" x14ac:dyDescent="0.2">
      <c r="A290" s="27">
        <v>32</v>
      </c>
      <c r="B290" s="27">
        <v>131</v>
      </c>
    </row>
    <row r="291" spans="1:2" ht="16" x14ac:dyDescent="0.2">
      <c r="A291" s="27">
        <v>39</v>
      </c>
      <c r="B291" s="27">
        <v>336</v>
      </c>
    </row>
    <row r="292" spans="1:2" ht="16" x14ac:dyDescent="0.2">
      <c r="A292" s="27">
        <v>32</v>
      </c>
      <c r="B292" s="27">
        <v>298</v>
      </c>
    </row>
    <row r="293" spans="1:2" ht="16" x14ac:dyDescent="0.2">
      <c r="A293" s="27">
        <v>103</v>
      </c>
      <c r="B293" s="27">
        <v>217</v>
      </c>
    </row>
    <row r="294" spans="1:2" ht="16" x14ac:dyDescent="0.2">
      <c r="A294" s="27">
        <v>184</v>
      </c>
      <c r="B294" s="27">
        <v>72</v>
      </c>
    </row>
    <row r="295" spans="1:2" ht="16" x14ac:dyDescent="0.2">
      <c r="A295" s="27">
        <v>162</v>
      </c>
      <c r="B295" s="27">
        <v>58</v>
      </c>
    </row>
    <row r="296" spans="1:2" ht="16" x14ac:dyDescent="0.2">
      <c r="A296" s="27">
        <v>12</v>
      </c>
      <c r="B296" s="27">
        <v>141</v>
      </c>
    </row>
    <row r="297" spans="1:2" ht="16" x14ac:dyDescent="0.2">
      <c r="A297" s="27">
        <v>124</v>
      </c>
      <c r="B297" s="27">
        <v>127</v>
      </c>
    </row>
    <row r="298" spans="1:2" ht="16" x14ac:dyDescent="0.2">
      <c r="A298" s="27">
        <v>130</v>
      </c>
      <c r="B298" s="27">
        <v>156</v>
      </c>
    </row>
    <row r="299" spans="1:2" ht="16" x14ac:dyDescent="0.2">
      <c r="A299" s="27">
        <v>214</v>
      </c>
      <c r="B299" s="27">
        <v>26</v>
      </c>
    </row>
    <row r="300" spans="1:2" ht="16" x14ac:dyDescent="0.2">
      <c r="A300" s="27">
        <v>163</v>
      </c>
      <c r="B300" s="27">
        <v>2</v>
      </c>
    </row>
    <row r="301" spans="1:2" ht="16" x14ac:dyDescent="0.2">
      <c r="A301" s="27">
        <v>5</v>
      </c>
      <c r="B301" s="27">
        <v>7</v>
      </c>
    </row>
    <row r="302" spans="1:2" ht="16" x14ac:dyDescent="0.2">
      <c r="A302" s="27">
        <v>25</v>
      </c>
      <c r="B302" s="27">
        <v>19</v>
      </c>
    </row>
    <row r="303" spans="1:2" ht="16" x14ac:dyDescent="0.2">
      <c r="A303" s="27">
        <v>23</v>
      </c>
      <c r="B303" s="27">
        <v>182</v>
      </c>
    </row>
    <row r="304" spans="1:2" ht="16" x14ac:dyDescent="0.2">
      <c r="A304" s="27">
        <v>91</v>
      </c>
      <c r="B304" s="27">
        <v>172</v>
      </c>
    </row>
    <row r="305" spans="1:2" ht="16" x14ac:dyDescent="0.2">
      <c r="A305" s="27">
        <v>123</v>
      </c>
      <c r="B305" s="27">
        <v>53</v>
      </c>
    </row>
    <row r="306" spans="1:2" ht="16" x14ac:dyDescent="0.2">
      <c r="A306" s="27">
        <v>87</v>
      </c>
      <c r="B306" s="27">
        <v>271</v>
      </c>
    </row>
    <row r="307" spans="1:2" ht="16" x14ac:dyDescent="0.2">
      <c r="A307" s="27">
        <v>187</v>
      </c>
      <c r="B307" s="27">
        <v>189</v>
      </c>
    </row>
    <row r="308" spans="1:2" ht="16" x14ac:dyDescent="0.2">
      <c r="A308" s="27">
        <v>79</v>
      </c>
      <c r="B308" s="27">
        <v>3</v>
      </c>
    </row>
    <row r="309" spans="1:2" ht="16" x14ac:dyDescent="0.2">
      <c r="A309" s="27">
        <v>132</v>
      </c>
      <c r="B309" s="27">
        <v>2</v>
      </c>
    </row>
    <row r="310" spans="1:2" ht="16" x14ac:dyDescent="0.2">
      <c r="A310" s="27">
        <v>119</v>
      </c>
      <c r="B310" s="27">
        <v>6</v>
      </c>
    </row>
    <row r="311" spans="1:2" ht="16" x14ac:dyDescent="0.2">
      <c r="A311" s="27">
        <v>76</v>
      </c>
      <c r="B311" s="27">
        <v>1</v>
      </c>
    </row>
    <row r="312" spans="1:2" ht="16" x14ac:dyDescent="0.2">
      <c r="A312" s="27">
        <v>65</v>
      </c>
      <c r="B312" s="27">
        <v>24</v>
      </c>
    </row>
    <row r="313" spans="1:2" ht="16" x14ac:dyDescent="0.2">
      <c r="A313" s="27">
        <v>103</v>
      </c>
      <c r="B313" s="27">
        <v>164</v>
      </c>
    </row>
    <row r="314" spans="1:2" ht="16" x14ac:dyDescent="0.2">
      <c r="A314" s="27">
        <v>27</v>
      </c>
      <c r="B314" s="27">
        <v>211</v>
      </c>
    </row>
    <row r="315" spans="1:2" ht="16" x14ac:dyDescent="0.2">
      <c r="A315" s="27">
        <v>87</v>
      </c>
      <c r="B315" s="27">
        <v>208</v>
      </c>
    </row>
    <row r="316" spans="1:2" ht="16" x14ac:dyDescent="0.2">
      <c r="A316" s="27">
        <v>159</v>
      </c>
      <c r="B316" s="27">
        <v>182</v>
      </c>
    </row>
    <row r="317" spans="1:2" ht="16" x14ac:dyDescent="0.2">
      <c r="A317" s="27">
        <v>127</v>
      </c>
      <c r="B317" s="27"/>
    </row>
    <row r="318" spans="1:2" ht="16" x14ac:dyDescent="0.2">
      <c r="A318" s="27">
        <v>115</v>
      </c>
      <c r="B318" s="27"/>
    </row>
    <row r="319" spans="1:2" ht="16" x14ac:dyDescent="0.2">
      <c r="A319" s="27">
        <v>81</v>
      </c>
      <c r="B319" s="27"/>
    </row>
    <row r="320" spans="1:2" ht="16" x14ac:dyDescent="0.2">
      <c r="A320" s="27">
        <v>194</v>
      </c>
      <c r="B320" s="27"/>
    </row>
    <row r="321" spans="1:2" ht="16" x14ac:dyDescent="0.2">
      <c r="A321" s="27">
        <v>163</v>
      </c>
      <c r="B321" s="27"/>
    </row>
    <row r="322" spans="1:2" ht="16" x14ac:dyDescent="0.2">
      <c r="A322" s="27">
        <v>102</v>
      </c>
      <c r="B322" s="27"/>
    </row>
    <row r="323" spans="1:2" ht="16" x14ac:dyDescent="0.2">
      <c r="A323" s="27">
        <v>118</v>
      </c>
      <c r="B323" s="27"/>
    </row>
    <row r="324" spans="1:2" ht="16" x14ac:dyDescent="0.2">
      <c r="A324" s="27">
        <v>94</v>
      </c>
      <c r="B324" s="27"/>
    </row>
    <row r="325" spans="1:2" ht="16" x14ac:dyDescent="0.2">
      <c r="A325" s="27">
        <v>27</v>
      </c>
      <c r="B325" s="27"/>
    </row>
    <row r="326" spans="1:2" ht="16" x14ac:dyDescent="0.2">
      <c r="A326" s="27">
        <v>101</v>
      </c>
      <c r="B326" s="27"/>
    </row>
    <row r="327" spans="1:2" ht="16" x14ac:dyDescent="0.2">
      <c r="A327" s="27">
        <v>84</v>
      </c>
      <c r="B327" s="27"/>
    </row>
    <row r="328" spans="1:2" ht="16" x14ac:dyDescent="0.2">
      <c r="A328" s="27">
        <v>1</v>
      </c>
      <c r="B328" s="27"/>
    </row>
    <row r="329" spans="1:2" ht="16" x14ac:dyDescent="0.2">
      <c r="A329" s="27">
        <v>123</v>
      </c>
      <c r="B329" s="27"/>
    </row>
    <row r="330" spans="1:2" ht="16" x14ac:dyDescent="0.2">
      <c r="A330" s="27">
        <v>107</v>
      </c>
      <c r="B330" s="27"/>
    </row>
    <row r="331" spans="1:2" ht="16" x14ac:dyDescent="0.2">
      <c r="A331" s="27">
        <v>54</v>
      </c>
      <c r="B331" s="27"/>
    </row>
    <row r="332" spans="1:2" ht="16" x14ac:dyDescent="0.2">
      <c r="A332" s="27">
        <v>103</v>
      </c>
      <c r="B332" s="27"/>
    </row>
    <row r="333" spans="1:2" ht="16" x14ac:dyDescent="0.2">
      <c r="A333" s="27">
        <v>75</v>
      </c>
      <c r="B333" s="27"/>
    </row>
    <row r="334" spans="1:2" ht="16" x14ac:dyDescent="0.2">
      <c r="A334" s="27">
        <v>83</v>
      </c>
      <c r="B334" s="27"/>
    </row>
    <row r="335" spans="1:2" ht="16" x14ac:dyDescent="0.2">
      <c r="A335" s="27">
        <v>110</v>
      </c>
      <c r="B335" s="27"/>
    </row>
    <row r="336" spans="1:2" ht="16" x14ac:dyDescent="0.2">
      <c r="A336" s="27">
        <v>67</v>
      </c>
      <c r="B336" s="27"/>
    </row>
    <row r="337" spans="1:2" ht="16" x14ac:dyDescent="0.2">
      <c r="A337" s="27">
        <v>127</v>
      </c>
      <c r="B337" s="27"/>
    </row>
    <row r="338" spans="1:2" ht="16" x14ac:dyDescent="0.2">
      <c r="A338" s="27">
        <v>134</v>
      </c>
      <c r="B338" s="27"/>
    </row>
    <row r="339" spans="1:2" ht="16" x14ac:dyDescent="0.2">
      <c r="A339" s="27">
        <v>49</v>
      </c>
      <c r="B339" s="27"/>
    </row>
    <row r="340" spans="1:2" ht="16" x14ac:dyDescent="0.2">
      <c r="A340" s="27">
        <v>126</v>
      </c>
      <c r="B340" s="27"/>
    </row>
    <row r="341" spans="1:2" ht="16" x14ac:dyDescent="0.2">
      <c r="A341" s="27">
        <v>9</v>
      </c>
      <c r="B341" s="27"/>
    </row>
    <row r="342" spans="1:2" ht="16" x14ac:dyDescent="0.2">
      <c r="A342" s="27">
        <v>155</v>
      </c>
      <c r="B342" s="27"/>
    </row>
    <row r="343" spans="1:2" ht="16" x14ac:dyDescent="0.2">
      <c r="A343" s="27">
        <v>228</v>
      </c>
      <c r="B343" s="27"/>
    </row>
    <row r="344" spans="1:2" ht="16" x14ac:dyDescent="0.2">
      <c r="A344" s="27">
        <v>27</v>
      </c>
      <c r="B344" s="27"/>
    </row>
    <row r="345" spans="1:2" ht="16" x14ac:dyDescent="0.2">
      <c r="A345" s="27">
        <v>58</v>
      </c>
      <c r="B345" s="27"/>
    </row>
    <row r="346" spans="1:2" ht="16" x14ac:dyDescent="0.2">
      <c r="A346" s="27">
        <v>109</v>
      </c>
      <c r="B346" s="27"/>
    </row>
    <row r="347" spans="1:2" ht="16" x14ac:dyDescent="0.2">
      <c r="A347" s="27">
        <v>103</v>
      </c>
      <c r="B347" s="27"/>
    </row>
    <row r="348" spans="1:2" ht="16" x14ac:dyDescent="0.2">
      <c r="A348" s="27">
        <v>39</v>
      </c>
      <c r="B348" s="27"/>
    </row>
    <row r="349" spans="1:2" ht="16" x14ac:dyDescent="0.2">
      <c r="A349" s="27">
        <v>78</v>
      </c>
      <c r="B349" s="27"/>
    </row>
    <row r="350" spans="1:2" ht="16" x14ac:dyDescent="0.2">
      <c r="A350" s="27">
        <v>93</v>
      </c>
      <c r="B350" s="27"/>
    </row>
    <row r="351" spans="1:2" ht="16" x14ac:dyDescent="0.2">
      <c r="A351" s="27">
        <v>140</v>
      </c>
      <c r="B351" s="27"/>
    </row>
    <row r="352" spans="1:2" ht="16" x14ac:dyDescent="0.2">
      <c r="A352" s="27">
        <v>153</v>
      </c>
      <c r="B352" s="27"/>
    </row>
    <row r="353" spans="1:2" ht="16" x14ac:dyDescent="0.2">
      <c r="A353" s="27">
        <v>50</v>
      </c>
      <c r="B353" s="27"/>
    </row>
    <row r="354" spans="1:2" ht="16" x14ac:dyDescent="0.2">
      <c r="A354" s="27">
        <v>38</v>
      </c>
      <c r="B354" s="27"/>
    </row>
    <row r="355" spans="1:2" ht="16" x14ac:dyDescent="0.2">
      <c r="A355" s="27">
        <v>63</v>
      </c>
      <c r="B355" s="27"/>
    </row>
    <row r="356" spans="1:2" ht="16" x14ac:dyDescent="0.2">
      <c r="A356" s="27">
        <v>140</v>
      </c>
      <c r="B356" s="27"/>
    </row>
    <row r="357" spans="1:2" ht="16" x14ac:dyDescent="0.2">
      <c r="A357" s="27">
        <v>123</v>
      </c>
      <c r="B357" s="27"/>
    </row>
    <row r="358" spans="1:2" ht="16" x14ac:dyDescent="0.2">
      <c r="A358" s="27">
        <v>62</v>
      </c>
      <c r="B358" s="27"/>
    </row>
    <row r="359" spans="1:2" ht="16" x14ac:dyDescent="0.2">
      <c r="A359" s="27">
        <v>83</v>
      </c>
      <c r="B359" s="27"/>
    </row>
    <row r="360" spans="1:2" ht="16" x14ac:dyDescent="0.2">
      <c r="A360" s="27">
        <v>66</v>
      </c>
      <c r="B360" s="27"/>
    </row>
    <row r="361" spans="1:2" ht="16" x14ac:dyDescent="0.2">
      <c r="A361" s="27">
        <v>44</v>
      </c>
      <c r="B361" s="27"/>
    </row>
    <row r="362" spans="1:2" ht="16" x14ac:dyDescent="0.2">
      <c r="A362" s="27">
        <v>60</v>
      </c>
      <c r="B362" s="27"/>
    </row>
    <row r="363" spans="1:2" ht="16" x14ac:dyDescent="0.2">
      <c r="A363" s="27">
        <v>154</v>
      </c>
      <c r="B363" s="27"/>
    </row>
    <row r="364" spans="1:2" ht="16" x14ac:dyDescent="0.2">
      <c r="A364" s="27">
        <v>85</v>
      </c>
      <c r="B364" s="27"/>
    </row>
    <row r="365" spans="1:2" ht="16" x14ac:dyDescent="0.2">
      <c r="A365" s="27">
        <v>104</v>
      </c>
      <c r="B365" s="27"/>
    </row>
    <row r="366" spans="1:2" ht="16" x14ac:dyDescent="0.2">
      <c r="A366" s="27">
        <v>103</v>
      </c>
      <c r="B366" s="27"/>
    </row>
    <row r="367" spans="1:2" ht="16" x14ac:dyDescent="0.2">
      <c r="A367" s="27">
        <v>96</v>
      </c>
      <c r="B367" s="27"/>
    </row>
    <row r="368" spans="1:2" ht="16" x14ac:dyDescent="0.2">
      <c r="A368" s="27">
        <v>130</v>
      </c>
      <c r="B368" s="27"/>
    </row>
    <row r="369" spans="1:2" ht="16" x14ac:dyDescent="0.2">
      <c r="A369" s="27">
        <v>36</v>
      </c>
      <c r="B369" s="27"/>
    </row>
    <row r="370" spans="1:2" ht="16" x14ac:dyDescent="0.2">
      <c r="A370" s="27">
        <v>35</v>
      </c>
      <c r="B370" s="27"/>
    </row>
    <row r="371" spans="1:2" ht="16" x14ac:dyDescent="0.2">
      <c r="A371" s="27">
        <v>53</v>
      </c>
      <c r="B371" s="27"/>
    </row>
    <row r="372" spans="1:2" ht="16" x14ac:dyDescent="0.2">
      <c r="A372" s="27">
        <v>23</v>
      </c>
      <c r="B372" s="27"/>
    </row>
    <row r="373" spans="1:2" ht="16" x14ac:dyDescent="0.2">
      <c r="A373" s="27">
        <v>74</v>
      </c>
      <c r="B373" s="27"/>
    </row>
    <row r="374" spans="1:2" ht="16" x14ac:dyDescent="0.2">
      <c r="A374" s="27">
        <v>19</v>
      </c>
      <c r="B374" s="27"/>
    </row>
    <row r="375" spans="1:2" ht="16" x14ac:dyDescent="0.2">
      <c r="A375" s="27">
        <v>100</v>
      </c>
      <c r="B375" s="27"/>
    </row>
    <row r="376" spans="1:2" ht="16" x14ac:dyDescent="0.2">
      <c r="A376" s="27">
        <v>74</v>
      </c>
      <c r="B376" s="27"/>
    </row>
    <row r="377" spans="1:2" ht="16" x14ac:dyDescent="0.2">
      <c r="A377" s="27">
        <v>100</v>
      </c>
      <c r="B377" s="27"/>
    </row>
    <row r="378" spans="1:2" ht="16" x14ac:dyDescent="0.2">
      <c r="A378" s="27">
        <v>81</v>
      </c>
      <c r="B378" s="27"/>
    </row>
    <row r="379" spans="1:2" ht="16" x14ac:dyDescent="0.2">
      <c r="A379" s="27">
        <v>42</v>
      </c>
      <c r="B379" s="27"/>
    </row>
    <row r="380" spans="1:2" ht="16" x14ac:dyDescent="0.2">
      <c r="A380" s="27">
        <v>30</v>
      </c>
      <c r="B380" s="27"/>
    </row>
    <row r="381" spans="1:2" ht="16" x14ac:dyDescent="0.2">
      <c r="A381" s="27">
        <v>54</v>
      </c>
      <c r="B381" s="27"/>
    </row>
    <row r="382" spans="1:2" ht="16" x14ac:dyDescent="0.2">
      <c r="A382" s="27">
        <v>33</v>
      </c>
      <c r="B382" s="27"/>
    </row>
    <row r="383" spans="1:2" ht="16" x14ac:dyDescent="0.2">
      <c r="A383" s="27">
        <v>39</v>
      </c>
      <c r="B383" s="27"/>
    </row>
    <row r="384" spans="1:2" ht="16" x14ac:dyDescent="0.2">
      <c r="A384" s="27">
        <v>84</v>
      </c>
      <c r="B384" s="27"/>
    </row>
    <row r="385" spans="1:2" ht="16" x14ac:dyDescent="0.2">
      <c r="A385" s="27">
        <v>45</v>
      </c>
      <c r="B385" s="27"/>
    </row>
    <row r="386" spans="1:2" ht="16" x14ac:dyDescent="0.2">
      <c r="A386" s="27">
        <v>87</v>
      </c>
      <c r="B386" s="27"/>
    </row>
    <row r="387" spans="1:2" ht="16" x14ac:dyDescent="0.2">
      <c r="A387" s="27">
        <v>54</v>
      </c>
      <c r="B387" s="27"/>
    </row>
    <row r="388" spans="1:2" ht="16" x14ac:dyDescent="0.2">
      <c r="A388" s="27">
        <v>13</v>
      </c>
      <c r="B388" s="27"/>
    </row>
    <row r="389" spans="1:2" ht="16" x14ac:dyDescent="0.2">
      <c r="A389" s="27">
        <v>352</v>
      </c>
      <c r="B389" s="27"/>
    </row>
    <row r="390" spans="1:2" ht="16" x14ac:dyDescent="0.2">
      <c r="A390" s="27">
        <v>328</v>
      </c>
      <c r="B390" s="27"/>
    </row>
    <row r="391" spans="1:2" ht="16" x14ac:dyDescent="0.2">
      <c r="A391" s="27">
        <v>232</v>
      </c>
      <c r="B391" s="27"/>
    </row>
    <row r="392" spans="1:2" ht="16" x14ac:dyDescent="0.2">
      <c r="A392" s="27">
        <v>292</v>
      </c>
      <c r="B392" s="27"/>
    </row>
    <row r="393" spans="1:2" ht="16" x14ac:dyDescent="0.2">
      <c r="A393" s="27">
        <v>78</v>
      </c>
      <c r="B393" s="27"/>
    </row>
    <row r="394" spans="1:2" ht="16" x14ac:dyDescent="0.2">
      <c r="A394" s="27">
        <v>30</v>
      </c>
      <c r="B394" s="27"/>
    </row>
    <row r="395" spans="1:2" ht="16" x14ac:dyDescent="0.2">
      <c r="A395" s="27">
        <v>137</v>
      </c>
      <c r="B395" s="27"/>
    </row>
    <row r="396" spans="1:2" ht="16" x14ac:dyDescent="0.2">
      <c r="A396" s="27">
        <v>328</v>
      </c>
      <c r="B396" s="27"/>
    </row>
    <row r="397" spans="1:2" ht="16" x14ac:dyDescent="0.2">
      <c r="A397" s="27">
        <v>78</v>
      </c>
      <c r="B397" s="27"/>
    </row>
    <row r="398" spans="1:2" ht="16" x14ac:dyDescent="0.2">
      <c r="A398" s="27">
        <v>216</v>
      </c>
      <c r="B398" s="27"/>
    </row>
    <row r="399" spans="1:2" ht="16" x14ac:dyDescent="0.2">
      <c r="A399" s="27">
        <v>232</v>
      </c>
      <c r="B399" s="27"/>
    </row>
    <row r="400" spans="1:2" ht="16" x14ac:dyDescent="0.2">
      <c r="A400" s="27">
        <v>40</v>
      </c>
      <c r="B400" s="27"/>
    </row>
    <row r="401" spans="1:2" ht="16" x14ac:dyDescent="0.2">
      <c r="A401" s="27">
        <v>226</v>
      </c>
      <c r="B401" s="27"/>
    </row>
    <row r="402" spans="1:2" ht="16" x14ac:dyDescent="0.2">
      <c r="A402" s="27">
        <v>218</v>
      </c>
      <c r="B402" s="27"/>
    </row>
    <row r="403" spans="1:2" ht="16" x14ac:dyDescent="0.2">
      <c r="A403" s="27">
        <v>139</v>
      </c>
      <c r="B403" s="27"/>
    </row>
    <row r="404" spans="1:2" ht="16" x14ac:dyDescent="0.2">
      <c r="A404" s="27">
        <v>93</v>
      </c>
      <c r="B404" s="27"/>
    </row>
    <row r="405" spans="1:2" ht="16" x14ac:dyDescent="0.2">
      <c r="A405" s="27">
        <v>107</v>
      </c>
      <c r="B405" s="27"/>
    </row>
    <row r="406" spans="1:2" ht="16" x14ac:dyDescent="0.2">
      <c r="A406" s="27">
        <v>49</v>
      </c>
      <c r="B406" s="27"/>
    </row>
    <row r="407" spans="1:2" ht="16" x14ac:dyDescent="0.2">
      <c r="A407" s="27">
        <v>78</v>
      </c>
      <c r="B407" s="27"/>
    </row>
    <row r="408" spans="1:2" ht="16" x14ac:dyDescent="0.2">
      <c r="A408" s="27">
        <v>39</v>
      </c>
      <c r="B408" s="27"/>
    </row>
    <row r="409" spans="1:2" ht="16" x14ac:dyDescent="0.2">
      <c r="A409" s="27">
        <v>56</v>
      </c>
      <c r="B409" s="27"/>
    </row>
    <row r="410" spans="1:2" ht="16" x14ac:dyDescent="0.2">
      <c r="A410" s="27">
        <v>103</v>
      </c>
      <c r="B410" s="27"/>
    </row>
    <row r="411" spans="1:2" ht="16" x14ac:dyDescent="0.2">
      <c r="A411" s="27">
        <v>125</v>
      </c>
      <c r="B411" s="27"/>
    </row>
    <row r="412" spans="1:2" ht="16" x14ac:dyDescent="0.2">
      <c r="A412" s="27">
        <v>69</v>
      </c>
      <c r="B412" s="27"/>
    </row>
    <row r="413" spans="1:2" ht="16" x14ac:dyDescent="0.2">
      <c r="A413" s="27">
        <v>174</v>
      </c>
      <c r="B413" s="27"/>
    </row>
    <row r="414" spans="1:2" ht="16" x14ac:dyDescent="0.2">
      <c r="A414" s="27">
        <v>63</v>
      </c>
      <c r="B414" s="27"/>
    </row>
    <row r="415" spans="1:2" ht="16" x14ac:dyDescent="0.2">
      <c r="A415" s="27">
        <v>142</v>
      </c>
      <c r="B415" s="27"/>
    </row>
    <row r="416" spans="1:2" ht="16" x14ac:dyDescent="0.2">
      <c r="A416" s="27">
        <v>52</v>
      </c>
      <c r="B416" s="27"/>
    </row>
    <row r="417" spans="1:2" ht="16" x14ac:dyDescent="0.2">
      <c r="A417" s="27">
        <v>134</v>
      </c>
      <c r="B417" s="27"/>
    </row>
    <row r="418" spans="1:2" ht="16" x14ac:dyDescent="0.2">
      <c r="A418" s="27">
        <v>95</v>
      </c>
      <c r="B418" s="27"/>
    </row>
    <row r="419" spans="1:2" ht="16" x14ac:dyDescent="0.2">
      <c r="A419" s="27">
        <v>14</v>
      </c>
      <c r="B419" s="27"/>
    </row>
    <row r="420" spans="1:2" ht="16" x14ac:dyDescent="0.2">
      <c r="A420" s="27">
        <v>112</v>
      </c>
      <c r="B420" s="27"/>
    </row>
    <row r="421" spans="1:2" ht="16" x14ac:dyDescent="0.2">
      <c r="A421" s="27">
        <v>150</v>
      </c>
      <c r="B421" s="27"/>
    </row>
    <row r="422" spans="1:2" ht="16" x14ac:dyDescent="0.2">
      <c r="A422" s="27">
        <v>87</v>
      </c>
      <c r="B422" s="27"/>
    </row>
    <row r="423" spans="1:2" ht="16" x14ac:dyDescent="0.2">
      <c r="A423" s="27">
        <v>119</v>
      </c>
      <c r="B423" s="27"/>
    </row>
    <row r="424" spans="1:2" ht="16" x14ac:dyDescent="0.2">
      <c r="A424" s="27">
        <v>123</v>
      </c>
      <c r="B424" s="27"/>
    </row>
    <row r="425" spans="1:2" ht="16" x14ac:dyDescent="0.2">
      <c r="A425" s="27">
        <v>151</v>
      </c>
      <c r="B425" s="27"/>
    </row>
    <row r="426" spans="1:2" ht="16" x14ac:dyDescent="0.2">
      <c r="A426" s="27">
        <v>138</v>
      </c>
      <c r="B426" s="27"/>
    </row>
    <row r="427" spans="1:2" ht="16" x14ac:dyDescent="0.2">
      <c r="A427" s="27">
        <v>80</v>
      </c>
      <c r="B427" s="27"/>
    </row>
    <row r="428" spans="1:2" ht="16" x14ac:dyDescent="0.2">
      <c r="A428" s="27">
        <v>63</v>
      </c>
      <c r="B428" s="27"/>
    </row>
    <row r="429" spans="1:2" ht="16" x14ac:dyDescent="0.2">
      <c r="A429" s="27">
        <v>46</v>
      </c>
      <c r="B429" s="27"/>
    </row>
    <row r="430" spans="1:2" ht="16" x14ac:dyDescent="0.2">
      <c r="A430" s="27">
        <v>46</v>
      </c>
      <c r="B430" s="27"/>
    </row>
    <row r="431" spans="1:2" ht="16" x14ac:dyDescent="0.2">
      <c r="A431" s="27">
        <v>27</v>
      </c>
      <c r="B431" s="27"/>
    </row>
    <row r="432" spans="1:2" ht="16" x14ac:dyDescent="0.2">
      <c r="A432" s="27">
        <v>95</v>
      </c>
      <c r="B432" s="27"/>
    </row>
    <row r="433" spans="1:2" ht="16" x14ac:dyDescent="0.2">
      <c r="A433" s="27">
        <v>37</v>
      </c>
      <c r="B433" s="27"/>
    </row>
    <row r="434" spans="1:2" ht="16" x14ac:dyDescent="0.2">
      <c r="A434" s="27">
        <v>91</v>
      </c>
      <c r="B434" s="27"/>
    </row>
    <row r="435" spans="1:2" ht="16" x14ac:dyDescent="0.2">
      <c r="A435" s="27">
        <v>62</v>
      </c>
      <c r="B435" s="27"/>
    </row>
    <row r="436" spans="1:2" ht="16" x14ac:dyDescent="0.2">
      <c r="A436" s="27">
        <v>120</v>
      </c>
      <c r="B436" s="27"/>
    </row>
    <row r="437" spans="1:2" ht="16" x14ac:dyDescent="0.2">
      <c r="A437" s="27">
        <v>172</v>
      </c>
      <c r="B437" s="27"/>
    </row>
    <row r="438" spans="1:2" ht="16" x14ac:dyDescent="0.2">
      <c r="A438" s="27">
        <v>133</v>
      </c>
      <c r="B438" s="27"/>
    </row>
    <row r="439" spans="1:2" ht="16" x14ac:dyDescent="0.2">
      <c r="A439" s="27">
        <v>122</v>
      </c>
      <c r="B439" s="27"/>
    </row>
    <row r="440" spans="1:2" ht="16" x14ac:dyDescent="0.2">
      <c r="A440" s="27">
        <v>283</v>
      </c>
      <c r="B440" s="27"/>
    </row>
    <row r="441" spans="1:2" ht="16" x14ac:dyDescent="0.2">
      <c r="A441" s="27">
        <v>74</v>
      </c>
      <c r="B441" s="27"/>
    </row>
    <row r="442" spans="1:2" ht="16" x14ac:dyDescent="0.2">
      <c r="A442" s="27">
        <v>151</v>
      </c>
      <c r="B442" s="27"/>
    </row>
    <row r="443" spans="1:2" ht="16" x14ac:dyDescent="0.2">
      <c r="A443" s="27">
        <v>145</v>
      </c>
      <c r="B443" s="27"/>
    </row>
    <row r="444" spans="1:2" ht="16" x14ac:dyDescent="0.2">
      <c r="A444" s="27">
        <v>71</v>
      </c>
      <c r="B444" s="27"/>
    </row>
    <row r="445" spans="1:2" ht="16" x14ac:dyDescent="0.2">
      <c r="A445" s="27">
        <v>103</v>
      </c>
      <c r="B445" s="27"/>
    </row>
    <row r="446" spans="1:2" ht="16" x14ac:dyDescent="0.2">
      <c r="A446" s="27">
        <v>27</v>
      </c>
      <c r="B446" s="27"/>
    </row>
    <row r="447" spans="1:2" ht="16" x14ac:dyDescent="0.2">
      <c r="A447" s="27">
        <v>39</v>
      </c>
      <c r="B447" s="27"/>
    </row>
    <row r="448" spans="1:2" ht="16" x14ac:dyDescent="0.2">
      <c r="A448" s="27">
        <v>27</v>
      </c>
      <c r="B448" s="27"/>
    </row>
    <row r="449" spans="1:2" ht="16" x14ac:dyDescent="0.2">
      <c r="A449" s="27">
        <v>30</v>
      </c>
      <c r="B449" s="27"/>
    </row>
    <row r="450" spans="1:2" ht="16" x14ac:dyDescent="0.2">
      <c r="A450" s="27">
        <v>126</v>
      </c>
      <c r="B450" s="27"/>
    </row>
    <row r="451" spans="1:2" ht="16" x14ac:dyDescent="0.2">
      <c r="A451" s="27">
        <v>65</v>
      </c>
      <c r="B451" s="27"/>
    </row>
    <row r="452" spans="1:2" ht="16" x14ac:dyDescent="0.2">
      <c r="A452" s="27">
        <v>60</v>
      </c>
      <c r="B452" s="27"/>
    </row>
    <row r="453" spans="1:2" ht="16" x14ac:dyDescent="0.2">
      <c r="A453" s="27">
        <v>95</v>
      </c>
      <c r="B453" s="27"/>
    </row>
    <row r="454" spans="1:2" ht="16" x14ac:dyDescent="0.2">
      <c r="A454" s="27">
        <v>71</v>
      </c>
      <c r="B454" s="27"/>
    </row>
    <row r="455" spans="1:2" ht="16" x14ac:dyDescent="0.2">
      <c r="A455" s="27">
        <v>17</v>
      </c>
      <c r="B455" s="27"/>
    </row>
    <row r="456" spans="1:2" ht="16" x14ac:dyDescent="0.2">
      <c r="A456" s="27">
        <v>70</v>
      </c>
      <c r="B456" s="27"/>
    </row>
    <row r="457" spans="1:2" ht="16" x14ac:dyDescent="0.2">
      <c r="A457" s="27">
        <v>57</v>
      </c>
      <c r="B457" s="27"/>
    </row>
    <row r="458" spans="1:2" ht="16" x14ac:dyDescent="0.2">
      <c r="A458" s="27">
        <v>63</v>
      </c>
      <c r="B458" s="27"/>
    </row>
    <row r="459" spans="1:2" ht="16" x14ac:dyDescent="0.2">
      <c r="A459" s="27">
        <v>42</v>
      </c>
      <c r="B459" s="27"/>
    </row>
    <row r="460" spans="1:2" ht="16" x14ac:dyDescent="0.2">
      <c r="A460" s="27">
        <v>20</v>
      </c>
      <c r="B460" s="27"/>
    </row>
    <row r="461" spans="1:2" ht="16" x14ac:dyDescent="0.2">
      <c r="A461" s="27">
        <v>124</v>
      </c>
      <c r="B461" s="27"/>
    </row>
    <row r="462" spans="1:2" ht="16" x14ac:dyDescent="0.2">
      <c r="A462" s="27">
        <v>185</v>
      </c>
      <c r="B462" s="27"/>
    </row>
    <row r="463" spans="1:2" ht="16" x14ac:dyDescent="0.2">
      <c r="A463" s="27">
        <v>143</v>
      </c>
      <c r="B463" s="27"/>
    </row>
    <row r="464" spans="1:2" ht="16" x14ac:dyDescent="0.2">
      <c r="A464" s="27">
        <v>5</v>
      </c>
      <c r="B464" s="27"/>
    </row>
    <row r="465" spans="1:2" ht="16" x14ac:dyDescent="0.2">
      <c r="A465" s="27">
        <v>14</v>
      </c>
      <c r="B465" s="27"/>
    </row>
    <row r="466" spans="1:2" ht="16" x14ac:dyDescent="0.2">
      <c r="A466" s="27">
        <v>29</v>
      </c>
      <c r="B466" s="27"/>
    </row>
    <row r="467" spans="1:2" ht="16" x14ac:dyDescent="0.2">
      <c r="A467" s="27">
        <v>83</v>
      </c>
      <c r="B467" s="27"/>
    </row>
    <row r="468" spans="1:2" ht="16" x14ac:dyDescent="0.2">
      <c r="A468" s="27">
        <v>83</v>
      </c>
      <c r="B468" s="27"/>
    </row>
    <row r="469" spans="1:2" ht="16" x14ac:dyDescent="0.2">
      <c r="A469" s="27">
        <v>57</v>
      </c>
      <c r="B469" s="27"/>
    </row>
    <row r="470" spans="1:2" ht="16" x14ac:dyDescent="0.2">
      <c r="A470" s="27">
        <v>77</v>
      </c>
      <c r="B470" s="27"/>
    </row>
    <row r="471" spans="1:2" ht="16" x14ac:dyDescent="0.2">
      <c r="A471" s="27">
        <v>79</v>
      </c>
      <c r="B471" s="27"/>
    </row>
    <row r="472" spans="1:2" ht="16" x14ac:dyDescent="0.2">
      <c r="A472" s="27">
        <v>110</v>
      </c>
      <c r="B472" s="27"/>
    </row>
    <row r="473" spans="1:2" ht="16" x14ac:dyDescent="0.2">
      <c r="A473" s="27">
        <v>190</v>
      </c>
      <c r="B473" s="27"/>
    </row>
    <row r="474" spans="1:2" ht="16" x14ac:dyDescent="0.2">
      <c r="A474" s="27">
        <v>116</v>
      </c>
      <c r="B474" s="27"/>
    </row>
    <row r="475" spans="1:2" ht="16" x14ac:dyDescent="0.2">
      <c r="A475" s="27">
        <v>50</v>
      </c>
      <c r="B475" s="27"/>
    </row>
    <row r="476" spans="1:2" ht="16" x14ac:dyDescent="0.2">
      <c r="A476" s="27">
        <v>93</v>
      </c>
      <c r="B476" s="27"/>
    </row>
    <row r="477" spans="1:2" ht="16" x14ac:dyDescent="0.2">
      <c r="A477" s="27">
        <v>59</v>
      </c>
      <c r="B477" s="27"/>
    </row>
    <row r="478" spans="1:2" ht="16" x14ac:dyDescent="0.2">
      <c r="A478" s="27">
        <v>63</v>
      </c>
      <c r="B478" s="27"/>
    </row>
    <row r="479" spans="1:2" ht="16" x14ac:dyDescent="0.2">
      <c r="A479" s="27">
        <v>92</v>
      </c>
      <c r="B479" s="27"/>
    </row>
    <row r="480" spans="1:2" ht="16" x14ac:dyDescent="0.2">
      <c r="A480" s="27">
        <v>28</v>
      </c>
      <c r="B480" s="27"/>
    </row>
    <row r="481" spans="1:2" ht="16" x14ac:dyDescent="0.2">
      <c r="A481" s="27">
        <v>176</v>
      </c>
      <c r="B481" s="27"/>
    </row>
    <row r="482" spans="1:2" ht="16" x14ac:dyDescent="0.2">
      <c r="A482" s="27">
        <v>205</v>
      </c>
      <c r="B482" s="27"/>
    </row>
    <row r="483" spans="1:2" ht="16" x14ac:dyDescent="0.2">
      <c r="A483" s="27">
        <v>128</v>
      </c>
      <c r="B483" s="27"/>
    </row>
    <row r="484" spans="1:2" ht="16" x14ac:dyDescent="0.2">
      <c r="A484" s="27">
        <v>48</v>
      </c>
      <c r="B484" s="27"/>
    </row>
    <row r="485" spans="1:2" ht="16" x14ac:dyDescent="0.2">
      <c r="A485" s="27">
        <v>63</v>
      </c>
      <c r="B485" s="27"/>
    </row>
    <row r="486" spans="1:2" ht="16" x14ac:dyDescent="0.2">
      <c r="A486" s="27">
        <v>113</v>
      </c>
      <c r="B486" s="27"/>
    </row>
    <row r="487" spans="1:2" ht="16" x14ac:dyDescent="0.2">
      <c r="A487" s="27">
        <v>59</v>
      </c>
      <c r="B487" s="27"/>
    </row>
    <row r="488" spans="1:2" ht="16" x14ac:dyDescent="0.2">
      <c r="A488" s="27">
        <v>69</v>
      </c>
      <c r="B488" s="27"/>
    </row>
    <row r="489" spans="1:2" ht="16" x14ac:dyDescent="0.2">
      <c r="A489" s="27">
        <v>130</v>
      </c>
      <c r="B489" s="27"/>
    </row>
    <row r="490" spans="1:2" ht="16" x14ac:dyDescent="0.2">
      <c r="A490" s="27">
        <v>92</v>
      </c>
      <c r="B490" s="27"/>
    </row>
    <row r="491" spans="1:2" ht="16" x14ac:dyDescent="0.2">
      <c r="A491" s="27">
        <v>650</v>
      </c>
      <c r="B491" s="27"/>
    </row>
    <row r="492" spans="1:2" ht="16" x14ac:dyDescent="0.2">
      <c r="A492" s="27">
        <v>157</v>
      </c>
      <c r="B492" s="27"/>
    </row>
    <row r="493" spans="1:2" ht="16" x14ac:dyDescent="0.2">
      <c r="A493" s="27">
        <v>558</v>
      </c>
      <c r="B493" s="27"/>
    </row>
    <row r="494" spans="1:2" ht="16" x14ac:dyDescent="0.2">
      <c r="A494" s="27">
        <v>409</v>
      </c>
      <c r="B494" s="27"/>
    </row>
    <row r="495" spans="1:2" ht="16" x14ac:dyDescent="0.2">
      <c r="A495" s="27">
        <v>243</v>
      </c>
      <c r="B495" s="27"/>
    </row>
    <row r="496" spans="1:2" ht="16" x14ac:dyDescent="0.2">
      <c r="A496" s="27">
        <v>272</v>
      </c>
      <c r="B496" s="27"/>
    </row>
    <row r="497" spans="1:2" ht="16" x14ac:dyDescent="0.2">
      <c r="A497" s="27">
        <v>164</v>
      </c>
      <c r="B497" s="27"/>
    </row>
    <row r="498" spans="1:2" ht="16" x14ac:dyDescent="0.2">
      <c r="A498" s="27">
        <v>103</v>
      </c>
      <c r="B498" s="27"/>
    </row>
    <row r="499" spans="1:2" ht="16" x14ac:dyDescent="0.2">
      <c r="A499" s="27">
        <v>149</v>
      </c>
      <c r="B499" s="27"/>
    </row>
    <row r="500" spans="1:2" ht="16" x14ac:dyDescent="0.2">
      <c r="A500" s="27">
        <v>220</v>
      </c>
      <c r="B500" s="27"/>
    </row>
    <row r="501" spans="1:2" ht="16" x14ac:dyDescent="0.2">
      <c r="A501" s="27">
        <v>160</v>
      </c>
      <c r="B501" s="27"/>
    </row>
    <row r="502" spans="1:2" ht="16" x14ac:dyDescent="0.2">
      <c r="A502" s="27">
        <v>20</v>
      </c>
      <c r="B502" s="27"/>
    </row>
    <row r="503" spans="1:2" ht="16" x14ac:dyDescent="0.2">
      <c r="A503" s="27">
        <v>9</v>
      </c>
      <c r="B503" s="27"/>
    </row>
    <row r="504" spans="1:2" ht="16" x14ac:dyDescent="0.2">
      <c r="A504" s="27">
        <v>189</v>
      </c>
      <c r="B504" s="27"/>
    </row>
    <row r="505" spans="1:2" ht="16" x14ac:dyDescent="0.2">
      <c r="A505" s="27">
        <v>179</v>
      </c>
      <c r="B505" s="27"/>
    </row>
    <row r="506" spans="1:2" ht="16" x14ac:dyDescent="0.2">
      <c r="A506" s="27">
        <v>41</v>
      </c>
      <c r="B506" s="27"/>
    </row>
    <row r="507" spans="1:2" ht="16" x14ac:dyDescent="0.2">
      <c r="A507" s="27">
        <v>189</v>
      </c>
      <c r="B507" s="27"/>
    </row>
    <row r="508" spans="1:2" ht="16" x14ac:dyDescent="0.2">
      <c r="A508" s="27">
        <v>179</v>
      </c>
      <c r="B508" s="27"/>
    </row>
    <row r="509" spans="1:2" ht="16" x14ac:dyDescent="0.2">
      <c r="A509" s="27">
        <v>149</v>
      </c>
      <c r="B509" s="27"/>
    </row>
    <row r="510" spans="1:2" ht="16" x14ac:dyDescent="0.2">
      <c r="A510" s="27">
        <v>211</v>
      </c>
      <c r="B510" s="27"/>
    </row>
    <row r="511" spans="1:2" ht="16" x14ac:dyDescent="0.2">
      <c r="A511" s="27">
        <v>156</v>
      </c>
      <c r="B511" s="27"/>
    </row>
    <row r="512" spans="1:2" ht="16" x14ac:dyDescent="0.2">
      <c r="A512" s="27">
        <v>22</v>
      </c>
      <c r="B512" s="27"/>
    </row>
    <row r="513" spans="1:2" ht="16" x14ac:dyDescent="0.2">
      <c r="A513" s="27">
        <v>36</v>
      </c>
      <c r="B513" s="27"/>
    </row>
    <row r="514" spans="1:2" ht="16" x14ac:dyDescent="0.2">
      <c r="A514" s="27">
        <v>28</v>
      </c>
      <c r="B514" s="27"/>
    </row>
    <row r="515" spans="1:2" ht="16" x14ac:dyDescent="0.2">
      <c r="A515" s="27">
        <v>198</v>
      </c>
      <c r="B515" s="27"/>
    </row>
    <row r="516" spans="1:2" ht="16" x14ac:dyDescent="0.2">
      <c r="A516" s="27">
        <v>108</v>
      </c>
      <c r="B516" s="27"/>
    </row>
    <row r="517" spans="1:2" ht="16" x14ac:dyDescent="0.2">
      <c r="A517" s="27">
        <v>65</v>
      </c>
      <c r="B517" s="27"/>
    </row>
    <row r="518" spans="1:2" ht="16" x14ac:dyDescent="0.2">
      <c r="A518" s="27">
        <v>191</v>
      </c>
      <c r="B518" s="27"/>
    </row>
    <row r="519" spans="1:2" ht="16" x14ac:dyDescent="0.2">
      <c r="A519" s="27">
        <v>229</v>
      </c>
      <c r="B519" s="27"/>
    </row>
    <row r="520" spans="1:2" ht="16" x14ac:dyDescent="0.2">
      <c r="A520" s="27">
        <v>210</v>
      </c>
      <c r="B520" s="27"/>
    </row>
    <row r="521" spans="1:2" ht="16" x14ac:dyDescent="0.2">
      <c r="A521" s="27">
        <v>7</v>
      </c>
      <c r="B521" s="27"/>
    </row>
    <row r="522" spans="1:2" ht="16" x14ac:dyDescent="0.2">
      <c r="A522" s="27">
        <v>14</v>
      </c>
      <c r="B522" s="27"/>
    </row>
    <row r="523" spans="1:2" ht="16" x14ac:dyDescent="0.2">
      <c r="A523" s="27">
        <v>15</v>
      </c>
      <c r="B523" s="27"/>
    </row>
    <row r="524" spans="1:2" ht="16" x14ac:dyDescent="0.2">
      <c r="A524" s="27">
        <v>212</v>
      </c>
      <c r="B524" s="27"/>
    </row>
    <row r="525" spans="1:2" ht="16" x14ac:dyDescent="0.2">
      <c r="A525" s="27">
        <v>153</v>
      </c>
      <c r="B525" s="27"/>
    </row>
    <row r="526" spans="1:2" ht="16" x14ac:dyDescent="0.2">
      <c r="A526" s="27">
        <v>222</v>
      </c>
      <c r="B526" s="27"/>
    </row>
    <row r="527" spans="1:2" ht="16" x14ac:dyDescent="0.2">
      <c r="A527" s="27">
        <v>68</v>
      </c>
      <c r="B527" s="27"/>
    </row>
    <row r="528" spans="1:2" ht="16" x14ac:dyDescent="0.2">
      <c r="A528" s="27">
        <v>14</v>
      </c>
      <c r="B528" s="27"/>
    </row>
    <row r="529" spans="1:2" ht="16" x14ac:dyDescent="0.2">
      <c r="A529" s="27">
        <v>156</v>
      </c>
      <c r="B529" s="27"/>
    </row>
    <row r="530" spans="1:2" ht="16" x14ac:dyDescent="0.2">
      <c r="A530" s="27">
        <v>112</v>
      </c>
      <c r="B530" s="27"/>
    </row>
    <row r="531" spans="1:2" ht="16" x14ac:dyDescent="0.2">
      <c r="A531" s="27">
        <v>153</v>
      </c>
      <c r="B531" s="27"/>
    </row>
    <row r="532" spans="1:2" ht="16" x14ac:dyDescent="0.2">
      <c r="A532" s="27">
        <v>106</v>
      </c>
      <c r="B532" s="27"/>
    </row>
    <row r="533" spans="1:2" ht="16" x14ac:dyDescent="0.2">
      <c r="A533" s="27">
        <v>137</v>
      </c>
      <c r="B533" s="27"/>
    </row>
    <row r="534" spans="1:2" ht="16" x14ac:dyDescent="0.2">
      <c r="A534" s="27">
        <v>68</v>
      </c>
      <c r="B534" s="27"/>
    </row>
    <row r="535" spans="1:2" ht="16" x14ac:dyDescent="0.2">
      <c r="A535" s="27">
        <v>89</v>
      </c>
      <c r="B535" s="27"/>
    </row>
    <row r="536" spans="1:2" ht="16" x14ac:dyDescent="0.2">
      <c r="A536" s="27">
        <v>80</v>
      </c>
      <c r="B536" s="27"/>
    </row>
    <row r="537" spans="1:2" ht="16" x14ac:dyDescent="0.2">
      <c r="A537" s="27">
        <v>115</v>
      </c>
      <c r="B537" s="27"/>
    </row>
    <row r="538" spans="1:2" ht="16" x14ac:dyDescent="0.2">
      <c r="A538" s="27">
        <v>80</v>
      </c>
      <c r="B538" s="27"/>
    </row>
    <row r="539" spans="1:2" ht="16" x14ac:dyDescent="0.2">
      <c r="A539" s="27">
        <v>115</v>
      </c>
      <c r="B539" s="27"/>
    </row>
    <row r="540" spans="1:2" ht="16" x14ac:dyDescent="0.2">
      <c r="A540" s="27">
        <v>125</v>
      </c>
      <c r="B540" s="27"/>
    </row>
    <row r="541" spans="1:2" ht="16" x14ac:dyDescent="0.2">
      <c r="A541" s="27">
        <v>181</v>
      </c>
      <c r="B541" s="27"/>
    </row>
    <row r="542" spans="1:2" ht="16" x14ac:dyDescent="0.2">
      <c r="A542" s="27">
        <v>117</v>
      </c>
      <c r="B542" s="27"/>
    </row>
    <row r="543" spans="1:2" ht="16" x14ac:dyDescent="0.2">
      <c r="A543" s="27">
        <v>116</v>
      </c>
      <c r="B543" s="27"/>
    </row>
    <row r="544" spans="1:2" ht="16" x14ac:dyDescent="0.2">
      <c r="A544" s="27">
        <v>74</v>
      </c>
      <c r="B544" s="27"/>
    </row>
    <row r="545" spans="1:2" ht="16" x14ac:dyDescent="0.2">
      <c r="A545" s="27">
        <v>91</v>
      </c>
      <c r="B545" s="27"/>
    </row>
    <row r="546" spans="1:2" ht="16" x14ac:dyDescent="0.2">
      <c r="A546" s="27">
        <v>49</v>
      </c>
      <c r="B546" s="27"/>
    </row>
    <row r="547" spans="1:2" ht="16" x14ac:dyDescent="0.2">
      <c r="A547" s="27">
        <v>106</v>
      </c>
      <c r="B547" s="27"/>
    </row>
    <row r="548" spans="1:2" ht="16" x14ac:dyDescent="0.2">
      <c r="A548" s="27">
        <v>108</v>
      </c>
      <c r="B548" s="27"/>
    </row>
    <row r="549" spans="1:2" ht="16" x14ac:dyDescent="0.2">
      <c r="A549" s="27">
        <v>2</v>
      </c>
      <c r="B549" s="27"/>
    </row>
    <row r="550" spans="1:2" ht="16" x14ac:dyDescent="0.2">
      <c r="A550" s="27">
        <v>32</v>
      </c>
      <c r="B550" s="27"/>
    </row>
    <row r="551" spans="1:2" ht="16" x14ac:dyDescent="0.2">
      <c r="A551" s="27">
        <v>77</v>
      </c>
      <c r="B551" s="27"/>
    </row>
    <row r="552" spans="1:2" ht="16" x14ac:dyDescent="0.2">
      <c r="A552" s="27">
        <v>177</v>
      </c>
      <c r="B552" s="27"/>
    </row>
    <row r="553" spans="1:2" ht="16" x14ac:dyDescent="0.2">
      <c r="A553" s="27">
        <v>110</v>
      </c>
      <c r="B553" s="27"/>
    </row>
    <row r="554" spans="1:2" ht="16" x14ac:dyDescent="0.2">
      <c r="A554" s="27">
        <v>1</v>
      </c>
      <c r="B554" s="27"/>
    </row>
    <row r="555" spans="1:2" ht="16" x14ac:dyDescent="0.2">
      <c r="A555" s="27">
        <v>4</v>
      </c>
      <c r="B555" s="27"/>
    </row>
    <row r="556" spans="1:2" ht="16" x14ac:dyDescent="0.2">
      <c r="A556" s="27">
        <v>79</v>
      </c>
      <c r="B556" s="27"/>
    </row>
    <row r="557" spans="1:2" ht="16" x14ac:dyDescent="0.2">
      <c r="A557" s="27">
        <v>117</v>
      </c>
      <c r="B557" s="27"/>
    </row>
    <row r="558" spans="1:2" ht="16" x14ac:dyDescent="0.2">
      <c r="A558" s="27">
        <v>142</v>
      </c>
      <c r="B558" s="27"/>
    </row>
    <row r="559" spans="1:2" ht="16" x14ac:dyDescent="0.2">
      <c r="A559" s="27">
        <v>24</v>
      </c>
      <c r="B559" s="27"/>
    </row>
    <row r="560" spans="1:2" ht="16" x14ac:dyDescent="0.2">
      <c r="A560" s="27">
        <v>102</v>
      </c>
      <c r="B560" s="27"/>
    </row>
    <row r="561" spans="1:2" ht="16" x14ac:dyDescent="0.2">
      <c r="A561" s="27">
        <v>129</v>
      </c>
      <c r="B561" s="27"/>
    </row>
    <row r="562" spans="1:2" ht="16" x14ac:dyDescent="0.2">
      <c r="A562" s="27">
        <v>100</v>
      </c>
      <c r="B562" s="27"/>
    </row>
    <row r="563" spans="1:2" ht="16" x14ac:dyDescent="0.2">
      <c r="A563" s="27">
        <v>79</v>
      </c>
      <c r="B563" s="27"/>
    </row>
    <row r="564" spans="1:2" ht="16" x14ac:dyDescent="0.2">
      <c r="A564" s="27">
        <v>96</v>
      </c>
      <c r="B564" s="27"/>
    </row>
    <row r="565" spans="1:2" ht="16" x14ac:dyDescent="0.2">
      <c r="A565" s="27">
        <v>67</v>
      </c>
      <c r="B565" s="27"/>
    </row>
    <row r="566" spans="1:2" ht="16" x14ac:dyDescent="0.2">
      <c r="A566" s="27">
        <v>111</v>
      </c>
      <c r="B566" s="27"/>
    </row>
    <row r="567" spans="1:2" ht="16" x14ac:dyDescent="0.2">
      <c r="A567" s="27">
        <v>135</v>
      </c>
      <c r="B567" s="27"/>
    </row>
    <row r="568" spans="1:2" ht="16" x14ac:dyDescent="0.2">
      <c r="A568" s="27">
        <v>126</v>
      </c>
      <c r="B568" s="27"/>
    </row>
    <row r="569" spans="1:2" ht="16" x14ac:dyDescent="0.2">
      <c r="A569" s="27">
        <v>57</v>
      </c>
      <c r="B569" s="27"/>
    </row>
    <row r="570" spans="1:2" ht="16" x14ac:dyDescent="0.2">
      <c r="A570" s="27">
        <v>96</v>
      </c>
      <c r="B570" s="27"/>
    </row>
    <row r="571" spans="1:2" ht="16" x14ac:dyDescent="0.2">
      <c r="A571" s="27">
        <v>71</v>
      </c>
      <c r="B571" s="27"/>
    </row>
    <row r="572" spans="1:2" ht="16" x14ac:dyDescent="0.2">
      <c r="A572" s="27">
        <v>79</v>
      </c>
      <c r="B572" s="27"/>
    </row>
    <row r="573" spans="1:2" ht="16" x14ac:dyDescent="0.2">
      <c r="A573" s="27">
        <v>76</v>
      </c>
      <c r="B573" s="27"/>
    </row>
    <row r="574" spans="1:2" ht="16" x14ac:dyDescent="0.2">
      <c r="A574" s="27">
        <v>32</v>
      </c>
      <c r="B574" s="27"/>
    </row>
    <row r="575" spans="1:2" ht="16" x14ac:dyDescent="0.2">
      <c r="A575" s="27">
        <v>31</v>
      </c>
      <c r="B575" s="27"/>
    </row>
    <row r="576" spans="1:2" ht="16" x14ac:dyDescent="0.2">
      <c r="A576" s="27">
        <v>18</v>
      </c>
      <c r="B576" s="27"/>
    </row>
    <row r="577" spans="1:2" ht="16" x14ac:dyDescent="0.2">
      <c r="A577" s="27">
        <v>77</v>
      </c>
      <c r="B577" s="27"/>
    </row>
    <row r="578" spans="1:2" ht="16" x14ac:dyDescent="0.2">
      <c r="A578" s="27">
        <v>78</v>
      </c>
      <c r="B578" s="27"/>
    </row>
    <row r="579" spans="1:2" ht="16" x14ac:dyDescent="0.2">
      <c r="A579" s="27">
        <v>124</v>
      </c>
      <c r="B579" s="27"/>
    </row>
    <row r="580" spans="1:2" ht="16" x14ac:dyDescent="0.2">
      <c r="A580" s="27">
        <v>87</v>
      </c>
      <c r="B580" s="27"/>
    </row>
    <row r="581" spans="1:2" ht="16" x14ac:dyDescent="0.2">
      <c r="A581" s="27">
        <v>140</v>
      </c>
      <c r="B581" s="27"/>
    </row>
    <row r="582" spans="1:2" ht="16" x14ac:dyDescent="0.2">
      <c r="A582" s="27">
        <v>84</v>
      </c>
      <c r="B582" s="27"/>
    </row>
    <row r="583" spans="1:2" ht="16" x14ac:dyDescent="0.2">
      <c r="A583" s="27">
        <v>98</v>
      </c>
      <c r="B583" s="27"/>
    </row>
    <row r="584" spans="1:2" ht="16" x14ac:dyDescent="0.2">
      <c r="A584" s="27">
        <v>12</v>
      </c>
      <c r="B584" s="27"/>
    </row>
    <row r="585" spans="1:2" ht="16" x14ac:dyDescent="0.2">
      <c r="A585" s="27">
        <v>87</v>
      </c>
      <c r="B585" s="27"/>
    </row>
    <row r="586" spans="1:2" ht="16" x14ac:dyDescent="0.2">
      <c r="A586" s="27">
        <v>215</v>
      </c>
      <c r="B586" s="27"/>
    </row>
    <row r="587" spans="1:2" ht="16" x14ac:dyDescent="0.2">
      <c r="A587" s="27">
        <v>87</v>
      </c>
      <c r="B587" s="27"/>
    </row>
    <row r="588" spans="1:2" ht="16" x14ac:dyDescent="0.2">
      <c r="A588" s="27">
        <v>110</v>
      </c>
      <c r="B588" s="27"/>
    </row>
    <row r="589" spans="1:2" ht="16" x14ac:dyDescent="0.2">
      <c r="A589" s="27">
        <v>14</v>
      </c>
      <c r="B589" s="27"/>
    </row>
    <row r="590" spans="1:2" ht="16" x14ac:dyDescent="0.2">
      <c r="A590" s="27">
        <v>74</v>
      </c>
      <c r="B590" s="27"/>
    </row>
    <row r="591" spans="1:2" ht="16" x14ac:dyDescent="0.2">
      <c r="A591" s="27">
        <v>135</v>
      </c>
      <c r="B591" s="27"/>
    </row>
    <row r="592" spans="1:2" ht="16" x14ac:dyDescent="0.2">
      <c r="A592" s="27">
        <v>53</v>
      </c>
      <c r="B592" s="27"/>
    </row>
    <row r="593" spans="1:2" ht="16" x14ac:dyDescent="0.2">
      <c r="A593" s="27">
        <v>63</v>
      </c>
      <c r="B593" s="27"/>
    </row>
    <row r="594" spans="1:2" ht="16" x14ac:dyDescent="0.2">
      <c r="A594" s="27">
        <v>220</v>
      </c>
      <c r="B594" s="27"/>
    </row>
    <row r="595" spans="1:2" ht="16" x14ac:dyDescent="0.2">
      <c r="A595" s="27">
        <v>213</v>
      </c>
      <c r="B595" s="27"/>
    </row>
    <row r="596" spans="1:2" ht="16" x14ac:dyDescent="0.2">
      <c r="A596" s="27">
        <v>476</v>
      </c>
      <c r="B596" s="27"/>
    </row>
    <row r="597" spans="1:2" ht="16" x14ac:dyDescent="0.2">
      <c r="A597" s="27">
        <v>570</v>
      </c>
      <c r="B597" s="27"/>
    </row>
    <row r="598" spans="1:2" ht="16" x14ac:dyDescent="0.2">
      <c r="A598" s="27">
        <v>55</v>
      </c>
      <c r="B598" s="27"/>
    </row>
    <row r="599" spans="1:2" ht="16" x14ac:dyDescent="0.2">
      <c r="A599" s="27">
        <v>246</v>
      </c>
      <c r="B599" s="27"/>
    </row>
    <row r="600" spans="1:2" ht="16" x14ac:dyDescent="0.2">
      <c r="A600" s="27">
        <v>360</v>
      </c>
      <c r="B600" s="27"/>
    </row>
    <row r="601" spans="1:2" ht="16" x14ac:dyDescent="0.2">
      <c r="A601" s="27">
        <v>156</v>
      </c>
      <c r="B601" s="27"/>
    </row>
    <row r="602" spans="1:2" ht="16" x14ac:dyDescent="0.2">
      <c r="A602" s="27">
        <v>179</v>
      </c>
      <c r="B602" s="27"/>
    </row>
    <row r="603" spans="1:2" ht="16" x14ac:dyDescent="0.2">
      <c r="A603" s="27">
        <v>145</v>
      </c>
      <c r="B603" s="27"/>
    </row>
    <row r="604" spans="1:2" ht="16" x14ac:dyDescent="0.2">
      <c r="A604" s="27">
        <v>155</v>
      </c>
      <c r="B604" s="27"/>
    </row>
    <row r="605" spans="1:2" ht="16" x14ac:dyDescent="0.2">
      <c r="A605" s="27">
        <v>211</v>
      </c>
      <c r="B605" s="27"/>
    </row>
    <row r="606" spans="1:2" ht="16" x14ac:dyDescent="0.2">
      <c r="A606" s="27">
        <v>238</v>
      </c>
      <c r="B606" s="27"/>
    </row>
    <row r="607" spans="1:2" ht="16" x14ac:dyDescent="0.2">
      <c r="A607" s="27">
        <v>271</v>
      </c>
      <c r="B607" s="27"/>
    </row>
    <row r="608" spans="1:2" ht="16" x14ac:dyDescent="0.2">
      <c r="A608" s="27">
        <v>4</v>
      </c>
      <c r="B608" s="27"/>
    </row>
    <row r="609" spans="1:2" ht="16" x14ac:dyDescent="0.2">
      <c r="A609" s="27">
        <v>192</v>
      </c>
      <c r="B609" s="27"/>
    </row>
    <row r="610" spans="1:2" ht="16" x14ac:dyDescent="0.2">
      <c r="A610" s="27">
        <v>147</v>
      </c>
      <c r="B610" s="27"/>
    </row>
    <row r="611" spans="1:2" ht="16" x14ac:dyDescent="0.2">
      <c r="A611" s="27">
        <v>412</v>
      </c>
      <c r="B611" s="27"/>
    </row>
    <row r="612" spans="1:2" ht="16" x14ac:dyDescent="0.2">
      <c r="A612" s="27">
        <v>174</v>
      </c>
      <c r="B612" s="27"/>
    </row>
    <row r="613" spans="1:2" ht="16" x14ac:dyDescent="0.2">
      <c r="A613" s="27">
        <v>162</v>
      </c>
      <c r="B613" s="27"/>
    </row>
    <row r="614" spans="1:2" ht="16" x14ac:dyDescent="0.2">
      <c r="A614" s="27">
        <v>195</v>
      </c>
      <c r="B614" s="27"/>
    </row>
    <row r="615" spans="1:2" ht="16" x14ac:dyDescent="0.2">
      <c r="A615" s="27">
        <v>216</v>
      </c>
      <c r="B615" s="27"/>
    </row>
    <row r="616" spans="1:2" ht="16" x14ac:dyDescent="0.2">
      <c r="A616" s="27">
        <v>110</v>
      </c>
      <c r="B616" s="27"/>
    </row>
    <row r="617" spans="1:2" ht="16" x14ac:dyDescent="0.2">
      <c r="A617" s="27">
        <v>2</v>
      </c>
      <c r="B617" s="27"/>
    </row>
    <row r="618" spans="1:2" ht="16" x14ac:dyDescent="0.2">
      <c r="A618" s="27">
        <v>106</v>
      </c>
      <c r="B618" s="27"/>
    </row>
    <row r="619" spans="1:2" ht="16" x14ac:dyDescent="0.2">
      <c r="A619" s="27">
        <v>232</v>
      </c>
      <c r="B619" s="27"/>
    </row>
    <row r="620" spans="1:2" ht="16" x14ac:dyDescent="0.2">
      <c r="A620" s="27">
        <v>18</v>
      </c>
      <c r="B620" s="27"/>
    </row>
    <row r="621" spans="1:2" ht="16" x14ac:dyDescent="0.2">
      <c r="A621" s="27">
        <v>117</v>
      </c>
      <c r="B621" s="27"/>
    </row>
    <row r="622" spans="1:2" ht="16" x14ac:dyDescent="0.2">
      <c r="A622" s="27">
        <v>3</v>
      </c>
      <c r="B622" s="27"/>
    </row>
    <row r="623" spans="1:2" ht="16" x14ac:dyDescent="0.2">
      <c r="A623" s="27">
        <v>156</v>
      </c>
      <c r="B623" s="27"/>
    </row>
    <row r="624" spans="1:2" ht="16" x14ac:dyDescent="0.2">
      <c r="A624" s="27">
        <v>54</v>
      </c>
      <c r="B624" s="27"/>
    </row>
    <row r="625" spans="1:2" ht="16" x14ac:dyDescent="0.2">
      <c r="A625" s="27">
        <v>124</v>
      </c>
      <c r="B625" s="27"/>
    </row>
    <row r="626" spans="1:2" ht="16" x14ac:dyDescent="0.2">
      <c r="A626" s="27">
        <v>12</v>
      </c>
      <c r="B626" s="27"/>
    </row>
    <row r="627" spans="1:2" ht="16" x14ac:dyDescent="0.2">
      <c r="A627" s="27">
        <v>5</v>
      </c>
      <c r="B627" s="27"/>
    </row>
    <row r="628" spans="1:2" ht="16" x14ac:dyDescent="0.2">
      <c r="A628" s="27">
        <v>25</v>
      </c>
      <c r="B628" s="27"/>
    </row>
    <row r="629" spans="1:2" ht="16" x14ac:dyDescent="0.2">
      <c r="A629" s="27">
        <v>2</v>
      </c>
      <c r="B629" s="27"/>
    </row>
    <row r="630" spans="1:2" ht="16" x14ac:dyDescent="0.2">
      <c r="A630" s="27">
        <v>100</v>
      </c>
      <c r="B630" s="27"/>
    </row>
    <row r="631" spans="1:2" ht="16" x14ac:dyDescent="0.2">
      <c r="A631" s="27">
        <v>157</v>
      </c>
      <c r="B631" s="2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A79D-2D48-C843-9242-79A5A55E2276}">
  <dimension ref="A1:F45"/>
  <sheetViews>
    <sheetView workbookViewId="0">
      <selection activeCell="F27" sqref="E26:F27"/>
    </sheetView>
  </sheetViews>
  <sheetFormatPr baseColWidth="10" defaultRowHeight="15" x14ac:dyDescent="0.2"/>
  <cols>
    <col min="5" max="5" width="36.33203125" bestFit="1" customWidth="1"/>
    <col min="6" max="6" width="14.83203125" bestFit="1" customWidth="1"/>
  </cols>
  <sheetData>
    <row r="1" spans="1:6" ht="16" x14ac:dyDescent="0.2">
      <c r="A1" s="2" t="s">
        <v>261</v>
      </c>
      <c r="B1" s="2" t="s">
        <v>171</v>
      </c>
    </row>
    <row r="2" spans="1:6" ht="16" x14ac:dyDescent="0.2">
      <c r="A2" s="27">
        <v>4.46</v>
      </c>
      <c r="B2" s="27">
        <v>15.429</v>
      </c>
      <c r="E2" s="28" t="s">
        <v>30</v>
      </c>
      <c r="F2" s="27" t="s">
        <v>263</v>
      </c>
    </row>
    <row r="3" spans="1:6" ht="16" x14ac:dyDescent="0.2">
      <c r="A3" s="27">
        <v>13.404999999999999</v>
      </c>
      <c r="B3" s="27">
        <v>7.3769999999999998</v>
      </c>
      <c r="E3" s="28"/>
      <c r="F3" s="27"/>
    </row>
    <row r="4" spans="1:6" ht="16" x14ac:dyDescent="0.2">
      <c r="A4" s="27">
        <v>19.286999999999999</v>
      </c>
      <c r="B4" s="27">
        <v>19.356000000000002</v>
      </c>
      <c r="E4" s="28" t="s">
        <v>32</v>
      </c>
      <c r="F4" s="27" t="s">
        <v>171</v>
      </c>
    </row>
    <row r="5" spans="1:6" ht="16" x14ac:dyDescent="0.2">
      <c r="A5" s="27">
        <v>6.0830000000000002</v>
      </c>
      <c r="B5" s="27">
        <v>8.0890000000000004</v>
      </c>
      <c r="E5" s="28" t="s">
        <v>33</v>
      </c>
      <c r="F5" s="27" t="s">
        <v>33</v>
      </c>
    </row>
    <row r="6" spans="1:6" ht="16" x14ac:dyDescent="0.2">
      <c r="A6" s="27">
        <v>6.9240000000000004</v>
      </c>
      <c r="B6" s="27">
        <v>4.9059999999999997</v>
      </c>
      <c r="E6" s="28" t="s">
        <v>34</v>
      </c>
      <c r="F6" s="27" t="s">
        <v>261</v>
      </c>
    </row>
    <row r="7" spans="1:6" ht="16" x14ac:dyDescent="0.2">
      <c r="A7" s="27">
        <v>8.8160000000000007</v>
      </c>
      <c r="B7" s="27">
        <v>65.584000000000003</v>
      </c>
      <c r="E7" s="28"/>
      <c r="F7" s="27"/>
    </row>
    <row r="8" spans="1:6" ht="16" x14ac:dyDescent="0.2">
      <c r="A8" s="27">
        <v>7.149</v>
      </c>
      <c r="B8" s="27">
        <v>23.393000000000001</v>
      </c>
      <c r="E8" s="28" t="s">
        <v>272</v>
      </c>
      <c r="F8" s="27"/>
    </row>
    <row r="9" spans="1:6" ht="16" x14ac:dyDescent="0.2">
      <c r="A9" s="27">
        <v>15.394</v>
      </c>
      <c r="B9" s="27">
        <v>25.567</v>
      </c>
      <c r="E9" s="28" t="s">
        <v>35</v>
      </c>
      <c r="F9" s="27">
        <v>0.1091</v>
      </c>
    </row>
    <row r="10" spans="1:6" ht="16" x14ac:dyDescent="0.2">
      <c r="A10" s="27">
        <v>34.048000000000002</v>
      </c>
      <c r="B10" s="27">
        <v>28.027000000000001</v>
      </c>
      <c r="E10" s="28" t="s">
        <v>273</v>
      </c>
      <c r="F10" s="27" t="s">
        <v>274</v>
      </c>
    </row>
    <row r="11" spans="1:6" ht="16" x14ac:dyDescent="0.2">
      <c r="A11" s="27">
        <v>22.433</v>
      </c>
      <c r="B11" s="27">
        <v>5.7409999999999997</v>
      </c>
      <c r="E11" s="28" t="s">
        <v>37</v>
      </c>
      <c r="F11" s="27" t="s">
        <v>67</v>
      </c>
    </row>
    <row r="12" spans="1:6" ht="16" x14ac:dyDescent="0.2">
      <c r="A12" s="27">
        <v>11.452999999999999</v>
      </c>
      <c r="B12" s="27">
        <v>7.726</v>
      </c>
      <c r="E12" s="28" t="s">
        <v>39</v>
      </c>
      <c r="F12" s="27" t="s">
        <v>66</v>
      </c>
    </row>
    <row r="13" spans="1:6" ht="16" x14ac:dyDescent="0.2">
      <c r="A13" s="27">
        <v>21.562000000000001</v>
      </c>
      <c r="B13" s="27">
        <v>9.6999999999999993</v>
      </c>
      <c r="E13" s="28" t="s">
        <v>41</v>
      </c>
      <c r="F13" s="27" t="s">
        <v>42</v>
      </c>
    </row>
    <row r="14" spans="1:6" ht="16" x14ac:dyDescent="0.2">
      <c r="A14" s="27">
        <v>43.003</v>
      </c>
      <c r="B14" s="27">
        <v>6.3159999999999998</v>
      </c>
      <c r="E14" s="28" t="s">
        <v>275</v>
      </c>
      <c r="F14" s="27" t="s">
        <v>276</v>
      </c>
    </row>
    <row r="15" spans="1:6" ht="16" x14ac:dyDescent="0.2">
      <c r="A15" s="27">
        <v>69.721999999999994</v>
      </c>
      <c r="B15" s="27">
        <v>19.376000000000001</v>
      </c>
      <c r="E15" s="28" t="s">
        <v>277</v>
      </c>
      <c r="F15" s="27">
        <v>-276</v>
      </c>
    </row>
    <row r="16" spans="1:6" ht="16" x14ac:dyDescent="0.2">
      <c r="A16" s="27">
        <v>34.286000000000001</v>
      </c>
      <c r="B16" s="27">
        <v>11.041</v>
      </c>
      <c r="E16" s="28" t="s">
        <v>147</v>
      </c>
      <c r="F16" s="27">
        <v>44</v>
      </c>
    </row>
    <row r="17" spans="1:6" ht="16" x14ac:dyDescent="0.2">
      <c r="A17" s="27">
        <v>15.108000000000001</v>
      </c>
      <c r="B17" s="27">
        <v>7.6520000000000001</v>
      </c>
      <c r="E17" s="28" t="s">
        <v>278</v>
      </c>
      <c r="F17" s="27">
        <v>0</v>
      </c>
    </row>
    <row r="18" spans="1:6" ht="16" x14ac:dyDescent="0.2">
      <c r="A18" s="27">
        <v>22.402000000000001</v>
      </c>
      <c r="B18" s="27">
        <v>21.867999999999999</v>
      </c>
      <c r="E18" s="28"/>
      <c r="F18" s="27"/>
    </row>
    <row r="19" spans="1:6" ht="16" x14ac:dyDescent="0.2">
      <c r="A19" s="27">
        <v>31.994</v>
      </c>
      <c r="B19" s="27">
        <v>41.668999999999997</v>
      </c>
      <c r="E19" s="28" t="s">
        <v>279</v>
      </c>
      <c r="F19" s="27"/>
    </row>
    <row r="20" spans="1:6" ht="16" x14ac:dyDescent="0.2">
      <c r="A20" s="27">
        <v>33.837000000000003</v>
      </c>
      <c r="B20" s="27">
        <v>22.608000000000001</v>
      </c>
      <c r="E20" s="28" t="s">
        <v>280</v>
      </c>
      <c r="F20" s="27">
        <v>-2.3069999999999999</v>
      </c>
    </row>
    <row r="21" spans="1:6" ht="16" x14ac:dyDescent="0.2">
      <c r="A21" s="27">
        <v>15.912000000000001</v>
      </c>
      <c r="B21" s="27">
        <v>36.79</v>
      </c>
      <c r="E21" s="28"/>
      <c r="F21" s="27"/>
    </row>
    <row r="22" spans="1:6" ht="16" x14ac:dyDescent="0.2">
      <c r="A22" s="27">
        <v>26.837</v>
      </c>
      <c r="B22" s="27">
        <v>5.0419999999999998</v>
      </c>
      <c r="E22" s="28" t="s">
        <v>153</v>
      </c>
      <c r="F22" s="27"/>
    </row>
    <row r="23" spans="1:6" ht="16" x14ac:dyDescent="0.2">
      <c r="A23" s="27">
        <v>7.7439999999999998</v>
      </c>
      <c r="B23" s="27">
        <v>21.44</v>
      </c>
      <c r="E23" s="28" t="s">
        <v>281</v>
      </c>
      <c r="F23" s="27">
        <v>0.17050000000000001</v>
      </c>
    </row>
    <row r="24" spans="1:6" ht="16" x14ac:dyDescent="0.2">
      <c r="A24" s="27">
        <v>22.616</v>
      </c>
      <c r="B24" s="27">
        <v>11.221</v>
      </c>
      <c r="E24" s="28" t="s">
        <v>155</v>
      </c>
      <c r="F24" s="27">
        <v>0.13420000000000001</v>
      </c>
    </row>
    <row r="25" spans="1:6" ht="16" x14ac:dyDescent="0.2">
      <c r="A25" s="27">
        <v>18.251000000000001</v>
      </c>
      <c r="B25" s="27">
        <v>15.656000000000001</v>
      </c>
      <c r="E25" s="28" t="s">
        <v>37</v>
      </c>
      <c r="F25" s="27" t="s">
        <v>67</v>
      </c>
    </row>
    <row r="26" spans="1:6" ht="16" x14ac:dyDescent="0.2">
      <c r="A26" s="27">
        <v>8.7859999999999996</v>
      </c>
      <c r="B26" s="27">
        <v>11.531000000000001</v>
      </c>
      <c r="E26" s="28"/>
      <c r="F26" s="27"/>
    </row>
    <row r="27" spans="1:6" ht="16" x14ac:dyDescent="0.2">
      <c r="A27" s="27">
        <v>16.469000000000001</v>
      </c>
      <c r="B27" s="27">
        <v>17.420000000000002</v>
      </c>
      <c r="E27" s="28"/>
      <c r="F27" s="27"/>
    </row>
    <row r="28" spans="1:6" ht="16" x14ac:dyDescent="0.2">
      <c r="A28" s="27">
        <v>12.366</v>
      </c>
      <c r="B28" s="27">
        <v>17.006</v>
      </c>
    </row>
    <row r="29" spans="1:6" ht="16" x14ac:dyDescent="0.2">
      <c r="A29" s="27">
        <v>29.004999999999999</v>
      </c>
      <c r="B29" s="27">
        <v>42.514000000000003</v>
      </c>
    </row>
    <row r="30" spans="1:6" ht="16" x14ac:dyDescent="0.2">
      <c r="A30" s="27">
        <v>18.221</v>
      </c>
      <c r="B30" s="27">
        <v>19.957999999999998</v>
      </c>
    </row>
    <row r="31" spans="1:6" ht="16" x14ac:dyDescent="0.2">
      <c r="A31" s="27">
        <v>33.524999999999999</v>
      </c>
      <c r="B31" s="27">
        <v>14.901999999999999</v>
      </c>
    </row>
    <row r="32" spans="1:6" ht="16" x14ac:dyDescent="0.2">
      <c r="A32" s="27">
        <v>47.685000000000002</v>
      </c>
      <c r="B32" s="27">
        <v>31.088000000000001</v>
      </c>
    </row>
    <row r="33" spans="1:2" ht="16" x14ac:dyDescent="0.2">
      <c r="A33" s="27">
        <v>24.001000000000001</v>
      </c>
      <c r="B33" s="27">
        <v>25.417000000000002</v>
      </c>
    </row>
    <row r="34" spans="1:2" ht="16" x14ac:dyDescent="0.2">
      <c r="A34" s="27">
        <v>27.61</v>
      </c>
      <c r="B34" s="27">
        <v>21.416</v>
      </c>
    </row>
    <row r="35" spans="1:2" ht="16" x14ac:dyDescent="0.2">
      <c r="A35" s="27">
        <v>30.126000000000001</v>
      </c>
      <c r="B35" s="27">
        <v>5.9320000000000004</v>
      </c>
    </row>
    <row r="36" spans="1:2" ht="16" x14ac:dyDescent="0.2">
      <c r="A36" s="27">
        <v>32.107999999999997</v>
      </c>
      <c r="B36" s="27">
        <v>11.273</v>
      </c>
    </row>
    <row r="37" spans="1:2" ht="16" x14ac:dyDescent="0.2">
      <c r="A37" s="27">
        <v>29.585000000000001</v>
      </c>
      <c r="B37" s="27">
        <v>10.444000000000001</v>
      </c>
    </row>
    <row r="38" spans="1:2" ht="16" x14ac:dyDescent="0.2">
      <c r="A38" s="27">
        <v>14.39</v>
      </c>
      <c r="B38" s="27">
        <v>5.24</v>
      </c>
    </row>
    <row r="39" spans="1:2" ht="16" x14ac:dyDescent="0.2">
      <c r="A39" s="27">
        <v>14.316000000000001</v>
      </c>
      <c r="B39" s="27">
        <v>41.878999999999998</v>
      </c>
    </row>
    <row r="40" spans="1:2" ht="16" x14ac:dyDescent="0.2">
      <c r="A40" s="27">
        <v>24.707000000000001</v>
      </c>
      <c r="B40" s="27">
        <v>27.817</v>
      </c>
    </row>
    <row r="41" spans="1:2" ht="16" x14ac:dyDescent="0.2">
      <c r="A41" s="27">
        <v>5.3689999999999998</v>
      </c>
      <c r="B41" s="27">
        <v>12.819000000000001</v>
      </c>
    </row>
    <row r="42" spans="1:2" ht="16" x14ac:dyDescent="0.2">
      <c r="A42" s="27">
        <v>9.7680000000000007</v>
      </c>
      <c r="B42" s="27">
        <v>8.1419999999999995</v>
      </c>
    </row>
    <row r="43" spans="1:2" ht="16" x14ac:dyDescent="0.2">
      <c r="A43" s="27">
        <v>44.003</v>
      </c>
      <c r="B43" s="27">
        <v>16.821000000000002</v>
      </c>
    </row>
    <row r="44" spans="1:2" ht="16" x14ac:dyDescent="0.2">
      <c r="A44" s="27">
        <v>7.7380000000000004</v>
      </c>
      <c r="B44" s="27">
        <v>6.73</v>
      </c>
    </row>
    <row r="45" spans="1:2" ht="16" x14ac:dyDescent="0.2">
      <c r="A45" s="27">
        <v>16.114999999999998</v>
      </c>
      <c r="B45" s="27">
        <v>10.789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6E38-50CF-4EC1-B05C-0C696F94835C}">
  <dimension ref="A1:H112"/>
  <sheetViews>
    <sheetView workbookViewId="0">
      <selection activeCell="G34" sqref="G34"/>
    </sheetView>
  </sheetViews>
  <sheetFormatPr baseColWidth="10" defaultColWidth="8.83203125" defaultRowHeight="16" x14ac:dyDescent="0.2"/>
  <cols>
    <col min="1" max="1" width="30.83203125" customWidth="1"/>
    <col min="2" max="3" width="9.1640625" style="10"/>
    <col min="6" max="6" width="44.33203125" customWidth="1"/>
    <col min="7" max="7" width="31.1640625" customWidth="1"/>
    <col min="8" max="8" width="9.1640625"/>
  </cols>
  <sheetData>
    <row r="1" spans="1:8" ht="19" x14ac:dyDescent="0.25">
      <c r="A1" s="9" t="s">
        <v>16</v>
      </c>
      <c r="F1" s="28" t="s">
        <v>30</v>
      </c>
      <c r="G1" s="27" t="s">
        <v>282</v>
      </c>
      <c r="H1" s="2"/>
    </row>
    <row r="2" spans="1:8" x14ac:dyDescent="0.2">
      <c r="B2" s="3" t="s">
        <v>14</v>
      </c>
      <c r="C2" s="3" t="s">
        <v>15</v>
      </c>
      <c r="F2" s="28"/>
      <c r="G2" s="27"/>
    </row>
    <row r="3" spans="1:8" x14ac:dyDescent="0.2">
      <c r="B3" s="3">
        <v>3.4790000000000001</v>
      </c>
      <c r="C3" s="3">
        <v>21.626000000000001</v>
      </c>
      <c r="F3" s="28" t="s">
        <v>32</v>
      </c>
      <c r="G3" s="27" t="s">
        <v>171</v>
      </c>
    </row>
    <row r="4" spans="1:8" x14ac:dyDescent="0.2">
      <c r="B4" s="3">
        <v>12.803000000000001</v>
      </c>
      <c r="C4" s="3">
        <v>3.121</v>
      </c>
      <c r="F4" s="28" t="s">
        <v>33</v>
      </c>
      <c r="G4" s="27" t="s">
        <v>33</v>
      </c>
    </row>
    <row r="5" spans="1:8" x14ac:dyDescent="0.2">
      <c r="B5" s="3">
        <v>3.859</v>
      </c>
      <c r="C5" s="3">
        <v>1.5680000000000001</v>
      </c>
      <c r="F5" s="28" t="s">
        <v>34</v>
      </c>
      <c r="G5" s="27" t="s">
        <v>261</v>
      </c>
    </row>
    <row r="6" spans="1:8" x14ac:dyDescent="0.2">
      <c r="B6" s="3">
        <v>7.5810000000000004</v>
      </c>
      <c r="C6" s="3">
        <v>5.43</v>
      </c>
      <c r="F6" s="28"/>
      <c r="G6" s="27"/>
    </row>
    <row r="7" spans="1:8" x14ac:dyDescent="0.2">
      <c r="B7" s="3">
        <v>7.7919999999999998</v>
      </c>
      <c r="C7" s="3">
        <v>5.9740000000000002</v>
      </c>
      <c r="F7" s="28" t="s">
        <v>272</v>
      </c>
      <c r="G7" s="27"/>
    </row>
    <row r="8" spans="1:8" x14ac:dyDescent="0.2">
      <c r="B8" s="3">
        <v>5.2670000000000003</v>
      </c>
      <c r="C8" s="3">
        <v>1.2589999999999999</v>
      </c>
      <c r="F8" s="28" t="s">
        <v>35</v>
      </c>
      <c r="G8" s="27">
        <v>6.7900000000000002E-2</v>
      </c>
    </row>
    <row r="9" spans="1:8" x14ac:dyDescent="0.2">
      <c r="B9" s="3">
        <v>7.1379999999999999</v>
      </c>
      <c r="C9" s="3">
        <v>7.0179999999999998</v>
      </c>
      <c r="F9" s="28" t="s">
        <v>273</v>
      </c>
      <c r="G9" s="27" t="s">
        <v>274</v>
      </c>
    </row>
    <row r="10" spans="1:8" x14ac:dyDescent="0.2">
      <c r="B10" s="3">
        <v>5.4749999999999996</v>
      </c>
      <c r="C10" s="3">
        <v>0.99399999999999999</v>
      </c>
      <c r="F10" s="28" t="s">
        <v>37</v>
      </c>
      <c r="G10" s="27" t="s">
        <v>67</v>
      </c>
    </row>
    <row r="11" spans="1:8" x14ac:dyDescent="0.2">
      <c r="B11" s="3">
        <v>6.7519999999999998</v>
      </c>
      <c r="C11" s="3">
        <v>6.476</v>
      </c>
      <c r="F11" s="28" t="s">
        <v>39</v>
      </c>
      <c r="G11" s="27" t="s">
        <v>66</v>
      </c>
    </row>
    <row r="12" spans="1:8" x14ac:dyDescent="0.2">
      <c r="B12" s="3">
        <v>5.0119999999999996</v>
      </c>
      <c r="C12" s="3">
        <v>3.6669999999999998</v>
      </c>
      <c r="F12" s="28" t="s">
        <v>41</v>
      </c>
      <c r="G12" s="27" t="s">
        <v>42</v>
      </c>
    </row>
    <row r="13" spans="1:8" x14ac:dyDescent="0.2">
      <c r="B13" s="3">
        <v>4.0170000000000003</v>
      </c>
      <c r="C13" s="3">
        <v>1.542</v>
      </c>
      <c r="F13" s="28" t="s">
        <v>275</v>
      </c>
      <c r="G13" s="27" t="s">
        <v>283</v>
      </c>
    </row>
    <row r="14" spans="1:8" x14ac:dyDescent="0.2">
      <c r="B14" s="3">
        <v>4.6689999999999996</v>
      </c>
      <c r="C14" s="3">
        <v>6.6840000000000002</v>
      </c>
      <c r="F14" s="28" t="s">
        <v>277</v>
      </c>
      <c r="G14" s="27">
        <v>-1225</v>
      </c>
    </row>
    <row r="15" spans="1:8" x14ac:dyDescent="0.2">
      <c r="B15" s="3">
        <v>1.228</v>
      </c>
      <c r="C15" s="3">
        <v>10.891999999999999</v>
      </c>
      <c r="F15" s="28" t="s">
        <v>147</v>
      </c>
      <c r="G15" s="27">
        <v>110</v>
      </c>
    </row>
    <row r="16" spans="1:8" x14ac:dyDescent="0.2">
      <c r="B16" s="3">
        <v>10.429</v>
      </c>
      <c r="C16" s="3">
        <v>16.513000000000002</v>
      </c>
      <c r="F16" s="28" t="s">
        <v>278</v>
      </c>
      <c r="G16" s="27">
        <v>0</v>
      </c>
    </row>
    <row r="17" spans="2:7" x14ac:dyDescent="0.2">
      <c r="B17" s="3">
        <v>6.4160000000000004</v>
      </c>
      <c r="C17" s="3">
        <v>16.178999999999998</v>
      </c>
      <c r="F17" s="28"/>
      <c r="G17" s="27"/>
    </row>
    <row r="18" spans="2:7" x14ac:dyDescent="0.2">
      <c r="B18" s="3">
        <v>8.2639999999999993</v>
      </c>
      <c r="C18" s="3">
        <v>10.426</v>
      </c>
      <c r="F18" s="28" t="s">
        <v>279</v>
      </c>
      <c r="G18" s="27"/>
    </row>
    <row r="19" spans="2:7" x14ac:dyDescent="0.2">
      <c r="B19" s="3">
        <v>8.2279999999999998</v>
      </c>
      <c r="C19" s="3">
        <v>5.1369999999999996</v>
      </c>
      <c r="F19" s="28" t="s">
        <v>280</v>
      </c>
      <c r="G19" s="27">
        <v>-0.98299999999999998</v>
      </c>
    </row>
    <row r="20" spans="2:7" x14ac:dyDescent="0.2">
      <c r="B20" s="3">
        <v>2.706</v>
      </c>
      <c r="C20" s="3">
        <v>1.0980000000000001</v>
      </c>
      <c r="F20" s="28"/>
      <c r="G20" s="27"/>
    </row>
    <row r="21" spans="2:7" x14ac:dyDescent="0.2">
      <c r="B21" s="3">
        <v>4.1070000000000002</v>
      </c>
      <c r="C21" s="3">
        <v>1.679</v>
      </c>
      <c r="F21" s="28" t="s">
        <v>153</v>
      </c>
      <c r="G21" s="27"/>
    </row>
    <row r="22" spans="2:7" x14ac:dyDescent="0.2">
      <c r="B22" s="3">
        <v>2.609</v>
      </c>
      <c r="C22" s="3">
        <v>2.3159999999999998</v>
      </c>
      <c r="F22" s="28" t="s">
        <v>281</v>
      </c>
      <c r="G22" s="27">
        <v>-3.4709999999999998E-4</v>
      </c>
    </row>
    <row r="23" spans="2:7" x14ac:dyDescent="0.2">
      <c r="B23" s="3">
        <v>1.5489999999999999</v>
      </c>
      <c r="C23" s="3">
        <v>1.6759999999999999</v>
      </c>
      <c r="F23" s="28" t="s">
        <v>155</v>
      </c>
      <c r="G23" s="27">
        <v>0.49859999999999999</v>
      </c>
    </row>
    <row r="24" spans="2:7" x14ac:dyDescent="0.2">
      <c r="B24" s="3">
        <v>3.1190000000000002</v>
      </c>
      <c r="C24" s="3">
        <v>4.4329999999999998</v>
      </c>
      <c r="F24" s="28" t="s">
        <v>37</v>
      </c>
      <c r="G24" s="27" t="s">
        <v>67</v>
      </c>
    </row>
    <row r="25" spans="2:7" x14ac:dyDescent="0.2">
      <c r="B25" s="3">
        <v>10.781000000000001</v>
      </c>
      <c r="C25" s="3">
        <v>5.7850000000000001</v>
      </c>
      <c r="F25" s="28" t="s">
        <v>156</v>
      </c>
      <c r="G25" s="27" t="s">
        <v>66</v>
      </c>
    </row>
    <row r="26" spans="2:7" x14ac:dyDescent="0.2">
      <c r="B26" s="3">
        <v>11.239000000000001</v>
      </c>
      <c r="C26" s="3">
        <v>9.4499999999999993</v>
      </c>
      <c r="F26" s="14"/>
      <c r="G26" s="5"/>
    </row>
    <row r="27" spans="2:7" x14ac:dyDescent="0.2">
      <c r="B27" s="3">
        <v>17.015999999999998</v>
      </c>
      <c r="C27" s="3">
        <v>1.196</v>
      </c>
      <c r="F27" s="14"/>
      <c r="G27" s="5"/>
    </row>
    <row r="28" spans="2:7" x14ac:dyDescent="0.2">
      <c r="B28" s="3">
        <v>6.17</v>
      </c>
      <c r="C28" s="3">
        <v>4.0750000000000002</v>
      </c>
      <c r="F28" s="14"/>
      <c r="G28" s="5"/>
    </row>
    <row r="29" spans="2:7" x14ac:dyDescent="0.2">
      <c r="B29" s="3">
        <v>9.7149999999999999</v>
      </c>
      <c r="C29" s="3">
        <v>10.816000000000001</v>
      </c>
      <c r="F29" s="14"/>
      <c r="G29" s="5"/>
    </row>
    <row r="30" spans="2:7" x14ac:dyDescent="0.2">
      <c r="B30" s="3">
        <v>20.48</v>
      </c>
      <c r="C30" s="3">
        <v>17.231000000000002</v>
      </c>
      <c r="F30" s="14"/>
      <c r="G30" s="5"/>
    </row>
    <row r="31" spans="2:7" x14ac:dyDescent="0.2">
      <c r="B31" s="3">
        <v>19.809000000000001</v>
      </c>
      <c r="C31" s="3">
        <v>1.913</v>
      </c>
      <c r="F31" s="14"/>
      <c r="G31" s="5"/>
    </row>
    <row r="32" spans="2:7" x14ac:dyDescent="0.2">
      <c r="B32" s="3">
        <v>16.489999999999998</v>
      </c>
      <c r="C32" s="3">
        <v>2.61</v>
      </c>
    </row>
    <row r="33" spans="2:3" x14ac:dyDescent="0.2">
      <c r="B33" s="3">
        <v>15.866</v>
      </c>
      <c r="C33" s="3">
        <v>3.9359999999999999</v>
      </c>
    </row>
    <row r="34" spans="2:3" x14ac:dyDescent="0.2">
      <c r="B34" s="3">
        <v>2.931</v>
      </c>
      <c r="C34" s="3">
        <v>1.702</v>
      </c>
    </row>
    <row r="35" spans="2:3" x14ac:dyDescent="0.2">
      <c r="B35" s="3">
        <v>7.9950000000000001</v>
      </c>
      <c r="C35" s="3">
        <v>14.077999999999999</v>
      </c>
    </row>
    <row r="36" spans="2:3" x14ac:dyDescent="0.2">
      <c r="B36" s="3">
        <v>14.712999999999999</v>
      </c>
      <c r="C36" s="3">
        <v>5.609</v>
      </c>
    </row>
    <row r="37" spans="2:3" x14ac:dyDescent="0.2">
      <c r="B37" s="3">
        <v>11.866</v>
      </c>
      <c r="C37" s="3">
        <v>2.9590000000000001</v>
      </c>
    </row>
    <row r="38" spans="2:3" x14ac:dyDescent="0.2">
      <c r="B38" s="3">
        <v>7.3760000000000003</v>
      </c>
      <c r="C38" s="3">
        <v>15.061999999999999</v>
      </c>
    </row>
    <row r="39" spans="2:3" x14ac:dyDescent="0.2">
      <c r="B39" s="3">
        <v>15.866</v>
      </c>
      <c r="C39" s="3">
        <v>4.63</v>
      </c>
    </row>
    <row r="40" spans="2:3" x14ac:dyDescent="0.2">
      <c r="B40" s="3">
        <v>7.9420000000000002</v>
      </c>
      <c r="C40" s="3">
        <v>6.7240000000000002</v>
      </c>
    </row>
    <row r="41" spans="2:3" x14ac:dyDescent="0.2">
      <c r="B41" s="3">
        <v>7.5119999999999996</v>
      </c>
      <c r="C41" s="3">
        <v>7.5709999999999997</v>
      </c>
    </row>
    <row r="42" spans="2:3" x14ac:dyDescent="0.2">
      <c r="B42" s="3">
        <v>6.9279999999999999</v>
      </c>
      <c r="C42" s="3">
        <v>3.82</v>
      </c>
    </row>
    <row r="43" spans="2:3" x14ac:dyDescent="0.2">
      <c r="B43" s="3">
        <v>8.09</v>
      </c>
      <c r="C43" s="3">
        <v>1.476</v>
      </c>
    </row>
    <row r="44" spans="2:3" x14ac:dyDescent="0.2">
      <c r="B44" s="3">
        <v>5.5279999999999996</v>
      </c>
      <c r="C44" s="3">
        <v>1.8560000000000001</v>
      </c>
    </row>
    <row r="45" spans="2:3" x14ac:dyDescent="0.2">
      <c r="B45" s="3">
        <v>5.0720000000000001</v>
      </c>
      <c r="C45" s="3">
        <v>3.1349999999999998</v>
      </c>
    </row>
    <row r="46" spans="2:3" x14ac:dyDescent="0.2">
      <c r="B46" s="3">
        <v>3.9870000000000001</v>
      </c>
      <c r="C46" s="3">
        <v>3.6960000000000002</v>
      </c>
    </row>
    <row r="47" spans="2:3" x14ac:dyDescent="0.2">
      <c r="B47" s="3">
        <v>4.5179999999999998</v>
      </c>
      <c r="C47" s="3">
        <v>5.8890000000000002</v>
      </c>
    </row>
    <row r="48" spans="2:3" x14ac:dyDescent="0.2">
      <c r="B48" s="3">
        <v>1.516</v>
      </c>
      <c r="C48" s="3">
        <v>2.0209999999999999</v>
      </c>
    </row>
    <row r="49" spans="2:3" x14ac:dyDescent="0.2">
      <c r="B49" s="3">
        <v>3.1389999999999998</v>
      </c>
      <c r="C49" s="3">
        <v>2.0390000000000001</v>
      </c>
    </row>
    <row r="50" spans="2:3" x14ac:dyDescent="0.2">
      <c r="B50" s="3">
        <v>2.6480000000000001</v>
      </c>
      <c r="C50" s="3">
        <v>2.968</v>
      </c>
    </row>
    <row r="51" spans="2:3" x14ac:dyDescent="0.2">
      <c r="B51" s="3">
        <v>4.4740000000000002</v>
      </c>
      <c r="C51" s="3">
        <v>2.1219999999999999</v>
      </c>
    </row>
    <row r="52" spans="2:3" x14ac:dyDescent="0.2">
      <c r="B52" s="3">
        <v>3.677</v>
      </c>
      <c r="C52" s="3">
        <v>8.9220000000000006</v>
      </c>
    </row>
    <row r="53" spans="2:3" x14ac:dyDescent="0.2">
      <c r="B53" s="3">
        <v>5.0529999999999999</v>
      </c>
      <c r="C53" s="3">
        <v>2.5710000000000002</v>
      </c>
    </row>
    <row r="54" spans="2:3" x14ac:dyDescent="0.2">
      <c r="B54" s="3">
        <v>6.8810000000000002</v>
      </c>
      <c r="C54" s="3">
        <v>14.584</v>
      </c>
    </row>
    <row r="55" spans="2:3" x14ac:dyDescent="0.2">
      <c r="B55" s="3">
        <v>3.0859999999999999</v>
      </c>
      <c r="C55" s="3">
        <v>14.702</v>
      </c>
    </row>
    <row r="56" spans="2:3" x14ac:dyDescent="0.2">
      <c r="B56" s="3">
        <v>4.8540000000000001</v>
      </c>
      <c r="C56" s="3">
        <v>3.8809999999999998</v>
      </c>
    </row>
    <row r="57" spans="2:3" x14ac:dyDescent="0.2">
      <c r="B57" s="3">
        <v>3.2949999999999999</v>
      </c>
      <c r="C57" s="3">
        <v>3.9319999999999999</v>
      </c>
    </row>
    <row r="58" spans="2:3" x14ac:dyDescent="0.2">
      <c r="B58" s="3">
        <v>3.2210000000000001</v>
      </c>
      <c r="C58" s="3">
        <v>7.3579999999999997</v>
      </c>
    </row>
    <row r="59" spans="2:3" x14ac:dyDescent="0.2">
      <c r="B59" s="3">
        <v>6.5979999999999999</v>
      </c>
      <c r="C59" s="3">
        <v>1.206</v>
      </c>
    </row>
    <row r="60" spans="2:3" x14ac:dyDescent="0.2">
      <c r="B60" s="3">
        <v>2.4300000000000002</v>
      </c>
      <c r="C60" s="3">
        <v>9.2889999999999997</v>
      </c>
    </row>
    <row r="61" spans="2:3" x14ac:dyDescent="0.2">
      <c r="B61" s="3">
        <v>1.3480000000000001</v>
      </c>
      <c r="C61" s="3">
        <v>5.5380000000000003</v>
      </c>
    </row>
    <row r="62" spans="2:3" x14ac:dyDescent="0.2">
      <c r="B62" s="3">
        <v>4.0810000000000004</v>
      </c>
      <c r="C62" s="3">
        <v>3.2879999999999998</v>
      </c>
    </row>
    <row r="63" spans="2:3" x14ac:dyDescent="0.2">
      <c r="B63" s="3">
        <v>4.5170000000000003</v>
      </c>
      <c r="C63" s="3">
        <v>42.573999999999998</v>
      </c>
    </row>
    <row r="64" spans="2:3" x14ac:dyDescent="0.2">
      <c r="B64" s="3">
        <v>2.8370000000000002</v>
      </c>
      <c r="C64" s="3">
        <v>4.415</v>
      </c>
    </row>
    <row r="65" spans="2:3" x14ac:dyDescent="0.2">
      <c r="B65" s="3">
        <v>1.8680000000000001</v>
      </c>
      <c r="C65" s="3">
        <v>6.9669999999999996</v>
      </c>
    </row>
    <row r="66" spans="2:3" x14ac:dyDescent="0.2">
      <c r="B66" s="3">
        <v>2.2629999999999999</v>
      </c>
      <c r="C66" s="3">
        <v>3.0710000000000002</v>
      </c>
    </row>
    <row r="67" spans="2:3" x14ac:dyDescent="0.2">
      <c r="B67" s="3">
        <v>3.8740000000000001</v>
      </c>
      <c r="C67" s="3">
        <v>0.19</v>
      </c>
    </row>
    <row r="68" spans="2:3" x14ac:dyDescent="0.2">
      <c r="B68" s="3">
        <v>3.3170000000000002</v>
      </c>
      <c r="C68" s="3">
        <v>9.4280000000000008</v>
      </c>
    </row>
    <row r="69" spans="2:3" x14ac:dyDescent="0.2">
      <c r="B69" s="3">
        <v>4.8789999999999996</v>
      </c>
      <c r="C69" s="3">
        <v>2.6779999999999999</v>
      </c>
    </row>
    <row r="70" spans="2:3" x14ac:dyDescent="0.2">
      <c r="B70" s="3">
        <v>7.52</v>
      </c>
      <c r="C70" s="3">
        <v>1.0720000000000001</v>
      </c>
    </row>
    <row r="71" spans="2:3" x14ac:dyDescent="0.2">
      <c r="B71" s="3">
        <v>8.077</v>
      </c>
      <c r="C71" s="3">
        <v>2.1179999999999999</v>
      </c>
    </row>
    <row r="72" spans="2:3" x14ac:dyDescent="0.2">
      <c r="B72" s="3">
        <v>8.0069999999999997</v>
      </c>
      <c r="C72" s="3">
        <v>2.4630000000000001</v>
      </c>
    </row>
    <row r="73" spans="2:3" x14ac:dyDescent="0.2">
      <c r="B73" s="3">
        <v>4.9489999999999998</v>
      </c>
      <c r="C73" s="3">
        <v>6.944</v>
      </c>
    </row>
    <row r="74" spans="2:3" x14ac:dyDescent="0.2">
      <c r="B74" s="3">
        <v>14.321999999999999</v>
      </c>
      <c r="C74" s="3">
        <v>3.7789999999999999</v>
      </c>
    </row>
    <row r="75" spans="2:3" x14ac:dyDescent="0.2">
      <c r="B75" s="3">
        <v>6.2839999999999998</v>
      </c>
      <c r="C75" s="3">
        <v>1.327</v>
      </c>
    </row>
    <row r="76" spans="2:3" x14ac:dyDescent="0.2">
      <c r="B76" s="3">
        <v>5.617</v>
      </c>
      <c r="C76" s="3">
        <v>4.6239999999999997</v>
      </c>
    </row>
    <row r="77" spans="2:3" x14ac:dyDescent="0.2">
      <c r="B77" s="3">
        <v>7.7270000000000003</v>
      </c>
      <c r="C77" s="3">
        <v>6.4779999999999998</v>
      </c>
    </row>
    <row r="78" spans="2:3" x14ac:dyDescent="0.2">
      <c r="B78" s="3">
        <v>5.2149999999999999</v>
      </c>
      <c r="C78" s="3">
        <v>0.46600000000000003</v>
      </c>
    </row>
    <row r="79" spans="2:3" x14ac:dyDescent="0.2">
      <c r="B79" s="3">
        <v>14.183</v>
      </c>
      <c r="C79" s="3">
        <v>1.2729999999999999</v>
      </c>
    </row>
    <row r="80" spans="2:3" x14ac:dyDescent="0.2">
      <c r="B80" s="3">
        <v>22.806000000000001</v>
      </c>
      <c r="C80" s="3">
        <v>2.92</v>
      </c>
    </row>
    <row r="81" spans="2:3" x14ac:dyDescent="0.2">
      <c r="B81" s="3">
        <v>4.8220000000000001</v>
      </c>
      <c r="C81" s="3">
        <v>6.1210000000000004</v>
      </c>
    </row>
    <row r="82" spans="2:3" x14ac:dyDescent="0.2">
      <c r="B82" s="3">
        <v>3.121</v>
      </c>
      <c r="C82" s="3">
        <v>2.72</v>
      </c>
    </row>
    <row r="83" spans="2:3" x14ac:dyDescent="0.2">
      <c r="B83" s="3">
        <v>4.492</v>
      </c>
      <c r="C83" s="3">
        <v>10.247999999999999</v>
      </c>
    </row>
    <row r="84" spans="2:3" x14ac:dyDescent="0.2">
      <c r="B84" s="3">
        <v>11.521000000000001</v>
      </c>
      <c r="C84" s="3">
        <v>6.5090000000000003</v>
      </c>
    </row>
    <row r="85" spans="2:3" x14ac:dyDescent="0.2">
      <c r="B85" s="3">
        <v>14.327999999999999</v>
      </c>
      <c r="C85" s="3">
        <v>1.96</v>
      </c>
    </row>
    <row r="86" spans="2:3" x14ac:dyDescent="0.2">
      <c r="B86" s="3">
        <v>3.2040000000000002</v>
      </c>
      <c r="C86" s="3">
        <v>0.56599999999999995</v>
      </c>
    </row>
    <row r="87" spans="2:3" x14ac:dyDescent="0.2">
      <c r="B87" s="3">
        <v>3.4710000000000001</v>
      </c>
      <c r="C87" s="3">
        <v>3.1760000000000002</v>
      </c>
    </row>
    <row r="88" spans="2:3" x14ac:dyDescent="0.2">
      <c r="B88" s="3">
        <v>3.359</v>
      </c>
      <c r="C88" s="3">
        <v>4.6840000000000002</v>
      </c>
    </row>
    <row r="89" spans="2:3" x14ac:dyDescent="0.2">
      <c r="B89" s="3">
        <v>3.2730000000000001</v>
      </c>
      <c r="C89" s="3">
        <v>2.6030000000000002</v>
      </c>
    </row>
    <row r="90" spans="2:3" x14ac:dyDescent="0.2">
      <c r="B90" s="3">
        <v>2.0649999999999999</v>
      </c>
      <c r="C90" s="3">
        <v>2.6030000000000002</v>
      </c>
    </row>
    <row r="91" spans="2:3" x14ac:dyDescent="0.2">
      <c r="B91" s="3">
        <v>1.585</v>
      </c>
      <c r="C91" s="3">
        <v>18.338999999999999</v>
      </c>
    </row>
    <row r="92" spans="2:3" x14ac:dyDescent="0.2">
      <c r="B92" s="3">
        <v>3.3250000000000002</v>
      </c>
      <c r="C92" s="3">
        <v>4.085</v>
      </c>
    </row>
    <row r="93" spans="2:3" x14ac:dyDescent="0.2">
      <c r="B93" s="3">
        <v>2.3260000000000001</v>
      </c>
      <c r="C93" s="3">
        <v>5.8029999999999999</v>
      </c>
    </row>
    <row r="94" spans="2:3" x14ac:dyDescent="0.2">
      <c r="B94" s="3">
        <v>2.1139999999999999</v>
      </c>
      <c r="C94" s="3">
        <v>16.419</v>
      </c>
    </row>
    <row r="95" spans="2:3" x14ac:dyDescent="0.2">
      <c r="B95" s="3">
        <v>2.6219999999999999</v>
      </c>
      <c r="C95" s="3">
        <v>10.097</v>
      </c>
    </row>
    <row r="96" spans="2:3" x14ac:dyDescent="0.2">
      <c r="B96" s="3">
        <v>33.823</v>
      </c>
      <c r="C96" s="3">
        <v>2.234</v>
      </c>
    </row>
    <row r="97" spans="2:3" x14ac:dyDescent="0.2">
      <c r="B97" s="3">
        <v>7.3730000000000002</v>
      </c>
      <c r="C97" s="3">
        <v>1.629</v>
      </c>
    </row>
    <row r="98" spans="2:3" x14ac:dyDescent="0.2">
      <c r="B98" s="3">
        <v>2.3029999999999999</v>
      </c>
      <c r="C98" s="3">
        <v>1.0920000000000001</v>
      </c>
    </row>
    <row r="99" spans="2:3" x14ac:dyDescent="0.2">
      <c r="B99" s="3">
        <v>6.1609999999999996</v>
      </c>
      <c r="C99" s="3">
        <v>2.2200000000000002</v>
      </c>
    </row>
    <row r="100" spans="2:3" x14ac:dyDescent="0.2">
      <c r="B100" s="3">
        <v>1.645</v>
      </c>
      <c r="C100" s="3">
        <v>10.981</v>
      </c>
    </row>
    <row r="101" spans="2:3" x14ac:dyDescent="0.2">
      <c r="B101" s="3">
        <v>26.071999999999999</v>
      </c>
      <c r="C101" s="3">
        <v>4.28</v>
      </c>
    </row>
    <row r="102" spans="2:3" x14ac:dyDescent="0.2">
      <c r="B102" s="3">
        <v>1.7609999999999999</v>
      </c>
      <c r="C102" s="3">
        <v>1.52</v>
      </c>
    </row>
    <row r="103" spans="2:3" x14ac:dyDescent="0.2">
      <c r="B103" s="3">
        <v>1.891</v>
      </c>
      <c r="C103" s="3">
        <v>5.5860000000000003</v>
      </c>
    </row>
    <row r="104" spans="2:3" x14ac:dyDescent="0.2">
      <c r="B104" s="3">
        <v>7.399</v>
      </c>
      <c r="C104" s="3">
        <v>5.1180000000000003</v>
      </c>
    </row>
    <row r="105" spans="2:3" x14ac:dyDescent="0.2">
      <c r="B105" s="3">
        <v>6.9080000000000004</v>
      </c>
      <c r="C105" s="3">
        <v>8.16</v>
      </c>
    </row>
    <row r="106" spans="2:3" x14ac:dyDescent="0.2">
      <c r="B106" s="3">
        <v>3.6389999999999998</v>
      </c>
      <c r="C106" s="3">
        <v>3.2589999999999999</v>
      </c>
    </row>
    <row r="107" spans="2:3" x14ac:dyDescent="0.2">
      <c r="B107" s="3">
        <v>4.7910000000000004</v>
      </c>
      <c r="C107" s="3">
        <v>9.1470000000000002</v>
      </c>
    </row>
    <row r="108" spans="2:3" x14ac:dyDescent="0.2">
      <c r="B108" s="3">
        <v>6.7389999999999999</v>
      </c>
      <c r="C108" s="3">
        <v>6.806</v>
      </c>
    </row>
    <row r="109" spans="2:3" x14ac:dyDescent="0.2">
      <c r="B109" s="3">
        <v>2.948</v>
      </c>
      <c r="C109" s="3">
        <v>1.8089999999999999</v>
      </c>
    </row>
    <row r="110" spans="2:3" x14ac:dyDescent="0.2">
      <c r="B110" s="3">
        <v>2.988</v>
      </c>
      <c r="C110" s="3">
        <v>3.528</v>
      </c>
    </row>
    <row r="111" spans="2:3" x14ac:dyDescent="0.2">
      <c r="B111" s="3">
        <v>2.1659999999999999</v>
      </c>
      <c r="C111" s="3">
        <v>5.0709999999999997</v>
      </c>
    </row>
    <row r="112" spans="2:3" x14ac:dyDescent="0.2">
      <c r="B112" s="3">
        <v>6.1040000000000001</v>
      </c>
      <c r="C112" s="3">
        <v>1.21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C3F7-1007-EC46-A95D-42EA047708F4}">
  <dimension ref="A1:F631"/>
  <sheetViews>
    <sheetView tabSelected="1" workbookViewId="0">
      <selection activeCell="F32" sqref="F32"/>
    </sheetView>
  </sheetViews>
  <sheetFormatPr baseColWidth="10" defaultRowHeight="15" x14ac:dyDescent="0.2"/>
  <cols>
    <col min="5" max="5" width="38.6640625" bestFit="1" customWidth="1"/>
    <col min="6" max="6" width="16.83203125" bestFit="1" customWidth="1"/>
  </cols>
  <sheetData>
    <row r="1" spans="1:6" ht="16" x14ac:dyDescent="0.2">
      <c r="A1" s="2" t="s">
        <v>261</v>
      </c>
      <c r="B1" s="2" t="s">
        <v>171</v>
      </c>
      <c r="E1" s="28" t="s">
        <v>30</v>
      </c>
      <c r="F1" s="27" t="s">
        <v>262</v>
      </c>
    </row>
    <row r="2" spans="1:6" ht="16" x14ac:dyDescent="0.2">
      <c r="A2" s="27">
        <v>6.3440000000000003</v>
      </c>
      <c r="B2" s="27">
        <v>11.71</v>
      </c>
      <c r="E2" s="28"/>
      <c r="F2" s="27"/>
    </row>
    <row r="3" spans="1:6" ht="16" x14ac:dyDescent="0.2">
      <c r="A3" s="27">
        <v>6.1689999999999996</v>
      </c>
      <c r="B3" s="27">
        <v>9.92</v>
      </c>
      <c r="E3" s="28" t="s">
        <v>32</v>
      </c>
      <c r="F3" s="27" t="s">
        <v>171</v>
      </c>
    </row>
    <row r="4" spans="1:6" ht="16" x14ac:dyDescent="0.2">
      <c r="A4" s="27">
        <v>6.2619999999999996</v>
      </c>
      <c r="B4" s="27">
        <v>7.21</v>
      </c>
      <c r="E4" s="28" t="s">
        <v>33</v>
      </c>
      <c r="F4" s="27" t="s">
        <v>33</v>
      </c>
    </row>
    <row r="5" spans="1:6" ht="16" x14ac:dyDescent="0.2">
      <c r="A5" s="27">
        <v>6.4569999999999999</v>
      </c>
      <c r="B5" s="27">
        <v>12.02</v>
      </c>
      <c r="E5" s="28" t="s">
        <v>34</v>
      </c>
      <c r="F5" s="27" t="s">
        <v>261</v>
      </c>
    </row>
    <row r="6" spans="1:6" ht="16" x14ac:dyDescent="0.2">
      <c r="A6" s="27">
        <v>7.2320000000000002</v>
      </c>
      <c r="B6" s="27">
        <v>10.08</v>
      </c>
      <c r="E6" s="28"/>
      <c r="F6" s="27"/>
    </row>
    <row r="7" spans="1:6" ht="16" x14ac:dyDescent="0.2">
      <c r="A7" s="27">
        <v>9.5069999999999997</v>
      </c>
      <c r="B7" s="27">
        <v>10.37</v>
      </c>
      <c r="E7" s="28" t="s">
        <v>272</v>
      </c>
      <c r="F7" s="27"/>
    </row>
    <row r="8" spans="1:6" ht="16" x14ac:dyDescent="0.2">
      <c r="A8" s="27">
        <v>7.3719999999999999</v>
      </c>
      <c r="B8" s="27">
        <v>7.53</v>
      </c>
      <c r="E8" s="28" t="s">
        <v>35</v>
      </c>
      <c r="F8" s="27" t="s">
        <v>36</v>
      </c>
    </row>
    <row r="9" spans="1:6" ht="16" x14ac:dyDescent="0.2">
      <c r="A9" s="27">
        <v>10.044</v>
      </c>
      <c r="B9" s="27">
        <v>9.02</v>
      </c>
      <c r="E9" s="28" t="s">
        <v>273</v>
      </c>
      <c r="F9" s="27" t="s">
        <v>284</v>
      </c>
    </row>
    <row r="10" spans="1:6" ht="16" x14ac:dyDescent="0.2">
      <c r="A10" s="27">
        <v>12.063000000000001</v>
      </c>
      <c r="B10" s="27">
        <v>8.5500000000000007</v>
      </c>
      <c r="E10" s="28" t="s">
        <v>37</v>
      </c>
      <c r="F10" s="27" t="s">
        <v>38</v>
      </c>
    </row>
    <row r="11" spans="1:6" ht="16" x14ac:dyDescent="0.2">
      <c r="A11" s="27">
        <v>7.1379999999999999</v>
      </c>
      <c r="B11" s="27">
        <v>10.73</v>
      </c>
      <c r="E11" s="28" t="s">
        <v>39</v>
      </c>
      <c r="F11" s="27" t="s">
        <v>40</v>
      </c>
    </row>
    <row r="12" spans="1:6" ht="16" x14ac:dyDescent="0.2">
      <c r="A12" s="27">
        <v>7.0529999999999999</v>
      </c>
      <c r="B12" s="27">
        <v>10.63</v>
      </c>
      <c r="E12" s="28" t="s">
        <v>41</v>
      </c>
      <c r="F12" s="27" t="s">
        <v>42</v>
      </c>
    </row>
    <row r="13" spans="1:6" ht="16" x14ac:dyDescent="0.2">
      <c r="A13" s="27">
        <v>7.5060000000000002</v>
      </c>
      <c r="B13" s="27">
        <v>9.4</v>
      </c>
      <c r="E13" s="28" t="s">
        <v>275</v>
      </c>
      <c r="F13" s="27" t="s">
        <v>285</v>
      </c>
    </row>
    <row r="14" spans="1:6" ht="16" x14ac:dyDescent="0.2">
      <c r="A14" s="27">
        <v>7.4930000000000003</v>
      </c>
      <c r="B14" s="27">
        <v>11.14</v>
      </c>
      <c r="E14" s="28" t="s">
        <v>277</v>
      </c>
      <c r="F14" s="27">
        <v>-19076</v>
      </c>
    </row>
    <row r="15" spans="1:6" ht="16" x14ac:dyDescent="0.2">
      <c r="A15" s="27">
        <v>8.2200000000000006</v>
      </c>
      <c r="B15" s="27">
        <v>10.62</v>
      </c>
      <c r="E15" s="28" t="s">
        <v>147</v>
      </c>
      <c r="F15" s="27">
        <v>315</v>
      </c>
    </row>
    <row r="16" spans="1:6" ht="16" x14ac:dyDescent="0.2">
      <c r="A16" s="27">
        <v>7.8150000000000004</v>
      </c>
      <c r="B16" s="27">
        <v>9.14</v>
      </c>
      <c r="E16" s="28" t="s">
        <v>278</v>
      </c>
      <c r="F16" s="27">
        <v>0</v>
      </c>
    </row>
    <row r="17" spans="1:6" ht="16" x14ac:dyDescent="0.2">
      <c r="A17" s="27">
        <v>7.157</v>
      </c>
      <c r="B17" s="27">
        <v>10.7</v>
      </c>
      <c r="E17" s="28"/>
      <c r="F17" s="27"/>
    </row>
    <row r="18" spans="1:6" ht="16" x14ac:dyDescent="0.2">
      <c r="A18" s="27">
        <v>5.6619999999999999</v>
      </c>
      <c r="B18" s="27">
        <v>7.88</v>
      </c>
      <c r="E18" s="28" t="s">
        <v>279</v>
      </c>
      <c r="F18" s="27"/>
    </row>
    <row r="19" spans="1:6" ht="16" x14ac:dyDescent="0.2">
      <c r="A19" s="27">
        <v>5.5590000000000002</v>
      </c>
      <c r="B19" s="27">
        <v>6.59</v>
      </c>
      <c r="E19" s="28" t="s">
        <v>280</v>
      </c>
      <c r="F19" s="27">
        <v>-0.871</v>
      </c>
    </row>
    <row r="20" spans="1:6" ht="16" x14ac:dyDescent="0.2">
      <c r="A20" s="27">
        <v>4.3730000000000002</v>
      </c>
      <c r="B20" s="27">
        <v>7.23</v>
      </c>
      <c r="E20" s="28"/>
      <c r="F20" s="27"/>
    </row>
    <row r="21" spans="1:6" ht="16" x14ac:dyDescent="0.2">
      <c r="A21" s="27">
        <v>4.6440000000000001</v>
      </c>
      <c r="B21" s="27">
        <v>6.99</v>
      </c>
      <c r="E21" s="28" t="s">
        <v>153</v>
      </c>
      <c r="F21" s="27"/>
    </row>
    <row r="22" spans="1:6" ht="16" x14ac:dyDescent="0.2">
      <c r="A22" s="27">
        <v>4.5279999999999996</v>
      </c>
      <c r="B22" s="27">
        <v>8.73</v>
      </c>
      <c r="E22" s="28" t="s">
        <v>281</v>
      </c>
      <c r="F22" s="27">
        <v>0.1792</v>
      </c>
    </row>
    <row r="23" spans="1:6" ht="16" x14ac:dyDescent="0.2">
      <c r="A23" s="27">
        <v>3.7530000000000001</v>
      </c>
      <c r="B23" s="27">
        <v>8.16</v>
      </c>
      <c r="E23" s="28" t="s">
        <v>155</v>
      </c>
      <c r="F23" s="27">
        <v>6.9999999999999999E-4</v>
      </c>
    </row>
    <row r="24" spans="1:6" ht="16" x14ac:dyDescent="0.2">
      <c r="A24" s="27">
        <v>4.2089999999999996</v>
      </c>
      <c r="B24" s="27">
        <v>7.06</v>
      </c>
      <c r="E24" s="28" t="s">
        <v>37</v>
      </c>
      <c r="F24" s="27" t="s">
        <v>167</v>
      </c>
    </row>
    <row r="25" spans="1:6" ht="16" x14ac:dyDescent="0.2">
      <c r="A25" s="27">
        <v>4.0919999999999996</v>
      </c>
      <c r="B25" s="27">
        <v>6.67</v>
      </c>
      <c r="E25" s="28" t="s">
        <v>156</v>
      </c>
      <c r="F25" s="27" t="s">
        <v>40</v>
      </c>
    </row>
    <row r="26" spans="1:6" ht="16" x14ac:dyDescent="0.2">
      <c r="A26" s="27">
        <v>4.3419999999999996</v>
      </c>
      <c r="B26" s="27">
        <v>10.92</v>
      </c>
      <c r="E26" s="28"/>
      <c r="F26" s="27"/>
    </row>
    <row r="27" spans="1:6" ht="16" x14ac:dyDescent="0.2">
      <c r="A27" s="27">
        <v>3.91</v>
      </c>
      <c r="B27" s="27">
        <v>6.9</v>
      </c>
      <c r="E27" s="28"/>
      <c r="F27" s="27"/>
    </row>
    <row r="28" spans="1:6" ht="16" x14ac:dyDescent="0.2">
      <c r="A28" s="27">
        <v>3.8860000000000001</v>
      </c>
      <c r="B28" s="27">
        <v>8.77</v>
      </c>
      <c r="E28" s="28"/>
      <c r="F28" s="27"/>
    </row>
    <row r="29" spans="1:6" ht="16" x14ac:dyDescent="0.2">
      <c r="A29" s="27">
        <v>4.4770000000000003</v>
      </c>
      <c r="B29" s="27">
        <v>6.59</v>
      </c>
      <c r="E29" s="28"/>
      <c r="F29" s="27"/>
    </row>
    <row r="30" spans="1:6" ht="16" x14ac:dyDescent="0.2">
      <c r="A30" s="27">
        <v>5.1890000000000001</v>
      </c>
      <c r="B30" s="27">
        <v>5.89</v>
      </c>
    </row>
    <row r="31" spans="1:6" ht="16" x14ac:dyDescent="0.2">
      <c r="A31" s="27">
        <v>4.8010000000000002</v>
      </c>
      <c r="B31" s="27">
        <v>3.93</v>
      </c>
    </row>
    <row r="32" spans="1:6" ht="16" x14ac:dyDescent="0.2">
      <c r="A32" s="27">
        <v>5.6909999999999998</v>
      </c>
      <c r="B32" s="27">
        <v>5.59</v>
      </c>
    </row>
    <row r="33" spans="1:2" ht="16" x14ac:dyDescent="0.2">
      <c r="A33" s="27">
        <v>4.8979999999999997</v>
      </c>
      <c r="B33" s="27">
        <v>5.05</v>
      </c>
    </row>
    <row r="34" spans="1:2" ht="16" x14ac:dyDescent="0.2">
      <c r="A34" s="27">
        <v>6.048</v>
      </c>
      <c r="B34" s="27">
        <v>5.79</v>
      </c>
    </row>
    <row r="35" spans="1:2" ht="16" x14ac:dyDescent="0.2">
      <c r="A35" s="27">
        <v>6.1529999999999996</v>
      </c>
      <c r="B35" s="27">
        <v>6.35</v>
      </c>
    </row>
    <row r="36" spans="1:2" ht="16" x14ac:dyDescent="0.2">
      <c r="A36" s="27">
        <v>6.02</v>
      </c>
      <c r="B36" s="27">
        <v>5.85</v>
      </c>
    </row>
    <row r="37" spans="1:2" ht="16" x14ac:dyDescent="0.2">
      <c r="A37" s="27">
        <v>6.7489999999999997</v>
      </c>
      <c r="B37" s="27">
        <v>6.32</v>
      </c>
    </row>
    <row r="38" spans="1:2" ht="16" x14ac:dyDescent="0.2">
      <c r="A38" s="27">
        <v>5.774</v>
      </c>
      <c r="B38" s="27">
        <v>5.92</v>
      </c>
    </row>
    <row r="39" spans="1:2" ht="16" x14ac:dyDescent="0.2">
      <c r="A39" s="27">
        <v>4.6269999999999998</v>
      </c>
      <c r="B39" s="27">
        <v>5.31</v>
      </c>
    </row>
    <row r="40" spans="1:2" ht="16" x14ac:dyDescent="0.2">
      <c r="A40" s="27">
        <v>4.9660000000000002</v>
      </c>
      <c r="B40" s="27">
        <v>4.72</v>
      </c>
    </row>
    <row r="41" spans="1:2" ht="16" x14ac:dyDescent="0.2">
      <c r="A41" s="27">
        <v>5.5350000000000001</v>
      </c>
      <c r="B41" s="27">
        <v>5.45</v>
      </c>
    </row>
    <row r="42" spans="1:2" ht="16" x14ac:dyDescent="0.2">
      <c r="A42" s="27">
        <v>6.8079999999999998</v>
      </c>
      <c r="B42" s="27">
        <v>6.48</v>
      </c>
    </row>
    <row r="43" spans="1:2" ht="16" x14ac:dyDescent="0.2">
      <c r="A43" s="27">
        <v>8.2129999999999992</v>
      </c>
      <c r="B43" s="27">
        <v>6.48</v>
      </c>
    </row>
    <row r="44" spans="1:2" ht="16" x14ac:dyDescent="0.2">
      <c r="A44" s="27">
        <v>18.324000000000002</v>
      </c>
      <c r="B44" s="27">
        <v>6.76</v>
      </c>
    </row>
    <row r="45" spans="1:2" ht="16" x14ac:dyDescent="0.2">
      <c r="A45" s="27">
        <v>13.388999999999999</v>
      </c>
      <c r="B45" s="27">
        <v>7.15</v>
      </c>
    </row>
    <row r="46" spans="1:2" ht="16" x14ac:dyDescent="0.2">
      <c r="A46" s="27">
        <v>12.09</v>
      </c>
      <c r="B46" s="27">
        <v>6.97</v>
      </c>
    </row>
    <row r="47" spans="1:2" ht="16" x14ac:dyDescent="0.2">
      <c r="A47" s="27">
        <v>19.007000000000001</v>
      </c>
      <c r="B47" s="27">
        <v>6.38</v>
      </c>
    </row>
    <row r="48" spans="1:2" ht="16" x14ac:dyDescent="0.2">
      <c r="A48" s="27">
        <v>17.100000000000001</v>
      </c>
      <c r="B48" s="27">
        <v>7.12</v>
      </c>
    </row>
    <row r="49" spans="1:2" ht="16" x14ac:dyDescent="0.2">
      <c r="A49" s="27">
        <v>53.594000000000001</v>
      </c>
      <c r="B49" s="27">
        <v>7.2</v>
      </c>
    </row>
    <row r="50" spans="1:2" ht="16" x14ac:dyDescent="0.2">
      <c r="A50" s="27">
        <v>45.005000000000003</v>
      </c>
      <c r="B50" s="27">
        <v>6.83</v>
      </c>
    </row>
    <row r="51" spans="1:2" ht="16" x14ac:dyDescent="0.2">
      <c r="A51" s="27">
        <v>10.186999999999999</v>
      </c>
      <c r="B51" s="27">
        <v>6.35</v>
      </c>
    </row>
    <row r="52" spans="1:2" ht="16" x14ac:dyDescent="0.2">
      <c r="A52" s="27">
        <v>4.2539999999999996</v>
      </c>
      <c r="B52" s="27">
        <v>6.53</v>
      </c>
    </row>
    <row r="53" spans="1:2" ht="16" x14ac:dyDescent="0.2">
      <c r="A53" s="27">
        <v>4.4820000000000002</v>
      </c>
      <c r="B53" s="27">
        <v>6.42</v>
      </c>
    </row>
    <row r="54" spans="1:2" ht="16" x14ac:dyDescent="0.2">
      <c r="A54" s="27">
        <v>5.1539999999999999</v>
      </c>
      <c r="B54" s="27">
        <v>6.58</v>
      </c>
    </row>
    <row r="55" spans="1:2" ht="16" x14ac:dyDescent="0.2">
      <c r="A55" s="27">
        <v>6.194</v>
      </c>
      <c r="B55" s="27">
        <v>6.85</v>
      </c>
    </row>
    <row r="56" spans="1:2" ht="16" x14ac:dyDescent="0.2">
      <c r="A56" s="27">
        <v>6.0229999999999997</v>
      </c>
      <c r="B56" s="27">
        <v>7.31</v>
      </c>
    </row>
    <row r="57" spans="1:2" ht="16" x14ac:dyDescent="0.2">
      <c r="A57" s="27">
        <v>5.9610000000000003</v>
      </c>
      <c r="B57" s="27">
        <v>7.57</v>
      </c>
    </row>
    <row r="58" spans="1:2" ht="16" x14ac:dyDescent="0.2">
      <c r="A58" s="27">
        <v>5.8710000000000004</v>
      </c>
      <c r="B58" s="27">
        <v>6.73</v>
      </c>
    </row>
    <row r="59" spans="1:2" ht="16" x14ac:dyDescent="0.2">
      <c r="A59" s="27">
        <v>5.9109999999999996</v>
      </c>
      <c r="B59" s="27">
        <v>5.14</v>
      </c>
    </row>
    <row r="60" spans="1:2" ht="16" x14ac:dyDescent="0.2">
      <c r="A60" s="27">
        <v>5.4489999999999998</v>
      </c>
      <c r="B60" s="27">
        <v>10.31</v>
      </c>
    </row>
    <row r="61" spans="1:2" ht="16" x14ac:dyDescent="0.2">
      <c r="A61" s="27">
        <v>6.2039999999999997</v>
      </c>
      <c r="B61" s="27">
        <v>9.6999999999999993</v>
      </c>
    </row>
    <row r="62" spans="1:2" ht="16" x14ac:dyDescent="0.2">
      <c r="A62" s="27">
        <v>5.19</v>
      </c>
      <c r="B62" s="27">
        <v>9.26</v>
      </c>
    </row>
    <row r="63" spans="1:2" ht="16" x14ac:dyDescent="0.2">
      <c r="A63" s="27">
        <v>5.0730000000000004</v>
      </c>
      <c r="B63" s="27">
        <v>9.02</v>
      </c>
    </row>
    <row r="64" spans="1:2" ht="16" x14ac:dyDescent="0.2">
      <c r="A64" s="27">
        <v>4.97</v>
      </c>
      <c r="B64" s="27">
        <v>9.35</v>
      </c>
    </row>
    <row r="65" spans="1:2" ht="16" x14ac:dyDescent="0.2">
      <c r="A65" s="27">
        <v>6.3979999999999997</v>
      </c>
      <c r="B65" s="27">
        <v>5.27</v>
      </c>
    </row>
    <row r="66" spans="1:2" ht="16" x14ac:dyDescent="0.2">
      <c r="A66" s="27">
        <v>7.5049999999999999</v>
      </c>
      <c r="B66" s="27">
        <v>11.11</v>
      </c>
    </row>
    <row r="67" spans="1:2" ht="16" x14ac:dyDescent="0.2">
      <c r="A67" s="27">
        <v>7.093</v>
      </c>
      <c r="B67" s="27">
        <v>11.06</v>
      </c>
    </row>
    <row r="68" spans="1:2" ht="16" x14ac:dyDescent="0.2">
      <c r="A68" s="27">
        <v>6.944</v>
      </c>
      <c r="B68" s="27">
        <v>6.6</v>
      </c>
    </row>
    <row r="69" spans="1:2" ht="16" x14ac:dyDescent="0.2">
      <c r="A69" s="27">
        <v>7.1360000000000001</v>
      </c>
      <c r="B69" s="27">
        <v>6.02</v>
      </c>
    </row>
    <row r="70" spans="1:2" ht="16" x14ac:dyDescent="0.2">
      <c r="A70" s="27">
        <v>6.7080000000000002</v>
      </c>
      <c r="B70" s="27">
        <v>5.78</v>
      </c>
    </row>
    <row r="71" spans="1:2" ht="16" x14ac:dyDescent="0.2">
      <c r="A71" s="27">
        <v>57.984000000000002</v>
      </c>
      <c r="B71" s="27">
        <v>7.63</v>
      </c>
    </row>
    <row r="72" spans="1:2" ht="16" x14ac:dyDescent="0.2">
      <c r="A72" s="27">
        <v>7.0510000000000002</v>
      </c>
      <c r="B72" s="27">
        <v>6.36</v>
      </c>
    </row>
    <row r="73" spans="1:2" ht="16" x14ac:dyDescent="0.2">
      <c r="A73" s="27">
        <v>7.77</v>
      </c>
      <c r="B73" s="27">
        <v>7.75</v>
      </c>
    </row>
    <row r="74" spans="1:2" ht="16" x14ac:dyDescent="0.2">
      <c r="A74" s="27">
        <v>13.752000000000001</v>
      </c>
      <c r="B74" s="27">
        <v>7.22</v>
      </c>
    </row>
    <row r="75" spans="1:2" ht="16" x14ac:dyDescent="0.2">
      <c r="A75" s="27">
        <v>13.717000000000001</v>
      </c>
      <c r="B75" s="27">
        <v>6.22</v>
      </c>
    </row>
    <row r="76" spans="1:2" ht="16" x14ac:dyDescent="0.2">
      <c r="A76" s="27">
        <v>7.8559999999999999</v>
      </c>
      <c r="B76" s="27">
        <v>6.46</v>
      </c>
    </row>
    <row r="77" spans="1:2" ht="16" x14ac:dyDescent="0.2">
      <c r="A77" s="27">
        <v>7.6369999999999996</v>
      </c>
      <c r="B77" s="27">
        <v>6.37</v>
      </c>
    </row>
    <row r="78" spans="1:2" ht="16" x14ac:dyDescent="0.2">
      <c r="A78" s="27">
        <v>4.9930000000000003</v>
      </c>
      <c r="B78" s="27">
        <v>5.46</v>
      </c>
    </row>
    <row r="79" spans="1:2" ht="16" x14ac:dyDescent="0.2">
      <c r="A79" s="27">
        <v>3.68</v>
      </c>
      <c r="B79" s="27">
        <v>6.05</v>
      </c>
    </row>
    <row r="80" spans="1:2" ht="16" x14ac:dyDescent="0.2">
      <c r="A80" s="27">
        <v>11.35</v>
      </c>
      <c r="B80" s="27">
        <v>5.88</v>
      </c>
    </row>
    <row r="81" spans="1:2" ht="16" x14ac:dyDescent="0.2">
      <c r="A81" s="27">
        <v>11.446999999999999</v>
      </c>
      <c r="B81" s="27">
        <v>4.38</v>
      </c>
    </row>
    <row r="82" spans="1:2" ht="16" x14ac:dyDescent="0.2">
      <c r="A82" s="27">
        <v>10.629</v>
      </c>
      <c r="B82" s="27">
        <v>4.88</v>
      </c>
    </row>
    <row r="83" spans="1:2" ht="16" x14ac:dyDescent="0.2">
      <c r="A83" s="27">
        <v>14.702</v>
      </c>
      <c r="B83" s="27">
        <v>4.26</v>
      </c>
    </row>
    <row r="84" spans="1:2" ht="16" x14ac:dyDescent="0.2">
      <c r="A84" s="27">
        <v>25.640999999999998</v>
      </c>
      <c r="B84" s="27">
        <v>4.55</v>
      </c>
    </row>
    <row r="85" spans="1:2" ht="16" x14ac:dyDescent="0.2">
      <c r="A85" s="27">
        <v>10.532999999999999</v>
      </c>
      <c r="B85" s="27">
        <v>4.16</v>
      </c>
    </row>
    <row r="86" spans="1:2" ht="16" x14ac:dyDescent="0.2">
      <c r="A86" s="27">
        <v>13.419</v>
      </c>
      <c r="B86" s="27">
        <v>5.01</v>
      </c>
    </row>
    <row r="87" spans="1:2" ht="16" x14ac:dyDescent="0.2">
      <c r="A87" s="27">
        <v>7.5490000000000004</v>
      </c>
      <c r="B87" s="27">
        <v>4.63</v>
      </c>
    </row>
    <row r="88" spans="1:2" ht="16" x14ac:dyDescent="0.2">
      <c r="A88" s="27">
        <v>7.96</v>
      </c>
      <c r="B88" s="27">
        <v>4.2699999999999996</v>
      </c>
    </row>
    <row r="89" spans="1:2" ht="16" x14ac:dyDescent="0.2">
      <c r="A89" s="27">
        <v>6.1210000000000004</v>
      </c>
      <c r="B89" s="27">
        <v>4.12</v>
      </c>
    </row>
    <row r="90" spans="1:2" ht="16" x14ac:dyDescent="0.2">
      <c r="A90" s="27">
        <v>6.7169999999999996</v>
      </c>
      <c r="B90" s="27">
        <v>4.37</v>
      </c>
    </row>
    <row r="91" spans="1:2" ht="16" x14ac:dyDescent="0.2">
      <c r="A91" s="27">
        <v>5.508</v>
      </c>
      <c r="B91" s="27">
        <v>3.81</v>
      </c>
    </row>
    <row r="92" spans="1:2" ht="16" x14ac:dyDescent="0.2">
      <c r="A92" s="27">
        <v>8.6989999999999998</v>
      </c>
      <c r="B92" s="27">
        <v>3.48</v>
      </c>
    </row>
    <row r="93" spans="1:2" ht="16" x14ac:dyDescent="0.2">
      <c r="A93" s="27">
        <v>10.451000000000001</v>
      </c>
      <c r="B93" s="27">
        <v>3.93</v>
      </c>
    </row>
    <row r="94" spans="1:2" ht="16" x14ac:dyDescent="0.2">
      <c r="A94" s="27">
        <v>4.4409999999999998</v>
      </c>
      <c r="B94" s="27">
        <v>3.87</v>
      </c>
    </row>
    <row r="95" spans="1:2" ht="16" x14ac:dyDescent="0.2">
      <c r="A95" s="27">
        <v>8.2810000000000006</v>
      </c>
      <c r="B95" s="27">
        <v>5.0199999999999996</v>
      </c>
    </row>
    <row r="96" spans="1:2" ht="16" x14ac:dyDescent="0.2">
      <c r="A96" s="27">
        <v>7.1520000000000001</v>
      </c>
      <c r="B96" s="27">
        <v>4.29</v>
      </c>
    </row>
    <row r="97" spans="1:2" ht="16" x14ac:dyDescent="0.2">
      <c r="A97" s="27">
        <v>9.6590000000000007</v>
      </c>
      <c r="B97" s="27">
        <v>4.5</v>
      </c>
    </row>
    <row r="98" spans="1:2" ht="16" x14ac:dyDescent="0.2">
      <c r="A98" s="27">
        <v>15.362</v>
      </c>
      <c r="B98" s="27">
        <v>4.5</v>
      </c>
    </row>
    <row r="99" spans="1:2" ht="16" x14ac:dyDescent="0.2">
      <c r="A99" s="27">
        <v>8.141</v>
      </c>
      <c r="B99" s="27">
        <v>4.25</v>
      </c>
    </row>
    <row r="100" spans="1:2" ht="16" x14ac:dyDescent="0.2">
      <c r="A100" s="27">
        <v>6.6879999999999997</v>
      </c>
      <c r="B100" s="27">
        <v>5</v>
      </c>
    </row>
    <row r="101" spans="1:2" ht="16" x14ac:dyDescent="0.2">
      <c r="A101" s="27">
        <v>8.1329999999999991</v>
      </c>
      <c r="B101" s="27">
        <v>4.12</v>
      </c>
    </row>
    <row r="102" spans="1:2" ht="16" x14ac:dyDescent="0.2">
      <c r="A102" s="27">
        <v>12.95</v>
      </c>
      <c r="B102" s="27">
        <v>4.84</v>
      </c>
    </row>
    <row r="103" spans="1:2" ht="16" x14ac:dyDescent="0.2">
      <c r="A103" s="27">
        <v>4.2240000000000002</v>
      </c>
      <c r="B103" s="27">
        <v>4.3600000000000003</v>
      </c>
    </row>
    <row r="104" spans="1:2" ht="16" x14ac:dyDescent="0.2">
      <c r="A104" s="27">
        <v>5.2229999999999999</v>
      </c>
      <c r="B104" s="27">
        <v>4.76</v>
      </c>
    </row>
    <row r="105" spans="1:2" ht="16" x14ac:dyDescent="0.2">
      <c r="A105" s="27">
        <v>4.9930000000000003</v>
      </c>
      <c r="B105" s="27">
        <v>4.76</v>
      </c>
    </row>
    <row r="106" spans="1:2" ht="16" x14ac:dyDescent="0.2">
      <c r="A106" s="27">
        <v>5.2130000000000001</v>
      </c>
      <c r="B106" s="27">
        <v>4.47</v>
      </c>
    </row>
    <row r="107" spans="1:2" ht="16" x14ac:dyDescent="0.2">
      <c r="A107" s="27">
        <v>6.35</v>
      </c>
      <c r="B107" s="27">
        <v>5.1989999999999998</v>
      </c>
    </row>
    <row r="108" spans="1:2" ht="16" x14ac:dyDescent="0.2">
      <c r="A108" s="27">
        <v>6.05</v>
      </c>
      <c r="B108" s="27">
        <v>5.1950000000000003</v>
      </c>
    </row>
    <row r="109" spans="1:2" ht="16" x14ac:dyDescent="0.2">
      <c r="A109" s="27">
        <v>6.28</v>
      </c>
      <c r="B109" s="27">
        <v>5.1980000000000004</v>
      </c>
    </row>
    <row r="110" spans="1:2" ht="16" x14ac:dyDescent="0.2">
      <c r="A110" s="27">
        <v>6.88</v>
      </c>
      <c r="B110" s="27">
        <v>5.0430000000000001</v>
      </c>
    </row>
    <row r="111" spans="1:2" ht="16" x14ac:dyDescent="0.2">
      <c r="A111" s="27">
        <v>5.95</v>
      </c>
      <c r="B111" s="27">
        <v>5.2069999999999999</v>
      </c>
    </row>
    <row r="112" spans="1:2" ht="16" x14ac:dyDescent="0.2">
      <c r="A112" s="27">
        <v>6.23</v>
      </c>
      <c r="B112" s="27">
        <v>5.0380000000000003</v>
      </c>
    </row>
    <row r="113" spans="1:2" ht="16" x14ac:dyDescent="0.2">
      <c r="A113" s="27">
        <v>4.66</v>
      </c>
      <c r="B113" s="27">
        <v>4.2350000000000003</v>
      </c>
    </row>
    <row r="114" spans="1:2" ht="16" x14ac:dyDescent="0.2">
      <c r="A114" s="27">
        <v>5.57</v>
      </c>
      <c r="B114" s="27">
        <v>4.2149999999999999</v>
      </c>
    </row>
    <row r="115" spans="1:2" ht="16" x14ac:dyDescent="0.2">
      <c r="A115" s="27">
        <v>5.26</v>
      </c>
      <c r="B115" s="27">
        <v>3.9460000000000002</v>
      </c>
    </row>
    <row r="116" spans="1:2" ht="16" x14ac:dyDescent="0.2">
      <c r="A116" s="27">
        <v>5.4</v>
      </c>
      <c r="B116" s="27">
        <v>3.9550000000000001</v>
      </c>
    </row>
    <row r="117" spans="1:2" ht="16" x14ac:dyDescent="0.2">
      <c r="A117" s="27">
        <v>5.31</v>
      </c>
      <c r="B117" s="27">
        <v>3.6659999999999999</v>
      </c>
    </row>
    <row r="118" spans="1:2" ht="16" x14ac:dyDescent="0.2">
      <c r="A118" s="27">
        <v>5.54</v>
      </c>
      <c r="B118" s="27">
        <v>3.6619999999999999</v>
      </c>
    </row>
    <row r="119" spans="1:2" ht="16" x14ac:dyDescent="0.2">
      <c r="A119" s="27">
        <v>6.81</v>
      </c>
      <c r="B119" s="27">
        <v>4.0720000000000001</v>
      </c>
    </row>
    <row r="120" spans="1:2" ht="16" x14ac:dyDescent="0.2">
      <c r="A120" s="27">
        <v>5.54</v>
      </c>
      <c r="B120" s="27">
        <v>4.0519999999999996</v>
      </c>
    </row>
    <row r="121" spans="1:2" ht="16" x14ac:dyDescent="0.2">
      <c r="A121" s="27">
        <v>5.75</v>
      </c>
      <c r="B121" s="27">
        <v>4.4290000000000003</v>
      </c>
    </row>
    <row r="122" spans="1:2" ht="16" x14ac:dyDescent="0.2">
      <c r="A122" s="27">
        <v>5.82</v>
      </c>
      <c r="B122" s="27">
        <v>4.4279999999999999</v>
      </c>
    </row>
    <row r="123" spans="1:2" ht="16" x14ac:dyDescent="0.2">
      <c r="A123" s="27">
        <v>8.09</v>
      </c>
      <c r="B123" s="27">
        <v>3.9289999999999998</v>
      </c>
    </row>
    <row r="124" spans="1:2" ht="16" x14ac:dyDescent="0.2">
      <c r="A124" s="27">
        <v>9.58</v>
      </c>
      <c r="B124" s="27">
        <v>3.9140000000000001</v>
      </c>
    </row>
    <row r="125" spans="1:2" ht="16" x14ac:dyDescent="0.2">
      <c r="A125" s="27">
        <v>6.18</v>
      </c>
      <c r="B125" s="27">
        <v>4.9139999999999997</v>
      </c>
    </row>
    <row r="126" spans="1:2" ht="16" x14ac:dyDescent="0.2">
      <c r="A126" s="27">
        <v>6.86</v>
      </c>
      <c r="B126" s="27">
        <v>4.8689999999999998</v>
      </c>
    </row>
    <row r="127" spans="1:2" ht="16" x14ac:dyDescent="0.2">
      <c r="A127" s="27">
        <v>6.1</v>
      </c>
      <c r="B127" s="27">
        <v>5.4649999999999999</v>
      </c>
    </row>
    <row r="128" spans="1:2" ht="16" x14ac:dyDescent="0.2">
      <c r="A128" s="27">
        <v>4.79</v>
      </c>
      <c r="B128" s="27">
        <v>5.3650000000000002</v>
      </c>
    </row>
    <row r="129" spans="1:2" ht="16" x14ac:dyDescent="0.2">
      <c r="A129" s="27">
        <v>4.8899999999999997</v>
      </c>
      <c r="B129" s="27">
        <v>4.7279999999999998</v>
      </c>
    </row>
    <row r="130" spans="1:2" ht="16" x14ac:dyDescent="0.2">
      <c r="A130" s="27">
        <v>5.03</v>
      </c>
      <c r="B130" s="27">
        <v>4.6470000000000002</v>
      </c>
    </row>
    <row r="131" spans="1:2" ht="16" x14ac:dyDescent="0.2">
      <c r="A131" s="27">
        <v>5.8</v>
      </c>
      <c r="B131" s="27">
        <v>4.9530000000000003</v>
      </c>
    </row>
    <row r="132" spans="1:2" ht="16" x14ac:dyDescent="0.2">
      <c r="A132" s="27">
        <v>8.24</v>
      </c>
      <c r="B132" s="27">
        <v>4.9530000000000003</v>
      </c>
    </row>
    <row r="133" spans="1:2" ht="16" x14ac:dyDescent="0.2">
      <c r="A133" s="27">
        <v>6.42</v>
      </c>
      <c r="B133" s="27">
        <v>4.0069999999999997</v>
      </c>
    </row>
    <row r="134" spans="1:2" ht="16" x14ac:dyDescent="0.2">
      <c r="A134" s="27">
        <v>5.0599999999999996</v>
      </c>
      <c r="B134" s="27">
        <v>4.0019999999999998</v>
      </c>
    </row>
    <row r="135" spans="1:2" ht="16" x14ac:dyDescent="0.2">
      <c r="A135" s="27">
        <v>5.0999999999999996</v>
      </c>
      <c r="B135" s="27">
        <v>4.5979999999999999</v>
      </c>
    </row>
    <row r="136" spans="1:2" ht="16" x14ac:dyDescent="0.2">
      <c r="A136" s="27">
        <v>6.12</v>
      </c>
      <c r="B136" s="27">
        <v>4.5629999999999997</v>
      </c>
    </row>
    <row r="137" spans="1:2" ht="16" x14ac:dyDescent="0.2">
      <c r="A137" s="27">
        <v>4.59</v>
      </c>
      <c r="B137" s="27">
        <v>4.056</v>
      </c>
    </row>
    <row r="138" spans="1:2" ht="16" x14ac:dyDescent="0.2">
      <c r="A138" s="27">
        <v>4.71</v>
      </c>
      <c r="B138" s="27">
        <v>4.0490000000000004</v>
      </c>
    </row>
    <row r="139" spans="1:2" ht="16" x14ac:dyDescent="0.2">
      <c r="A139" s="27">
        <v>4.3499999999999996</v>
      </c>
      <c r="B139" s="27">
        <v>4.7350000000000003</v>
      </c>
    </row>
    <row r="140" spans="1:2" ht="16" x14ac:dyDescent="0.2">
      <c r="A140" s="27">
        <v>6.53</v>
      </c>
      <c r="B140" s="27">
        <v>4.6619999999999999</v>
      </c>
    </row>
    <row r="141" spans="1:2" ht="16" x14ac:dyDescent="0.2">
      <c r="A141" s="27">
        <v>8.35</v>
      </c>
      <c r="B141" s="27">
        <v>4.1120000000000001</v>
      </c>
    </row>
    <row r="142" spans="1:2" ht="16" x14ac:dyDescent="0.2">
      <c r="A142" s="27">
        <v>6.82</v>
      </c>
      <c r="B142" s="27">
        <v>4.08</v>
      </c>
    </row>
    <row r="143" spans="1:2" ht="16" x14ac:dyDescent="0.2">
      <c r="A143" s="27">
        <v>5.99</v>
      </c>
      <c r="B143" s="27">
        <v>5.1020000000000003</v>
      </c>
    </row>
    <row r="144" spans="1:2" ht="16" x14ac:dyDescent="0.2">
      <c r="A144" s="27">
        <v>4.71</v>
      </c>
      <c r="B144" s="27">
        <v>4.9589999999999996</v>
      </c>
    </row>
    <row r="145" spans="1:2" ht="16" x14ac:dyDescent="0.2">
      <c r="A145" s="27">
        <v>5.41</v>
      </c>
      <c r="B145" s="27">
        <v>4.7329999999999997</v>
      </c>
    </row>
    <row r="146" spans="1:2" ht="16" x14ac:dyDescent="0.2">
      <c r="A146" s="27">
        <v>5.91</v>
      </c>
      <c r="B146" s="27">
        <v>5.1970000000000001</v>
      </c>
    </row>
    <row r="147" spans="1:2" ht="16" x14ac:dyDescent="0.2">
      <c r="A147" s="27">
        <v>3.87</v>
      </c>
      <c r="B147" s="27">
        <v>5.024</v>
      </c>
    </row>
    <row r="148" spans="1:2" ht="16" x14ac:dyDescent="0.2">
      <c r="A148" s="27">
        <v>4.09</v>
      </c>
      <c r="B148" s="27">
        <v>4.2809999999999997</v>
      </c>
    </row>
    <row r="149" spans="1:2" ht="16" x14ac:dyDescent="0.2">
      <c r="A149" s="27">
        <v>4.8099999999999996</v>
      </c>
      <c r="B149" s="27">
        <v>4.2460000000000004</v>
      </c>
    </row>
    <row r="150" spans="1:2" ht="16" x14ac:dyDescent="0.2">
      <c r="A150" s="27">
        <v>5.63</v>
      </c>
      <c r="B150" s="27">
        <v>5.0460000000000003</v>
      </c>
    </row>
    <row r="151" spans="1:2" ht="16" x14ac:dyDescent="0.2">
      <c r="A151" s="27">
        <v>5.18</v>
      </c>
      <c r="B151" s="27">
        <v>4.907</v>
      </c>
    </row>
    <row r="152" spans="1:2" ht="16" x14ac:dyDescent="0.2">
      <c r="A152" s="27">
        <v>5.0999999999999996</v>
      </c>
      <c r="B152" s="27">
        <v>5.1509999999999998</v>
      </c>
    </row>
    <row r="153" spans="1:2" ht="16" x14ac:dyDescent="0.2">
      <c r="A153" s="27">
        <v>6.09</v>
      </c>
      <c r="B153" s="27">
        <v>5.0919999999999996</v>
      </c>
    </row>
    <row r="154" spans="1:2" ht="16" x14ac:dyDescent="0.2">
      <c r="A154" s="27">
        <v>5.5</v>
      </c>
      <c r="B154" s="27">
        <v>7.5860000000000003</v>
      </c>
    </row>
    <row r="155" spans="1:2" ht="16" x14ac:dyDescent="0.2">
      <c r="A155" s="27">
        <v>4.88</v>
      </c>
      <c r="B155" s="27">
        <v>6.6980000000000004</v>
      </c>
    </row>
    <row r="156" spans="1:2" ht="16" x14ac:dyDescent="0.2">
      <c r="A156" s="27">
        <v>4.3</v>
      </c>
      <c r="B156" s="27">
        <v>7.7560000000000002</v>
      </c>
    </row>
    <row r="157" spans="1:2" ht="16" x14ac:dyDescent="0.2">
      <c r="A157" s="27">
        <v>4.55</v>
      </c>
      <c r="B157" s="27">
        <v>6.6559999999999997</v>
      </c>
    </row>
    <row r="158" spans="1:2" ht="16" x14ac:dyDescent="0.2">
      <c r="A158" s="27">
        <v>4.9800000000000004</v>
      </c>
      <c r="B158" s="27">
        <v>7.4130000000000003</v>
      </c>
    </row>
    <row r="159" spans="1:2" ht="16" x14ac:dyDescent="0.2">
      <c r="A159" s="27">
        <v>18.579999999999998</v>
      </c>
      <c r="B159" s="27">
        <v>7.2450000000000001</v>
      </c>
    </row>
    <row r="160" spans="1:2" ht="16" x14ac:dyDescent="0.2">
      <c r="A160" s="27">
        <v>43.33</v>
      </c>
      <c r="B160" s="27">
        <v>7.8680000000000003</v>
      </c>
    </row>
    <row r="161" spans="1:2" ht="16" x14ac:dyDescent="0.2">
      <c r="A161" s="27">
        <v>10.18</v>
      </c>
      <c r="B161" s="27">
        <v>14.234999999999999</v>
      </c>
    </row>
    <row r="162" spans="1:2" ht="16" x14ac:dyDescent="0.2">
      <c r="A162" s="27">
        <v>12.67</v>
      </c>
      <c r="B162" s="27">
        <v>8.0869999999999997</v>
      </c>
    </row>
    <row r="163" spans="1:2" ht="16" x14ac:dyDescent="0.2">
      <c r="A163" s="27">
        <v>10.94</v>
      </c>
      <c r="B163" s="27">
        <v>6.2610000000000001</v>
      </c>
    </row>
    <row r="164" spans="1:2" ht="16" x14ac:dyDescent="0.2">
      <c r="A164" s="27">
        <v>13.45</v>
      </c>
      <c r="B164" s="27">
        <v>6.0910000000000002</v>
      </c>
    </row>
    <row r="165" spans="1:2" ht="16" x14ac:dyDescent="0.2">
      <c r="A165" s="27">
        <v>10.44</v>
      </c>
      <c r="B165" s="27">
        <v>7.383</v>
      </c>
    </row>
    <row r="166" spans="1:2" ht="16" x14ac:dyDescent="0.2">
      <c r="A166" s="27">
        <v>11.24</v>
      </c>
      <c r="B166" s="27">
        <v>7.1740000000000004</v>
      </c>
    </row>
    <row r="167" spans="1:2" ht="16" x14ac:dyDescent="0.2">
      <c r="A167" s="27">
        <v>11.39</v>
      </c>
      <c r="B167" s="27">
        <v>6.1820000000000004</v>
      </c>
    </row>
    <row r="168" spans="1:2" ht="16" x14ac:dyDescent="0.2">
      <c r="A168" s="27">
        <v>9.0399999999999991</v>
      </c>
      <c r="B168" s="27">
        <v>6.173</v>
      </c>
    </row>
    <row r="169" spans="1:2" ht="16" x14ac:dyDescent="0.2">
      <c r="A169" s="27">
        <v>10.92</v>
      </c>
      <c r="B169" s="27">
        <v>7.2560000000000002</v>
      </c>
    </row>
    <row r="170" spans="1:2" ht="16" x14ac:dyDescent="0.2">
      <c r="A170" s="27">
        <v>14.87</v>
      </c>
      <c r="B170" s="27">
        <v>7.1210000000000004</v>
      </c>
    </row>
    <row r="171" spans="1:2" ht="16" x14ac:dyDescent="0.2">
      <c r="A171" s="27">
        <v>11.41</v>
      </c>
      <c r="B171" s="27">
        <v>25.221</v>
      </c>
    </row>
    <row r="172" spans="1:2" ht="16" x14ac:dyDescent="0.2">
      <c r="A172" s="27">
        <v>10.27</v>
      </c>
      <c r="B172" s="27">
        <v>8.9700000000000006</v>
      </c>
    </row>
    <row r="173" spans="1:2" ht="16" x14ac:dyDescent="0.2">
      <c r="A173" s="27">
        <v>10.57</v>
      </c>
      <c r="B173" s="27">
        <v>8.8559999999999999</v>
      </c>
    </row>
    <row r="174" spans="1:2" ht="16" x14ac:dyDescent="0.2">
      <c r="A174" s="27">
        <v>13.44</v>
      </c>
      <c r="B174" s="27">
        <v>7.3090000000000002</v>
      </c>
    </row>
    <row r="175" spans="1:2" ht="16" x14ac:dyDescent="0.2">
      <c r="A175" s="27">
        <v>8.4</v>
      </c>
      <c r="B175" s="27">
        <v>7.6719999999999997</v>
      </c>
    </row>
    <row r="176" spans="1:2" ht="16" x14ac:dyDescent="0.2">
      <c r="A176" s="27">
        <v>7.94</v>
      </c>
      <c r="B176" s="27">
        <v>7.3579999999999997</v>
      </c>
    </row>
    <row r="177" spans="1:2" ht="16" x14ac:dyDescent="0.2">
      <c r="A177" s="27">
        <v>9.18</v>
      </c>
      <c r="B177" s="27">
        <v>7.7220000000000004</v>
      </c>
    </row>
    <row r="178" spans="1:2" ht="16" x14ac:dyDescent="0.2">
      <c r="A178" s="27">
        <v>14.7</v>
      </c>
      <c r="B178" s="27">
        <v>7.5049999999999999</v>
      </c>
    </row>
    <row r="179" spans="1:2" ht="16" x14ac:dyDescent="0.2">
      <c r="A179" s="27">
        <v>11.88</v>
      </c>
      <c r="B179" s="27">
        <v>9.1430000000000007</v>
      </c>
    </row>
    <row r="180" spans="1:2" ht="16" x14ac:dyDescent="0.2">
      <c r="A180" s="27">
        <v>11.27</v>
      </c>
      <c r="B180" s="27">
        <v>8.9060000000000006</v>
      </c>
    </row>
    <row r="181" spans="1:2" ht="16" x14ac:dyDescent="0.2">
      <c r="A181" s="27">
        <v>11.54</v>
      </c>
      <c r="B181" s="27">
        <v>22.687999999999999</v>
      </c>
    </row>
    <row r="182" spans="1:2" ht="16" x14ac:dyDescent="0.2">
      <c r="A182" s="27">
        <v>20.07</v>
      </c>
      <c r="B182" s="27">
        <v>8.7509999999999994</v>
      </c>
    </row>
    <row r="183" spans="1:2" ht="16" x14ac:dyDescent="0.2">
      <c r="A183" s="27">
        <v>11.4</v>
      </c>
      <c r="B183" s="27">
        <v>7.1719999999999997</v>
      </c>
    </row>
    <row r="184" spans="1:2" ht="16" x14ac:dyDescent="0.2">
      <c r="A184" s="27">
        <v>11.04</v>
      </c>
      <c r="B184" s="27">
        <v>7.7939999999999996</v>
      </c>
    </row>
    <row r="185" spans="1:2" ht="16" x14ac:dyDescent="0.2">
      <c r="A185" s="27">
        <v>9.91</v>
      </c>
      <c r="B185" s="27">
        <v>7.194</v>
      </c>
    </row>
    <row r="186" spans="1:2" ht="16" x14ac:dyDescent="0.2">
      <c r="A186" s="27">
        <v>11.6</v>
      </c>
      <c r="B186" s="27">
        <v>8.1669999999999998</v>
      </c>
    </row>
    <row r="187" spans="1:2" ht="16" x14ac:dyDescent="0.2">
      <c r="A187" s="27">
        <v>12.68</v>
      </c>
      <c r="B187" s="27">
        <v>7.923</v>
      </c>
    </row>
    <row r="188" spans="1:2" ht="16" x14ac:dyDescent="0.2">
      <c r="A188" s="27">
        <v>5.17</v>
      </c>
      <c r="B188" s="27">
        <v>6.3390000000000004</v>
      </c>
    </row>
    <row r="189" spans="1:2" ht="16" x14ac:dyDescent="0.2">
      <c r="A189" s="27">
        <v>5.86</v>
      </c>
      <c r="B189" s="27">
        <v>6.1710000000000003</v>
      </c>
    </row>
    <row r="190" spans="1:2" ht="16" x14ac:dyDescent="0.2">
      <c r="A190" s="27">
        <v>4.3499999999999996</v>
      </c>
      <c r="B190" s="27">
        <v>7.593</v>
      </c>
    </row>
    <row r="191" spans="1:2" ht="16" x14ac:dyDescent="0.2">
      <c r="A191" s="27">
        <v>10.51</v>
      </c>
      <c r="B191" s="27">
        <v>7.593</v>
      </c>
    </row>
    <row r="192" spans="1:2" ht="16" x14ac:dyDescent="0.2">
      <c r="A192" s="27">
        <v>11.38</v>
      </c>
      <c r="B192" s="27">
        <v>4.7960000000000003</v>
      </c>
    </row>
    <row r="193" spans="1:2" ht="16" x14ac:dyDescent="0.2">
      <c r="A193" s="27">
        <v>5.57</v>
      </c>
      <c r="B193" s="27">
        <v>4.694</v>
      </c>
    </row>
    <row r="194" spans="1:2" ht="16" x14ac:dyDescent="0.2">
      <c r="A194" s="27">
        <v>5.27</v>
      </c>
      <c r="B194" s="27">
        <v>4.3460000000000001</v>
      </c>
    </row>
    <row r="195" spans="1:2" ht="16" x14ac:dyDescent="0.2">
      <c r="A195" s="27">
        <v>11.58</v>
      </c>
      <c r="B195" s="27">
        <v>3.766</v>
      </c>
    </row>
    <row r="196" spans="1:2" ht="16" x14ac:dyDescent="0.2">
      <c r="A196" s="27">
        <v>4.83</v>
      </c>
      <c r="B196" s="27">
        <v>3.766</v>
      </c>
    </row>
    <row r="197" spans="1:2" ht="16" x14ac:dyDescent="0.2">
      <c r="A197" s="27">
        <v>4.87</v>
      </c>
      <c r="B197" s="27">
        <v>5.4169999999999998</v>
      </c>
    </row>
    <row r="198" spans="1:2" ht="16" x14ac:dyDescent="0.2">
      <c r="A198" s="27">
        <v>6.57</v>
      </c>
      <c r="B198" s="27">
        <v>4.3940000000000001</v>
      </c>
    </row>
    <row r="199" spans="1:2" ht="16" x14ac:dyDescent="0.2">
      <c r="A199" s="27">
        <v>8.52</v>
      </c>
      <c r="B199" s="27">
        <v>4.3710000000000004</v>
      </c>
    </row>
    <row r="200" spans="1:2" ht="16" x14ac:dyDescent="0.2">
      <c r="A200" s="27">
        <v>5.86</v>
      </c>
      <c r="B200" s="27">
        <v>4.3310000000000004</v>
      </c>
    </row>
    <row r="201" spans="1:2" ht="16" x14ac:dyDescent="0.2">
      <c r="A201" s="27">
        <v>5.93</v>
      </c>
      <c r="B201" s="27">
        <v>4.3159999999999998</v>
      </c>
    </row>
    <row r="202" spans="1:2" ht="16" x14ac:dyDescent="0.2">
      <c r="A202" s="27">
        <v>6.06</v>
      </c>
      <c r="B202" s="27">
        <v>4.5839999999999996</v>
      </c>
    </row>
    <row r="203" spans="1:2" ht="16" x14ac:dyDescent="0.2">
      <c r="A203" s="27">
        <v>6.29</v>
      </c>
      <c r="B203" s="27">
        <v>4.5519999999999996</v>
      </c>
    </row>
    <row r="204" spans="1:2" ht="16" x14ac:dyDescent="0.2">
      <c r="A204" s="27">
        <v>5.76</v>
      </c>
      <c r="B204" s="27">
        <v>3.895</v>
      </c>
    </row>
    <row r="205" spans="1:2" ht="16" x14ac:dyDescent="0.2">
      <c r="A205" s="27">
        <v>12.21</v>
      </c>
      <c r="B205" s="27">
        <v>3.8639999999999999</v>
      </c>
    </row>
    <row r="206" spans="1:2" ht="16" x14ac:dyDescent="0.2">
      <c r="A206" s="27">
        <v>7.45</v>
      </c>
      <c r="B206" s="27">
        <v>4.1950000000000003</v>
      </c>
    </row>
    <row r="207" spans="1:2" ht="16" x14ac:dyDescent="0.2">
      <c r="A207" s="27">
        <v>4.5</v>
      </c>
      <c r="B207" s="27">
        <v>4.1719999999999997</v>
      </c>
    </row>
    <row r="208" spans="1:2" ht="16" x14ac:dyDescent="0.2">
      <c r="A208" s="27">
        <v>6.15</v>
      </c>
      <c r="B208" s="27">
        <v>3.7589999999999999</v>
      </c>
    </row>
    <row r="209" spans="1:2" ht="16" x14ac:dyDescent="0.2">
      <c r="A209" s="27">
        <v>5.0199999999999996</v>
      </c>
      <c r="B209" s="27">
        <v>3.75</v>
      </c>
    </row>
    <row r="210" spans="1:2" ht="16" x14ac:dyDescent="0.2">
      <c r="A210" s="27">
        <v>5</v>
      </c>
      <c r="B210" s="27">
        <v>4.1289999999999996</v>
      </c>
    </row>
    <row r="211" spans="1:2" ht="16" x14ac:dyDescent="0.2">
      <c r="A211" s="27">
        <v>5.28</v>
      </c>
      <c r="B211" s="27">
        <v>4.1230000000000002</v>
      </c>
    </row>
    <row r="212" spans="1:2" ht="16" x14ac:dyDescent="0.2">
      <c r="A212" s="27">
        <v>15.94</v>
      </c>
      <c r="B212" s="27">
        <v>4.2350000000000003</v>
      </c>
    </row>
    <row r="213" spans="1:2" ht="16" x14ac:dyDescent="0.2">
      <c r="A213" s="27">
        <v>8.92</v>
      </c>
      <c r="B213" s="27">
        <v>4.1349999999999998</v>
      </c>
    </row>
    <row r="214" spans="1:2" ht="16" x14ac:dyDescent="0.2">
      <c r="A214" s="27">
        <v>12.32</v>
      </c>
      <c r="B214" s="27">
        <v>4.0709999999999997</v>
      </c>
    </row>
    <row r="215" spans="1:2" ht="16" x14ac:dyDescent="0.2">
      <c r="A215" s="27">
        <v>5.98</v>
      </c>
      <c r="B215" s="27">
        <v>3.883</v>
      </c>
    </row>
    <row r="216" spans="1:2" ht="16" x14ac:dyDescent="0.2">
      <c r="A216" s="27">
        <v>8.4</v>
      </c>
      <c r="B216" s="27">
        <v>3.8090000000000002</v>
      </c>
    </row>
    <row r="217" spans="1:2" ht="16" x14ac:dyDescent="0.2">
      <c r="A217" s="27">
        <v>8.7200000000000006</v>
      </c>
      <c r="B217" s="27">
        <v>3.738</v>
      </c>
    </row>
    <row r="218" spans="1:2" ht="16" x14ac:dyDescent="0.2">
      <c r="A218" s="27">
        <v>4.91</v>
      </c>
      <c r="B218" s="27">
        <v>3.665</v>
      </c>
    </row>
    <row r="219" spans="1:2" ht="16" x14ac:dyDescent="0.2">
      <c r="A219" s="27">
        <v>6.42</v>
      </c>
      <c r="B219" s="27">
        <v>3.7389999999999999</v>
      </c>
    </row>
    <row r="220" spans="1:2" ht="16" x14ac:dyDescent="0.2">
      <c r="A220" s="27">
        <v>6.12</v>
      </c>
      <c r="B220" s="27">
        <v>3.6920000000000002</v>
      </c>
    </row>
    <row r="221" spans="1:2" ht="16" x14ac:dyDescent="0.2">
      <c r="A221" s="27">
        <v>6.48</v>
      </c>
      <c r="B221" s="27">
        <v>4.0839999999999996</v>
      </c>
    </row>
    <row r="222" spans="1:2" ht="16" x14ac:dyDescent="0.2">
      <c r="A222" s="27">
        <v>6.46</v>
      </c>
      <c r="B222" s="27">
        <v>4.0270000000000001</v>
      </c>
    </row>
    <row r="223" spans="1:2" ht="16" x14ac:dyDescent="0.2">
      <c r="A223" s="27">
        <v>5.84</v>
      </c>
      <c r="B223" s="27">
        <v>3.496</v>
      </c>
    </row>
    <row r="224" spans="1:2" ht="16" x14ac:dyDescent="0.2">
      <c r="A224" s="27">
        <v>6.08</v>
      </c>
      <c r="B224" s="27">
        <v>3.4729999999999999</v>
      </c>
    </row>
    <row r="225" spans="1:2" ht="16" x14ac:dyDescent="0.2">
      <c r="A225" s="27">
        <v>5.66</v>
      </c>
      <c r="B225" s="27">
        <v>3.6779999999999999</v>
      </c>
    </row>
    <row r="226" spans="1:2" ht="16" x14ac:dyDescent="0.2">
      <c r="A226" s="27">
        <v>6.53</v>
      </c>
      <c r="B226" s="27">
        <v>3.91</v>
      </c>
    </row>
    <row r="227" spans="1:2" ht="16" x14ac:dyDescent="0.2">
      <c r="A227" s="27">
        <v>6.33</v>
      </c>
      <c r="B227" s="27">
        <v>3.87</v>
      </c>
    </row>
    <row r="228" spans="1:2" ht="16" x14ac:dyDescent="0.2">
      <c r="A228" s="27">
        <v>5.9</v>
      </c>
      <c r="B228" s="27">
        <v>3.53</v>
      </c>
    </row>
    <row r="229" spans="1:2" ht="16" x14ac:dyDescent="0.2">
      <c r="A229" s="27">
        <v>6.86</v>
      </c>
      <c r="B229" s="27">
        <v>3.52</v>
      </c>
    </row>
    <row r="230" spans="1:2" ht="16" x14ac:dyDescent="0.2">
      <c r="A230" s="27">
        <v>5.57</v>
      </c>
      <c r="B230" s="27">
        <v>4.3499999999999996</v>
      </c>
    </row>
    <row r="231" spans="1:2" ht="16" x14ac:dyDescent="0.2">
      <c r="A231" s="27">
        <v>6.53</v>
      </c>
      <c r="B231" s="27">
        <v>4.34</v>
      </c>
    </row>
    <row r="232" spans="1:2" ht="16" x14ac:dyDescent="0.2">
      <c r="A232" s="27">
        <v>5.83</v>
      </c>
      <c r="B232" s="27">
        <v>4.16</v>
      </c>
    </row>
    <row r="233" spans="1:2" ht="16" x14ac:dyDescent="0.2">
      <c r="A233" s="27">
        <v>5.76</v>
      </c>
      <c r="B233" s="27">
        <v>4.13</v>
      </c>
    </row>
    <row r="234" spans="1:2" ht="16" x14ac:dyDescent="0.2">
      <c r="A234" s="27">
        <v>6.2</v>
      </c>
      <c r="B234" s="27">
        <v>4.72</v>
      </c>
    </row>
    <row r="235" spans="1:2" ht="16" x14ac:dyDescent="0.2">
      <c r="A235" s="27">
        <v>5.66</v>
      </c>
      <c r="B235" s="27">
        <v>4.54</v>
      </c>
    </row>
    <row r="236" spans="1:2" ht="16" x14ac:dyDescent="0.2">
      <c r="A236" s="27">
        <v>6.87</v>
      </c>
      <c r="B236" s="27">
        <v>4.51</v>
      </c>
    </row>
    <row r="237" spans="1:2" ht="16" x14ac:dyDescent="0.2">
      <c r="A237" s="27">
        <v>3.5</v>
      </c>
      <c r="B237" s="27">
        <v>5.13</v>
      </c>
    </row>
    <row r="238" spans="1:2" ht="16" x14ac:dyDescent="0.2">
      <c r="A238" s="27">
        <v>4.62</v>
      </c>
      <c r="B238" s="27">
        <v>4.9400000000000004</v>
      </c>
    </row>
    <row r="239" spans="1:2" ht="16" x14ac:dyDescent="0.2">
      <c r="A239" s="27">
        <v>3.5</v>
      </c>
      <c r="B239" s="27">
        <v>4.84</v>
      </c>
    </row>
    <row r="240" spans="1:2" ht="16" x14ac:dyDescent="0.2">
      <c r="A240" s="27">
        <v>3.79</v>
      </c>
      <c r="B240" s="27">
        <v>4.7699999999999996</v>
      </c>
    </row>
    <row r="241" spans="1:2" ht="16" x14ac:dyDescent="0.2">
      <c r="A241" s="27">
        <v>4.5</v>
      </c>
      <c r="B241" s="27">
        <v>3.8</v>
      </c>
    </row>
    <row r="242" spans="1:2" ht="16" x14ac:dyDescent="0.2">
      <c r="A242" s="27">
        <v>3.93</v>
      </c>
      <c r="B242" s="27">
        <v>3.77</v>
      </c>
    </row>
    <row r="243" spans="1:2" ht="16" x14ac:dyDescent="0.2">
      <c r="A243" s="27">
        <v>3.64</v>
      </c>
      <c r="B243" s="27">
        <v>4.41</v>
      </c>
    </row>
    <row r="244" spans="1:2" ht="16" x14ac:dyDescent="0.2">
      <c r="A244" s="27">
        <v>5.31</v>
      </c>
      <c r="B244" s="27">
        <v>4.2699999999999996</v>
      </c>
    </row>
    <row r="245" spans="1:2" ht="16" x14ac:dyDescent="0.2">
      <c r="A245" s="27">
        <v>4.59</v>
      </c>
      <c r="B245" s="27">
        <v>4.5</v>
      </c>
    </row>
    <row r="246" spans="1:2" ht="16" x14ac:dyDescent="0.2">
      <c r="A246" s="27">
        <v>5.17</v>
      </c>
      <c r="B246" s="27">
        <v>4.38</v>
      </c>
    </row>
    <row r="247" spans="1:2" ht="16" x14ac:dyDescent="0.2">
      <c r="A247" s="27">
        <v>5.75</v>
      </c>
      <c r="B247" s="27">
        <v>3.61</v>
      </c>
    </row>
    <row r="248" spans="1:2" ht="16" x14ac:dyDescent="0.2">
      <c r="A248" s="27">
        <v>6</v>
      </c>
      <c r="B248" s="27">
        <v>3.58</v>
      </c>
    </row>
    <row r="249" spans="1:2" ht="16" x14ac:dyDescent="0.2">
      <c r="A249" s="27">
        <v>4.5</v>
      </c>
      <c r="B249" s="27">
        <v>4.04</v>
      </c>
    </row>
    <row r="250" spans="1:2" ht="16" x14ac:dyDescent="0.2">
      <c r="A250" s="27">
        <v>4.9400000000000004</v>
      </c>
      <c r="B250" s="27">
        <v>3.98</v>
      </c>
    </row>
    <row r="251" spans="1:2" ht="16" x14ac:dyDescent="0.2">
      <c r="A251" s="27">
        <v>4.9000000000000004</v>
      </c>
      <c r="B251" s="27">
        <v>4.04</v>
      </c>
    </row>
    <row r="252" spans="1:2" ht="16" x14ac:dyDescent="0.2">
      <c r="A252" s="27">
        <v>4.6399999999999997</v>
      </c>
      <c r="B252" s="27">
        <v>3.98</v>
      </c>
    </row>
    <row r="253" spans="1:2" ht="16" x14ac:dyDescent="0.2">
      <c r="A253" s="27">
        <v>4.08</v>
      </c>
      <c r="B253" s="27">
        <v>6.33</v>
      </c>
    </row>
    <row r="254" spans="1:2" ht="16" x14ac:dyDescent="0.2">
      <c r="A254" s="27">
        <v>4.13</v>
      </c>
      <c r="B254" s="27">
        <v>6.2</v>
      </c>
    </row>
    <row r="255" spans="1:2" ht="16" x14ac:dyDescent="0.2">
      <c r="A255" s="27">
        <v>4.5999999999999996</v>
      </c>
      <c r="B255" s="27">
        <v>5.35</v>
      </c>
    </row>
    <row r="256" spans="1:2" ht="16" x14ac:dyDescent="0.2">
      <c r="A256" s="27">
        <v>3.89</v>
      </c>
      <c r="B256" s="27">
        <v>5.14</v>
      </c>
    </row>
    <row r="257" spans="1:2" ht="16" x14ac:dyDescent="0.2">
      <c r="A257" s="27">
        <v>4.26</v>
      </c>
      <c r="B257" s="27">
        <v>5</v>
      </c>
    </row>
    <row r="258" spans="1:2" ht="16" x14ac:dyDescent="0.2">
      <c r="A258" s="27">
        <v>4.6900000000000004</v>
      </c>
      <c r="B258" s="27">
        <v>5</v>
      </c>
    </row>
    <row r="259" spans="1:2" ht="16" x14ac:dyDescent="0.2">
      <c r="A259" s="27">
        <v>4.33</v>
      </c>
      <c r="B259" s="27">
        <v>5.51</v>
      </c>
    </row>
    <row r="260" spans="1:2" ht="16" x14ac:dyDescent="0.2">
      <c r="A260" s="27">
        <v>3.81</v>
      </c>
      <c r="B260" s="27">
        <v>5.44</v>
      </c>
    </row>
    <row r="261" spans="1:2" ht="16" x14ac:dyDescent="0.2">
      <c r="A261" s="27">
        <v>4.54</v>
      </c>
      <c r="B261" s="27">
        <v>5.56</v>
      </c>
    </row>
    <row r="262" spans="1:2" ht="16" x14ac:dyDescent="0.2">
      <c r="A262" s="27">
        <v>4.55</v>
      </c>
      <c r="B262" s="27">
        <v>5.51</v>
      </c>
    </row>
    <row r="263" spans="1:2" ht="16" x14ac:dyDescent="0.2">
      <c r="A263" s="27">
        <v>4.45</v>
      </c>
      <c r="B263" s="27">
        <v>6.01</v>
      </c>
    </row>
    <row r="264" spans="1:2" ht="16" x14ac:dyDescent="0.2">
      <c r="A264" s="27">
        <v>7.08</v>
      </c>
      <c r="B264" s="27">
        <v>5.77</v>
      </c>
    </row>
    <row r="265" spans="1:2" ht="16" x14ac:dyDescent="0.2">
      <c r="A265" s="27">
        <v>3.63</v>
      </c>
      <c r="B265" s="27">
        <v>5.56</v>
      </c>
    </row>
    <row r="266" spans="1:2" ht="16" x14ac:dyDescent="0.2">
      <c r="A266" s="27">
        <v>7.63</v>
      </c>
      <c r="B266" s="27">
        <v>4.96</v>
      </c>
    </row>
    <row r="267" spans="1:2" ht="16" x14ac:dyDescent="0.2">
      <c r="A267" s="27">
        <v>7.38</v>
      </c>
      <c r="B267" s="27">
        <v>6.08</v>
      </c>
    </row>
    <row r="268" spans="1:2" ht="16" x14ac:dyDescent="0.2">
      <c r="A268" s="27">
        <v>6.83</v>
      </c>
      <c r="B268" s="27">
        <v>5.83</v>
      </c>
    </row>
    <row r="269" spans="1:2" ht="16" x14ac:dyDescent="0.2">
      <c r="A269" s="27">
        <v>10.08</v>
      </c>
      <c r="B269" s="27">
        <v>4.05</v>
      </c>
    </row>
    <row r="270" spans="1:2" ht="16" x14ac:dyDescent="0.2">
      <c r="A270" s="27">
        <v>11.54</v>
      </c>
      <c r="B270" s="27">
        <v>3.98</v>
      </c>
    </row>
    <row r="271" spans="1:2" ht="16" x14ac:dyDescent="0.2">
      <c r="A271" s="27">
        <v>7.18</v>
      </c>
      <c r="B271" s="27">
        <v>5.84</v>
      </c>
    </row>
    <row r="272" spans="1:2" ht="16" x14ac:dyDescent="0.2">
      <c r="A272" s="27">
        <v>6.82</v>
      </c>
      <c r="B272" s="27">
        <v>5.84</v>
      </c>
    </row>
    <row r="273" spans="1:2" ht="16" x14ac:dyDescent="0.2">
      <c r="A273" s="27">
        <v>5.62</v>
      </c>
      <c r="B273" s="27">
        <v>7.87</v>
      </c>
    </row>
    <row r="274" spans="1:2" ht="16" x14ac:dyDescent="0.2">
      <c r="A274" s="27">
        <v>10.6</v>
      </c>
      <c r="B274" s="27">
        <v>6.71</v>
      </c>
    </row>
    <row r="275" spans="1:2" ht="16" x14ac:dyDescent="0.2">
      <c r="A275" s="27">
        <v>6.23</v>
      </c>
      <c r="B275" s="27">
        <v>6.43</v>
      </c>
    </row>
    <row r="276" spans="1:2" ht="16" x14ac:dyDescent="0.2">
      <c r="A276" s="27">
        <v>5.72</v>
      </c>
      <c r="B276" s="27">
        <v>6.23</v>
      </c>
    </row>
    <row r="277" spans="1:2" ht="16" x14ac:dyDescent="0.2">
      <c r="A277" s="27">
        <v>5.25</v>
      </c>
      <c r="B277" s="27">
        <v>11.35</v>
      </c>
    </row>
    <row r="278" spans="1:2" ht="16" x14ac:dyDescent="0.2">
      <c r="A278" s="27">
        <v>4.53</v>
      </c>
      <c r="B278" s="27">
        <v>6.81</v>
      </c>
    </row>
    <row r="279" spans="1:2" ht="16" x14ac:dyDescent="0.2">
      <c r="A279" s="27">
        <v>5</v>
      </c>
      <c r="B279" s="27">
        <v>6.63</v>
      </c>
    </row>
    <row r="280" spans="1:2" ht="16" x14ac:dyDescent="0.2">
      <c r="A280" s="27">
        <v>5.5</v>
      </c>
      <c r="B280" s="27">
        <v>6.51</v>
      </c>
    </row>
    <row r="281" spans="1:2" ht="16" x14ac:dyDescent="0.2">
      <c r="A281" s="27">
        <v>4.29</v>
      </c>
      <c r="B281" s="27">
        <v>6.41</v>
      </c>
    </row>
    <row r="282" spans="1:2" ht="16" x14ac:dyDescent="0.2">
      <c r="A282" s="27">
        <v>5.09</v>
      </c>
      <c r="B282" s="27">
        <v>7.3</v>
      </c>
    </row>
    <row r="283" spans="1:2" ht="16" x14ac:dyDescent="0.2">
      <c r="A283" s="27">
        <v>4.95</v>
      </c>
      <c r="B283" s="27">
        <v>6.59</v>
      </c>
    </row>
    <row r="284" spans="1:2" ht="16" x14ac:dyDescent="0.2">
      <c r="A284" s="27">
        <v>5.09</v>
      </c>
      <c r="B284" s="27">
        <v>5.33</v>
      </c>
    </row>
    <row r="285" spans="1:2" ht="16" x14ac:dyDescent="0.2">
      <c r="A285" s="27">
        <v>6.71</v>
      </c>
      <c r="B285" s="27">
        <v>5.16</v>
      </c>
    </row>
    <row r="286" spans="1:2" ht="16" x14ac:dyDescent="0.2">
      <c r="A286" s="27">
        <v>5.71</v>
      </c>
      <c r="B286" s="27">
        <v>5.41</v>
      </c>
    </row>
    <row r="287" spans="1:2" ht="16" x14ac:dyDescent="0.2">
      <c r="A287" s="27">
        <v>4.51</v>
      </c>
      <c r="B287" s="27">
        <v>5.35</v>
      </c>
    </row>
    <row r="288" spans="1:2" ht="16" x14ac:dyDescent="0.2">
      <c r="A288" s="27">
        <v>4.2</v>
      </c>
      <c r="B288" s="27">
        <v>5.39</v>
      </c>
    </row>
    <row r="289" spans="1:2" ht="16" x14ac:dyDescent="0.2">
      <c r="A289" s="27">
        <v>4.47</v>
      </c>
      <c r="B289" s="27">
        <v>5.36</v>
      </c>
    </row>
    <row r="290" spans="1:2" ht="16" x14ac:dyDescent="0.2">
      <c r="A290" s="27">
        <v>6.46</v>
      </c>
      <c r="B290" s="27">
        <v>7.1</v>
      </c>
    </row>
    <row r="291" spans="1:2" ht="16" x14ac:dyDescent="0.2">
      <c r="A291" s="27">
        <v>5.29</v>
      </c>
      <c r="B291" s="27">
        <v>6.47</v>
      </c>
    </row>
    <row r="292" spans="1:2" ht="16" x14ac:dyDescent="0.2">
      <c r="A292" s="27">
        <v>5.79</v>
      </c>
      <c r="B292" s="27">
        <v>6.85</v>
      </c>
    </row>
    <row r="293" spans="1:2" ht="16" x14ac:dyDescent="0.2">
      <c r="A293" s="27">
        <v>5.86</v>
      </c>
      <c r="B293" s="27">
        <v>6.38</v>
      </c>
    </row>
    <row r="294" spans="1:2" ht="16" x14ac:dyDescent="0.2">
      <c r="A294" s="27">
        <v>6.15</v>
      </c>
      <c r="B294" s="27">
        <v>5.3</v>
      </c>
    </row>
    <row r="295" spans="1:2" ht="16" x14ac:dyDescent="0.2">
      <c r="A295" s="27">
        <v>5.43</v>
      </c>
      <c r="B295" s="27">
        <v>5.18</v>
      </c>
    </row>
    <row r="296" spans="1:2" ht="16" x14ac:dyDescent="0.2">
      <c r="A296" s="27">
        <v>5.5</v>
      </c>
      <c r="B296" s="27">
        <v>4.8899999999999997</v>
      </c>
    </row>
    <row r="297" spans="1:2" ht="16" x14ac:dyDescent="0.2">
      <c r="A297" s="27">
        <v>5.0599999999999996</v>
      </c>
      <c r="B297" s="27">
        <v>4.8600000000000003</v>
      </c>
    </row>
    <row r="298" spans="1:2" ht="16" x14ac:dyDescent="0.2">
      <c r="A298" s="27">
        <v>5.4</v>
      </c>
      <c r="B298" s="27">
        <v>6.23</v>
      </c>
    </row>
    <row r="299" spans="1:2" ht="16" x14ac:dyDescent="0.2">
      <c r="A299" s="27">
        <v>5.09</v>
      </c>
      <c r="B299" s="27">
        <v>5.8</v>
      </c>
    </row>
    <row r="300" spans="1:2" ht="16" x14ac:dyDescent="0.2">
      <c r="A300" s="27">
        <v>5.09</v>
      </c>
      <c r="B300" s="27">
        <v>6.13</v>
      </c>
    </row>
    <row r="301" spans="1:2" ht="16" x14ac:dyDescent="0.2">
      <c r="A301" s="27">
        <v>4.9400000000000004</v>
      </c>
      <c r="B301" s="27">
        <v>5.76</v>
      </c>
    </row>
    <row r="302" spans="1:2" ht="16" x14ac:dyDescent="0.2">
      <c r="A302" s="27">
        <v>4.84</v>
      </c>
      <c r="B302" s="27">
        <v>3.97</v>
      </c>
    </row>
    <row r="303" spans="1:2" ht="16" x14ac:dyDescent="0.2">
      <c r="A303" s="27">
        <v>4.83</v>
      </c>
      <c r="B303" s="27">
        <v>3.92</v>
      </c>
    </row>
    <row r="304" spans="1:2" ht="16" x14ac:dyDescent="0.2">
      <c r="A304" s="27">
        <v>5.0599999999999996</v>
      </c>
      <c r="B304" s="27">
        <v>4.0199999999999996</v>
      </c>
    </row>
    <row r="305" spans="1:2" ht="16" x14ac:dyDescent="0.2">
      <c r="A305" s="27">
        <v>6.21</v>
      </c>
      <c r="B305" s="27">
        <v>3.96</v>
      </c>
    </row>
    <row r="306" spans="1:2" ht="16" x14ac:dyDescent="0.2">
      <c r="A306" s="27">
        <v>6.01</v>
      </c>
      <c r="B306" s="27">
        <v>4.12</v>
      </c>
    </row>
    <row r="307" spans="1:2" ht="16" x14ac:dyDescent="0.2">
      <c r="A307" s="27">
        <v>6.31</v>
      </c>
      <c r="B307" s="27">
        <v>3.95</v>
      </c>
    </row>
    <row r="308" spans="1:2" ht="16" x14ac:dyDescent="0.2">
      <c r="A308" s="27">
        <v>5.47</v>
      </c>
      <c r="B308" s="27">
        <v>4.2300000000000004</v>
      </c>
    </row>
    <row r="309" spans="1:2" ht="16" x14ac:dyDescent="0.2">
      <c r="A309" s="27">
        <v>6.36</v>
      </c>
      <c r="B309" s="27">
        <v>4.12</v>
      </c>
    </row>
    <row r="310" spans="1:2" ht="16" x14ac:dyDescent="0.2">
      <c r="A310" s="27">
        <v>4.99</v>
      </c>
      <c r="B310" s="27">
        <v>4.13</v>
      </c>
    </row>
    <row r="311" spans="1:2" ht="16" x14ac:dyDescent="0.2">
      <c r="A311" s="27">
        <v>4.91</v>
      </c>
      <c r="B311" s="27">
        <v>3.94</v>
      </c>
    </row>
    <row r="312" spans="1:2" ht="16" x14ac:dyDescent="0.2">
      <c r="A312" s="27">
        <v>5.71</v>
      </c>
      <c r="B312" s="27">
        <v>5.69</v>
      </c>
    </row>
    <row r="313" spans="1:2" ht="16" x14ac:dyDescent="0.2">
      <c r="A313" s="27">
        <v>5.85</v>
      </c>
      <c r="B313" s="27">
        <v>5.21</v>
      </c>
    </row>
    <row r="314" spans="1:2" ht="16" x14ac:dyDescent="0.2">
      <c r="A314" s="27">
        <v>4.5999999999999996</v>
      </c>
      <c r="B314" s="27">
        <v>4.7300000000000004</v>
      </c>
    </row>
    <row r="315" spans="1:2" ht="16" x14ac:dyDescent="0.2">
      <c r="A315" s="27">
        <v>4.91</v>
      </c>
      <c r="B315" s="27">
        <v>4.68</v>
      </c>
    </row>
    <row r="316" spans="1:2" ht="16" x14ac:dyDescent="0.2">
      <c r="A316" s="27">
        <v>5.21</v>
      </c>
      <c r="B316" s="27">
        <v>4.54</v>
      </c>
    </row>
    <row r="317" spans="1:2" ht="16" x14ac:dyDescent="0.2">
      <c r="A317" s="27">
        <v>5.4939999999999998</v>
      </c>
      <c r="B317" s="27"/>
    </row>
    <row r="318" spans="1:2" ht="16" x14ac:dyDescent="0.2">
      <c r="A318" s="27">
        <v>5.4109999999999996</v>
      </c>
      <c r="B318" s="27"/>
    </row>
    <row r="319" spans="1:2" ht="16" x14ac:dyDescent="0.2">
      <c r="A319" s="27">
        <v>5.3339999999999996</v>
      </c>
      <c r="B319" s="27"/>
    </row>
    <row r="320" spans="1:2" ht="16" x14ac:dyDescent="0.2">
      <c r="A320" s="27">
        <v>5.0149999999999997</v>
      </c>
      <c r="B320" s="27"/>
    </row>
    <row r="321" spans="1:2" ht="16" x14ac:dyDescent="0.2">
      <c r="A321" s="27">
        <v>5.9089999999999998</v>
      </c>
      <c r="B321" s="27"/>
    </row>
    <row r="322" spans="1:2" ht="16" x14ac:dyDescent="0.2">
      <c r="A322" s="27">
        <v>5.61</v>
      </c>
      <c r="B322" s="27"/>
    </row>
    <row r="323" spans="1:2" ht="16" x14ac:dyDescent="0.2">
      <c r="A323" s="27">
        <v>6.008</v>
      </c>
      <c r="B323" s="27"/>
    </row>
    <row r="324" spans="1:2" ht="16" x14ac:dyDescent="0.2">
      <c r="A324" s="27">
        <v>4.9450000000000003</v>
      </c>
      <c r="B324" s="27"/>
    </row>
    <row r="325" spans="1:2" ht="16" x14ac:dyDescent="0.2">
      <c r="A325" s="27">
        <v>4.8760000000000003</v>
      </c>
      <c r="B325" s="27"/>
    </row>
    <row r="326" spans="1:2" ht="16" x14ac:dyDescent="0.2">
      <c r="A326" s="27">
        <v>5.6619999999999999</v>
      </c>
      <c r="B326" s="27"/>
    </row>
    <row r="327" spans="1:2" ht="16" x14ac:dyDescent="0.2">
      <c r="A327" s="27">
        <v>5.3310000000000004</v>
      </c>
      <c r="B327" s="27"/>
    </row>
    <row r="328" spans="1:2" ht="16" x14ac:dyDescent="0.2">
      <c r="A328" s="27">
        <v>7.431</v>
      </c>
      <c r="B328" s="27"/>
    </row>
    <row r="329" spans="1:2" ht="16" x14ac:dyDescent="0.2">
      <c r="A329" s="27">
        <v>5.55</v>
      </c>
      <c r="B329" s="27"/>
    </row>
    <row r="330" spans="1:2" ht="16" x14ac:dyDescent="0.2">
      <c r="A330" s="27">
        <v>5.4770000000000003</v>
      </c>
      <c r="B330" s="27"/>
    </row>
    <row r="331" spans="1:2" ht="16" x14ac:dyDescent="0.2">
      <c r="A331" s="27">
        <v>5.4379999999999997</v>
      </c>
      <c r="B331" s="27"/>
    </row>
    <row r="332" spans="1:2" ht="16" x14ac:dyDescent="0.2">
      <c r="A332" s="27">
        <v>5.2210000000000001</v>
      </c>
      <c r="B332" s="27"/>
    </row>
    <row r="333" spans="1:2" ht="16" x14ac:dyDescent="0.2">
      <c r="A333" s="27">
        <v>5.1120000000000001</v>
      </c>
      <c r="B333" s="27"/>
    </row>
    <row r="334" spans="1:2" ht="16" x14ac:dyDescent="0.2">
      <c r="A334" s="27">
        <v>5.1210000000000004</v>
      </c>
      <c r="B334" s="27"/>
    </row>
    <row r="335" spans="1:2" ht="16" x14ac:dyDescent="0.2">
      <c r="A335" s="27">
        <v>5.0670000000000002</v>
      </c>
      <c r="B335" s="27"/>
    </row>
    <row r="336" spans="1:2" ht="16" x14ac:dyDescent="0.2">
      <c r="A336" s="27">
        <v>6.0940000000000003</v>
      </c>
      <c r="B336" s="27"/>
    </row>
    <row r="337" spans="1:2" ht="16" x14ac:dyDescent="0.2">
      <c r="A337" s="27">
        <v>5.9820000000000002</v>
      </c>
      <c r="B337" s="27"/>
    </row>
    <row r="338" spans="1:2" ht="16" x14ac:dyDescent="0.2">
      <c r="A338" s="27">
        <v>6</v>
      </c>
      <c r="B338" s="27"/>
    </row>
    <row r="339" spans="1:2" ht="16" x14ac:dyDescent="0.2">
      <c r="A339" s="27">
        <v>5.9589999999999996</v>
      </c>
      <c r="B339" s="27"/>
    </row>
    <row r="340" spans="1:2" ht="16" x14ac:dyDescent="0.2">
      <c r="A340" s="27">
        <v>5.3209999999999997</v>
      </c>
      <c r="B340" s="27"/>
    </row>
    <row r="341" spans="1:2" ht="16" x14ac:dyDescent="0.2">
      <c r="A341" s="27">
        <v>5.2149999999999999</v>
      </c>
      <c r="B341" s="27"/>
    </row>
    <row r="342" spans="1:2" ht="16" x14ac:dyDescent="0.2">
      <c r="A342" s="27">
        <v>6.1559999999999997</v>
      </c>
      <c r="B342" s="27"/>
    </row>
    <row r="343" spans="1:2" ht="16" x14ac:dyDescent="0.2">
      <c r="A343" s="27">
        <v>5.92</v>
      </c>
      <c r="B343" s="27"/>
    </row>
    <row r="344" spans="1:2" ht="16" x14ac:dyDescent="0.2">
      <c r="A344" s="27">
        <v>6.3680000000000003</v>
      </c>
      <c r="B344" s="27"/>
    </row>
    <row r="345" spans="1:2" ht="16" x14ac:dyDescent="0.2">
      <c r="A345" s="27">
        <v>6.2430000000000003</v>
      </c>
      <c r="B345" s="27"/>
    </row>
    <row r="346" spans="1:2" ht="16" x14ac:dyDescent="0.2">
      <c r="A346" s="27">
        <v>6.2160000000000002</v>
      </c>
      <c r="B346" s="27"/>
    </row>
    <row r="347" spans="1:2" ht="16" x14ac:dyDescent="0.2">
      <c r="A347" s="27">
        <v>6.1040000000000001</v>
      </c>
      <c r="B347" s="27"/>
    </row>
    <row r="348" spans="1:2" ht="16" x14ac:dyDescent="0.2">
      <c r="A348" s="27">
        <v>5.1749999999999998</v>
      </c>
      <c r="B348" s="27"/>
    </row>
    <row r="349" spans="1:2" ht="16" x14ac:dyDescent="0.2">
      <c r="A349" s="27">
        <v>5.0709999999999997</v>
      </c>
      <c r="B349" s="27"/>
    </row>
    <row r="350" spans="1:2" ht="16" x14ac:dyDescent="0.2">
      <c r="A350" s="27">
        <v>7.2270000000000003</v>
      </c>
      <c r="B350" s="27"/>
    </row>
    <row r="351" spans="1:2" ht="16" x14ac:dyDescent="0.2">
      <c r="A351" s="27">
        <v>6.4039999999999999</v>
      </c>
      <c r="B351" s="27"/>
    </row>
    <row r="352" spans="1:2" ht="16" x14ac:dyDescent="0.2">
      <c r="A352" s="27">
        <v>7.6470000000000002</v>
      </c>
      <c r="B352" s="27"/>
    </row>
    <row r="353" spans="1:2" ht="16" x14ac:dyDescent="0.2">
      <c r="A353" s="27">
        <v>8.2059999999999995</v>
      </c>
      <c r="B353" s="27"/>
    </row>
    <row r="354" spans="1:2" ht="16" x14ac:dyDescent="0.2">
      <c r="A354" s="27">
        <v>8.2059999999999995</v>
      </c>
      <c r="B354" s="27"/>
    </row>
    <row r="355" spans="1:2" ht="16" x14ac:dyDescent="0.2">
      <c r="A355" s="27">
        <v>7.6139999999999999</v>
      </c>
      <c r="B355" s="27"/>
    </row>
    <row r="356" spans="1:2" ht="16" x14ac:dyDescent="0.2">
      <c r="A356" s="27">
        <v>6.593</v>
      </c>
      <c r="B356" s="27"/>
    </row>
    <row r="357" spans="1:2" ht="16" x14ac:dyDescent="0.2">
      <c r="A357" s="27">
        <v>7.2110000000000003</v>
      </c>
      <c r="B357" s="27"/>
    </row>
    <row r="358" spans="1:2" ht="16" x14ac:dyDescent="0.2">
      <c r="A358" s="27">
        <v>8.423</v>
      </c>
      <c r="B358" s="27"/>
    </row>
    <row r="359" spans="1:2" ht="16" x14ac:dyDescent="0.2">
      <c r="A359" s="27">
        <v>6.907</v>
      </c>
      <c r="B359" s="27"/>
    </row>
    <row r="360" spans="1:2" ht="16" x14ac:dyDescent="0.2">
      <c r="A360" s="27">
        <v>7.3380000000000001</v>
      </c>
      <c r="B360" s="27"/>
    </row>
    <row r="361" spans="1:2" ht="16" x14ac:dyDescent="0.2">
      <c r="A361" s="27">
        <v>6.6130000000000004</v>
      </c>
      <c r="B361" s="27"/>
    </row>
    <row r="362" spans="1:2" ht="16" x14ac:dyDescent="0.2">
      <c r="A362" s="27">
        <v>6.23</v>
      </c>
      <c r="B362" s="27"/>
    </row>
    <row r="363" spans="1:2" ht="16" x14ac:dyDescent="0.2">
      <c r="A363" s="27">
        <v>6.2119999999999997</v>
      </c>
      <c r="B363" s="27"/>
    </row>
    <row r="364" spans="1:2" ht="16" x14ac:dyDescent="0.2">
      <c r="A364" s="27">
        <v>5.7919999999999998</v>
      </c>
      <c r="B364" s="27"/>
    </row>
    <row r="365" spans="1:2" ht="16" x14ac:dyDescent="0.2">
      <c r="A365" s="27">
        <v>6.07</v>
      </c>
      <c r="B365" s="27"/>
    </row>
    <row r="366" spans="1:2" ht="16" x14ac:dyDescent="0.2">
      <c r="A366" s="27">
        <v>5.7649999999999997</v>
      </c>
      <c r="B366" s="27"/>
    </row>
    <row r="367" spans="1:2" ht="16" x14ac:dyDescent="0.2">
      <c r="A367" s="27">
        <v>5.4859999999999998</v>
      </c>
      <c r="B367" s="27"/>
    </row>
    <row r="368" spans="1:2" ht="16" x14ac:dyDescent="0.2">
      <c r="A368" s="27">
        <v>5.3949999999999996</v>
      </c>
      <c r="B368" s="27"/>
    </row>
    <row r="369" spans="1:2" ht="16" x14ac:dyDescent="0.2">
      <c r="A369" s="27">
        <v>10.506</v>
      </c>
      <c r="B369" s="27"/>
    </row>
    <row r="370" spans="1:2" ht="16" x14ac:dyDescent="0.2">
      <c r="A370" s="27">
        <v>8.0150000000000006</v>
      </c>
      <c r="B370" s="27"/>
    </row>
    <row r="371" spans="1:2" ht="16" x14ac:dyDescent="0.2">
      <c r="A371" s="27">
        <v>6.0220000000000002</v>
      </c>
      <c r="B371" s="27"/>
    </row>
    <row r="372" spans="1:2" ht="16" x14ac:dyDescent="0.2">
      <c r="A372" s="27">
        <v>5.9589999999999996</v>
      </c>
      <c r="B372" s="27"/>
    </row>
    <row r="373" spans="1:2" ht="16" x14ac:dyDescent="0.2">
      <c r="A373" s="27">
        <v>5.9710000000000001</v>
      </c>
      <c r="B373" s="27"/>
    </row>
    <row r="374" spans="1:2" ht="16" x14ac:dyDescent="0.2">
      <c r="A374" s="27">
        <v>5.5839999999999996</v>
      </c>
      <c r="B374" s="27"/>
    </row>
    <row r="375" spans="1:2" ht="16" x14ac:dyDescent="0.2">
      <c r="A375" s="27">
        <v>6.0590000000000002</v>
      </c>
      <c r="B375" s="27"/>
    </row>
    <row r="376" spans="1:2" ht="16" x14ac:dyDescent="0.2">
      <c r="A376" s="27">
        <v>6.08</v>
      </c>
      <c r="B376" s="27"/>
    </row>
    <row r="377" spans="1:2" ht="16" x14ac:dyDescent="0.2">
      <c r="A377" s="27">
        <v>6.0549999999999997</v>
      </c>
      <c r="B377" s="27"/>
    </row>
    <row r="378" spans="1:2" ht="16" x14ac:dyDescent="0.2">
      <c r="A378" s="27">
        <v>6.2770000000000001</v>
      </c>
      <c r="B378" s="27"/>
    </row>
    <row r="379" spans="1:2" ht="16" x14ac:dyDescent="0.2">
      <c r="A379" s="27">
        <v>6.2439999999999998</v>
      </c>
      <c r="B379" s="27"/>
    </row>
    <row r="380" spans="1:2" ht="16" x14ac:dyDescent="0.2">
      <c r="A380" s="27">
        <v>6.1580000000000004</v>
      </c>
      <c r="B380" s="27"/>
    </row>
    <row r="381" spans="1:2" ht="16" x14ac:dyDescent="0.2">
      <c r="A381" s="27">
        <v>6.0510000000000002</v>
      </c>
      <c r="B381" s="27"/>
    </row>
    <row r="382" spans="1:2" ht="16" x14ac:dyDescent="0.2">
      <c r="A382" s="27">
        <v>9.125</v>
      </c>
      <c r="B382" s="27"/>
    </row>
    <row r="383" spans="1:2" ht="16" x14ac:dyDescent="0.2">
      <c r="A383" s="27">
        <v>7.3789999999999996</v>
      </c>
      <c r="B383" s="27"/>
    </row>
    <row r="384" spans="1:2" ht="16" x14ac:dyDescent="0.2">
      <c r="A384" s="27">
        <v>7.3789999999999996</v>
      </c>
      <c r="B384" s="27"/>
    </row>
    <row r="385" spans="1:2" ht="16" x14ac:dyDescent="0.2">
      <c r="A385" s="27">
        <v>9.125</v>
      </c>
      <c r="B385" s="27"/>
    </row>
    <row r="386" spans="1:2" ht="16" x14ac:dyDescent="0.2">
      <c r="A386" s="27">
        <v>5.4610000000000003</v>
      </c>
      <c r="B386" s="27"/>
    </row>
    <row r="387" spans="1:2" ht="16" x14ac:dyDescent="0.2">
      <c r="A387" s="27">
        <v>5.3460000000000001</v>
      </c>
      <c r="B387" s="27"/>
    </row>
    <row r="388" spans="1:2" ht="16" x14ac:dyDescent="0.2">
      <c r="A388" s="27">
        <v>6.5890000000000004</v>
      </c>
      <c r="B388" s="27"/>
    </row>
    <row r="389" spans="1:2" ht="16" x14ac:dyDescent="0.2">
      <c r="A389" s="27">
        <v>6.4710000000000001</v>
      </c>
      <c r="B389" s="27"/>
    </row>
    <row r="390" spans="1:2" ht="16" x14ac:dyDescent="0.2">
      <c r="A390" s="27">
        <v>6.9530000000000003</v>
      </c>
      <c r="B390" s="27"/>
    </row>
    <row r="391" spans="1:2" ht="16" x14ac:dyDescent="0.2">
      <c r="A391" s="27">
        <v>6.6689999999999996</v>
      </c>
      <c r="B391" s="27"/>
    </row>
    <row r="392" spans="1:2" ht="16" x14ac:dyDescent="0.2">
      <c r="A392" s="27">
        <v>6.532</v>
      </c>
      <c r="B392" s="27"/>
    </row>
    <row r="393" spans="1:2" ht="16" x14ac:dyDescent="0.2">
      <c r="A393" s="27">
        <v>6.3979999999999997</v>
      </c>
      <c r="B393" s="27"/>
    </row>
    <row r="394" spans="1:2" ht="16" x14ac:dyDescent="0.2">
      <c r="A394" s="27">
        <v>6.1920000000000002</v>
      </c>
      <c r="B394" s="27"/>
    </row>
    <row r="395" spans="1:2" ht="16" x14ac:dyDescent="0.2">
      <c r="A395" s="27">
        <v>6.5789999999999997</v>
      </c>
      <c r="B395" s="27"/>
    </row>
    <row r="396" spans="1:2" ht="16" x14ac:dyDescent="0.2">
      <c r="A396" s="27">
        <v>6.484</v>
      </c>
      <c r="B396" s="27"/>
    </row>
    <row r="397" spans="1:2" ht="16" x14ac:dyDescent="0.2">
      <c r="A397" s="27">
        <v>22.486000000000001</v>
      </c>
      <c r="B397" s="27"/>
    </row>
    <row r="398" spans="1:2" ht="16" x14ac:dyDescent="0.2">
      <c r="A398" s="27">
        <v>8.9260000000000002</v>
      </c>
      <c r="B398" s="27"/>
    </row>
    <row r="399" spans="1:2" ht="16" x14ac:dyDescent="0.2">
      <c r="A399" s="27">
        <v>3.2509999999999999</v>
      </c>
      <c r="B399" s="27"/>
    </row>
    <row r="400" spans="1:2" ht="16" x14ac:dyDescent="0.2">
      <c r="A400" s="27">
        <v>8.9450000000000003</v>
      </c>
      <c r="B400" s="27"/>
    </row>
    <row r="401" spans="1:2" ht="16" x14ac:dyDescent="0.2">
      <c r="A401" s="27">
        <v>7.2649999999999997</v>
      </c>
      <c r="B401" s="27"/>
    </row>
    <row r="402" spans="1:2" ht="16" x14ac:dyDescent="0.2">
      <c r="A402" s="27">
        <v>9.0039999999999996</v>
      </c>
      <c r="B402" s="27"/>
    </row>
    <row r="403" spans="1:2" ht="16" x14ac:dyDescent="0.2">
      <c r="A403" s="27">
        <v>4.5439999999999996</v>
      </c>
      <c r="B403" s="27"/>
    </row>
    <row r="404" spans="1:2" ht="16" x14ac:dyDescent="0.2">
      <c r="A404" s="27">
        <v>4.54</v>
      </c>
      <c r="B404" s="27"/>
    </row>
    <row r="405" spans="1:2" ht="16" x14ac:dyDescent="0.2">
      <c r="A405" s="27">
        <v>5.5019999999999998</v>
      </c>
      <c r="B405" s="27"/>
    </row>
    <row r="406" spans="1:2" ht="16" x14ac:dyDescent="0.2">
      <c r="A406" s="27">
        <v>5.3550000000000004</v>
      </c>
      <c r="B406" s="27"/>
    </row>
    <row r="407" spans="1:2" ht="16" x14ac:dyDescent="0.2">
      <c r="A407" s="27">
        <v>5.14</v>
      </c>
      <c r="B407" s="27"/>
    </row>
    <row r="408" spans="1:2" ht="16" x14ac:dyDescent="0.2">
      <c r="A408" s="27">
        <v>5.133</v>
      </c>
      <c r="B408" s="27"/>
    </row>
    <row r="409" spans="1:2" ht="16" x14ac:dyDescent="0.2">
      <c r="A409" s="27">
        <v>3.395</v>
      </c>
      <c r="B409" s="27"/>
    </row>
    <row r="410" spans="1:2" ht="16" x14ac:dyDescent="0.2">
      <c r="A410" s="27">
        <v>3.3820000000000001</v>
      </c>
      <c r="B410" s="27"/>
    </row>
    <row r="411" spans="1:2" ht="16" x14ac:dyDescent="0.2">
      <c r="A411" s="27">
        <v>4.1500000000000004</v>
      </c>
      <c r="B411" s="27"/>
    </row>
    <row r="412" spans="1:2" ht="16" x14ac:dyDescent="0.2">
      <c r="A412" s="27">
        <v>4.1210000000000004</v>
      </c>
      <c r="B412" s="27"/>
    </row>
    <row r="413" spans="1:2" ht="16" x14ac:dyDescent="0.2">
      <c r="A413" s="27">
        <v>4.8310000000000004</v>
      </c>
      <c r="B413" s="27"/>
    </row>
    <row r="414" spans="1:2" ht="16" x14ac:dyDescent="0.2">
      <c r="A414" s="27">
        <v>4.7610000000000001</v>
      </c>
      <c r="B414" s="27"/>
    </row>
    <row r="415" spans="1:2" ht="16" x14ac:dyDescent="0.2">
      <c r="A415" s="27">
        <v>4.9400000000000004</v>
      </c>
      <c r="B415" s="27"/>
    </row>
    <row r="416" spans="1:2" ht="16" x14ac:dyDescent="0.2">
      <c r="A416" s="27">
        <v>4.8449999999999998</v>
      </c>
      <c r="B416" s="27"/>
    </row>
    <row r="417" spans="1:2" ht="16" x14ac:dyDescent="0.2">
      <c r="A417" s="27">
        <v>5.601</v>
      </c>
      <c r="B417" s="27"/>
    </row>
    <row r="418" spans="1:2" ht="16" x14ac:dyDescent="0.2">
      <c r="A418" s="27">
        <v>5.4219999999999997</v>
      </c>
      <c r="B418" s="27"/>
    </row>
    <row r="419" spans="1:2" ht="16" x14ac:dyDescent="0.2">
      <c r="A419" s="27">
        <v>5.4109999999999996</v>
      </c>
      <c r="B419" s="27"/>
    </row>
    <row r="420" spans="1:2" ht="16" x14ac:dyDescent="0.2">
      <c r="A420" s="27">
        <v>4.7439999999999998</v>
      </c>
      <c r="B420" s="27"/>
    </row>
    <row r="421" spans="1:2" ht="16" x14ac:dyDescent="0.2">
      <c r="A421" s="27">
        <v>4.6369999999999996</v>
      </c>
      <c r="B421" s="27"/>
    </row>
    <row r="422" spans="1:2" ht="16" x14ac:dyDescent="0.2">
      <c r="A422" s="27">
        <v>6.38</v>
      </c>
      <c r="B422" s="27"/>
    </row>
    <row r="423" spans="1:2" ht="16" x14ac:dyDescent="0.2">
      <c r="A423" s="27">
        <v>5.99</v>
      </c>
      <c r="B423" s="27"/>
    </row>
    <row r="424" spans="1:2" ht="16" x14ac:dyDescent="0.2">
      <c r="A424" s="27">
        <v>6.6</v>
      </c>
      <c r="B424" s="27"/>
    </row>
    <row r="425" spans="1:2" ht="16" x14ac:dyDescent="0.2">
      <c r="A425" s="27">
        <v>6.14</v>
      </c>
      <c r="B425" s="27"/>
    </row>
    <row r="426" spans="1:2" ht="16" x14ac:dyDescent="0.2">
      <c r="A426" s="27">
        <v>5.0199999999999996</v>
      </c>
      <c r="B426" s="27"/>
    </row>
    <row r="427" spans="1:2" ht="16" x14ac:dyDescent="0.2">
      <c r="A427" s="27">
        <v>4.99</v>
      </c>
      <c r="B427" s="27"/>
    </row>
    <row r="428" spans="1:2" ht="16" x14ac:dyDescent="0.2">
      <c r="A428" s="27">
        <v>4.84</v>
      </c>
      <c r="B428" s="27"/>
    </row>
    <row r="429" spans="1:2" ht="16" x14ac:dyDescent="0.2">
      <c r="A429" s="27">
        <v>4.84</v>
      </c>
      <c r="B429" s="27"/>
    </row>
    <row r="430" spans="1:2" ht="16" x14ac:dyDescent="0.2">
      <c r="A430" s="27">
        <v>6.06</v>
      </c>
      <c r="B430" s="27"/>
    </row>
    <row r="431" spans="1:2" ht="16" x14ac:dyDescent="0.2">
      <c r="A431" s="27">
        <v>6.01</v>
      </c>
      <c r="B431" s="27"/>
    </row>
    <row r="432" spans="1:2" ht="16" x14ac:dyDescent="0.2">
      <c r="A432" s="27">
        <v>4.93</v>
      </c>
      <c r="B432" s="27"/>
    </row>
    <row r="433" spans="1:2" ht="16" x14ac:dyDescent="0.2">
      <c r="A433" s="27">
        <v>4.8600000000000003</v>
      </c>
      <c r="B433" s="27"/>
    </row>
    <row r="434" spans="1:2" ht="16" x14ac:dyDescent="0.2">
      <c r="A434" s="27">
        <v>4.8099999999999996</v>
      </c>
      <c r="B434" s="27"/>
    </row>
    <row r="435" spans="1:2" ht="16" x14ac:dyDescent="0.2">
      <c r="A435" s="27">
        <v>4.8099999999999996</v>
      </c>
      <c r="B435" s="27"/>
    </row>
    <row r="436" spans="1:2" ht="16" x14ac:dyDescent="0.2">
      <c r="A436" s="27">
        <v>8.8800000000000008</v>
      </c>
      <c r="B436" s="27"/>
    </row>
    <row r="437" spans="1:2" ht="16" x14ac:dyDescent="0.2">
      <c r="A437" s="27">
        <v>7.03</v>
      </c>
      <c r="B437" s="27"/>
    </row>
    <row r="438" spans="1:2" ht="16" x14ac:dyDescent="0.2">
      <c r="A438" s="27">
        <v>6.88</v>
      </c>
      <c r="B438" s="27"/>
    </row>
    <row r="439" spans="1:2" ht="16" x14ac:dyDescent="0.2">
      <c r="A439" s="27">
        <v>26.08</v>
      </c>
      <c r="B439" s="27"/>
    </row>
    <row r="440" spans="1:2" ht="16" x14ac:dyDescent="0.2">
      <c r="A440" s="27">
        <v>4.8899999999999997</v>
      </c>
      <c r="B440" s="27"/>
    </row>
    <row r="441" spans="1:2" ht="16" x14ac:dyDescent="0.2">
      <c r="A441" s="27">
        <v>4.71</v>
      </c>
      <c r="B441" s="27"/>
    </row>
    <row r="442" spans="1:2" ht="16" x14ac:dyDescent="0.2">
      <c r="A442" s="27">
        <v>5.03</v>
      </c>
      <c r="B442" s="27"/>
    </row>
    <row r="443" spans="1:2" ht="16" x14ac:dyDescent="0.2">
      <c r="A443" s="27">
        <v>7.66</v>
      </c>
      <c r="B443" s="27"/>
    </row>
    <row r="444" spans="1:2" ht="16" x14ac:dyDescent="0.2">
      <c r="A444" s="27">
        <v>5.04</v>
      </c>
      <c r="B444" s="27"/>
    </row>
    <row r="445" spans="1:2" ht="16" x14ac:dyDescent="0.2">
      <c r="A445" s="27">
        <v>7.15</v>
      </c>
      <c r="B445" s="27"/>
    </row>
    <row r="446" spans="1:2" ht="16" x14ac:dyDescent="0.2">
      <c r="A446" s="27">
        <v>6.35</v>
      </c>
      <c r="B446" s="27"/>
    </row>
    <row r="447" spans="1:2" ht="16" x14ac:dyDescent="0.2">
      <c r="A447" s="27">
        <v>8.77</v>
      </c>
      <c r="B447" s="27"/>
    </row>
    <row r="448" spans="1:2" ht="16" x14ac:dyDescent="0.2">
      <c r="A448" s="27">
        <v>3.52</v>
      </c>
      <c r="B448" s="27"/>
    </row>
    <row r="449" spans="1:2" ht="16" x14ac:dyDescent="0.2">
      <c r="A449" s="27">
        <v>3.77</v>
      </c>
      <c r="B449" s="27"/>
    </row>
    <row r="450" spans="1:2" ht="16" x14ac:dyDescent="0.2">
      <c r="A450" s="27">
        <v>3.65</v>
      </c>
      <c r="B450" s="27"/>
    </row>
    <row r="451" spans="1:2" ht="16" x14ac:dyDescent="0.2">
      <c r="A451" s="27">
        <v>4.22</v>
      </c>
      <c r="B451" s="27"/>
    </row>
    <row r="452" spans="1:2" ht="16" x14ac:dyDescent="0.2">
      <c r="A452" s="27">
        <v>4.9000000000000004</v>
      </c>
      <c r="B452" s="27"/>
    </row>
    <row r="453" spans="1:2" ht="16" x14ac:dyDescent="0.2">
      <c r="A453" s="27">
        <v>8.32</v>
      </c>
      <c r="B453" s="27"/>
    </row>
    <row r="454" spans="1:2" ht="16" x14ac:dyDescent="0.2">
      <c r="A454" s="27">
        <v>6.99</v>
      </c>
      <c r="B454" s="27"/>
    </row>
    <row r="455" spans="1:2" ht="16" x14ac:dyDescent="0.2">
      <c r="A455" s="27">
        <v>4.1399999999999997</v>
      </c>
      <c r="B455" s="27"/>
    </row>
    <row r="456" spans="1:2" ht="16" x14ac:dyDescent="0.2">
      <c r="A456" s="27">
        <v>4.9000000000000004</v>
      </c>
      <c r="B456" s="27"/>
    </row>
    <row r="457" spans="1:2" ht="16" x14ac:dyDescent="0.2">
      <c r="A457" s="27">
        <v>4.42</v>
      </c>
      <c r="B457" s="27"/>
    </row>
    <row r="458" spans="1:2" ht="16" x14ac:dyDescent="0.2">
      <c r="A458" s="27">
        <v>5.55</v>
      </c>
      <c r="B458" s="27"/>
    </row>
    <row r="459" spans="1:2" ht="16" x14ac:dyDescent="0.2">
      <c r="A459" s="27">
        <v>4.32</v>
      </c>
      <c r="B459" s="27"/>
    </row>
    <row r="460" spans="1:2" ht="16" x14ac:dyDescent="0.2">
      <c r="A460" s="27">
        <v>4.3600000000000003</v>
      </c>
      <c r="B460" s="27"/>
    </row>
    <row r="461" spans="1:2" ht="16" x14ac:dyDescent="0.2">
      <c r="A461" s="27">
        <v>4.1100000000000003</v>
      </c>
      <c r="B461" s="27"/>
    </row>
    <row r="462" spans="1:2" ht="16" x14ac:dyDescent="0.2">
      <c r="A462" s="27">
        <v>8</v>
      </c>
      <c r="B462" s="27"/>
    </row>
    <row r="463" spans="1:2" ht="16" x14ac:dyDescent="0.2">
      <c r="A463" s="27">
        <v>3.59</v>
      </c>
      <c r="B463" s="27"/>
    </row>
    <row r="464" spans="1:2" ht="16" x14ac:dyDescent="0.2">
      <c r="A464" s="27">
        <v>4.01</v>
      </c>
      <c r="B464" s="27"/>
    </row>
    <row r="465" spans="1:2" ht="16" x14ac:dyDescent="0.2">
      <c r="A465" s="27">
        <v>5.2</v>
      </c>
      <c r="B465" s="27"/>
    </row>
    <row r="466" spans="1:2" ht="16" x14ac:dyDescent="0.2">
      <c r="A466" s="27">
        <v>4.9400000000000004</v>
      </c>
      <c r="B466" s="27"/>
    </row>
    <row r="467" spans="1:2" ht="16" x14ac:dyDescent="0.2">
      <c r="A467" s="27">
        <v>4.83</v>
      </c>
      <c r="B467" s="27"/>
    </row>
    <row r="468" spans="1:2" ht="16" x14ac:dyDescent="0.2">
      <c r="A468" s="27">
        <v>5.2</v>
      </c>
      <c r="B468" s="27"/>
    </row>
    <row r="469" spans="1:2" ht="16" x14ac:dyDescent="0.2">
      <c r="A469" s="27">
        <v>4.6900000000000004</v>
      </c>
      <c r="B469" s="27"/>
    </row>
    <row r="470" spans="1:2" ht="16" x14ac:dyDescent="0.2">
      <c r="A470" s="27">
        <v>4.66</v>
      </c>
      <c r="B470" s="27"/>
    </row>
    <row r="471" spans="1:2" ht="16" x14ac:dyDescent="0.2">
      <c r="A471" s="27">
        <v>4.3099999999999996</v>
      </c>
      <c r="B471" s="27"/>
    </row>
    <row r="472" spans="1:2" ht="16" x14ac:dyDescent="0.2">
      <c r="A472" s="27">
        <v>5.16</v>
      </c>
      <c r="B472" s="27"/>
    </row>
    <row r="473" spans="1:2" ht="16" x14ac:dyDescent="0.2">
      <c r="A473" s="27">
        <v>7.16</v>
      </c>
      <c r="B473" s="27"/>
    </row>
    <row r="474" spans="1:2" ht="16" x14ac:dyDescent="0.2">
      <c r="A474" s="27">
        <v>5.09</v>
      </c>
      <c r="B474" s="27"/>
    </row>
    <row r="475" spans="1:2" ht="16" x14ac:dyDescent="0.2">
      <c r="A475" s="27">
        <v>5.0599999999999996</v>
      </c>
      <c r="B475" s="27"/>
    </row>
    <row r="476" spans="1:2" ht="16" x14ac:dyDescent="0.2">
      <c r="A476" s="27">
        <v>5.36</v>
      </c>
      <c r="B476" s="27"/>
    </row>
    <row r="477" spans="1:2" ht="16" x14ac:dyDescent="0.2">
      <c r="A477" s="27">
        <v>4.91</v>
      </c>
      <c r="B477" s="27"/>
    </row>
    <row r="478" spans="1:2" ht="16" x14ac:dyDescent="0.2">
      <c r="A478" s="27">
        <v>7.48</v>
      </c>
      <c r="B478" s="27"/>
    </row>
    <row r="479" spans="1:2" ht="16" x14ac:dyDescent="0.2">
      <c r="A479" s="27">
        <v>4.4400000000000004</v>
      </c>
      <c r="B479" s="27"/>
    </row>
    <row r="480" spans="1:2" ht="16" x14ac:dyDescent="0.2">
      <c r="A480" s="27">
        <v>4.32</v>
      </c>
      <c r="B480" s="27"/>
    </row>
    <row r="481" spans="1:2" ht="16" x14ac:dyDescent="0.2">
      <c r="A481" s="27">
        <v>4.3</v>
      </c>
      <c r="B481" s="27"/>
    </row>
    <row r="482" spans="1:2" ht="16" x14ac:dyDescent="0.2">
      <c r="A482" s="27">
        <v>4.4400000000000004</v>
      </c>
      <c r="B482" s="27"/>
    </row>
    <row r="483" spans="1:2" ht="16" x14ac:dyDescent="0.2">
      <c r="A483" s="27">
        <v>4.87</v>
      </c>
      <c r="B483" s="27"/>
    </row>
    <row r="484" spans="1:2" ht="16" x14ac:dyDescent="0.2">
      <c r="A484" s="27">
        <v>6.66</v>
      </c>
      <c r="B484" s="27"/>
    </row>
    <row r="485" spans="1:2" ht="16" x14ac:dyDescent="0.2">
      <c r="A485" s="27">
        <v>4.82</v>
      </c>
      <c r="B485" s="27"/>
    </row>
    <row r="486" spans="1:2" ht="16" x14ac:dyDescent="0.2">
      <c r="A486" s="27">
        <v>4.3099999999999996</v>
      </c>
      <c r="B486" s="27"/>
    </row>
    <row r="487" spans="1:2" ht="16" x14ac:dyDescent="0.2">
      <c r="A487" s="27">
        <v>3.75</v>
      </c>
      <c r="B487" s="27"/>
    </row>
    <row r="488" spans="1:2" ht="16" x14ac:dyDescent="0.2">
      <c r="A488" s="27">
        <v>4.62</v>
      </c>
      <c r="B488" s="27"/>
    </row>
    <row r="489" spans="1:2" ht="16" x14ac:dyDescent="0.2">
      <c r="A489" s="27">
        <v>3.75</v>
      </c>
      <c r="B489" s="27"/>
    </row>
    <row r="490" spans="1:2" ht="16" x14ac:dyDescent="0.2">
      <c r="A490" s="27">
        <v>3.37</v>
      </c>
      <c r="B490" s="27"/>
    </row>
    <row r="491" spans="1:2" ht="16" x14ac:dyDescent="0.2">
      <c r="A491" s="27">
        <v>4.4400000000000004</v>
      </c>
      <c r="B491" s="27"/>
    </row>
    <row r="492" spans="1:2" ht="16" x14ac:dyDescent="0.2">
      <c r="A492" s="27">
        <v>4.16</v>
      </c>
      <c r="B492" s="27"/>
    </row>
    <row r="493" spans="1:2" ht="16" x14ac:dyDescent="0.2">
      <c r="A493" s="27">
        <v>3.62</v>
      </c>
      <c r="B493" s="27"/>
    </row>
    <row r="494" spans="1:2" ht="16" x14ac:dyDescent="0.2">
      <c r="A494" s="27">
        <v>3.78</v>
      </c>
      <c r="B494" s="27"/>
    </row>
    <row r="495" spans="1:2" ht="16" x14ac:dyDescent="0.2">
      <c r="A495" s="27">
        <v>3.85</v>
      </c>
      <c r="B495" s="27"/>
    </row>
    <row r="496" spans="1:2" ht="16" x14ac:dyDescent="0.2">
      <c r="A496" s="27">
        <v>18.7</v>
      </c>
      <c r="B496" s="27"/>
    </row>
    <row r="497" spans="1:2" ht="16" x14ac:dyDescent="0.2">
      <c r="A497" s="27">
        <v>4.3899999999999997</v>
      </c>
      <c r="B497" s="27"/>
    </row>
    <row r="498" spans="1:2" ht="16" x14ac:dyDescent="0.2">
      <c r="A498" s="27">
        <v>3.92</v>
      </c>
      <c r="B498" s="27"/>
    </row>
    <row r="499" spans="1:2" ht="16" x14ac:dyDescent="0.2">
      <c r="A499" s="27">
        <v>10.050000000000001</v>
      </c>
      <c r="B499" s="27"/>
    </row>
    <row r="500" spans="1:2" ht="16" x14ac:dyDescent="0.2">
      <c r="A500" s="27">
        <v>4.1900000000000004</v>
      </c>
      <c r="B500" s="27"/>
    </row>
    <row r="501" spans="1:2" ht="16" x14ac:dyDescent="0.2">
      <c r="A501" s="27">
        <v>7.83</v>
      </c>
      <c r="B501" s="27"/>
    </row>
    <row r="502" spans="1:2" ht="16" x14ac:dyDescent="0.2">
      <c r="A502" s="27">
        <v>3.92</v>
      </c>
      <c r="B502" s="27"/>
    </row>
    <row r="503" spans="1:2" ht="16" x14ac:dyDescent="0.2">
      <c r="A503" s="27">
        <v>5.54</v>
      </c>
      <c r="B503" s="27"/>
    </row>
    <row r="504" spans="1:2" ht="16" x14ac:dyDescent="0.2">
      <c r="A504" s="27">
        <v>4.37</v>
      </c>
      <c r="B504" s="27"/>
    </row>
    <row r="505" spans="1:2" ht="16" x14ac:dyDescent="0.2">
      <c r="A505" s="27">
        <v>3.35</v>
      </c>
      <c r="B505" s="27"/>
    </row>
    <row r="506" spans="1:2" ht="16" x14ac:dyDescent="0.2">
      <c r="A506" s="27">
        <v>3.85</v>
      </c>
      <c r="B506" s="27"/>
    </row>
    <row r="507" spans="1:2" ht="16" x14ac:dyDescent="0.2">
      <c r="A507" s="27">
        <v>3.56</v>
      </c>
      <c r="B507" s="27"/>
    </row>
    <row r="508" spans="1:2" ht="16" x14ac:dyDescent="0.2">
      <c r="A508" s="27">
        <v>6.56</v>
      </c>
      <c r="B508" s="27"/>
    </row>
    <row r="509" spans="1:2" ht="16" x14ac:dyDescent="0.2">
      <c r="A509" s="27">
        <v>6.13</v>
      </c>
      <c r="B509" s="27"/>
    </row>
    <row r="510" spans="1:2" ht="16" x14ac:dyDescent="0.2">
      <c r="A510" s="27">
        <v>5.92</v>
      </c>
      <c r="B510" s="27"/>
    </row>
    <row r="511" spans="1:2" ht="16" x14ac:dyDescent="0.2">
      <c r="A511" s="27">
        <v>6.83</v>
      </c>
      <c r="B511" s="27"/>
    </row>
    <row r="512" spans="1:2" ht="16" x14ac:dyDescent="0.2">
      <c r="A512" s="27">
        <v>16.100000000000001</v>
      </c>
      <c r="B512" s="27"/>
    </row>
    <row r="513" spans="1:2" ht="16" x14ac:dyDescent="0.2">
      <c r="A513" s="27">
        <v>6.48</v>
      </c>
      <c r="B513" s="27"/>
    </row>
    <row r="514" spans="1:2" ht="16" x14ac:dyDescent="0.2">
      <c r="A514" s="27">
        <v>4.92</v>
      </c>
      <c r="B514" s="27"/>
    </row>
    <row r="515" spans="1:2" ht="16" x14ac:dyDescent="0.2">
      <c r="A515" s="27">
        <v>5.09</v>
      </c>
      <c r="B515" s="27"/>
    </row>
    <row r="516" spans="1:2" ht="16" x14ac:dyDescent="0.2">
      <c r="A516" s="27">
        <v>6.89</v>
      </c>
      <c r="B516" s="27"/>
    </row>
    <row r="517" spans="1:2" ht="16" x14ac:dyDescent="0.2">
      <c r="A517" s="27">
        <v>4.42</v>
      </c>
      <c r="B517" s="27"/>
    </row>
    <row r="518" spans="1:2" ht="16" x14ac:dyDescent="0.2">
      <c r="A518" s="27">
        <v>4.2300000000000004</v>
      </c>
      <c r="B518" s="27"/>
    </row>
    <row r="519" spans="1:2" ht="16" x14ac:dyDescent="0.2">
      <c r="A519" s="27">
        <v>4.62</v>
      </c>
      <c r="B519" s="27"/>
    </row>
    <row r="520" spans="1:2" ht="16" x14ac:dyDescent="0.2">
      <c r="A520" s="27">
        <v>5.19</v>
      </c>
      <c r="B520" s="27"/>
    </row>
    <row r="521" spans="1:2" ht="16" x14ac:dyDescent="0.2">
      <c r="A521" s="27">
        <v>4.5599999999999996</v>
      </c>
      <c r="B521" s="27"/>
    </row>
    <row r="522" spans="1:2" ht="16" x14ac:dyDescent="0.2">
      <c r="A522" s="27">
        <v>4.45</v>
      </c>
      <c r="B522" s="27"/>
    </row>
    <row r="523" spans="1:2" ht="16" x14ac:dyDescent="0.2">
      <c r="A523" s="27">
        <v>4.5</v>
      </c>
      <c r="B523" s="27"/>
    </row>
    <row r="524" spans="1:2" ht="16" x14ac:dyDescent="0.2">
      <c r="A524" s="27">
        <v>5.0599999999999996</v>
      </c>
      <c r="B524" s="27"/>
    </row>
    <row r="525" spans="1:2" ht="16" x14ac:dyDescent="0.2">
      <c r="A525" s="27">
        <v>4.4000000000000004</v>
      </c>
      <c r="B525" s="27"/>
    </row>
    <row r="526" spans="1:2" ht="16" x14ac:dyDescent="0.2">
      <c r="A526" s="27">
        <v>4.38</v>
      </c>
      <c r="B526" s="27"/>
    </row>
    <row r="527" spans="1:2" ht="16" x14ac:dyDescent="0.2">
      <c r="A527" s="27">
        <v>4.38</v>
      </c>
      <c r="B527" s="27"/>
    </row>
    <row r="528" spans="1:2" ht="16" x14ac:dyDescent="0.2">
      <c r="A528" s="27">
        <v>5.1100000000000003</v>
      </c>
      <c r="B528" s="27"/>
    </row>
    <row r="529" spans="1:2" ht="16" x14ac:dyDescent="0.2">
      <c r="A529" s="27">
        <v>3.95</v>
      </c>
      <c r="B529" s="27"/>
    </row>
    <row r="530" spans="1:2" ht="16" x14ac:dyDescent="0.2">
      <c r="A530" s="27">
        <v>3.89</v>
      </c>
      <c r="B530" s="27"/>
    </row>
    <row r="531" spans="1:2" ht="16" x14ac:dyDescent="0.2">
      <c r="A531" s="27">
        <v>5.14</v>
      </c>
      <c r="B531" s="27"/>
    </row>
    <row r="532" spans="1:2" ht="16" x14ac:dyDescent="0.2">
      <c r="A532" s="27">
        <v>5.29</v>
      </c>
      <c r="B532" s="27"/>
    </row>
    <row r="533" spans="1:2" ht="16" x14ac:dyDescent="0.2">
      <c r="A533" s="27">
        <v>9.1199999999999992</v>
      </c>
      <c r="B533" s="27"/>
    </row>
    <row r="534" spans="1:2" ht="16" x14ac:dyDescent="0.2">
      <c r="A534" s="27">
        <v>5.0999999999999996</v>
      </c>
      <c r="B534" s="27"/>
    </row>
    <row r="535" spans="1:2" ht="16" x14ac:dyDescent="0.2">
      <c r="A535" s="27">
        <v>5.07</v>
      </c>
      <c r="B535" s="27"/>
    </row>
    <row r="536" spans="1:2" ht="16" x14ac:dyDescent="0.2">
      <c r="A536" s="27">
        <v>4.5199999999999996</v>
      </c>
      <c r="B536" s="27"/>
    </row>
    <row r="537" spans="1:2" ht="16" x14ac:dyDescent="0.2">
      <c r="A537" s="27">
        <v>7.16</v>
      </c>
      <c r="B537" s="27"/>
    </row>
    <row r="538" spans="1:2" ht="16" x14ac:dyDescent="0.2">
      <c r="A538" s="27">
        <v>5.17</v>
      </c>
      <c r="B538" s="27"/>
    </row>
    <row r="539" spans="1:2" ht="16" x14ac:dyDescent="0.2">
      <c r="A539" s="27">
        <v>4.57</v>
      </c>
      <c r="B539" s="27"/>
    </row>
    <row r="540" spans="1:2" ht="16" x14ac:dyDescent="0.2">
      <c r="A540" s="27">
        <v>4.1399999999999997</v>
      </c>
      <c r="B540" s="27"/>
    </row>
    <row r="541" spans="1:2" ht="16" x14ac:dyDescent="0.2">
      <c r="A541" s="27">
        <v>4.12</v>
      </c>
      <c r="B541" s="27"/>
    </row>
    <row r="542" spans="1:2" ht="16" x14ac:dyDescent="0.2">
      <c r="A542" s="27">
        <v>5.33</v>
      </c>
      <c r="B542" s="27"/>
    </row>
    <row r="543" spans="1:2" ht="16" x14ac:dyDescent="0.2">
      <c r="A543" s="27">
        <v>4.3499999999999996</v>
      </c>
      <c r="B543" s="27"/>
    </row>
    <row r="544" spans="1:2" ht="16" x14ac:dyDescent="0.2">
      <c r="A544" s="27">
        <v>4.03</v>
      </c>
      <c r="B544" s="27"/>
    </row>
    <row r="545" spans="1:2" ht="16" x14ac:dyDescent="0.2">
      <c r="A545" s="27">
        <v>5.27</v>
      </c>
      <c r="B545" s="27"/>
    </row>
    <row r="546" spans="1:2" ht="16" x14ac:dyDescent="0.2">
      <c r="A546" s="27">
        <v>4.01</v>
      </c>
      <c r="B546" s="27"/>
    </row>
    <row r="547" spans="1:2" ht="16" x14ac:dyDescent="0.2">
      <c r="A547" s="27">
        <v>5.65</v>
      </c>
      <c r="B547" s="27"/>
    </row>
    <row r="548" spans="1:2" ht="16" x14ac:dyDescent="0.2">
      <c r="A548" s="27">
        <v>4.55</v>
      </c>
      <c r="B548" s="27"/>
    </row>
    <row r="549" spans="1:2" ht="16" x14ac:dyDescent="0.2">
      <c r="A549" s="27">
        <v>4.5199999999999996</v>
      </c>
      <c r="B549" s="27"/>
    </row>
    <row r="550" spans="1:2" ht="16" x14ac:dyDescent="0.2">
      <c r="A550" s="27">
        <v>4.8</v>
      </c>
      <c r="B550" s="27"/>
    </row>
    <row r="551" spans="1:2" ht="16" x14ac:dyDescent="0.2">
      <c r="A551" s="27">
        <v>5.65</v>
      </c>
      <c r="B551" s="27"/>
    </row>
    <row r="552" spans="1:2" ht="16" x14ac:dyDescent="0.2">
      <c r="A552" s="27">
        <v>4.54</v>
      </c>
      <c r="B552" s="27"/>
    </row>
    <row r="553" spans="1:2" ht="16" x14ac:dyDescent="0.2">
      <c r="A553" s="27">
        <v>5.12</v>
      </c>
      <c r="B553" s="27"/>
    </row>
    <row r="554" spans="1:2" ht="16" x14ac:dyDescent="0.2">
      <c r="A554" s="27">
        <v>19.43</v>
      </c>
      <c r="B554" s="27"/>
    </row>
    <row r="555" spans="1:2" ht="16" x14ac:dyDescent="0.2">
      <c r="A555" s="27">
        <v>7.05</v>
      </c>
      <c r="B555" s="27"/>
    </row>
    <row r="556" spans="1:2" ht="16" x14ac:dyDescent="0.2">
      <c r="A556" s="27">
        <v>4.91</v>
      </c>
      <c r="B556" s="27"/>
    </row>
    <row r="557" spans="1:2" ht="16" x14ac:dyDescent="0.2">
      <c r="A557" s="27">
        <v>15.2</v>
      </c>
      <c r="B557" s="27"/>
    </row>
    <row r="558" spans="1:2" ht="16" x14ac:dyDescent="0.2">
      <c r="A558" s="27">
        <v>4.9000000000000004</v>
      </c>
      <c r="B558" s="27"/>
    </row>
    <row r="559" spans="1:2" ht="16" x14ac:dyDescent="0.2">
      <c r="A559" s="27">
        <v>8.1</v>
      </c>
      <c r="B559" s="27"/>
    </row>
    <row r="560" spans="1:2" ht="16" x14ac:dyDescent="0.2">
      <c r="A560" s="27">
        <v>5.33</v>
      </c>
      <c r="B560" s="27"/>
    </row>
    <row r="561" spans="1:2" ht="16" x14ac:dyDescent="0.2">
      <c r="A561" s="27">
        <v>5.34</v>
      </c>
      <c r="B561" s="27"/>
    </row>
    <row r="562" spans="1:2" ht="16" x14ac:dyDescent="0.2">
      <c r="A562" s="27">
        <v>5.79</v>
      </c>
      <c r="B562" s="27"/>
    </row>
    <row r="563" spans="1:2" ht="16" x14ac:dyDescent="0.2">
      <c r="A563" s="27">
        <v>5.38</v>
      </c>
      <c r="B563" s="27"/>
    </row>
    <row r="564" spans="1:2" ht="16" x14ac:dyDescent="0.2">
      <c r="A564" s="27">
        <v>5</v>
      </c>
      <c r="B564" s="27"/>
    </row>
    <row r="565" spans="1:2" ht="16" x14ac:dyDescent="0.2">
      <c r="A565" s="27">
        <v>4.87</v>
      </c>
      <c r="B565" s="27"/>
    </row>
    <row r="566" spans="1:2" ht="16" x14ac:dyDescent="0.2">
      <c r="A566" s="27">
        <v>7.16</v>
      </c>
      <c r="B566" s="27"/>
    </row>
    <row r="567" spans="1:2" ht="16" x14ac:dyDescent="0.2">
      <c r="A567" s="27">
        <v>5.54</v>
      </c>
      <c r="B567" s="27"/>
    </row>
    <row r="568" spans="1:2" ht="16" x14ac:dyDescent="0.2">
      <c r="A568" s="27">
        <v>5.65</v>
      </c>
      <c r="B568" s="27"/>
    </row>
    <row r="569" spans="1:2" ht="16" x14ac:dyDescent="0.2">
      <c r="A569" s="27">
        <v>5.43</v>
      </c>
      <c r="B569" s="27"/>
    </row>
    <row r="570" spans="1:2" ht="16" x14ac:dyDescent="0.2">
      <c r="A570" s="27">
        <v>8.0399999999999991</v>
      </c>
      <c r="B570" s="27"/>
    </row>
    <row r="571" spans="1:2" ht="16" x14ac:dyDescent="0.2">
      <c r="A571" s="27">
        <v>16.670000000000002</v>
      </c>
      <c r="B571" s="27"/>
    </row>
    <row r="572" spans="1:2" ht="16" x14ac:dyDescent="0.2">
      <c r="A572" s="27">
        <v>6.57</v>
      </c>
      <c r="B572" s="27"/>
    </row>
    <row r="573" spans="1:2" ht="16" x14ac:dyDescent="0.2">
      <c r="A573" s="27">
        <v>6.54</v>
      </c>
      <c r="B573" s="27"/>
    </row>
    <row r="574" spans="1:2" ht="16" x14ac:dyDescent="0.2">
      <c r="A574" s="27">
        <v>6.37</v>
      </c>
      <c r="B574" s="27"/>
    </row>
    <row r="575" spans="1:2" ht="16" x14ac:dyDescent="0.2">
      <c r="A575" s="27">
        <v>6.29</v>
      </c>
      <c r="B575" s="27"/>
    </row>
    <row r="576" spans="1:2" ht="16" x14ac:dyDescent="0.2">
      <c r="A576" s="27">
        <v>6.55</v>
      </c>
      <c r="B576" s="27"/>
    </row>
    <row r="577" spans="1:2" ht="16" x14ac:dyDescent="0.2">
      <c r="A577" s="27">
        <v>4.3600000000000003</v>
      </c>
      <c r="B577" s="27"/>
    </row>
    <row r="578" spans="1:2" ht="16" x14ac:dyDescent="0.2">
      <c r="A578" s="27">
        <v>5.15</v>
      </c>
      <c r="B578" s="27"/>
    </row>
    <row r="579" spans="1:2" ht="16" x14ac:dyDescent="0.2">
      <c r="A579" s="27">
        <v>6.21</v>
      </c>
      <c r="B579" s="27"/>
    </row>
    <row r="580" spans="1:2" ht="16" x14ac:dyDescent="0.2">
      <c r="A580" s="27">
        <v>8.08</v>
      </c>
      <c r="B580" s="27"/>
    </row>
    <row r="581" spans="1:2" ht="16" x14ac:dyDescent="0.2">
      <c r="A581" s="27">
        <v>5.55</v>
      </c>
      <c r="B581" s="27"/>
    </row>
    <row r="582" spans="1:2" ht="16" x14ac:dyDescent="0.2">
      <c r="A582" s="27">
        <v>5.51</v>
      </c>
      <c r="B582" s="27"/>
    </row>
    <row r="583" spans="1:2" ht="16" x14ac:dyDescent="0.2">
      <c r="A583" s="27">
        <v>8.83</v>
      </c>
      <c r="B583" s="27"/>
    </row>
    <row r="584" spans="1:2" ht="16" x14ac:dyDescent="0.2">
      <c r="A584" s="27">
        <v>8.44</v>
      </c>
      <c r="B584" s="27"/>
    </row>
    <row r="585" spans="1:2" ht="16" x14ac:dyDescent="0.2">
      <c r="A585" s="27">
        <v>17.66</v>
      </c>
      <c r="B585" s="27"/>
    </row>
    <row r="586" spans="1:2" ht="16" x14ac:dyDescent="0.2">
      <c r="A586" s="27">
        <v>7.3</v>
      </c>
      <c r="B586" s="27"/>
    </row>
    <row r="587" spans="1:2" ht="16" x14ac:dyDescent="0.2">
      <c r="A587" s="27">
        <v>8.34</v>
      </c>
      <c r="B587" s="27"/>
    </row>
    <row r="588" spans="1:2" ht="16" x14ac:dyDescent="0.2">
      <c r="A588" s="27">
        <v>7.24</v>
      </c>
      <c r="B588" s="27"/>
    </row>
    <row r="589" spans="1:2" ht="16" x14ac:dyDescent="0.2">
      <c r="A589" s="27">
        <v>7.19</v>
      </c>
      <c r="B589" s="27"/>
    </row>
    <row r="590" spans="1:2" ht="16" x14ac:dyDescent="0.2">
      <c r="A590" s="27">
        <v>6.46</v>
      </c>
      <c r="B590" s="27"/>
    </row>
    <row r="591" spans="1:2" ht="16" x14ac:dyDescent="0.2">
      <c r="A591" s="27">
        <v>6.42</v>
      </c>
      <c r="B591" s="27"/>
    </row>
    <row r="592" spans="1:2" ht="16" x14ac:dyDescent="0.2">
      <c r="A592" s="27">
        <v>6.67</v>
      </c>
      <c r="B592" s="27"/>
    </row>
    <row r="593" spans="1:2" ht="16" x14ac:dyDescent="0.2">
      <c r="A593" s="27">
        <v>6.54</v>
      </c>
      <c r="B593" s="27"/>
    </row>
    <row r="594" spans="1:2" ht="16" x14ac:dyDescent="0.2">
      <c r="A594" s="27">
        <v>6.24</v>
      </c>
      <c r="B594" s="27"/>
    </row>
    <row r="595" spans="1:2" ht="16" x14ac:dyDescent="0.2">
      <c r="A595" s="27">
        <v>5.25</v>
      </c>
      <c r="B595" s="27"/>
    </row>
    <row r="596" spans="1:2" ht="16" x14ac:dyDescent="0.2">
      <c r="A596" s="27">
        <v>4.75</v>
      </c>
      <c r="B596" s="27"/>
    </row>
    <row r="597" spans="1:2" ht="16" x14ac:dyDescent="0.2">
      <c r="A597" s="27">
        <v>9.81</v>
      </c>
      <c r="B597" s="27"/>
    </row>
    <row r="598" spans="1:2" ht="16" x14ac:dyDescent="0.2">
      <c r="A598" s="27">
        <v>6.41</v>
      </c>
      <c r="B598" s="27"/>
    </row>
    <row r="599" spans="1:2" ht="16" x14ac:dyDescent="0.2">
      <c r="A599" s="27">
        <v>5.35</v>
      </c>
      <c r="B599" s="27"/>
    </row>
    <row r="600" spans="1:2" ht="16" x14ac:dyDescent="0.2">
      <c r="A600" s="27">
        <v>6.12</v>
      </c>
      <c r="B600" s="27"/>
    </row>
    <row r="601" spans="1:2" ht="16" x14ac:dyDescent="0.2">
      <c r="A601" s="27">
        <v>5.65</v>
      </c>
      <c r="B601" s="27"/>
    </row>
    <row r="602" spans="1:2" ht="16" x14ac:dyDescent="0.2">
      <c r="A602" s="27">
        <v>19.84</v>
      </c>
      <c r="B602" s="27"/>
    </row>
    <row r="603" spans="1:2" ht="16" x14ac:dyDescent="0.2">
      <c r="A603" s="27">
        <v>8.64</v>
      </c>
      <c r="B603" s="27"/>
    </row>
    <row r="604" spans="1:2" ht="16" x14ac:dyDescent="0.2">
      <c r="A604" s="27">
        <v>6.57</v>
      </c>
      <c r="B604" s="27"/>
    </row>
    <row r="605" spans="1:2" ht="16" x14ac:dyDescent="0.2">
      <c r="A605" s="27">
        <v>5.68</v>
      </c>
      <c r="B605" s="27"/>
    </row>
    <row r="606" spans="1:2" ht="16" x14ac:dyDescent="0.2">
      <c r="A606" s="27">
        <v>6.21</v>
      </c>
      <c r="B606" s="27"/>
    </row>
    <row r="607" spans="1:2" ht="16" x14ac:dyDescent="0.2">
      <c r="A607" s="27">
        <v>9.99</v>
      </c>
      <c r="B607" s="27"/>
    </row>
    <row r="608" spans="1:2" ht="16" x14ac:dyDescent="0.2">
      <c r="A608" s="27">
        <v>7.9</v>
      </c>
      <c r="B608" s="27"/>
    </row>
    <row r="609" spans="1:2" ht="16" x14ac:dyDescent="0.2">
      <c r="A609" s="27">
        <v>21.01</v>
      </c>
      <c r="B609" s="27"/>
    </row>
    <row r="610" spans="1:2" ht="16" x14ac:dyDescent="0.2">
      <c r="A610" s="27">
        <v>7.5</v>
      </c>
      <c r="B610" s="27"/>
    </row>
    <row r="611" spans="1:2" ht="16" x14ac:dyDescent="0.2">
      <c r="A611" s="27">
        <v>7.05</v>
      </c>
      <c r="B611" s="27"/>
    </row>
    <row r="612" spans="1:2" ht="16" x14ac:dyDescent="0.2">
      <c r="A612" s="27">
        <v>5.74</v>
      </c>
      <c r="B612" s="27"/>
    </row>
    <row r="613" spans="1:2" ht="16" x14ac:dyDescent="0.2">
      <c r="A613" s="27">
        <v>5.82</v>
      </c>
      <c r="B613" s="27"/>
    </row>
    <row r="614" spans="1:2" ht="16" x14ac:dyDescent="0.2">
      <c r="A614" s="27">
        <v>8.7200000000000006</v>
      </c>
      <c r="B614" s="27"/>
    </row>
    <row r="615" spans="1:2" ht="16" x14ac:dyDescent="0.2">
      <c r="A615" s="27">
        <v>7.44</v>
      </c>
      <c r="B615" s="27"/>
    </row>
    <row r="616" spans="1:2" ht="16" x14ac:dyDescent="0.2">
      <c r="A616" s="27">
        <v>7.06</v>
      </c>
      <c r="B616" s="27"/>
    </row>
    <row r="617" spans="1:2" ht="16" x14ac:dyDescent="0.2">
      <c r="A617" s="27">
        <v>7.78</v>
      </c>
      <c r="B617" s="27"/>
    </row>
    <row r="618" spans="1:2" ht="16" x14ac:dyDescent="0.2">
      <c r="A618" s="27">
        <v>3.35</v>
      </c>
      <c r="B618" s="27"/>
    </row>
    <row r="619" spans="1:2" ht="16" x14ac:dyDescent="0.2">
      <c r="A619" s="27">
        <v>3.41</v>
      </c>
      <c r="B619" s="27"/>
    </row>
    <row r="620" spans="1:2" ht="16" x14ac:dyDescent="0.2">
      <c r="A620" s="27">
        <v>3.94</v>
      </c>
      <c r="B620" s="27"/>
    </row>
    <row r="621" spans="1:2" ht="16" x14ac:dyDescent="0.2">
      <c r="A621" s="27">
        <v>3.68</v>
      </c>
      <c r="B621" s="27"/>
    </row>
    <row r="622" spans="1:2" ht="16" x14ac:dyDescent="0.2">
      <c r="A622" s="27">
        <v>8.67</v>
      </c>
      <c r="B622" s="27"/>
    </row>
    <row r="623" spans="1:2" ht="16" x14ac:dyDescent="0.2">
      <c r="A623" s="27">
        <v>3.08</v>
      </c>
      <c r="B623" s="27"/>
    </row>
    <row r="624" spans="1:2" ht="16" x14ac:dyDescent="0.2">
      <c r="A624" s="27">
        <v>4.7</v>
      </c>
      <c r="B624" s="27"/>
    </row>
    <row r="625" spans="1:2" ht="16" x14ac:dyDescent="0.2">
      <c r="A625" s="27">
        <v>4.66</v>
      </c>
      <c r="B625" s="27"/>
    </row>
    <row r="626" spans="1:2" ht="16" x14ac:dyDescent="0.2">
      <c r="A626" s="27">
        <v>3.29</v>
      </c>
      <c r="B626" s="27"/>
    </row>
    <row r="627" spans="1:2" ht="16" x14ac:dyDescent="0.2">
      <c r="A627" s="27">
        <v>5.0999999999999996</v>
      </c>
      <c r="B627" s="27"/>
    </row>
    <row r="628" spans="1:2" ht="16" x14ac:dyDescent="0.2">
      <c r="A628" s="27">
        <v>5.26</v>
      </c>
      <c r="B628" s="27"/>
    </row>
    <row r="629" spans="1:2" ht="16" x14ac:dyDescent="0.2">
      <c r="A629" s="27">
        <v>3.98</v>
      </c>
      <c r="B629" s="27"/>
    </row>
    <row r="630" spans="1:2" ht="16" x14ac:dyDescent="0.2">
      <c r="A630" s="27">
        <v>3.89</v>
      </c>
      <c r="B630" s="27"/>
    </row>
    <row r="631" spans="1:2" ht="16" x14ac:dyDescent="0.2">
      <c r="A631" s="27">
        <v>3.17</v>
      </c>
      <c r="B631" s="2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7776-D7DE-450E-86F7-AE960F4F3B77}">
  <dimension ref="A1:M112"/>
  <sheetViews>
    <sheetView topLeftCell="A13" workbookViewId="0">
      <selection activeCell="H13" sqref="H13"/>
    </sheetView>
  </sheetViews>
  <sheetFormatPr baseColWidth="10" defaultColWidth="8.83203125" defaultRowHeight="15" x14ac:dyDescent="0.2"/>
  <cols>
    <col min="5" max="5" width="53.5" customWidth="1"/>
    <col min="6" max="6" width="29.6640625" customWidth="1"/>
    <col min="7" max="8" width="9.1640625"/>
  </cols>
  <sheetData>
    <row r="1" spans="1:13" s="11" customFormat="1" ht="21" x14ac:dyDescent="0.25">
      <c r="A1" s="11" t="s">
        <v>25</v>
      </c>
      <c r="B1" s="11" t="s">
        <v>158</v>
      </c>
      <c r="M1" s="11" t="s">
        <v>26</v>
      </c>
    </row>
    <row r="2" spans="1:13" x14ac:dyDescent="0.2">
      <c r="B2" s="12" t="s">
        <v>14</v>
      </c>
      <c r="C2" s="12" t="s">
        <v>15</v>
      </c>
      <c r="E2" s="15" t="s">
        <v>30</v>
      </c>
      <c r="F2" s="13" t="s">
        <v>157</v>
      </c>
      <c r="G2" s="6"/>
      <c r="H2" s="6"/>
    </row>
    <row r="3" spans="1:13" x14ac:dyDescent="0.2">
      <c r="B3" s="13">
        <v>25.146198829999999</v>
      </c>
      <c r="C3" s="13">
        <v>14.041095889999999</v>
      </c>
      <c r="E3" s="15"/>
      <c r="F3" s="13"/>
      <c r="G3" s="5"/>
      <c r="H3" s="5"/>
    </row>
    <row r="4" spans="1:13" x14ac:dyDescent="0.2">
      <c r="B4" s="13">
        <v>32.31707317</v>
      </c>
      <c r="C4" s="13">
        <v>0</v>
      </c>
      <c r="E4" s="15" t="s">
        <v>32</v>
      </c>
      <c r="F4" s="13" t="s">
        <v>15</v>
      </c>
      <c r="G4" s="5"/>
      <c r="H4" s="5"/>
    </row>
    <row r="5" spans="1:13" x14ac:dyDescent="0.2">
      <c r="B5" s="13">
        <v>27.124183009999999</v>
      </c>
      <c r="C5" s="13">
        <v>0</v>
      </c>
      <c r="E5" s="15" t="s">
        <v>33</v>
      </c>
      <c r="F5" s="13" t="s">
        <v>33</v>
      </c>
      <c r="G5" s="5"/>
      <c r="H5" s="5"/>
    </row>
    <row r="6" spans="1:13" x14ac:dyDescent="0.2">
      <c r="B6" s="13">
        <v>27.335640139999999</v>
      </c>
      <c r="C6" s="13">
        <v>0</v>
      </c>
      <c r="E6" s="15" t="s">
        <v>34</v>
      </c>
      <c r="F6" s="13" t="s">
        <v>14</v>
      </c>
      <c r="G6" s="5"/>
      <c r="H6" s="5"/>
    </row>
    <row r="7" spans="1:13" x14ac:dyDescent="0.2">
      <c r="B7" s="13">
        <v>4.6728971960000001</v>
      </c>
      <c r="C7" s="13">
        <v>19.01408451</v>
      </c>
      <c r="E7" s="15"/>
      <c r="F7" s="13"/>
      <c r="G7" s="5"/>
      <c r="H7" s="5"/>
    </row>
    <row r="8" spans="1:13" x14ac:dyDescent="0.2">
      <c r="B8" s="13">
        <v>29.41176471</v>
      </c>
      <c r="C8" s="13">
        <v>5.3608247420000001</v>
      </c>
      <c r="E8" s="15" t="s">
        <v>145</v>
      </c>
      <c r="F8" s="13"/>
      <c r="G8" s="5"/>
      <c r="H8" s="5"/>
    </row>
    <row r="9" spans="1:13" x14ac:dyDescent="0.2">
      <c r="B9" s="13">
        <v>32.837370239999998</v>
      </c>
      <c r="C9" s="13">
        <v>0</v>
      </c>
      <c r="E9" s="15" t="s">
        <v>35</v>
      </c>
      <c r="F9" s="13" t="s">
        <v>36</v>
      </c>
      <c r="G9" s="5"/>
      <c r="H9" s="5"/>
    </row>
    <row r="10" spans="1:13" x14ac:dyDescent="0.2">
      <c r="B10" s="13">
        <v>3.3333333330000001</v>
      </c>
      <c r="C10" s="13">
        <v>0</v>
      </c>
      <c r="E10" s="15" t="s">
        <v>37</v>
      </c>
      <c r="F10" s="13" t="s">
        <v>38</v>
      </c>
      <c r="G10" s="5"/>
      <c r="H10" s="5"/>
    </row>
    <row r="11" spans="1:13" x14ac:dyDescent="0.2">
      <c r="B11" s="13">
        <v>27.652733120000001</v>
      </c>
      <c r="C11" s="13">
        <v>0</v>
      </c>
      <c r="E11" s="15" t="s">
        <v>39</v>
      </c>
      <c r="F11" s="13" t="s">
        <v>40</v>
      </c>
      <c r="G11" s="5"/>
      <c r="H11" s="5"/>
    </row>
    <row r="12" spans="1:13" x14ac:dyDescent="0.2">
      <c r="B12" s="13">
        <v>28.22580645</v>
      </c>
      <c r="C12" s="13">
        <v>0.27472527470000002</v>
      </c>
      <c r="E12" s="15" t="s">
        <v>41</v>
      </c>
      <c r="F12" s="13" t="s">
        <v>42</v>
      </c>
      <c r="G12" s="5"/>
      <c r="H12" s="5"/>
    </row>
    <row r="13" spans="1:13" x14ac:dyDescent="0.2">
      <c r="B13" s="13">
        <v>45.652173910000002</v>
      </c>
      <c r="C13" s="13">
        <v>4.255319149</v>
      </c>
      <c r="E13" s="15" t="s">
        <v>43</v>
      </c>
      <c r="F13" s="13" t="s">
        <v>164</v>
      </c>
      <c r="G13" s="5"/>
      <c r="H13" s="5"/>
    </row>
    <row r="14" spans="1:13" x14ac:dyDescent="0.2">
      <c r="B14" s="13">
        <v>17.964071860000001</v>
      </c>
      <c r="C14" s="13">
        <v>21.485943779999999</v>
      </c>
      <c r="E14" s="15" t="s">
        <v>147</v>
      </c>
      <c r="F14" s="13">
        <v>110</v>
      </c>
      <c r="G14" s="5"/>
      <c r="H14" s="5"/>
    </row>
    <row r="15" spans="1:13" x14ac:dyDescent="0.2">
      <c r="B15" s="13">
        <v>23.07692308</v>
      </c>
      <c r="C15" s="13">
        <v>0.27100270999999998</v>
      </c>
      <c r="E15" s="15"/>
      <c r="F15" s="13"/>
      <c r="G15" s="5"/>
      <c r="H15" s="5"/>
    </row>
    <row r="16" spans="1:13" x14ac:dyDescent="0.2">
      <c r="B16" s="13">
        <v>17.283950619999999</v>
      </c>
      <c r="C16" s="13">
        <v>0</v>
      </c>
      <c r="E16" s="15" t="s">
        <v>44</v>
      </c>
      <c r="F16" s="13"/>
      <c r="G16" s="5"/>
      <c r="H16" s="5"/>
    </row>
    <row r="17" spans="2:8" x14ac:dyDescent="0.2">
      <c r="B17" s="13">
        <v>15.948275860000001</v>
      </c>
      <c r="C17" s="13">
        <v>0</v>
      </c>
      <c r="E17" s="15" t="s">
        <v>148</v>
      </c>
      <c r="F17" s="13">
        <v>-21.26</v>
      </c>
      <c r="G17" s="5"/>
      <c r="H17" s="5"/>
    </row>
    <row r="18" spans="2:8" x14ac:dyDescent="0.2">
      <c r="B18" s="13">
        <v>26.989619380000001</v>
      </c>
      <c r="C18" s="13">
        <v>0</v>
      </c>
      <c r="E18" s="15" t="s">
        <v>149</v>
      </c>
      <c r="F18" s="13">
        <v>13.22</v>
      </c>
      <c r="G18" s="5"/>
      <c r="H18" s="5"/>
    </row>
    <row r="19" spans="2:8" x14ac:dyDescent="0.2">
      <c r="B19" s="13">
        <v>19.2893401</v>
      </c>
      <c r="C19" s="13">
        <v>0.16583747930000001</v>
      </c>
      <c r="E19" s="15" t="s">
        <v>150</v>
      </c>
      <c r="F19" s="13">
        <v>1.26</v>
      </c>
      <c r="G19" s="5"/>
      <c r="H19" s="5"/>
    </row>
    <row r="20" spans="2:8" x14ac:dyDescent="0.2">
      <c r="B20" s="13">
        <v>44.254278730000003</v>
      </c>
      <c r="C20" s="13">
        <v>0</v>
      </c>
      <c r="E20" s="15" t="s">
        <v>45</v>
      </c>
      <c r="F20" s="13" t="s">
        <v>165</v>
      </c>
      <c r="G20" s="5"/>
      <c r="H20" s="5"/>
    </row>
    <row r="21" spans="2:8" x14ac:dyDescent="0.2">
      <c r="B21" s="13">
        <v>4.6948356809999998</v>
      </c>
      <c r="C21" s="13">
        <v>12.933753940000001</v>
      </c>
      <c r="E21" s="15" t="s">
        <v>152</v>
      </c>
      <c r="F21" s="13">
        <v>0.72309999999999997</v>
      </c>
      <c r="G21" s="5"/>
      <c r="H21" s="5"/>
    </row>
    <row r="22" spans="2:8" x14ac:dyDescent="0.2">
      <c r="B22" s="13">
        <v>12.413793099999999</v>
      </c>
      <c r="C22" s="13">
        <v>13.359528490000001</v>
      </c>
      <c r="E22" s="15"/>
      <c r="F22" s="13"/>
      <c r="G22" s="5"/>
      <c r="H22" s="5"/>
    </row>
    <row r="23" spans="2:8" x14ac:dyDescent="0.2">
      <c r="B23" s="13">
        <v>9.9290780139999999</v>
      </c>
      <c r="C23" s="13">
        <v>0.2538071066</v>
      </c>
      <c r="E23" s="15" t="s">
        <v>153</v>
      </c>
      <c r="F23" s="13"/>
      <c r="G23" s="5"/>
      <c r="H23" s="5"/>
    </row>
    <row r="24" spans="2:8" x14ac:dyDescent="0.2">
      <c r="B24" s="13">
        <v>2.0202020200000002</v>
      </c>
      <c r="C24" s="13">
        <v>0</v>
      </c>
      <c r="E24" s="15" t="s">
        <v>154</v>
      </c>
      <c r="F24" s="13">
        <v>-0.1114</v>
      </c>
      <c r="G24" s="5"/>
      <c r="H24" s="5"/>
    </row>
    <row r="25" spans="2:8" x14ac:dyDescent="0.2">
      <c r="B25" s="13">
        <v>28.4375</v>
      </c>
      <c r="C25" s="13">
        <v>0.97799510999999995</v>
      </c>
      <c r="E25" s="15" t="s">
        <v>155</v>
      </c>
      <c r="F25" s="13">
        <v>0.1232</v>
      </c>
      <c r="G25" s="5"/>
      <c r="H25" s="5"/>
    </row>
    <row r="26" spans="2:8" x14ac:dyDescent="0.2">
      <c r="B26" s="13">
        <v>13.3126935</v>
      </c>
      <c r="C26" s="13">
        <v>0</v>
      </c>
      <c r="E26" s="15" t="s">
        <v>37</v>
      </c>
      <c r="F26" s="13" t="s">
        <v>67</v>
      </c>
      <c r="G26" s="5"/>
      <c r="H26" s="5"/>
    </row>
    <row r="27" spans="2:8" x14ac:dyDescent="0.2">
      <c r="B27" s="13">
        <v>11.21076233</v>
      </c>
      <c r="C27" s="13">
        <v>0</v>
      </c>
      <c r="E27" s="15" t="s">
        <v>156</v>
      </c>
      <c r="F27" s="13" t="s">
        <v>66</v>
      </c>
      <c r="G27" s="5"/>
      <c r="H27" s="5"/>
    </row>
    <row r="28" spans="2:8" x14ac:dyDescent="0.2">
      <c r="B28" s="13">
        <v>13.592233009999999</v>
      </c>
      <c r="C28" s="13">
        <v>0</v>
      </c>
      <c r="E28" s="15"/>
      <c r="F28" s="13"/>
      <c r="G28" s="5"/>
      <c r="H28" s="5"/>
    </row>
    <row r="29" spans="2:8" x14ac:dyDescent="0.2">
      <c r="B29" s="13">
        <v>33.333333330000002</v>
      </c>
      <c r="C29" s="13">
        <v>16.523605150000002</v>
      </c>
      <c r="E29" s="15" t="s">
        <v>47</v>
      </c>
      <c r="F29" s="13">
        <v>110</v>
      </c>
      <c r="G29" s="5"/>
      <c r="H29" s="5"/>
    </row>
    <row r="30" spans="2:8" x14ac:dyDescent="0.2">
      <c r="B30" s="13">
        <v>3.558718861</v>
      </c>
      <c r="C30" s="13">
        <v>4.8286604359999998</v>
      </c>
      <c r="E30" s="15" t="s">
        <v>48</v>
      </c>
      <c r="F30" s="13">
        <v>110</v>
      </c>
      <c r="G30" s="5"/>
      <c r="H30" s="5"/>
    </row>
    <row r="31" spans="2:8" x14ac:dyDescent="0.2">
      <c r="B31" s="13">
        <v>6.7055393590000003</v>
      </c>
      <c r="C31" s="13">
        <v>0</v>
      </c>
      <c r="E31" s="15"/>
      <c r="F31" s="13"/>
      <c r="G31" s="5"/>
      <c r="H31" s="5"/>
    </row>
    <row r="32" spans="2:8" x14ac:dyDescent="0.2">
      <c r="B32" s="13">
        <v>33.084577109999998</v>
      </c>
      <c r="C32" s="13">
        <v>0</v>
      </c>
      <c r="G32" s="5"/>
      <c r="H32" s="5"/>
    </row>
    <row r="33" spans="2:8" x14ac:dyDescent="0.2">
      <c r="B33" s="13">
        <v>19.80519481</v>
      </c>
      <c r="C33" s="13">
        <v>0</v>
      </c>
      <c r="G33" s="5"/>
      <c r="H33" s="5"/>
    </row>
    <row r="34" spans="2:8" x14ac:dyDescent="0.2">
      <c r="B34" s="13">
        <v>27.61904762</v>
      </c>
      <c r="C34" s="13">
        <v>0</v>
      </c>
      <c r="G34" s="5"/>
      <c r="H34" s="5"/>
    </row>
    <row r="35" spans="2:8" x14ac:dyDescent="0.2">
      <c r="B35" s="13">
        <v>36.624203819999998</v>
      </c>
      <c r="C35" s="13">
        <v>15.49295775</v>
      </c>
      <c r="G35" s="5"/>
      <c r="H35" s="5"/>
    </row>
    <row r="36" spans="2:8" x14ac:dyDescent="0.2">
      <c r="B36" s="13">
        <v>25.56634304</v>
      </c>
      <c r="C36" s="13">
        <v>17.402862989999999</v>
      </c>
      <c r="G36" s="5"/>
      <c r="H36" s="5"/>
    </row>
    <row r="37" spans="2:8" x14ac:dyDescent="0.2">
      <c r="B37" s="13">
        <v>16.236162360000002</v>
      </c>
      <c r="C37" s="13">
        <v>0</v>
      </c>
      <c r="G37" s="5"/>
      <c r="H37" s="5"/>
    </row>
    <row r="38" spans="2:8" x14ac:dyDescent="0.2">
      <c r="B38" s="13">
        <v>23.125</v>
      </c>
      <c r="C38" s="13">
        <v>0</v>
      </c>
      <c r="G38" s="5"/>
      <c r="H38" s="5"/>
    </row>
    <row r="39" spans="2:8" x14ac:dyDescent="0.2">
      <c r="B39" s="13">
        <v>11.40142518</v>
      </c>
      <c r="C39" s="13">
        <v>0</v>
      </c>
      <c r="G39" s="5"/>
      <c r="H39" s="5"/>
    </row>
    <row r="40" spans="2:8" x14ac:dyDescent="0.2">
      <c r="B40" s="13">
        <v>30.839002270000002</v>
      </c>
      <c r="C40" s="13">
        <v>0.87976539590000002</v>
      </c>
      <c r="G40" s="5"/>
      <c r="H40" s="5"/>
    </row>
    <row r="41" spans="2:8" x14ac:dyDescent="0.2">
      <c r="B41" s="13">
        <v>13.553113550000001</v>
      </c>
      <c r="C41" s="13">
        <v>0.23094688220000001</v>
      </c>
      <c r="G41" s="5"/>
      <c r="H41" s="5"/>
    </row>
    <row r="42" spans="2:8" x14ac:dyDescent="0.2">
      <c r="B42" s="13">
        <v>16.182572610000001</v>
      </c>
      <c r="C42" s="13">
        <v>0</v>
      </c>
      <c r="G42" s="5"/>
      <c r="H42" s="5"/>
    </row>
    <row r="43" spans="2:8" x14ac:dyDescent="0.2">
      <c r="B43" s="13">
        <v>15.100671139999999</v>
      </c>
      <c r="C43" s="13">
        <v>16.766467070000001</v>
      </c>
      <c r="G43" s="5"/>
      <c r="H43" s="5"/>
    </row>
    <row r="44" spans="2:8" x14ac:dyDescent="0.2">
      <c r="B44" s="13">
        <v>14.37699681</v>
      </c>
      <c r="C44" s="13">
        <v>17.1875</v>
      </c>
      <c r="G44" s="5"/>
      <c r="H44" s="5"/>
    </row>
    <row r="45" spans="2:8" x14ac:dyDescent="0.2">
      <c r="B45" s="13">
        <v>13.803680979999999</v>
      </c>
      <c r="C45" s="13">
        <v>0</v>
      </c>
      <c r="G45" s="5"/>
      <c r="H45" s="5"/>
    </row>
    <row r="46" spans="2:8" x14ac:dyDescent="0.2">
      <c r="B46" s="13">
        <v>9.7165991900000002</v>
      </c>
      <c r="C46" s="13">
        <v>0</v>
      </c>
      <c r="G46" s="5"/>
      <c r="H46" s="5"/>
    </row>
    <row r="47" spans="2:8" x14ac:dyDescent="0.2">
      <c r="B47" s="13">
        <v>24.922118380000001</v>
      </c>
      <c r="C47" s="13">
        <v>10.63380282</v>
      </c>
      <c r="G47" s="5"/>
      <c r="H47" s="5"/>
    </row>
    <row r="48" spans="2:8" x14ac:dyDescent="0.2">
      <c r="B48" s="13">
        <v>29.552238809999999</v>
      </c>
      <c r="C48" s="13">
        <v>0.73746312680000004</v>
      </c>
      <c r="G48" s="5"/>
      <c r="H48" s="5"/>
    </row>
    <row r="49" spans="2:8" x14ac:dyDescent="0.2">
      <c r="B49" s="13">
        <v>30.996309960000001</v>
      </c>
      <c r="C49" s="13">
        <v>0</v>
      </c>
      <c r="G49" s="5"/>
      <c r="H49" s="5"/>
    </row>
    <row r="50" spans="2:8" x14ac:dyDescent="0.2">
      <c r="B50" s="13">
        <v>10.263929620000001</v>
      </c>
      <c r="C50" s="13">
        <v>0</v>
      </c>
      <c r="G50" s="5"/>
      <c r="H50" s="5"/>
    </row>
    <row r="51" spans="2:8" x14ac:dyDescent="0.2">
      <c r="B51" s="13">
        <v>1.729106628</v>
      </c>
      <c r="C51" s="13">
        <v>12.04819277</v>
      </c>
      <c r="G51" s="5"/>
      <c r="H51" s="5"/>
    </row>
    <row r="52" spans="2:8" x14ac:dyDescent="0.2">
      <c r="B52" s="13">
        <v>7.9754601230000004</v>
      </c>
      <c r="C52" s="13">
        <v>6.153846154</v>
      </c>
      <c r="G52" s="5"/>
      <c r="H52" s="5"/>
    </row>
    <row r="53" spans="2:8" x14ac:dyDescent="0.2">
      <c r="B53" s="13">
        <v>34.136546180000003</v>
      </c>
      <c r="C53" s="13">
        <v>0.5649717514</v>
      </c>
      <c r="G53" s="5"/>
      <c r="H53" s="5"/>
    </row>
    <row r="54" spans="2:8" x14ac:dyDescent="0.2">
      <c r="B54" s="13">
        <v>19.39058172</v>
      </c>
      <c r="C54" s="13">
        <v>0.2100840336</v>
      </c>
      <c r="G54" s="5"/>
      <c r="H54" s="5"/>
    </row>
    <row r="55" spans="2:8" x14ac:dyDescent="0.2">
      <c r="B55" s="13">
        <v>12.10762332</v>
      </c>
      <c r="C55" s="13">
        <v>0</v>
      </c>
      <c r="G55" s="5"/>
      <c r="H55" s="5"/>
    </row>
    <row r="56" spans="2:8" x14ac:dyDescent="0.2">
      <c r="B56" s="13">
        <v>42.467532470000002</v>
      </c>
      <c r="C56" s="13">
        <v>0</v>
      </c>
      <c r="G56" s="5"/>
      <c r="H56" s="5"/>
    </row>
    <row r="57" spans="2:8" x14ac:dyDescent="0.2">
      <c r="B57" s="13">
        <v>34.020618560000003</v>
      </c>
      <c r="C57" s="13">
        <v>11.390532540000001</v>
      </c>
      <c r="G57" s="5"/>
      <c r="H57" s="5"/>
    </row>
    <row r="58" spans="2:8" x14ac:dyDescent="0.2">
      <c r="B58" s="13">
        <v>34.698113210000002</v>
      </c>
      <c r="C58" s="13">
        <v>5.4205607499999999</v>
      </c>
      <c r="G58" s="5"/>
      <c r="H58" s="5"/>
    </row>
    <row r="59" spans="2:8" x14ac:dyDescent="0.2">
      <c r="B59" s="13">
        <v>14.12639405</v>
      </c>
      <c r="C59" s="13">
        <v>0</v>
      </c>
      <c r="G59" s="5"/>
      <c r="H59" s="5"/>
    </row>
    <row r="60" spans="2:8" x14ac:dyDescent="0.2">
      <c r="B60" s="13">
        <v>36.6255144</v>
      </c>
      <c r="C60" s="13">
        <v>0</v>
      </c>
      <c r="G60" s="5"/>
      <c r="H60" s="5"/>
    </row>
    <row r="61" spans="2:8" x14ac:dyDescent="0.2">
      <c r="B61" s="13">
        <v>30.630630629999999</v>
      </c>
      <c r="C61" s="13">
        <v>0</v>
      </c>
      <c r="G61" s="5"/>
      <c r="H61" s="5"/>
    </row>
    <row r="62" spans="2:8" x14ac:dyDescent="0.2">
      <c r="B62" s="13">
        <v>33.839479390000001</v>
      </c>
      <c r="C62" s="13">
        <v>0</v>
      </c>
      <c r="G62" s="5"/>
      <c r="H62" s="5"/>
    </row>
    <row r="63" spans="2:8" x14ac:dyDescent="0.2">
      <c r="B63" s="13">
        <v>21.79104478</v>
      </c>
      <c r="C63" s="13">
        <v>0</v>
      </c>
      <c r="G63" s="5"/>
      <c r="H63" s="5"/>
    </row>
    <row r="64" spans="2:8" x14ac:dyDescent="0.2">
      <c r="B64" s="13">
        <v>22.0657277</v>
      </c>
      <c r="C64" s="13">
        <v>0.34965034969999997</v>
      </c>
      <c r="G64" s="5"/>
      <c r="H64" s="5"/>
    </row>
    <row r="65" spans="2:8" x14ac:dyDescent="0.2">
      <c r="B65" s="13">
        <v>12.15469613</v>
      </c>
      <c r="C65" s="13">
        <v>6.9825436410000004</v>
      </c>
      <c r="G65" s="5"/>
      <c r="H65" s="5"/>
    </row>
    <row r="66" spans="2:8" x14ac:dyDescent="0.2">
      <c r="B66" s="13">
        <v>12.5</v>
      </c>
      <c r="C66" s="13">
        <v>12.686567159999999</v>
      </c>
      <c r="G66" s="5"/>
      <c r="H66" s="5"/>
    </row>
    <row r="67" spans="2:8" x14ac:dyDescent="0.2">
      <c r="B67" s="13">
        <v>16.935483869999999</v>
      </c>
      <c r="C67" s="13">
        <v>0</v>
      </c>
      <c r="G67" s="5"/>
      <c r="H67" s="5"/>
    </row>
    <row r="68" spans="2:8" x14ac:dyDescent="0.2">
      <c r="B68" s="13">
        <v>23.703703699999998</v>
      </c>
      <c r="C68" s="13">
        <v>0.23696682459999999</v>
      </c>
      <c r="G68" s="5"/>
      <c r="H68" s="5"/>
    </row>
    <row r="69" spans="2:8" x14ac:dyDescent="0.2">
      <c r="B69" s="13">
        <v>15.966386549999999</v>
      </c>
      <c r="C69" s="13">
        <v>0.16722408029999999</v>
      </c>
      <c r="G69" s="5"/>
      <c r="H69" s="5"/>
    </row>
    <row r="70" spans="2:8" x14ac:dyDescent="0.2">
      <c r="B70" s="13">
        <v>31.496062989999999</v>
      </c>
      <c r="C70" s="13">
        <v>0</v>
      </c>
      <c r="G70" s="5"/>
      <c r="H70" s="5"/>
    </row>
    <row r="71" spans="2:8" x14ac:dyDescent="0.2">
      <c r="B71" s="13">
        <v>23.643410849999999</v>
      </c>
      <c r="C71" s="13">
        <v>0</v>
      </c>
      <c r="G71" s="5"/>
      <c r="H71" s="5"/>
    </row>
    <row r="72" spans="2:8" x14ac:dyDescent="0.2">
      <c r="B72" s="13">
        <v>34.597156400000003</v>
      </c>
      <c r="C72" s="13">
        <v>0.18867924529999999</v>
      </c>
      <c r="G72" s="5"/>
      <c r="H72" s="5"/>
    </row>
    <row r="73" spans="2:8" x14ac:dyDescent="0.2">
      <c r="B73" s="13">
        <v>38.321167879999997</v>
      </c>
      <c r="C73" s="13">
        <v>11.592964820000001</v>
      </c>
      <c r="G73" s="5"/>
      <c r="H73" s="5"/>
    </row>
    <row r="74" spans="2:8" x14ac:dyDescent="0.2">
      <c r="B74" s="13">
        <v>16.129032259999999</v>
      </c>
      <c r="C74" s="13">
        <v>0.16155088849999999</v>
      </c>
      <c r="G74" s="5"/>
      <c r="H74" s="5"/>
    </row>
    <row r="75" spans="2:8" x14ac:dyDescent="0.2">
      <c r="B75" s="13">
        <v>28.34645669</v>
      </c>
      <c r="C75" s="13">
        <v>0</v>
      </c>
      <c r="G75" s="5"/>
      <c r="H75" s="5"/>
    </row>
    <row r="76" spans="2:8" x14ac:dyDescent="0.2">
      <c r="B76" s="13">
        <v>56.074766359999998</v>
      </c>
      <c r="C76" s="13">
        <v>0</v>
      </c>
      <c r="G76" s="5"/>
      <c r="H76" s="5"/>
    </row>
    <row r="77" spans="2:8" x14ac:dyDescent="0.2">
      <c r="B77" s="13">
        <v>34.677419350000001</v>
      </c>
      <c r="C77" s="13">
        <v>0</v>
      </c>
      <c r="G77" s="5"/>
      <c r="H77" s="5"/>
    </row>
    <row r="78" spans="2:8" x14ac:dyDescent="0.2">
      <c r="B78" s="13">
        <v>29.12280702</v>
      </c>
      <c r="C78" s="13">
        <v>0</v>
      </c>
      <c r="G78" s="5"/>
      <c r="H78" s="5"/>
    </row>
    <row r="79" spans="2:8" x14ac:dyDescent="0.2">
      <c r="B79" s="13">
        <v>38.799999999999997</v>
      </c>
      <c r="C79" s="13">
        <v>14.22330097</v>
      </c>
      <c r="G79" s="5"/>
      <c r="H79" s="5"/>
    </row>
    <row r="80" spans="2:8" x14ac:dyDescent="0.2">
      <c r="B80" s="13">
        <v>21.576763490000001</v>
      </c>
      <c r="C80" s="13">
        <v>3.3560090699999998</v>
      </c>
      <c r="G80" s="5"/>
      <c r="H80" s="5"/>
    </row>
    <row r="81" spans="2:8" x14ac:dyDescent="0.2">
      <c r="B81" s="13">
        <v>29.777777780000001</v>
      </c>
      <c r="C81" s="13">
        <v>0</v>
      </c>
      <c r="G81" s="5"/>
      <c r="H81" s="5"/>
    </row>
    <row r="82" spans="2:8" x14ac:dyDescent="0.2">
      <c r="B82" s="13">
        <v>34.415584420000002</v>
      </c>
      <c r="C82" s="13">
        <v>0.22573363430000001</v>
      </c>
      <c r="G82" s="5"/>
      <c r="H82" s="5"/>
    </row>
    <row r="83" spans="2:8" x14ac:dyDescent="0.2">
      <c r="B83" s="13">
        <v>15.23809524</v>
      </c>
      <c r="C83" s="13">
        <v>0</v>
      </c>
      <c r="G83" s="5"/>
      <c r="H83" s="5"/>
    </row>
    <row r="84" spans="2:8" x14ac:dyDescent="0.2">
      <c r="B84" s="13">
        <v>34.285714290000001</v>
      </c>
      <c r="C84" s="13">
        <v>0</v>
      </c>
      <c r="G84" s="5"/>
      <c r="H84" s="5"/>
    </row>
    <row r="85" spans="2:8" x14ac:dyDescent="0.2">
      <c r="B85" s="13">
        <v>22.352941179999998</v>
      </c>
      <c r="C85" s="13">
        <v>0</v>
      </c>
      <c r="G85" s="5"/>
      <c r="H85" s="5"/>
    </row>
    <row r="86" spans="2:8" x14ac:dyDescent="0.2">
      <c r="B86" s="13">
        <v>20.93023256</v>
      </c>
      <c r="C86" s="13">
        <v>0</v>
      </c>
      <c r="G86" s="5"/>
      <c r="H86" s="5"/>
    </row>
    <row r="87" spans="2:8" x14ac:dyDescent="0.2">
      <c r="B87" s="13">
        <v>28.301886790000001</v>
      </c>
      <c r="C87" s="13">
        <v>13.708920190000001</v>
      </c>
      <c r="G87" s="5"/>
      <c r="H87" s="5"/>
    </row>
    <row r="88" spans="2:8" x14ac:dyDescent="0.2">
      <c r="B88" s="13">
        <v>25.816993459999999</v>
      </c>
      <c r="C88" s="13">
        <v>15.05966587</v>
      </c>
      <c r="G88" s="5"/>
      <c r="H88" s="5"/>
    </row>
    <row r="89" spans="2:8" x14ac:dyDescent="0.2">
      <c r="B89" s="13">
        <v>15.981735159999999</v>
      </c>
      <c r="C89" s="13">
        <v>0.35087719299999998</v>
      </c>
      <c r="G89" s="5"/>
      <c r="H89" s="5"/>
    </row>
    <row r="90" spans="2:8" x14ac:dyDescent="0.2">
      <c r="B90" s="13">
        <v>19.024390239999999</v>
      </c>
      <c r="C90" s="13">
        <v>0.33444816049999998</v>
      </c>
      <c r="G90" s="5"/>
      <c r="H90" s="5"/>
    </row>
    <row r="91" spans="2:8" x14ac:dyDescent="0.2">
      <c r="B91" s="13">
        <v>19.270833329999999</v>
      </c>
      <c r="C91" s="13">
        <v>0.39682539700000002</v>
      </c>
      <c r="G91" s="5"/>
      <c r="H91" s="5"/>
    </row>
    <row r="92" spans="2:8" x14ac:dyDescent="0.2">
      <c r="B92" s="13">
        <v>22.739726027</v>
      </c>
      <c r="C92" s="13">
        <v>0</v>
      </c>
      <c r="G92" s="5"/>
      <c r="H92" s="5"/>
    </row>
    <row r="93" spans="2:8" x14ac:dyDescent="0.2">
      <c r="B93" s="13">
        <v>6.5789473679999997</v>
      </c>
      <c r="C93" s="13">
        <v>0</v>
      </c>
      <c r="G93" s="5"/>
      <c r="H93" s="5"/>
    </row>
    <row r="94" spans="2:8" x14ac:dyDescent="0.2">
      <c r="B94" s="13">
        <v>11.470588234999999</v>
      </c>
      <c r="C94" s="13">
        <v>0.15948963320000001</v>
      </c>
      <c r="G94" s="5"/>
      <c r="H94" s="5"/>
    </row>
    <row r="95" spans="2:8" x14ac:dyDescent="0.2">
      <c r="B95" s="13">
        <v>26.465517241000001</v>
      </c>
      <c r="C95" s="13">
        <v>0</v>
      </c>
      <c r="G95" s="5"/>
      <c r="H95" s="5"/>
    </row>
    <row r="96" spans="2:8" x14ac:dyDescent="0.2">
      <c r="B96" s="13">
        <v>15.405405405</v>
      </c>
      <c r="C96" s="13">
        <v>0</v>
      </c>
      <c r="G96" s="5"/>
      <c r="H96" s="5"/>
    </row>
    <row r="97" spans="2:8" x14ac:dyDescent="0.2">
      <c r="B97" s="13">
        <v>47.457627119999998</v>
      </c>
      <c r="C97" s="13">
        <v>0</v>
      </c>
      <c r="G97" s="5"/>
      <c r="H97" s="5"/>
    </row>
    <row r="98" spans="2:8" x14ac:dyDescent="0.2">
      <c r="B98" s="13">
        <v>16.666666670000001</v>
      </c>
      <c r="C98" s="13">
        <v>0</v>
      </c>
      <c r="G98" s="5"/>
      <c r="H98" s="5"/>
    </row>
    <row r="99" spans="2:8" x14ac:dyDescent="0.2">
      <c r="B99" s="13">
        <v>20.467836259999999</v>
      </c>
      <c r="C99" s="13">
        <v>0</v>
      </c>
      <c r="G99" s="5"/>
      <c r="H99" s="5"/>
    </row>
    <row r="100" spans="2:8" x14ac:dyDescent="0.2">
      <c r="B100" s="13">
        <v>37.5</v>
      </c>
      <c r="C100" s="13">
        <v>0.56657223800000001</v>
      </c>
      <c r="G100" s="5"/>
      <c r="H100" s="5"/>
    </row>
    <row r="101" spans="2:8" x14ac:dyDescent="0.2">
      <c r="B101" s="13">
        <v>46.889952149999999</v>
      </c>
      <c r="C101" s="13">
        <v>0</v>
      </c>
      <c r="G101" s="5"/>
      <c r="H101" s="5"/>
    </row>
    <row r="102" spans="2:8" x14ac:dyDescent="0.2">
      <c r="B102" s="13">
        <v>25.641025639999999</v>
      </c>
      <c r="C102" s="13">
        <v>0</v>
      </c>
      <c r="G102" s="5"/>
      <c r="H102" s="5"/>
    </row>
    <row r="103" spans="2:8" x14ac:dyDescent="0.2">
      <c r="B103" s="13">
        <v>28.742514969999998</v>
      </c>
      <c r="C103" s="13">
        <v>0</v>
      </c>
      <c r="G103" s="5"/>
      <c r="H103" s="5"/>
    </row>
    <row r="104" spans="2:8" x14ac:dyDescent="0.2">
      <c r="B104" s="13">
        <v>43.75</v>
      </c>
      <c r="C104" s="13">
        <v>0</v>
      </c>
      <c r="G104" s="5"/>
      <c r="H104" s="5"/>
    </row>
    <row r="105" spans="2:8" x14ac:dyDescent="0.2">
      <c r="B105" s="13">
        <v>33.289473684000001</v>
      </c>
      <c r="C105" s="13">
        <v>0.30581039760000001</v>
      </c>
      <c r="G105" s="5"/>
      <c r="H105" s="5"/>
    </row>
    <row r="106" spans="2:8" x14ac:dyDescent="0.2">
      <c r="B106" s="13">
        <v>50.50583658</v>
      </c>
      <c r="C106" s="13">
        <v>0</v>
      </c>
      <c r="G106" s="5"/>
      <c r="H106" s="5"/>
    </row>
    <row r="107" spans="2:8" x14ac:dyDescent="0.2">
      <c r="B107" s="13">
        <v>35.483870969999998</v>
      </c>
      <c r="C107" s="13">
        <v>0</v>
      </c>
      <c r="G107" s="5"/>
      <c r="H107" s="5"/>
    </row>
    <row r="108" spans="2:8" x14ac:dyDescent="0.2">
      <c r="B108" s="13">
        <v>33.505154640000001</v>
      </c>
      <c r="C108" s="13">
        <v>0.2403846154</v>
      </c>
      <c r="G108" s="5"/>
      <c r="H108" s="5"/>
    </row>
    <row r="109" spans="2:8" x14ac:dyDescent="0.2">
      <c r="B109" s="13">
        <v>22.761194029999999</v>
      </c>
      <c r="C109" s="13">
        <v>0.91533180780000001</v>
      </c>
      <c r="G109" s="5"/>
      <c r="H109" s="5"/>
    </row>
    <row r="110" spans="2:8" x14ac:dyDescent="0.2">
      <c r="B110" s="13">
        <v>26.190476189999998</v>
      </c>
      <c r="C110" s="13">
        <v>0.26109660569999998</v>
      </c>
      <c r="G110" s="5"/>
      <c r="H110" s="5"/>
    </row>
    <row r="111" spans="2:8" x14ac:dyDescent="0.2">
      <c r="B111" s="13">
        <v>25.339366519999999</v>
      </c>
      <c r="C111" s="13">
        <v>0</v>
      </c>
      <c r="G111" s="5"/>
      <c r="H111" s="5"/>
    </row>
    <row r="112" spans="2:8" x14ac:dyDescent="0.2">
      <c r="B112" s="13">
        <v>37.647058819999998</v>
      </c>
      <c r="C112" s="13">
        <v>0</v>
      </c>
      <c r="G112" s="5"/>
      <c r="H112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5798-D48F-4BC5-AECE-E22483B68F4B}">
  <dimension ref="B1:G112"/>
  <sheetViews>
    <sheetView workbookViewId="0">
      <selection activeCell="I12" sqref="I12"/>
    </sheetView>
  </sheetViews>
  <sheetFormatPr baseColWidth="10" defaultColWidth="8.83203125" defaultRowHeight="15" x14ac:dyDescent="0.2"/>
  <cols>
    <col min="5" max="5" width="37" customWidth="1"/>
    <col min="6" max="6" width="48.33203125" customWidth="1"/>
    <col min="7" max="7" width="31.5" customWidth="1"/>
  </cols>
  <sheetData>
    <row r="1" spans="2:7" ht="21" x14ac:dyDescent="0.25">
      <c r="B1" s="11" t="s">
        <v>162</v>
      </c>
      <c r="C1" s="11"/>
      <c r="F1" s="4" t="s">
        <v>163</v>
      </c>
      <c r="G1" s="4"/>
    </row>
    <row r="2" spans="2:7" x14ac:dyDescent="0.2">
      <c r="B2" s="12" t="s">
        <v>14</v>
      </c>
      <c r="C2" s="12" t="s">
        <v>15</v>
      </c>
      <c r="F2" s="15" t="s">
        <v>30</v>
      </c>
      <c r="G2" s="13" t="s">
        <v>159</v>
      </c>
    </row>
    <row r="3" spans="2:7" x14ac:dyDescent="0.2">
      <c r="B3" s="13">
        <v>0.83102493070000005</v>
      </c>
      <c r="C3" s="13">
        <v>1.1764705879999999</v>
      </c>
      <c r="F3" s="15"/>
      <c r="G3" s="13"/>
    </row>
    <row r="4" spans="2:7" x14ac:dyDescent="0.2">
      <c r="B4" s="13">
        <v>2.4390243900000002</v>
      </c>
      <c r="C4" s="13">
        <v>0</v>
      </c>
      <c r="F4" s="15" t="s">
        <v>32</v>
      </c>
      <c r="G4" s="13" t="s">
        <v>15</v>
      </c>
    </row>
    <row r="5" spans="2:7" x14ac:dyDescent="0.2">
      <c r="B5" s="13">
        <v>4.1825095059999997</v>
      </c>
      <c r="C5" s="13">
        <v>0</v>
      </c>
      <c r="F5" s="15" t="s">
        <v>33</v>
      </c>
      <c r="G5" s="13" t="s">
        <v>33</v>
      </c>
    </row>
    <row r="6" spans="2:7" x14ac:dyDescent="0.2">
      <c r="B6" s="13">
        <v>2.4390243900000002</v>
      </c>
      <c r="C6" s="13">
        <v>1.4084507040000001</v>
      </c>
      <c r="F6" s="15" t="s">
        <v>34</v>
      </c>
      <c r="G6" s="13" t="s">
        <v>14</v>
      </c>
    </row>
    <row r="7" spans="2:7" x14ac:dyDescent="0.2">
      <c r="B7" s="13">
        <v>14.0625</v>
      </c>
      <c r="C7" s="13">
        <v>2.23880597</v>
      </c>
      <c r="F7" s="15"/>
      <c r="G7" s="13"/>
    </row>
    <row r="8" spans="2:7" x14ac:dyDescent="0.2">
      <c r="B8" s="13">
        <v>4.1095890410000004</v>
      </c>
      <c r="C8" s="13">
        <v>0</v>
      </c>
      <c r="F8" s="15" t="s">
        <v>145</v>
      </c>
      <c r="G8" s="13"/>
    </row>
    <row r="9" spans="2:7" x14ac:dyDescent="0.2">
      <c r="B9" s="13">
        <v>2.7972027970000002</v>
      </c>
      <c r="C9" s="13">
        <v>0</v>
      </c>
      <c r="F9" s="15" t="s">
        <v>35</v>
      </c>
      <c r="G9" s="13" t="s">
        <v>36</v>
      </c>
    </row>
    <row r="10" spans="2:7" x14ac:dyDescent="0.2">
      <c r="B10" s="13">
        <v>3.0303030299999998</v>
      </c>
      <c r="C10" s="13">
        <v>1</v>
      </c>
      <c r="F10" s="15" t="s">
        <v>37</v>
      </c>
      <c r="G10" s="13" t="s">
        <v>38</v>
      </c>
    </row>
    <row r="11" spans="2:7" x14ac:dyDescent="0.2">
      <c r="B11" s="13">
        <v>13.874345549999999</v>
      </c>
      <c r="C11" s="13">
        <v>1.526717557</v>
      </c>
      <c r="F11" s="15" t="s">
        <v>39</v>
      </c>
      <c r="G11" s="13" t="s">
        <v>40</v>
      </c>
    </row>
    <row r="12" spans="2:7" x14ac:dyDescent="0.2">
      <c r="B12" s="13">
        <v>3.3898305080000002</v>
      </c>
      <c r="C12" s="13">
        <v>0</v>
      </c>
      <c r="F12" s="15" t="s">
        <v>41</v>
      </c>
      <c r="G12" s="13" t="s">
        <v>42</v>
      </c>
    </row>
    <row r="13" spans="2:7" x14ac:dyDescent="0.2">
      <c r="B13" s="13">
        <v>0.33898305080000002</v>
      </c>
      <c r="C13" s="13">
        <v>0</v>
      </c>
      <c r="F13" s="15" t="s">
        <v>43</v>
      </c>
      <c r="G13" s="13" t="s">
        <v>160</v>
      </c>
    </row>
    <row r="14" spans="2:7" x14ac:dyDescent="0.2">
      <c r="B14" s="13">
        <v>12.76595745</v>
      </c>
      <c r="C14" s="13">
        <v>0</v>
      </c>
      <c r="F14" s="15" t="s">
        <v>147</v>
      </c>
      <c r="G14" s="13">
        <v>110</v>
      </c>
    </row>
    <row r="15" spans="2:7" x14ac:dyDescent="0.2">
      <c r="B15" s="13">
        <v>12.34567901</v>
      </c>
      <c r="C15" s="13">
        <v>0</v>
      </c>
      <c r="F15" s="15"/>
      <c r="G15" s="13"/>
    </row>
    <row r="16" spans="2:7" x14ac:dyDescent="0.2">
      <c r="B16" s="13">
        <v>8.0246913580000001</v>
      </c>
      <c r="C16" s="13">
        <v>0</v>
      </c>
      <c r="F16" s="15" t="s">
        <v>44</v>
      </c>
      <c r="G16" s="13"/>
    </row>
    <row r="17" spans="2:7" x14ac:dyDescent="0.2">
      <c r="B17" s="13">
        <v>12.68436578</v>
      </c>
      <c r="C17" s="13">
        <v>0</v>
      </c>
      <c r="F17" s="15" t="s">
        <v>148</v>
      </c>
      <c r="G17" s="13">
        <v>-6.7450000000000001</v>
      </c>
    </row>
    <row r="18" spans="2:7" x14ac:dyDescent="0.2">
      <c r="B18" s="13">
        <v>4.2801556420000004</v>
      </c>
      <c r="C18" s="13">
        <v>0</v>
      </c>
      <c r="F18" s="15" t="s">
        <v>149</v>
      </c>
      <c r="G18" s="13">
        <v>7.6050000000000004</v>
      </c>
    </row>
    <row r="19" spans="2:7" x14ac:dyDescent="0.2">
      <c r="B19" s="13">
        <v>4.4303797469999999</v>
      </c>
      <c r="C19" s="13">
        <v>1.4084507040000001</v>
      </c>
      <c r="F19" s="15" t="s">
        <v>150</v>
      </c>
      <c r="G19" s="13">
        <v>0.72509999999999997</v>
      </c>
    </row>
    <row r="20" spans="2:7" x14ac:dyDescent="0.2">
      <c r="B20" s="13">
        <v>4.2105263160000002</v>
      </c>
      <c r="C20" s="13">
        <v>0</v>
      </c>
      <c r="F20" s="15" t="s">
        <v>45</v>
      </c>
      <c r="G20" s="13" t="s">
        <v>161</v>
      </c>
    </row>
    <row r="21" spans="2:7" x14ac:dyDescent="0.2">
      <c r="B21" s="13">
        <v>0.59523809520000004</v>
      </c>
      <c r="C21" s="13">
        <v>0</v>
      </c>
      <c r="F21" s="15" t="s">
        <v>152</v>
      </c>
      <c r="G21" s="13">
        <v>0.4425</v>
      </c>
    </row>
    <row r="22" spans="2:7" x14ac:dyDescent="0.2">
      <c r="B22" s="13">
        <v>0</v>
      </c>
      <c r="C22" s="13">
        <v>0</v>
      </c>
      <c r="F22" s="15"/>
      <c r="G22" s="13"/>
    </row>
    <row r="23" spans="2:7" x14ac:dyDescent="0.2">
      <c r="B23" s="13">
        <v>0.80321285139999998</v>
      </c>
      <c r="C23" s="13">
        <v>0.33898305080000002</v>
      </c>
      <c r="F23" s="15" t="s">
        <v>153</v>
      </c>
      <c r="G23" s="13"/>
    </row>
    <row r="24" spans="2:7" x14ac:dyDescent="0.2">
      <c r="B24" s="13">
        <v>2.5316455699999998</v>
      </c>
      <c r="C24" s="13">
        <v>0</v>
      </c>
      <c r="F24" s="15" t="s">
        <v>154</v>
      </c>
      <c r="G24" s="13">
        <v>-5.1839999999999997E-2</v>
      </c>
    </row>
    <row r="25" spans="2:7" x14ac:dyDescent="0.2">
      <c r="B25" s="13">
        <v>10.34482759</v>
      </c>
      <c r="C25" s="13">
        <v>0.96309963099999996</v>
      </c>
      <c r="F25" s="15" t="s">
        <v>155</v>
      </c>
      <c r="G25" s="13">
        <v>0.29530000000000001</v>
      </c>
    </row>
    <row r="26" spans="2:7" x14ac:dyDescent="0.2">
      <c r="B26" s="13">
        <v>5.7057057059999998</v>
      </c>
      <c r="C26" s="13">
        <v>0</v>
      </c>
      <c r="F26" s="15" t="s">
        <v>37</v>
      </c>
      <c r="G26" s="13" t="s">
        <v>67</v>
      </c>
    </row>
    <row r="27" spans="2:7" x14ac:dyDescent="0.2">
      <c r="B27" s="13">
        <v>6.741573034</v>
      </c>
      <c r="C27" s="13">
        <v>0</v>
      </c>
      <c r="F27" s="15" t="s">
        <v>156</v>
      </c>
      <c r="G27" s="13" t="s">
        <v>66</v>
      </c>
    </row>
    <row r="28" spans="2:7" x14ac:dyDescent="0.2">
      <c r="B28" s="13">
        <v>2.3460410559999998</v>
      </c>
      <c r="C28" s="13">
        <v>0.43478261000000001</v>
      </c>
      <c r="F28" s="4"/>
      <c r="G28" s="4"/>
    </row>
    <row r="29" spans="2:7" x14ac:dyDescent="0.2">
      <c r="B29" s="13">
        <v>9.1836734690000004</v>
      </c>
      <c r="C29" s="13">
        <v>0</v>
      </c>
      <c r="F29" s="4"/>
      <c r="G29" s="4"/>
    </row>
    <row r="30" spans="2:7" x14ac:dyDescent="0.2">
      <c r="B30" s="13">
        <v>4.5801526719999996</v>
      </c>
      <c r="C30" s="13">
        <v>0</v>
      </c>
      <c r="F30" s="4"/>
      <c r="G30" s="4"/>
    </row>
    <row r="31" spans="2:7" x14ac:dyDescent="0.2">
      <c r="B31" s="13">
        <v>1.5444015440000001</v>
      </c>
      <c r="C31" s="13">
        <v>0</v>
      </c>
    </row>
    <row r="32" spans="2:7" x14ac:dyDescent="0.2">
      <c r="B32" s="13">
        <v>2.4734982329999999</v>
      </c>
      <c r="C32" s="13">
        <v>0</v>
      </c>
    </row>
    <row r="33" spans="2:3" x14ac:dyDescent="0.2">
      <c r="B33" s="13">
        <v>2.3148148150000001</v>
      </c>
      <c r="C33" s="13">
        <v>0</v>
      </c>
    </row>
    <row r="34" spans="2:3" x14ac:dyDescent="0.2">
      <c r="B34" s="13">
        <v>3.75</v>
      </c>
      <c r="C34" s="13">
        <v>0</v>
      </c>
    </row>
    <row r="35" spans="2:3" x14ac:dyDescent="0.2">
      <c r="B35" s="13">
        <v>1.0840108399999999</v>
      </c>
      <c r="C35" s="13">
        <v>0</v>
      </c>
    </row>
    <row r="36" spans="2:3" x14ac:dyDescent="0.2">
      <c r="B36" s="13">
        <v>3.5294117649999999</v>
      </c>
      <c r="C36" s="13">
        <v>2.6431718059999998</v>
      </c>
    </row>
    <row r="37" spans="2:3" x14ac:dyDescent="0.2">
      <c r="B37" s="13">
        <v>4.9586776859999997</v>
      </c>
      <c r="C37" s="13">
        <v>0</v>
      </c>
    </row>
    <row r="38" spans="2:3" x14ac:dyDescent="0.2">
      <c r="B38" s="13">
        <v>5.7851239669999996</v>
      </c>
      <c r="C38" s="13">
        <v>0</v>
      </c>
    </row>
    <row r="39" spans="2:3" x14ac:dyDescent="0.2">
      <c r="B39" s="13">
        <v>3.5714285710000002</v>
      </c>
      <c r="C39" s="13">
        <v>0</v>
      </c>
    </row>
    <row r="40" spans="2:3" x14ac:dyDescent="0.2">
      <c r="B40" s="13">
        <v>20</v>
      </c>
      <c r="C40" s="13">
        <v>0</v>
      </c>
    </row>
    <row r="41" spans="2:3" x14ac:dyDescent="0.2">
      <c r="B41" s="13">
        <v>15</v>
      </c>
      <c r="C41" s="13">
        <v>0</v>
      </c>
    </row>
    <row r="42" spans="2:3" x14ac:dyDescent="0.2">
      <c r="B42" s="13">
        <v>6.6350710900000003</v>
      </c>
      <c r="C42" s="13">
        <v>0</v>
      </c>
    </row>
    <row r="43" spans="2:3" x14ac:dyDescent="0.2">
      <c r="B43" s="13">
        <v>1.9736842109999999</v>
      </c>
      <c r="C43" s="13">
        <v>0.94936708859999996</v>
      </c>
    </row>
    <row r="44" spans="2:3" x14ac:dyDescent="0.2">
      <c r="B44" s="13">
        <v>3.139013453</v>
      </c>
      <c r="C44" s="13">
        <v>0</v>
      </c>
    </row>
    <row r="45" spans="2:3" x14ac:dyDescent="0.2">
      <c r="B45" s="13">
        <v>0.47846889949999999</v>
      </c>
      <c r="C45" s="13">
        <v>0</v>
      </c>
    </row>
    <row r="46" spans="2:3" x14ac:dyDescent="0.2">
      <c r="B46" s="13">
        <v>2.793296089</v>
      </c>
      <c r="C46" s="13">
        <v>6.9620253160000001</v>
      </c>
    </row>
    <row r="47" spans="2:3" x14ac:dyDescent="0.2">
      <c r="B47" s="13">
        <v>4.3650793649999997</v>
      </c>
      <c r="C47" s="13">
        <v>0.41493775929999999</v>
      </c>
    </row>
    <row r="48" spans="2:3" x14ac:dyDescent="0.2">
      <c r="B48" s="13">
        <v>4.3956043960000004</v>
      </c>
      <c r="C48" s="13">
        <v>0</v>
      </c>
    </row>
    <row r="49" spans="2:3" x14ac:dyDescent="0.2">
      <c r="B49" s="13">
        <v>5.2173913040000004</v>
      </c>
      <c r="C49" s="13">
        <v>0</v>
      </c>
    </row>
    <row r="50" spans="2:3" x14ac:dyDescent="0.2">
      <c r="B50" s="13">
        <v>1.9323671499999999</v>
      </c>
      <c r="C50" s="13">
        <v>0.57683300000000004</v>
      </c>
    </row>
    <row r="51" spans="2:3" x14ac:dyDescent="0.2">
      <c r="B51" s="13">
        <v>3.246753247</v>
      </c>
      <c r="C51" s="13">
        <v>1.4524953464633299</v>
      </c>
    </row>
    <row r="52" spans="2:3" x14ac:dyDescent="0.2">
      <c r="B52" s="13">
        <v>8.3333333330000006</v>
      </c>
      <c r="C52" s="13">
        <v>0</v>
      </c>
    </row>
    <row r="53" spans="2:3" x14ac:dyDescent="0.2">
      <c r="B53" s="13">
        <v>20</v>
      </c>
      <c r="C53" s="13">
        <v>0</v>
      </c>
    </row>
    <row r="54" spans="2:3" x14ac:dyDescent="0.2">
      <c r="B54" s="13">
        <v>35.099337749999997</v>
      </c>
      <c r="C54" s="13">
        <v>0</v>
      </c>
    </row>
    <row r="55" spans="2:3" x14ac:dyDescent="0.2">
      <c r="B55" s="13">
        <v>11.170212769999999</v>
      </c>
      <c r="C55" s="13">
        <v>0</v>
      </c>
    </row>
    <row r="56" spans="2:3" x14ac:dyDescent="0.2">
      <c r="B56" s="13">
        <v>27.777777780000001</v>
      </c>
      <c r="C56" s="13">
        <v>0</v>
      </c>
    </row>
    <row r="57" spans="2:3" x14ac:dyDescent="0.2">
      <c r="B57" s="13">
        <v>9.0301003340000001</v>
      </c>
      <c r="C57" s="13">
        <v>0</v>
      </c>
    </row>
    <row r="58" spans="2:3" x14ac:dyDescent="0.2">
      <c r="B58" s="13">
        <v>10.843373489999999</v>
      </c>
      <c r="C58" s="13">
        <v>0</v>
      </c>
    </row>
    <row r="59" spans="2:3" x14ac:dyDescent="0.2">
      <c r="B59" s="13">
        <v>2.0080321290000001</v>
      </c>
      <c r="C59" s="13">
        <v>0</v>
      </c>
    </row>
    <row r="60" spans="2:3" x14ac:dyDescent="0.2">
      <c r="B60" s="13">
        <v>5.4852320680000002</v>
      </c>
      <c r="C60" s="13">
        <v>0</v>
      </c>
    </row>
    <row r="61" spans="2:3" x14ac:dyDescent="0.2">
      <c r="B61" s="13">
        <v>15.410958900000001</v>
      </c>
      <c r="C61" s="13">
        <v>0</v>
      </c>
    </row>
    <row r="62" spans="2:3" x14ac:dyDescent="0.2">
      <c r="B62" s="13">
        <v>9.2526690390000006</v>
      </c>
      <c r="C62" s="13">
        <v>0</v>
      </c>
    </row>
    <row r="63" spans="2:3" x14ac:dyDescent="0.2">
      <c r="B63" s="13">
        <v>6.153846154</v>
      </c>
      <c r="C63" s="13">
        <v>0</v>
      </c>
    </row>
    <row r="64" spans="2:3" x14ac:dyDescent="0.2">
      <c r="B64" s="13">
        <v>0.4424778761</v>
      </c>
      <c r="C64" s="13">
        <v>0</v>
      </c>
    </row>
    <row r="65" spans="2:3" x14ac:dyDescent="0.2">
      <c r="B65" s="13">
        <v>0.85106382979999995</v>
      </c>
      <c r="C65" s="13">
        <v>0</v>
      </c>
    </row>
    <row r="66" spans="2:3" x14ac:dyDescent="0.2">
      <c r="B66" s="13">
        <v>2.5</v>
      </c>
      <c r="C66" s="13">
        <v>0</v>
      </c>
    </row>
    <row r="67" spans="2:3" x14ac:dyDescent="0.2">
      <c r="B67" s="13">
        <v>1.294498382</v>
      </c>
      <c r="C67" s="13">
        <v>2.4521333333333</v>
      </c>
    </row>
    <row r="68" spans="2:3" x14ac:dyDescent="0.2">
      <c r="B68" s="13">
        <v>5.4393305439999997</v>
      </c>
      <c r="C68" s="13">
        <v>5.307692308</v>
      </c>
    </row>
    <row r="69" spans="2:3" x14ac:dyDescent="0.2">
      <c r="B69" s="13">
        <v>4.1379310340000002</v>
      </c>
      <c r="C69" s="13">
        <v>0</v>
      </c>
    </row>
    <row r="70" spans="2:3" x14ac:dyDescent="0.2">
      <c r="B70" s="13">
        <v>14.795918370000001</v>
      </c>
      <c r="C70" s="13">
        <v>0</v>
      </c>
    </row>
    <row r="71" spans="2:3" x14ac:dyDescent="0.2">
      <c r="B71" s="13">
        <v>10.791366910000001</v>
      </c>
      <c r="C71" s="13">
        <v>0</v>
      </c>
    </row>
    <row r="72" spans="2:3" x14ac:dyDescent="0.2">
      <c r="B72" s="13">
        <v>12.37113402</v>
      </c>
      <c r="C72" s="13">
        <v>0</v>
      </c>
    </row>
    <row r="73" spans="2:3" x14ac:dyDescent="0.2">
      <c r="B73" s="13">
        <v>6.6666666670000003</v>
      </c>
      <c r="C73" s="13">
        <v>0</v>
      </c>
    </row>
    <row r="74" spans="2:3" x14ac:dyDescent="0.2">
      <c r="B74" s="13">
        <v>1.3071895419999999</v>
      </c>
      <c r="C74" s="13">
        <v>0</v>
      </c>
    </row>
    <row r="75" spans="2:3" x14ac:dyDescent="0.2">
      <c r="B75" s="13">
        <v>1.6949152540000001</v>
      </c>
      <c r="C75" s="13">
        <v>4.1463414600000004</v>
      </c>
    </row>
    <row r="76" spans="2:3" x14ac:dyDescent="0.2">
      <c r="B76" s="13">
        <v>12.02185792</v>
      </c>
      <c r="C76" s="13">
        <v>0</v>
      </c>
    </row>
    <row r="77" spans="2:3" x14ac:dyDescent="0.2">
      <c r="B77" s="13">
        <v>11.956521739999999</v>
      </c>
      <c r="C77" s="13">
        <v>0</v>
      </c>
    </row>
    <row r="78" spans="2:3" x14ac:dyDescent="0.2">
      <c r="B78" s="13">
        <v>3.370786517</v>
      </c>
      <c r="C78" s="13">
        <v>0.41493775929999999</v>
      </c>
    </row>
    <row r="79" spans="2:3" x14ac:dyDescent="0.2">
      <c r="B79" s="13">
        <v>52.564102560000002</v>
      </c>
      <c r="C79" s="13">
        <v>0</v>
      </c>
    </row>
    <row r="80" spans="2:3" x14ac:dyDescent="0.2">
      <c r="B80" s="13">
        <v>12.568306010000001</v>
      </c>
      <c r="C80" s="13">
        <v>1.052631579</v>
      </c>
    </row>
    <row r="81" spans="2:3" x14ac:dyDescent="0.2">
      <c r="B81" s="13">
        <v>3.90625</v>
      </c>
      <c r="C81" s="13">
        <v>0</v>
      </c>
    </row>
    <row r="82" spans="2:3" x14ac:dyDescent="0.2">
      <c r="B82" s="13">
        <v>6.3829787229999999</v>
      </c>
      <c r="C82" s="13">
        <v>0</v>
      </c>
    </row>
    <row r="83" spans="2:3" x14ac:dyDescent="0.2">
      <c r="B83" s="13">
        <v>1.5625</v>
      </c>
      <c r="C83" s="13">
        <v>0</v>
      </c>
    </row>
    <row r="84" spans="2:3" x14ac:dyDescent="0.2">
      <c r="B84" s="13">
        <v>20.422535209999999</v>
      </c>
      <c r="C84" s="13">
        <v>0</v>
      </c>
    </row>
    <row r="85" spans="2:3" x14ac:dyDescent="0.2">
      <c r="B85" s="13">
        <v>20.134228190000002</v>
      </c>
      <c r="C85" s="13">
        <v>0</v>
      </c>
    </row>
    <row r="86" spans="2:3" x14ac:dyDescent="0.2">
      <c r="B86" s="13">
        <v>15.38461538</v>
      </c>
      <c r="C86" s="13">
        <v>0</v>
      </c>
    </row>
    <row r="87" spans="2:3" x14ac:dyDescent="0.2">
      <c r="B87" s="13">
        <v>10.06711409</v>
      </c>
      <c r="C87" s="13">
        <v>0</v>
      </c>
    </row>
    <row r="88" spans="2:3" x14ac:dyDescent="0.2">
      <c r="B88" s="13">
        <v>3.4722222220000001</v>
      </c>
      <c r="C88" s="13">
        <v>0</v>
      </c>
    </row>
    <row r="89" spans="2:3" x14ac:dyDescent="0.2">
      <c r="B89" s="13">
        <v>8.6330935249999996</v>
      </c>
      <c r="C89" s="13">
        <v>4.7619047620000003</v>
      </c>
    </row>
    <row r="90" spans="2:3" x14ac:dyDescent="0.2">
      <c r="B90" s="13">
        <v>16</v>
      </c>
      <c r="C90" s="13">
        <v>3.5532994919999998</v>
      </c>
    </row>
    <row r="91" spans="2:3" x14ac:dyDescent="0.2">
      <c r="B91" s="13">
        <v>3.3472803350000002</v>
      </c>
      <c r="C91" s="13">
        <v>2.1377672209999998</v>
      </c>
    </row>
    <row r="92" spans="2:3" x14ac:dyDescent="0.2">
      <c r="B92" s="13">
        <v>8.5561497329999998</v>
      </c>
      <c r="C92" s="13">
        <v>0</v>
      </c>
    </row>
    <row r="93" spans="2:3" x14ac:dyDescent="0.2">
      <c r="B93" s="13">
        <v>7.0063694270000001</v>
      </c>
      <c r="C93" s="13">
        <v>3.6697247709999998</v>
      </c>
    </row>
    <row r="94" spans="2:3" x14ac:dyDescent="0.2">
      <c r="B94" s="13">
        <v>3.0303030299999998</v>
      </c>
      <c r="C94" s="13">
        <v>0</v>
      </c>
    </row>
    <row r="95" spans="2:3" x14ac:dyDescent="0.2">
      <c r="B95" s="13">
        <v>7.4829931969999999</v>
      </c>
      <c r="C95" s="13">
        <v>0</v>
      </c>
    </row>
    <row r="96" spans="2:3" x14ac:dyDescent="0.2">
      <c r="B96" s="13">
        <v>8.6956521739999992</v>
      </c>
      <c r="C96" s="13">
        <v>0</v>
      </c>
    </row>
    <row r="97" spans="2:3" x14ac:dyDescent="0.2">
      <c r="B97" s="13">
        <v>4.0723981900000004</v>
      </c>
      <c r="C97" s="13">
        <v>0</v>
      </c>
    </row>
    <row r="98" spans="2:3" x14ac:dyDescent="0.2">
      <c r="B98" s="13">
        <v>7.1942446039999997</v>
      </c>
      <c r="C98" s="13">
        <v>0</v>
      </c>
    </row>
    <row r="99" spans="2:3" x14ac:dyDescent="0.2">
      <c r="B99" s="13">
        <v>2.5157232700000001</v>
      </c>
      <c r="C99" s="13">
        <v>0</v>
      </c>
    </row>
    <row r="100" spans="2:3" x14ac:dyDescent="0.2">
      <c r="B100" s="13">
        <v>3.7267080749999999</v>
      </c>
      <c r="C100" s="13">
        <v>0</v>
      </c>
    </row>
    <row r="101" spans="2:3" x14ac:dyDescent="0.2">
      <c r="B101" s="13">
        <v>1.169590643</v>
      </c>
      <c r="C101" s="13">
        <v>0</v>
      </c>
    </row>
    <row r="102" spans="2:3" x14ac:dyDescent="0.2">
      <c r="B102" s="13">
        <v>0.72463768120000005</v>
      </c>
      <c r="C102" s="13">
        <v>0</v>
      </c>
    </row>
    <row r="103" spans="2:3" x14ac:dyDescent="0.2">
      <c r="B103" s="13">
        <v>9.0909090910000003</v>
      </c>
      <c r="C103" s="13">
        <v>2.3563218400000001</v>
      </c>
    </row>
    <row r="104" spans="2:3" x14ac:dyDescent="0.2">
      <c r="B104" s="13">
        <v>6.8181818180000002</v>
      </c>
      <c r="C104" s="13">
        <v>0</v>
      </c>
    </row>
    <row r="105" spans="2:3" x14ac:dyDescent="0.2">
      <c r="B105" s="13">
        <v>6.0869565220000004</v>
      </c>
      <c r="C105" s="13">
        <v>0</v>
      </c>
    </row>
    <row r="106" spans="2:3" x14ac:dyDescent="0.2">
      <c r="B106" s="13">
        <v>7.2072072069999997</v>
      </c>
      <c r="C106" s="13">
        <v>0</v>
      </c>
    </row>
    <row r="107" spans="2:3" x14ac:dyDescent="0.2">
      <c r="B107" s="13">
        <v>9.9009900989999995</v>
      </c>
      <c r="C107" s="13">
        <v>0.89239120000000005</v>
      </c>
    </row>
    <row r="108" spans="2:3" x14ac:dyDescent="0.2">
      <c r="B108" s="13">
        <v>15</v>
      </c>
      <c r="C108" s="13">
        <v>0</v>
      </c>
    </row>
    <row r="109" spans="2:3" x14ac:dyDescent="0.2">
      <c r="B109" s="13">
        <v>1.298701299</v>
      </c>
      <c r="C109" s="13">
        <v>0</v>
      </c>
    </row>
    <row r="110" spans="2:3" x14ac:dyDescent="0.2">
      <c r="B110" s="13">
        <v>5.4945054950000003</v>
      </c>
      <c r="C110" s="13">
        <v>0</v>
      </c>
    </row>
    <row r="111" spans="2:3" x14ac:dyDescent="0.2">
      <c r="B111" s="13">
        <v>10.975609759999999</v>
      </c>
      <c r="C111" s="13">
        <v>5.4852320680000002</v>
      </c>
    </row>
    <row r="112" spans="2:3" x14ac:dyDescent="0.2">
      <c r="B112" s="13">
        <v>1.212121212</v>
      </c>
      <c r="C112" s="13">
        <v>1.5444015440000001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81AF-9ECD-4E24-B61D-644F83AEE40C}">
  <dimension ref="A1:H112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25.33203125" customWidth="1"/>
    <col min="7" max="7" width="41.5" customWidth="1"/>
    <col min="8" max="8" width="46.83203125" customWidth="1"/>
  </cols>
  <sheetData>
    <row r="1" spans="1:8" x14ac:dyDescent="0.2">
      <c r="A1" t="s">
        <v>170</v>
      </c>
    </row>
    <row r="2" spans="1:8" x14ac:dyDescent="0.2">
      <c r="B2" s="12" t="s">
        <v>14</v>
      </c>
      <c r="C2" s="12" t="s">
        <v>15</v>
      </c>
      <c r="G2" s="15" t="s">
        <v>30</v>
      </c>
      <c r="H2" s="13" t="s">
        <v>166</v>
      </c>
    </row>
    <row r="3" spans="1:8" x14ac:dyDescent="0.2">
      <c r="B3" s="13">
        <v>279.5</v>
      </c>
      <c r="C3" s="13">
        <v>194.5</v>
      </c>
      <c r="G3" s="15"/>
      <c r="H3" s="13"/>
    </row>
    <row r="4" spans="1:8" x14ac:dyDescent="0.2">
      <c r="B4" s="13">
        <v>173.5</v>
      </c>
      <c r="C4" s="13">
        <v>86</v>
      </c>
      <c r="G4" s="15" t="s">
        <v>32</v>
      </c>
      <c r="H4" s="13" t="s">
        <v>15</v>
      </c>
    </row>
    <row r="5" spans="1:8" x14ac:dyDescent="0.2">
      <c r="B5" s="13">
        <v>226</v>
      </c>
      <c r="C5" s="13">
        <v>182</v>
      </c>
      <c r="G5" s="15" t="s">
        <v>33</v>
      </c>
      <c r="H5" s="13" t="s">
        <v>33</v>
      </c>
    </row>
    <row r="6" spans="1:8" x14ac:dyDescent="0.2">
      <c r="B6" s="13">
        <v>220</v>
      </c>
      <c r="C6" s="13">
        <v>236.5</v>
      </c>
      <c r="G6" s="15" t="s">
        <v>34</v>
      </c>
      <c r="H6" s="13" t="s">
        <v>14</v>
      </c>
    </row>
    <row r="7" spans="1:8" x14ac:dyDescent="0.2">
      <c r="B7" s="13">
        <v>164</v>
      </c>
      <c r="C7" s="13">
        <v>180</v>
      </c>
      <c r="G7" s="15"/>
      <c r="H7" s="13"/>
    </row>
    <row r="8" spans="1:8" x14ac:dyDescent="0.2">
      <c r="B8" s="13">
        <v>111.5</v>
      </c>
      <c r="C8" s="13">
        <v>111</v>
      </c>
      <c r="G8" s="15" t="s">
        <v>145</v>
      </c>
      <c r="H8" s="13"/>
    </row>
    <row r="9" spans="1:8" x14ac:dyDescent="0.2">
      <c r="B9" s="13">
        <v>154</v>
      </c>
      <c r="C9" s="13">
        <v>190</v>
      </c>
      <c r="G9" s="15" t="s">
        <v>35</v>
      </c>
      <c r="H9" s="13">
        <v>2.0000000000000001E-4</v>
      </c>
    </row>
    <row r="10" spans="1:8" x14ac:dyDescent="0.2">
      <c r="B10" s="13">
        <v>207</v>
      </c>
      <c r="C10" s="13">
        <v>155.5</v>
      </c>
      <c r="G10" s="15" t="s">
        <v>37</v>
      </c>
      <c r="H10" s="13" t="s">
        <v>167</v>
      </c>
    </row>
    <row r="11" spans="1:8" x14ac:dyDescent="0.2">
      <c r="B11" s="13">
        <v>128.5</v>
      </c>
      <c r="C11" s="13">
        <v>99</v>
      </c>
      <c r="G11" s="15" t="s">
        <v>39</v>
      </c>
      <c r="H11" s="13" t="s">
        <v>40</v>
      </c>
    </row>
    <row r="12" spans="1:8" x14ac:dyDescent="0.2">
      <c r="B12" s="13">
        <v>86</v>
      </c>
      <c r="C12" s="13">
        <v>103</v>
      </c>
      <c r="G12" s="15" t="s">
        <v>41</v>
      </c>
      <c r="H12" s="13" t="s">
        <v>42</v>
      </c>
    </row>
    <row r="13" spans="1:8" x14ac:dyDescent="0.2">
      <c r="B13" s="13">
        <v>117</v>
      </c>
      <c r="C13" s="13">
        <v>381.5</v>
      </c>
      <c r="G13" s="15" t="s">
        <v>43</v>
      </c>
      <c r="H13" s="13" t="s">
        <v>168</v>
      </c>
    </row>
    <row r="14" spans="1:8" x14ac:dyDescent="0.2">
      <c r="B14" s="13">
        <v>159.5</v>
      </c>
      <c r="C14" s="13">
        <v>120</v>
      </c>
      <c r="G14" s="15" t="s">
        <v>147</v>
      </c>
      <c r="H14" s="13">
        <v>110</v>
      </c>
    </row>
    <row r="15" spans="1:8" x14ac:dyDescent="0.2">
      <c r="B15" s="13">
        <v>108.5</v>
      </c>
      <c r="C15" s="13">
        <v>98</v>
      </c>
      <c r="G15" s="15"/>
      <c r="H15" s="13"/>
    </row>
    <row r="16" spans="1:8" x14ac:dyDescent="0.2">
      <c r="B16" s="13">
        <v>115.5</v>
      </c>
      <c r="C16" s="13">
        <v>156.5</v>
      </c>
      <c r="G16" s="15" t="s">
        <v>44</v>
      </c>
      <c r="H16" s="13"/>
    </row>
    <row r="17" spans="2:8" x14ac:dyDescent="0.2">
      <c r="B17" s="13">
        <v>109.5</v>
      </c>
      <c r="C17" s="13">
        <v>192.5</v>
      </c>
      <c r="G17" s="15" t="s">
        <v>148</v>
      </c>
      <c r="H17" s="13">
        <v>26.95</v>
      </c>
    </row>
    <row r="18" spans="2:8" x14ac:dyDescent="0.2">
      <c r="B18" s="13">
        <v>75</v>
      </c>
      <c r="C18" s="13">
        <v>82.5</v>
      </c>
      <c r="G18" s="15" t="s">
        <v>149</v>
      </c>
      <c r="H18" s="13">
        <v>72.17</v>
      </c>
    </row>
    <row r="19" spans="2:8" x14ac:dyDescent="0.2">
      <c r="B19" s="13">
        <v>101.5</v>
      </c>
      <c r="C19" s="13">
        <v>290</v>
      </c>
      <c r="G19" s="15" t="s">
        <v>150</v>
      </c>
      <c r="H19" s="13">
        <v>6.8810000000000002</v>
      </c>
    </row>
    <row r="20" spans="2:8" x14ac:dyDescent="0.2">
      <c r="B20" s="13">
        <v>77</v>
      </c>
      <c r="C20" s="13">
        <v>93</v>
      </c>
      <c r="G20" s="15" t="s">
        <v>45</v>
      </c>
      <c r="H20" s="13" t="s">
        <v>169</v>
      </c>
    </row>
    <row r="21" spans="2:8" x14ac:dyDescent="0.2">
      <c r="B21" s="13">
        <v>82.5</v>
      </c>
      <c r="C21" s="13">
        <v>63.5</v>
      </c>
      <c r="G21" s="15" t="s">
        <v>152</v>
      </c>
      <c r="H21" s="13">
        <v>0.1234</v>
      </c>
    </row>
    <row r="22" spans="2:8" x14ac:dyDescent="0.2">
      <c r="B22" s="13">
        <v>85</v>
      </c>
      <c r="C22" s="13">
        <v>191</v>
      </c>
      <c r="G22" s="15"/>
      <c r="H22" s="13"/>
    </row>
    <row r="23" spans="2:8" x14ac:dyDescent="0.2">
      <c r="B23" s="13">
        <v>62.5</v>
      </c>
      <c r="C23" s="13">
        <v>119.5</v>
      </c>
      <c r="G23" s="15" t="s">
        <v>153</v>
      </c>
      <c r="H23" s="13"/>
    </row>
    <row r="24" spans="2:8" x14ac:dyDescent="0.2">
      <c r="B24" s="13">
        <v>211.5</v>
      </c>
      <c r="C24" s="13">
        <v>236.5</v>
      </c>
      <c r="G24" s="15" t="s">
        <v>154</v>
      </c>
      <c r="H24" s="13">
        <v>0.29949999999999999</v>
      </c>
    </row>
    <row r="25" spans="2:8" x14ac:dyDescent="0.2">
      <c r="B25" s="13">
        <v>171.5</v>
      </c>
      <c r="C25" s="13">
        <v>222.5</v>
      </c>
      <c r="G25" s="15" t="s">
        <v>155</v>
      </c>
      <c r="H25" s="13">
        <v>6.9999999999999999E-4</v>
      </c>
    </row>
    <row r="26" spans="2:8" x14ac:dyDescent="0.2">
      <c r="B26" s="13">
        <v>167</v>
      </c>
      <c r="C26" s="13">
        <v>319</v>
      </c>
      <c r="G26" s="15" t="s">
        <v>37</v>
      </c>
      <c r="H26" s="13" t="s">
        <v>167</v>
      </c>
    </row>
    <row r="27" spans="2:8" x14ac:dyDescent="0.2">
      <c r="B27" s="13">
        <v>125</v>
      </c>
      <c r="C27" s="13">
        <v>250.5</v>
      </c>
      <c r="G27" s="15" t="s">
        <v>156</v>
      </c>
      <c r="H27" s="13" t="s">
        <v>40</v>
      </c>
    </row>
    <row r="28" spans="2:8" x14ac:dyDescent="0.2">
      <c r="B28" s="13">
        <v>196</v>
      </c>
      <c r="C28" s="13">
        <v>227</v>
      </c>
    </row>
    <row r="29" spans="2:8" x14ac:dyDescent="0.2">
      <c r="B29" s="13">
        <v>206</v>
      </c>
      <c r="C29" s="13">
        <v>181</v>
      </c>
    </row>
    <row r="30" spans="2:8" x14ac:dyDescent="0.2">
      <c r="B30" s="13">
        <v>195</v>
      </c>
      <c r="C30" s="13">
        <v>174.5</v>
      </c>
    </row>
    <row r="31" spans="2:8" x14ac:dyDescent="0.2">
      <c r="B31" s="13">
        <v>123</v>
      </c>
      <c r="C31" s="13">
        <v>181.5</v>
      </c>
    </row>
    <row r="32" spans="2:8" x14ac:dyDescent="0.2">
      <c r="B32" s="13">
        <v>147.5</v>
      </c>
      <c r="C32" s="13">
        <v>181</v>
      </c>
    </row>
    <row r="33" spans="2:3" x14ac:dyDescent="0.2">
      <c r="B33" s="13">
        <v>80.5</v>
      </c>
      <c r="C33" s="13">
        <v>83.5</v>
      </c>
    </row>
    <row r="34" spans="2:3" x14ac:dyDescent="0.2">
      <c r="B34" s="13">
        <v>87.5</v>
      </c>
      <c r="C34" s="13">
        <v>134</v>
      </c>
    </row>
    <row r="35" spans="2:3" x14ac:dyDescent="0.2">
      <c r="B35" s="13">
        <v>136.5</v>
      </c>
      <c r="C35" s="13">
        <v>136</v>
      </c>
    </row>
    <row r="36" spans="2:3" x14ac:dyDescent="0.2">
      <c r="B36" s="13">
        <v>116.5</v>
      </c>
      <c r="C36" s="13">
        <v>185.5</v>
      </c>
    </row>
    <row r="37" spans="2:3" x14ac:dyDescent="0.2">
      <c r="B37" s="13">
        <v>84</v>
      </c>
      <c r="C37" s="13">
        <v>104.5</v>
      </c>
    </row>
    <row r="38" spans="2:3" x14ac:dyDescent="0.2">
      <c r="B38" s="13">
        <v>78</v>
      </c>
      <c r="C38" s="13">
        <v>129.5</v>
      </c>
    </row>
    <row r="39" spans="2:3" x14ac:dyDescent="0.2">
      <c r="B39" s="13">
        <v>91.5</v>
      </c>
      <c r="C39" s="13">
        <v>301</v>
      </c>
    </row>
    <row r="40" spans="2:3" x14ac:dyDescent="0.2">
      <c r="B40" s="13">
        <v>88</v>
      </c>
      <c r="C40" s="13">
        <v>181.5</v>
      </c>
    </row>
    <row r="41" spans="2:3" x14ac:dyDescent="0.2">
      <c r="B41" s="13">
        <v>84</v>
      </c>
      <c r="C41" s="13">
        <v>168</v>
      </c>
    </row>
    <row r="42" spans="2:3" x14ac:dyDescent="0.2">
      <c r="B42" s="13">
        <v>59.5</v>
      </c>
      <c r="C42" s="13">
        <v>89.5</v>
      </c>
    </row>
    <row r="43" spans="2:3" x14ac:dyDescent="0.2">
      <c r="B43" s="13">
        <v>61.5</v>
      </c>
      <c r="C43" s="13">
        <v>59</v>
      </c>
    </row>
    <row r="44" spans="2:3" x14ac:dyDescent="0.2">
      <c r="B44" s="13">
        <v>85</v>
      </c>
      <c r="C44" s="13">
        <v>135.5</v>
      </c>
    </row>
    <row r="45" spans="2:3" x14ac:dyDescent="0.2">
      <c r="B45" s="13">
        <v>66</v>
      </c>
      <c r="C45" s="13">
        <v>137</v>
      </c>
    </row>
    <row r="46" spans="2:3" x14ac:dyDescent="0.2">
      <c r="B46" s="13">
        <v>56</v>
      </c>
      <c r="C46" s="13">
        <v>185.5</v>
      </c>
    </row>
    <row r="47" spans="2:3" x14ac:dyDescent="0.2">
      <c r="B47" s="13">
        <v>196</v>
      </c>
      <c r="C47" s="13">
        <v>176.5</v>
      </c>
    </row>
    <row r="48" spans="2:3" x14ac:dyDescent="0.2">
      <c r="B48" s="13">
        <v>188.5</v>
      </c>
      <c r="C48" s="13">
        <v>116.5</v>
      </c>
    </row>
    <row r="49" spans="2:3" x14ac:dyDescent="0.2">
      <c r="B49" s="13">
        <v>158</v>
      </c>
      <c r="C49" s="13">
        <v>113</v>
      </c>
    </row>
    <row r="50" spans="2:3" x14ac:dyDescent="0.2">
      <c r="B50" s="13">
        <v>203</v>
      </c>
      <c r="C50" s="13">
        <v>134.5</v>
      </c>
    </row>
    <row r="51" spans="2:3" x14ac:dyDescent="0.2">
      <c r="B51" s="13">
        <v>125.5</v>
      </c>
      <c r="C51" s="13">
        <v>134</v>
      </c>
    </row>
    <row r="52" spans="2:3" x14ac:dyDescent="0.2">
      <c r="B52" s="13">
        <v>136</v>
      </c>
      <c r="C52" s="13">
        <v>52</v>
      </c>
    </row>
    <row r="53" spans="2:3" x14ac:dyDescent="0.2">
      <c r="B53" s="13">
        <v>148</v>
      </c>
      <c r="C53" s="13">
        <v>126.5</v>
      </c>
    </row>
    <row r="54" spans="2:3" x14ac:dyDescent="0.2">
      <c r="B54" s="13">
        <v>107</v>
      </c>
      <c r="C54" s="13">
        <v>100.5</v>
      </c>
    </row>
    <row r="55" spans="2:3" x14ac:dyDescent="0.2">
      <c r="B55" s="13">
        <v>71.5</v>
      </c>
      <c r="C55" s="13">
        <v>95</v>
      </c>
    </row>
    <row r="56" spans="2:3" x14ac:dyDescent="0.2">
      <c r="B56" s="13">
        <v>71</v>
      </c>
      <c r="C56" s="13">
        <v>62</v>
      </c>
    </row>
    <row r="57" spans="2:3" x14ac:dyDescent="0.2">
      <c r="B57" s="13">
        <v>72.5</v>
      </c>
      <c r="C57" s="13">
        <v>203</v>
      </c>
    </row>
    <row r="58" spans="2:3" x14ac:dyDescent="0.2">
      <c r="B58" s="13">
        <v>125</v>
      </c>
      <c r="C58" s="13">
        <v>35.5</v>
      </c>
    </row>
    <row r="59" spans="2:3" x14ac:dyDescent="0.2">
      <c r="B59" s="13">
        <v>57</v>
      </c>
      <c r="C59" s="13">
        <v>102.5</v>
      </c>
    </row>
    <row r="60" spans="2:3" x14ac:dyDescent="0.2">
      <c r="B60" s="13">
        <v>79</v>
      </c>
      <c r="C60" s="13">
        <v>214</v>
      </c>
    </row>
    <row r="61" spans="2:3" x14ac:dyDescent="0.2">
      <c r="B61" s="13">
        <v>122.5</v>
      </c>
      <c r="C61" s="13">
        <v>157.5</v>
      </c>
    </row>
    <row r="62" spans="2:3" x14ac:dyDescent="0.2">
      <c r="B62" s="13">
        <v>242</v>
      </c>
      <c r="C62" s="13">
        <v>94.5</v>
      </c>
    </row>
    <row r="63" spans="2:3" x14ac:dyDescent="0.2">
      <c r="B63" s="13">
        <v>151</v>
      </c>
      <c r="C63" s="13">
        <v>235.5</v>
      </c>
    </row>
    <row r="64" spans="2:3" x14ac:dyDescent="0.2">
      <c r="B64" s="13">
        <v>73.5</v>
      </c>
      <c r="C64" s="13">
        <v>81</v>
      </c>
    </row>
    <row r="65" spans="2:3" x14ac:dyDescent="0.2">
      <c r="B65" s="13">
        <v>65.5</v>
      </c>
      <c r="C65" s="13">
        <v>165.5</v>
      </c>
    </row>
    <row r="66" spans="2:3" x14ac:dyDescent="0.2">
      <c r="B66" s="13">
        <v>96.5</v>
      </c>
      <c r="C66" s="13">
        <v>186</v>
      </c>
    </row>
    <row r="67" spans="2:3" x14ac:dyDescent="0.2">
      <c r="B67" s="13">
        <v>52</v>
      </c>
      <c r="C67" s="13">
        <v>149.5</v>
      </c>
    </row>
    <row r="68" spans="2:3" x14ac:dyDescent="0.2">
      <c r="B68" s="13">
        <v>113</v>
      </c>
      <c r="C68" s="13">
        <v>186</v>
      </c>
    </row>
    <row r="69" spans="2:3" x14ac:dyDescent="0.2">
      <c r="B69" s="13">
        <v>206</v>
      </c>
      <c r="C69" s="13">
        <v>206.5</v>
      </c>
    </row>
    <row r="70" spans="2:3" x14ac:dyDescent="0.2">
      <c r="B70" s="13">
        <v>115</v>
      </c>
      <c r="C70" s="13">
        <v>176.5</v>
      </c>
    </row>
    <row r="71" spans="2:3" x14ac:dyDescent="0.2">
      <c r="B71" s="13">
        <v>85</v>
      </c>
      <c r="C71" s="13">
        <v>161.5</v>
      </c>
    </row>
    <row r="72" spans="2:3" x14ac:dyDescent="0.2">
      <c r="B72" s="13">
        <v>148</v>
      </c>
      <c r="C72" s="13">
        <v>121.5</v>
      </c>
    </row>
    <row r="73" spans="2:3" x14ac:dyDescent="0.2">
      <c r="B73" s="13">
        <v>102.5</v>
      </c>
      <c r="C73" s="13">
        <v>128</v>
      </c>
    </row>
    <row r="74" spans="2:3" x14ac:dyDescent="0.2">
      <c r="B74" s="13">
        <v>73.5</v>
      </c>
      <c r="C74" s="13">
        <v>72.5</v>
      </c>
    </row>
    <row r="75" spans="2:3" x14ac:dyDescent="0.2">
      <c r="B75" s="13">
        <v>57</v>
      </c>
      <c r="C75" s="13">
        <v>155.5</v>
      </c>
    </row>
    <row r="76" spans="2:3" x14ac:dyDescent="0.2">
      <c r="B76" s="13">
        <v>158.5</v>
      </c>
      <c r="C76" s="13">
        <v>177.5</v>
      </c>
    </row>
    <row r="77" spans="2:3" x14ac:dyDescent="0.2">
      <c r="B77" s="13">
        <v>158.5</v>
      </c>
      <c r="C77" s="13">
        <v>76.5</v>
      </c>
    </row>
    <row r="78" spans="2:3" x14ac:dyDescent="0.2">
      <c r="B78" s="13">
        <v>112.5</v>
      </c>
      <c r="C78" s="13">
        <v>165.5</v>
      </c>
    </row>
    <row r="79" spans="2:3" x14ac:dyDescent="0.2">
      <c r="B79" s="13">
        <v>115</v>
      </c>
      <c r="C79" s="13">
        <v>132</v>
      </c>
    </row>
    <row r="80" spans="2:3" x14ac:dyDescent="0.2">
      <c r="B80" s="13">
        <v>177.5</v>
      </c>
      <c r="C80" s="13">
        <v>160.5</v>
      </c>
    </row>
    <row r="81" spans="2:3" x14ac:dyDescent="0.2">
      <c r="B81" s="13">
        <v>96.5</v>
      </c>
      <c r="C81" s="13">
        <v>100.5</v>
      </c>
    </row>
    <row r="82" spans="2:3" x14ac:dyDescent="0.2">
      <c r="B82" s="13">
        <v>93.5</v>
      </c>
      <c r="C82" s="13">
        <v>75</v>
      </c>
    </row>
    <row r="83" spans="2:3" x14ac:dyDescent="0.2">
      <c r="B83" s="13">
        <v>106.5</v>
      </c>
      <c r="C83" s="13">
        <v>87.5</v>
      </c>
    </row>
    <row r="84" spans="2:3" x14ac:dyDescent="0.2">
      <c r="B84" s="13">
        <v>133</v>
      </c>
      <c r="C84" s="13">
        <v>76.5</v>
      </c>
    </row>
    <row r="85" spans="2:3" x14ac:dyDescent="0.2">
      <c r="B85" s="13">
        <v>116</v>
      </c>
      <c r="C85" s="13">
        <v>162.5</v>
      </c>
    </row>
    <row r="86" spans="2:3" x14ac:dyDescent="0.2">
      <c r="B86" s="13">
        <v>84.5</v>
      </c>
      <c r="C86" s="13">
        <v>66</v>
      </c>
    </row>
    <row r="87" spans="2:3" x14ac:dyDescent="0.2">
      <c r="B87" s="13">
        <v>145</v>
      </c>
      <c r="C87" s="13">
        <v>151.5</v>
      </c>
    </row>
    <row r="88" spans="2:3" x14ac:dyDescent="0.2">
      <c r="B88" s="13">
        <v>243</v>
      </c>
      <c r="C88" s="13">
        <v>163.5</v>
      </c>
    </row>
    <row r="89" spans="2:3" x14ac:dyDescent="0.2">
      <c r="B89" s="13">
        <v>89.5</v>
      </c>
      <c r="C89" s="13">
        <v>77.5</v>
      </c>
    </row>
    <row r="90" spans="2:3" x14ac:dyDescent="0.2">
      <c r="B90" s="13">
        <v>121</v>
      </c>
      <c r="C90" s="13">
        <v>143</v>
      </c>
    </row>
    <row r="91" spans="2:3" x14ac:dyDescent="0.2">
      <c r="B91" s="13">
        <v>163.5</v>
      </c>
      <c r="C91" s="13">
        <v>364.5</v>
      </c>
    </row>
    <row r="92" spans="2:3" x14ac:dyDescent="0.2">
      <c r="B92" s="13">
        <v>170</v>
      </c>
      <c r="C92" s="13">
        <v>121</v>
      </c>
    </row>
    <row r="93" spans="2:3" x14ac:dyDescent="0.2">
      <c r="B93" s="13">
        <v>127</v>
      </c>
      <c r="C93" s="13">
        <v>211</v>
      </c>
    </row>
    <row r="94" spans="2:3" x14ac:dyDescent="0.2">
      <c r="B94" s="13">
        <v>219.5</v>
      </c>
      <c r="C94" s="13">
        <v>324</v>
      </c>
    </row>
    <row r="95" spans="2:3" x14ac:dyDescent="0.2">
      <c r="B95" s="13">
        <v>154</v>
      </c>
      <c r="C95" s="13">
        <v>43.5</v>
      </c>
    </row>
    <row r="96" spans="2:3" x14ac:dyDescent="0.2">
      <c r="B96" s="13">
        <v>130</v>
      </c>
      <c r="C96" s="13">
        <v>94.5</v>
      </c>
    </row>
    <row r="97" spans="2:3" x14ac:dyDescent="0.2">
      <c r="B97" s="13">
        <v>64.5</v>
      </c>
      <c r="C97" s="13">
        <v>32.5</v>
      </c>
    </row>
    <row r="98" spans="2:3" x14ac:dyDescent="0.2">
      <c r="B98" s="13">
        <v>180</v>
      </c>
      <c r="C98" s="13">
        <v>236.5</v>
      </c>
    </row>
    <row r="99" spans="2:3" x14ac:dyDescent="0.2">
      <c r="B99" s="13">
        <v>153.5</v>
      </c>
      <c r="C99" s="13">
        <v>54.5</v>
      </c>
    </row>
    <row r="100" spans="2:3" x14ac:dyDescent="0.2">
      <c r="B100" s="13">
        <v>109</v>
      </c>
      <c r="C100" s="13">
        <v>113.5</v>
      </c>
    </row>
    <row r="101" spans="2:3" x14ac:dyDescent="0.2">
      <c r="B101" s="13">
        <v>79</v>
      </c>
      <c r="C101" s="13">
        <v>139.5</v>
      </c>
    </row>
    <row r="102" spans="2:3" x14ac:dyDescent="0.2">
      <c r="B102" s="13">
        <v>96.5</v>
      </c>
      <c r="C102" s="13">
        <v>185</v>
      </c>
    </row>
    <row r="103" spans="2:3" x14ac:dyDescent="0.2">
      <c r="B103" s="13">
        <v>70.5</v>
      </c>
      <c r="C103" s="13">
        <v>86</v>
      </c>
    </row>
    <row r="104" spans="2:3" x14ac:dyDescent="0.2">
      <c r="B104" s="13">
        <v>181.5</v>
      </c>
      <c r="C104" s="13">
        <v>238</v>
      </c>
    </row>
    <row r="105" spans="2:3" x14ac:dyDescent="0.2">
      <c r="B105" s="13">
        <v>98.5</v>
      </c>
      <c r="C105" s="13">
        <v>177.5</v>
      </c>
    </row>
    <row r="106" spans="2:3" x14ac:dyDescent="0.2">
      <c r="B106" s="13">
        <v>127</v>
      </c>
      <c r="C106" s="13">
        <v>171</v>
      </c>
    </row>
    <row r="107" spans="2:3" x14ac:dyDescent="0.2">
      <c r="B107" s="13">
        <v>71</v>
      </c>
      <c r="C107" s="13">
        <v>300</v>
      </c>
    </row>
    <row r="108" spans="2:3" x14ac:dyDescent="0.2">
      <c r="B108" s="13">
        <v>116</v>
      </c>
      <c r="C108" s="13">
        <v>135.5</v>
      </c>
    </row>
    <row r="109" spans="2:3" x14ac:dyDescent="0.2">
      <c r="B109" s="13">
        <v>135.5</v>
      </c>
      <c r="C109" s="13">
        <v>141.5</v>
      </c>
    </row>
    <row r="110" spans="2:3" x14ac:dyDescent="0.2">
      <c r="B110" s="13">
        <v>84.5</v>
      </c>
      <c r="C110" s="13">
        <v>186.5</v>
      </c>
    </row>
    <row r="111" spans="2:3" x14ac:dyDescent="0.2">
      <c r="B111" s="13">
        <v>101.5</v>
      </c>
      <c r="C111" s="13">
        <v>68</v>
      </c>
    </row>
    <row r="112" spans="2:3" x14ac:dyDescent="0.2">
      <c r="B112" s="13">
        <v>198</v>
      </c>
      <c r="C112" s="13">
        <v>236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70E8-F171-4EE2-8222-7E0BB9775D2F}">
  <dimension ref="A1:EC106"/>
  <sheetViews>
    <sheetView workbookViewId="0">
      <selection activeCell="O20" sqref="O20"/>
    </sheetView>
  </sheetViews>
  <sheetFormatPr baseColWidth="10" defaultColWidth="12.5" defaultRowHeight="15" x14ac:dyDescent="0.2"/>
  <cols>
    <col min="132" max="133" width="20.5" customWidth="1"/>
  </cols>
  <sheetData>
    <row r="1" spans="1:133" x14ac:dyDescent="0.2">
      <c r="A1" t="s">
        <v>17</v>
      </c>
      <c r="B1" t="s">
        <v>18</v>
      </c>
      <c r="C1" t="s">
        <v>19</v>
      </c>
      <c r="D1" t="s">
        <v>20</v>
      </c>
      <c r="E1" t="s">
        <v>19</v>
      </c>
      <c r="F1" t="s">
        <v>21</v>
      </c>
      <c r="G1" t="s">
        <v>19</v>
      </c>
      <c r="H1" t="s">
        <v>22</v>
      </c>
      <c r="I1" t="s">
        <v>19</v>
      </c>
      <c r="J1" t="s">
        <v>23</v>
      </c>
      <c r="K1" t="s">
        <v>19</v>
      </c>
      <c r="L1" t="s">
        <v>24</v>
      </c>
      <c r="M1" t="s">
        <v>19</v>
      </c>
      <c r="P1" t="s">
        <v>18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Y1">
        <v>1</v>
      </c>
      <c r="Z1">
        <v>2</v>
      </c>
      <c r="AA1">
        <v>3</v>
      </c>
      <c r="AB1">
        <v>4</v>
      </c>
      <c r="AC1">
        <v>5</v>
      </c>
      <c r="AD1">
        <v>6</v>
      </c>
      <c r="AE1">
        <v>7</v>
      </c>
      <c r="AF1">
        <v>8</v>
      </c>
      <c r="AG1">
        <v>9</v>
      </c>
      <c r="AH1">
        <v>10</v>
      </c>
      <c r="AI1">
        <v>11</v>
      </c>
      <c r="AJ1">
        <v>12</v>
      </c>
      <c r="AK1">
        <v>13</v>
      </c>
      <c r="AL1">
        <v>14</v>
      </c>
      <c r="AM1">
        <v>15</v>
      </c>
      <c r="AN1">
        <v>16</v>
      </c>
      <c r="AO1">
        <v>17</v>
      </c>
      <c r="AP1">
        <v>18</v>
      </c>
      <c r="AQ1">
        <v>19</v>
      </c>
      <c r="AR1">
        <v>20</v>
      </c>
      <c r="AS1">
        <v>21</v>
      </c>
      <c r="AT1">
        <v>22</v>
      </c>
      <c r="AU1">
        <v>23</v>
      </c>
      <c r="AV1">
        <v>24</v>
      </c>
      <c r="AW1">
        <v>25</v>
      </c>
      <c r="AX1">
        <v>26</v>
      </c>
      <c r="AY1">
        <v>27</v>
      </c>
      <c r="AZ1">
        <v>28</v>
      </c>
      <c r="BA1">
        <v>29</v>
      </c>
      <c r="BB1">
        <v>30</v>
      </c>
      <c r="BC1">
        <v>31</v>
      </c>
      <c r="BD1">
        <v>32</v>
      </c>
      <c r="BE1">
        <v>33</v>
      </c>
      <c r="BF1">
        <v>34</v>
      </c>
      <c r="BG1">
        <v>35</v>
      </c>
      <c r="BH1">
        <v>36</v>
      </c>
      <c r="BI1">
        <v>37</v>
      </c>
      <c r="BJ1">
        <v>38</v>
      </c>
      <c r="BK1">
        <v>39</v>
      </c>
      <c r="BL1">
        <v>40</v>
      </c>
      <c r="BM1">
        <v>41</v>
      </c>
      <c r="BN1">
        <v>42</v>
      </c>
      <c r="BO1">
        <v>43</v>
      </c>
      <c r="BP1">
        <v>44</v>
      </c>
      <c r="BQ1">
        <v>45</v>
      </c>
      <c r="BR1">
        <v>46</v>
      </c>
      <c r="BS1">
        <v>47</v>
      </c>
      <c r="BT1">
        <v>48</v>
      </c>
      <c r="BU1">
        <v>49</v>
      </c>
      <c r="BV1">
        <v>50</v>
      </c>
      <c r="BW1">
        <v>51</v>
      </c>
      <c r="BX1">
        <v>52</v>
      </c>
      <c r="BY1">
        <v>53</v>
      </c>
      <c r="BZ1">
        <v>54</v>
      </c>
      <c r="CA1">
        <v>55</v>
      </c>
      <c r="CB1">
        <v>56</v>
      </c>
      <c r="CC1">
        <v>57</v>
      </c>
      <c r="CD1">
        <v>58</v>
      </c>
      <c r="CE1">
        <v>59</v>
      </c>
      <c r="CF1">
        <v>60</v>
      </c>
      <c r="CG1">
        <v>61</v>
      </c>
      <c r="CH1">
        <v>62</v>
      </c>
      <c r="CI1">
        <v>63</v>
      </c>
      <c r="CJ1">
        <v>64</v>
      </c>
      <c r="CK1">
        <v>65</v>
      </c>
      <c r="CL1">
        <v>66</v>
      </c>
      <c r="CM1">
        <v>67</v>
      </c>
      <c r="CN1">
        <v>68</v>
      </c>
      <c r="CO1">
        <v>69</v>
      </c>
      <c r="CP1">
        <v>70</v>
      </c>
      <c r="CQ1">
        <v>71</v>
      </c>
      <c r="CR1">
        <v>72</v>
      </c>
      <c r="CS1">
        <v>73</v>
      </c>
      <c r="CT1">
        <v>74</v>
      </c>
      <c r="CU1">
        <v>75</v>
      </c>
      <c r="CV1">
        <v>76</v>
      </c>
      <c r="CW1">
        <v>77</v>
      </c>
      <c r="CX1">
        <v>78</v>
      </c>
      <c r="CY1">
        <v>79</v>
      </c>
      <c r="CZ1">
        <v>80</v>
      </c>
      <c r="DA1">
        <v>81</v>
      </c>
      <c r="DB1">
        <v>82</v>
      </c>
      <c r="DC1">
        <v>83</v>
      </c>
      <c r="DD1">
        <v>84</v>
      </c>
      <c r="DE1">
        <v>85</v>
      </c>
      <c r="DF1">
        <v>86</v>
      </c>
      <c r="DG1">
        <v>87</v>
      </c>
      <c r="DH1">
        <v>88</v>
      </c>
      <c r="DI1">
        <v>89</v>
      </c>
      <c r="DJ1">
        <v>90</v>
      </c>
      <c r="DK1">
        <v>91</v>
      </c>
      <c r="DL1">
        <v>92</v>
      </c>
      <c r="DM1">
        <v>93</v>
      </c>
      <c r="DN1">
        <v>94</v>
      </c>
      <c r="DO1">
        <v>95</v>
      </c>
      <c r="DP1">
        <v>96</v>
      </c>
      <c r="DQ1">
        <v>97</v>
      </c>
      <c r="DR1">
        <v>98</v>
      </c>
      <c r="DS1">
        <v>99</v>
      </c>
      <c r="DT1">
        <v>100</v>
      </c>
      <c r="DU1">
        <v>101</v>
      </c>
      <c r="DV1">
        <v>102</v>
      </c>
      <c r="DW1">
        <v>103</v>
      </c>
      <c r="DX1">
        <v>104</v>
      </c>
      <c r="DY1">
        <v>105</v>
      </c>
      <c r="EB1" s="8" t="s">
        <v>250</v>
      </c>
      <c r="EC1" s="8" t="s">
        <v>251</v>
      </c>
    </row>
    <row r="2" spans="1:133" x14ac:dyDescent="0.2">
      <c r="A2">
        <v>1</v>
      </c>
      <c r="B2">
        <v>7.3256899999999998</v>
      </c>
      <c r="C2">
        <v>3</v>
      </c>
      <c r="D2">
        <v>5.2589399999999999</v>
      </c>
      <c r="E2">
        <v>3</v>
      </c>
      <c r="F2">
        <v>12.268995</v>
      </c>
      <c r="G2">
        <v>3</v>
      </c>
      <c r="H2">
        <v>3.3547799999999999</v>
      </c>
      <c r="I2">
        <v>3</v>
      </c>
      <c r="J2">
        <v>1.6536439999999999</v>
      </c>
      <c r="K2">
        <v>3</v>
      </c>
      <c r="L2">
        <v>5.7721</v>
      </c>
      <c r="M2">
        <v>3</v>
      </c>
      <c r="P2">
        <v>7.3256899999999998</v>
      </c>
      <c r="Q2">
        <v>5.2589399999999999</v>
      </c>
      <c r="R2">
        <v>12.268995</v>
      </c>
      <c r="S2">
        <v>3.3547799999999999</v>
      </c>
      <c r="T2">
        <v>1.6536439999999999</v>
      </c>
      <c r="U2">
        <v>5.7721</v>
      </c>
      <c r="X2" t="s">
        <v>18</v>
      </c>
      <c r="Y2">
        <v>7.3256899999999998</v>
      </c>
      <c r="Z2">
        <v>6.3598699999999999</v>
      </c>
      <c r="AA2">
        <v>10.579800000000001</v>
      </c>
      <c r="AB2">
        <v>31.192660550458719</v>
      </c>
      <c r="AC2">
        <v>24</v>
      </c>
      <c r="AD2">
        <v>8.4033613445378155</v>
      </c>
      <c r="AE2">
        <v>8.4033613445378155</v>
      </c>
      <c r="AF2">
        <v>47.014925373134332</v>
      </c>
      <c r="AG2">
        <v>83.65384615384616</v>
      </c>
      <c r="AH2">
        <v>47.878787878787875</v>
      </c>
      <c r="AI2">
        <v>71.910112359550567</v>
      </c>
      <c r="AJ2">
        <v>18.181818181818183</v>
      </c>
      <c r="AK2">
        <v>55.26315789473685</v>
      </c>
      <c r="AL2">
        <v>58.878504672897193</v>
      </c>
      <c r="AM2">
        <v>56.953642384105962</v>
      </c>
      <c r="AN2">
        <v>42.553191489361701</v>
      </c>
      <c r="AO2">
        <v>41.726618705035975</v>
      </c>
      <c r="AP2">
        <v>64.077669902912632</v>
      </c>
      <c r="AQ2">
        <v>57.142857142857139</v>
      </c>
      <c r="AR2">
        <v>47.154471544715449</v>
      </c>
      <c r="AS2">
        <v>49.019607843137251</v>
      </c>
      <c r="AT2">
        <v>66.666666666666657</v>
      </c>
      <c r="AU2">
        <v>47.154471544715449</v>
      </c>
      <c r="AV2">
        <v>67.479674796747972</v>
      </c>
      <c r="AW2">
        <v>27.835051546391753</v>
      </c>
      <c r="AX2">
        <v>37.974683544303801</v>
      </c>
      <c r="AY2">
        <v>45.945945945945951</v>
      </c>
      <c r="AZ2">
        <v>45.238095238095241</v>
      </c>
      <c r="BA2">
        <v>49.450549450549453</v>
      </c>
      <c r="BB2">
        <v>66.666666666666657</v>
      </c>
      <c r="BC2">
        <v>52.173913043478258</v>
      </c>
      <c r="BD2">
        <v>50.22998315261782</v>
      </c>
      <c r="BE2">
        <v>44.184562</v>
      </c>
      <c r="BF2">
        <v>83.259911894273131</v>
      </c>
      <c r="BG2">
        <v>39.86013986013986</v>
      </c>
      <c r="BH2">
        <v>80.44692737430168</v>
      </c>
      <c r="BI2">
        <v>69.230769230769226</v>
      </c>
      <c r="BJ2">
        <v>28.571428571428569</v>
      </c>
      <c r="BK2">
        <v>32.894736842105267</v>
      </c>
      <c r="BL2">
        <v>47.282608695652172</v>
      </c>
      <c r="BM2">
        <v>84.782608695652172</v>
      </c>
      <c r="BN2">
        <v>71.428571428571431</v>
      </c>
      <c r="BO2">
        <v>74.747474747474755</v>
      </c>
      <c r="BP2">
        <v>79.057591623036643</v>
      </c>
      <c r="BQ2">
        <v>65.625</v>
      </c>
      <c r="BR2">
        <v>80.254777070063696</v>
      </c>
      <c r="BS2">
        <v>85.454545454545453</v>
      </c>
      <c r="BT2">
        <v>69.037656903765694</v>
      </c>
      <c r="BU2">
        <v>75.342465753424662</v>
      </c>
      <c r="BV2">
        <v>81.679389312977108</v>
      </c>
      <c r="BW2">
        <v>88.405797101449281</v>
      </c>
      <c r="BX2">
        <v>82.370820668693014</v>
      </c>
      <c r="BY2">
        <v>57.986111111111114</v>
      </c>
      <c r="BZ2">
        <v>58.235294117647065</v>
      </c>
      <c r="CA2">
        <v>74.626865671641795</v>
      </c>
      <c r="CB2">
        <v>78.417266187050359</v>
      </c>
      <c r="CC2">
        <v>86.610878661087867</v>
      </c>
      <c r="CD2">
        <v>41.379310344827587</v>
      </c>
      <c r="CE2">
        <v>68.518078108865538</v>
      </c>
      <c r="CF2">
        <v>49.450549450549453</v>
      </c>
      <c r="CG2">
        <v>80.968858131487892</v>
      </c>
      <c r="CH2">
        <v>90.721649484536087</v>
      </c>
      <c r="CI2">
        <v>86.069651741293526</v>
      </c>
      <c r="CJ2">
        <v>79.783393501805051</v>
      </c>
      <c r="CK2">
        <v>51.68539325842697</v>
      </c>
      <c r="CL2">
        <v>69.540229885057471</v>
      </c>
      <c r="CM2">
        <v>69.811320754716974</v>
      </c>
      <c r="CN2">
        <v>52.173913043478258</v>
      </c>
      <c r="CO2">
        <v>51.145038167938928</v>
      </c>
      <c r="CP2">
        <v>17.475728155339805</v>
      </c>
      <c r="CQ2">
        <v>25.352112676056336</v>
      </c>
      <c r="CR2">
        <v>78.212290502793294</v>
      </c>
      <c r="CS2">
        <v>72.556390977443613</v>
      </c>
      <c r="CT2">
        <v>95.8041958041958</v>
      </c>
      <c r="CU2">
        <v>58.718861209964416</v>
      </c>
      <c r="CV2">
        <v>91.477272727272734</v>
      </c>
      <c r="CW2">
        <v>78.606965174129357</v>
      </c>
      <c r="CX2">
        <v>72</v>
      </c>
      <c r="CY2">
        <v>67.788461538461547</v>
      </c>
      <c r="CZ2">
        <v>53.521126760563376</v>
      </c>
      <c r="DA2">
        <v>63.703703703703709</v>
      </c>
      <c r="DB2">
        <v>79.74683544303798</v>
      </c>
      <c r="DC2">
        <v>84.939759036144579</v>
      </c>
      <c r="DD2">
        <v>85.087719298245617</v>
      </c>
      <c r="DE2">
        <v>57.476635514018696</v>
      </c>
      <c r="DF2">
        <v>37.280701754385966</v>
      </c>
      <c r="DG2">
        <v>18.637992831541219</v>
      </c>
      <c r="DH2">
        <v>23.219814241486066</v>
      </c>
      <c r="DI2">
        <v>61.475409836065573</v>
      </c>
      <c r="DJ2">
        <v>24.747474747474747</v>
      </c>
      <c r="DK2">
        <v>24.870466321243523</v>
      </c>
      <c r="DL2">
        <v>46.268656716417908</v>
      </c>
      <c r="DM2">
        <v>39.545454545454547</v>
      </c>
      <c r="DN2">
        <v>44.966442953020135</v>
      </c>
      <c r="DO2">
        <v>31.481481481481481</v>
      </c>
      <c r="DP2">
        <v>11.274509803921569</v>
      </c>
      <c r="DQ2">
        <v>58.18181818181818</v>
      </c>
      <c r="DR2">
        <v>27.638190954773869</v>
      </c>
      <c r="DS2">
        <v>23.809523809523807</v>
      </c>
      <c r="DT2">
        <v>20.967741935483872</v>
      </c>
      <c r="DU2">
        <v>75.776397515527947</v>
      </c>
      <c r="DV2">
        <v>76.470588235294116</v>
      </c>
      <c r="DW2">
        <v>19.523809523809526</v>
      </c>
      <c r="DX2">
        <v>37.704918032786885</v>
      </c>
      <c r="DY2">
        <v>25.409836065573771</v>
      </c>
      <c r="EB2">
        <v>5.9447391428571432</v>
      </c>
      <c r="EC2">
        <v>24.724549988838127</v>
      </c>
    </row>
    <row r="3" spans="1:133" x14ac:dyDescent="0.2">
      <c r="A3">
        <v>2</v>
      </c>
      <c r="B3">
        <v>6.3598699999999999</v>
      </c>
      <c r="C3">
        <v>3</v>
      </c>
      <c r="D3">
        <v>6.9645000000000001</v>
      </c>
      <c r="E3">
        <v>3</v>
      </c>
      <c r="F3">
        <v>9.4258299999999995</v>
      </c>
      <c r="G3">
        <v>3</v>
      </c>
      <c r="H3">
        <v>9.67</v>
      </c>
      <c r="I3">
        <v>3</v>
      </c>
      <c r="J3">
        <v>3.8694500000000001</v>
      </c>
      <c r="K3">
        <v>3</v>
      </c>
      <c r="L3">
        <v>7.2403500000000003</v>
      </c>
      <c r="M3">
        <v>3</v>
      </c>
      <c r="P3">
        <v>6.3598699999999999</v>
      </c>
      <c r="Q3">
        <v>6.9645000000000001</v>
      </c>
      <c r="R3">
        <v>9.4258299999999995</v>
      </c>
      <c r="S3">
        <v>9.67</v>
      </c>
      <c r="T3">
        <v>3.8694500000000001</v>
      </c>
      <c r="U3">
        <v>7.2403500000000003</v>
      </c>
      <c r="X3" t="s">
        <v>20</v>
      </c>
      <c r="Y3">
        <v>5.2589399999999999</v>
      </c>
      <c r="Z3">
        <v>6.9645000000000001</v>
      </c>
      <c r="AA3">
        <v>12.413876</v>
      </c>
      <c r="AB3">
        <v>43.842364532019708</v>
      </c>
      <c r="AC3">
        <v>25.877192982456144</v>
      </c>
      <c r="AD3">
        <v>49.729729729729733</v>
      </c>
      <c r="AE3">
        <v>9.6969696969696972</v>
      </c>
      <c r="AF3">
        <v>44.217687074829932</v>
      </c>
      <c r="AG3">
        <v>84.242424242424235</v>
      </c>
      <c r="AH3">
        <v>50</v>
      </c>
      <c r="AI3">
        <v>73.91304347826086</v>
      </c>
      <c r="AJ3">
        <v>14.17910447761194</v>
      </c>
      <c r="AK3">
        <v>40.384615384615387</v>
      </c>
      <c r="AL3">
        <v>50.314465408805034</v>
      </c>
      <c r="AM3">
        <v>44.144144144144143</v>
      </c>
      <c r="AN3">
        <v>80.978260869565219</v>
      </c>
      <c r="AO3">
        <v>84.444444444444443</v>
      </c>
      <c r="AP3">
        <v>87.155963302752298</v>
      </c>
      <c r="AQ3">
        <v>35.263157894736842</v>
      </c>
      <c r="AR3">
        <v>81.122448979591837</v>
      </c>
      <c r="AS3">
        <v>65.829145728643212</v>
      </c>
      <c r="AT3">
        <v>68.831168831168839</v>
      </c>
      <c r="AU3">
        <v>81.122448979591837</v>
      </c>
      <c r="AV3">
        <v>87.700534759358277</v>
      </c>
      <c r="AW3">
        <v>34.831460674157306</v>
      </c>
      <c r="AX3">
        <v>71.15384615384616</v>
      </c>
      <c r="AY3">
        <v>86.470588235294116</v>
      </c>
      <c r="AZ3">
        <v>62.978723404255319</v>
      </c>
      <c r="BA3">
        <v>64.739884393063591</v>
      </c>
      <c r="BB3">
        <v>85.714285714285708</v>
      </c>
      <c r="BC3">
        <v>53.797468354430379</v>
      </c>
      <c r="BD3">
        <v>50.344827586206897</v>
      </c>
      <c r="BE3">
        <v>27.27272727272727</v>
      </c>
      <c r="BF3">
        <v>26.515151515151516</v>
      </c>
      <c r="BG3">
        <v>96.566523605150209</v>
      </c>
      <c r="BH3">
        <v>79.792746113989637</v>
      </c>
      <c r="BI3">
        <v>44.74885844748858</v>
      </c>
      <c r="BJ3">
        <v>12.5</v>
      </c>
      <c r="BK3">
        <v>50.561797752808992</v>
      </c>
      <c r="BL3">
        <v>85.057471264367805</v>
      </c>
      <c r="BM3">
        <v>79.084967320261441</v>
      </c>
      <c r="BN3">
        <v>94.890510948905103</v>
      </c>
      <c r="BO3">
        <v>45.384615384615387</v>
      </c>
      <c r="BP3">
        <v>77.952755905511808</v>
      </c>
      <c r="BQ3">
        <v>91.457286432160799</v>
      </c>
      <c r="BR3">
        <v>94.468085106382986</v>
      </c>
      <c r="BS3">
        <v>73.888888888888886</v>
      </c>
      <c r="BT3">
        <v>52.142857142857146</v>
      </c>
      <c r="BU3">
        <v>87.421383647798748</v>
      </c>
      <c r="BV3">
        <v>81.651376146788991</v>
      </c>
      <c r="BW3">
        <v>73.780487804878049</v>
      </c>
      <c r="BX3">
        <v>84.210526315789465</v>
      </c>
      <c r="BY3">
        <v>74.358974358974365</v>
      </c>
      <c r="BZ3">
        <v>77.056277056277054</v>
      </c>
      <c r="CA3">
        <v>85.44600938967136</v>
      </c>
      <c r="CB3">
        <v>87.109375</v>
      </c>
      <c r="CC3">
        <v>95.495495495495504</v>
      </c>
      <c r="CD3">
        <v>74.358974358974365</v>
      </c>
      <c r="CE3">
        <v>49.090909090909093</v>
      </c>
      <c r="CF3">
        <v>47.115384615384613</v>
      </c>
      <c r="CG3">
        <v>81.094527363184071</v>
      </c>
      <c r="CH3">
        <v>81.578947368421055</v>
      </c>
      <c r="CI3">
        <v>80.275229357798167</v>
      </c>
      <c r="CJ3">
        <v>91.970802919708035</v>
      </c>
      <c r="CK3">
        <v>33.333333333333329</v>
      </c>
      <c r="CL3">
        <v>28.143712574850298</v>
      </c>
      <c r="CM3">
        <v>71.526185400228044</v>
      </c>
      <c r="CN3">
        <v>73.958333333333343</v>
      </c>
      <c r="CO3">
        <v>50.490196078431367</v>
      </c>
      <c r="CP3">
        <v>20.353982300884958</v>
      </c>
      <c r="CQ3">
        <v>23.474178403755868</v>
      </c>
      <c r="CR3">
        <v>91.411042944785279</v>
      </c>
      <c r="CS3">
        <v>36.090225563909769</v>
      </c>
      <c r="CT3">
        <v>93.006993006993014</v>
      </c>
      <c r="CU3">
        <v>65.12455516014235</v>
      </c>
      <c r="CV3">
        <v>81.25</v>
      </c>
      <c r="CW3">
        <v>79.104477611940297</v>
      </c>
      <c r="CX3">
        <v>72.623574144486696</v>
      </c>
      <c r="CY3">
        <v>49.019607843137251</v>
      </c>
      <c r="CZ3">
        <v>30.588235294117649</v>
      </c>
      <c r="DA3">
        <v>46.470588235294116</v>
      </c>
      <c r="DB3">
        <v>62.275449101796411</v>
      </c>
      <c r="DC3">
        <v>78.571428571428569</v>
      </c>
      <c r="DD3">
        <v>25.773195876288657</v>
      </c>
      <c r="DE3">
        <v>34.977578475336323</v>
      </c>
      <c r="DF3">
        <v>26.797385620915033</v>
      </c>
      <c r="DG3">
        <v>16.475095785440612</v>
      </c>
      <c r="DH3">
        <v>16.118421052631579</v>
      </c>
      <c r="DI3">
        <v>2.2332506203473943</v>
      </c>
      <c r="DJ3">
        <v>8.5227272727272716</v>
      </c>
      <c r="DK3">
        <v>36.507936507936506</v>
      </c>
      <c r="DL3">
        <v>16.666666666666664</v>
      </c>
      <c r="DM3">
        <v>12.465373961218837</v>
      </c>
      <c r="DN3">
        <v>22.58064516129032</v>
      </c>
      <c r="DO3">
        <v>15.217391304347828</v>
      </c>
      <c r="DP3">
        <v>21.338912133891213</v>
      </c>
      <c r="DQ3">
        <v>38.056680161943319</v>
      </c>
      <c r="DR3">
        <v>0.78125</v>
      </c>
      <c r="DS3">
        <v>73.640167364016733</v>
      </c>
      <c r="DT3">
        <v>0.73800738007380073</v>
      </c>
      <c r="DU3">
        <v>83.760683760683762</v>
      </c>
      <c r="DV3">
        <v>10.289389067524116</v>
      </c>
      <c r="DW3">
        <v>20.467836257309941</v>
      </c>
      <c r="DX3">
        <v>55.311355311355314</v>
      </c>
      <c r="DY3">
        <v>10.869565217391305</v>
      </c>
      <c r="EB3">
        <v>7.2550000000000008</v>
      </c>
      <c r="EC3">
        <v>19.203430463974026</v>
      </c>
    </row>
    <row r="4" spans="1:133" x14ac:dyDescent="0.2">
      <c r="A4">
        <v>3</v>
      </c>
      <c r="B4">
        <v>10.579800000000001</v>
      </c>
      <c r="C4">
        <v>3</v>
      </c>
      <c r="D4">
        <v>12.413876</v>
      </c>
      <c r="E4">
        <v>3</v>
      </c>
      <c r="F4">
        <v>32.986421</v>
      </c>
      <c r="G4">
        <v>3</v>
      </c>
      <c r="H4">
        <f>68/216*100</f>
        <v>31.481481481481481</v>
      </c>
      <c r="I4">
        <v>3</v>
      </c>
      <c r="J4">
        <v>1.0243329999999999</v>
      </c>
      <c r="K4">
        <v>3</v>
      </c>
      <c r="L4">
        <f>15/98*100</f>
        <v>15.306122448979592</v>
      </c>
      <c r="M4">
        <v>3</v>
      </c>
      <c r="P4">
        <v>10.579800000000001</v>
      </c>
      <c r="Q4">
        <v>12.413876</v>
      </c>
      <c r="R4">
        <v>32.986421</v>
      </c>
      <c r="S4">
        <v>31.481481481481481</v>
      </c>
      <c r="T4">
        <v>1.0243329999999999</v>
      </c>
      <c r="U4">
        <v>15.306122448979592</v>
      </c>
      <c r="X4" t="s">
        <v>21</v>
      </c>
      <c r="Y4">
        <v>12.268995</v>
      </c>
      <c r="Z4">
        <v>9.4258299999999995</v>
      </c>
      <c r="AA4">
        <v>32.986421</v>
      </c>
      <c r="AB4">
        <v>23.880597014925371</v>
      </c>
      <c r="AC4">
        <v>18.784530386740332</v>
      </c>
      <c r="AD4">
        <v>17.142857142857142</v>
      </c>
      <c r="AE4">
        <v>12.4</v>
      </c>
      <c r="AF4">
        <v>39.506172839506171</v>
      </c>
      <c r="AG4">
        <v>61.463414634146339</v>
      </c>
      <c r="AH4">
        <v>73.91304347826086</v>
      </c>
      <c r="AI4">
        <v>88.461538461538453</v>
      </c>
      <c r="AJ4">
        <v>60.833333333333329</v>
      </c>
      <c r="AK4">
        <v>44.047619047619044</v>
      </c>
      <c r="AL4">
        <v>34.939759036144579</v>
      </c>
      <c r="AM4">
        <v>74.436090225563916</v>
      </c>
      <c r="AN4">
        <v>65.573770491803273</v>
      </c>
      <c r="AO4">
        <v>79.166666666666657</v>
      </c>
      <c r="AP4">
        <v>41.49377593360996</v>
      </c>
      <c r="AQ4">
        <v>67.980295566502463</v>
      </c>
      <c r="AR4">
        <v>58.163265306122447</v>
      </c>
      <c r="AS4">
        <v>59.677419354838712</v>
      </c>
      <c r="AT4">
        <v>54.36241610738255</v>
      </c>
      <c r="AU4">
        <v>58.163265306122447</v>
      </c>
      <c r="AV4">
        <v>62.698412698412696</v>
      </c>
      <c r="AW4">
        <v>72.941176470588232</v>
      </c>
      <c r="AX4">
        <v>85.064935064935071</v>
      </c>
      <c r="AY4">
        <v>82.993197278911566</v>
      </c>
      <c r="AZ4">
        <v>73.142857142857139</v>
      </c>
      <c r="BA4">
        <v>83.673469387755105</v>
      </c>
      <c r="BB4">
        <v>87.919463087248317</v>
      </c>
      <c r="BC4">
        <v>92.537313432835816</v>
      </c>
      <c r="BD4">
        <v>78.01418439716312</v>
      </c>
      <c r="BE4">
        <v>22.727272727272727</v>
      </c>
      <c r="BF4">
        <v>68.75</v>
      </c>
      <c r="BG4">
        <v>80.769230769230774</v>
      </c>
      <c r="BH4">
        <v>36.363636363636367</v>
      </c>
      <c r="BI4">
        <v>66.081871345029242</v>
      </c>
      <c r="BJ4">
        <v>58.064516129032263</v>
      </c>
      <c r="BK4">
        <v>75.167785234899327</v>
      </c>
      <c r="BL4">
        <v>61.073825503355707</v>
      </c>
      <c r="BM4">
        <v>86.666666666666671</v>
      </c>
      <c r="BN4">
        <v>84.56375838926175</v>
      </c>
      <c r="BO4">
        <v>38.62433862433862</v>
      </c>
      <c r="BP4">
        <v>68.780487804878049</v>
      </c>
      <c r="BQ4">
        <v>67.261904761904773</v>
      </c>
      <c r="BR4">
        <v>73.372781065088759</v>
      </c>
      <c r="BS4">
        <v>63.761467889908253</v>
      </c>
      <c r="BT4">
        <v>72.727272727272734</v>
      </c>
      <c r="BU4">
        <v>80</v>
      </c>
      <c r="BV4">
        <v>94.845360824742258</v>
      </c>
      <c r="BW4">
        <v>82.733812949640281</v>
      </c>
      <c r="BX4">
        <v>75.531914893617028</v>
      </c>
      <c r="BY4">
        <v>62.5</v>
      </c>
      <c r="BZ4">
        <v>78.378378378378372</v>
      </c>
      <c r="CA4">
        <v>88.333333333333329</v>
      </c>
      <c r="CB4">
        <v>82.795698924731184</v>
      </c>
      <c r="CC4">
        <v>84.105960264900659</v>
      </c>
      <c r="CD4">
        <v>73.880597014925371</v>
      </c>
      <c r="CE4">
        <v>88.349514563106794</v>
      </c>
      <c r="CF4">
        <v>63.12056737588653</v>
      </c>
      <c r="CG4">
        <v>83.606557377049185</v>
      </c>
      <c r="CH4">
        <v>62.091503267973856</v>
      </c>
      <c r="CI4">
        <v>85.13513513513513</v>
      </c>
      <c r="CJ4">
        <v>67.027027027027032</v>
      </c>
      <c r="CK4">
        <v>88.349514563106794</v>
      </c>
      <c r="CL4">
        <v>87.431693989071036</v>
      </c>
      <c r="CM4">
        <v>53.731343283582092</v>
      </c>
      <c r="CN4">
        <v>74.418604651162795</v>
      </c>
      <c r="CO4">
        <v>75.933609958506224</v>
      </c>
      <c r="CP4">
        <v>63.387978142076506</v>
      </c>
      <c r="CQ4">
        <v>66</v>
      </c>
      <c r="CR4">
        <v>91.666666666666657</v>
      </c>
      <c r="CS4">
        <v>75.496688741721854</v>
      </c>
      <c r="CT4">
        <v>95.402298850574709</v>
      </c>
      <c r="CU4">
        <v>59.756097560975604</v>
      </c>
      <c r="CV4">
        <v>62.318840579710141</v>
      </c>
      <c r="CW4">
        <v>33.333333333333329</v>
      </c>
      <c r="CX4">
        <v>34.375</v>
      </c>
      <c r="CY4">
        <v>49.082568807339449</v>
      </c>
      <c r="CZ4">
        <v>83.734939759036138</v>
      </c>
      <c r="DA4">
        <v>75.206611570247944</v>
      </c>
      <c r="DB4">
        <v>54.36241610738255</v>
      </c>
      <c r="DC4">
        <v>55.445544554455452</v>
      </c>
      <c r="DD4">
        <v>66.847826086956516</v>
      </c>
      <c r="DE4">
        <v>67.193675889328063</v>
      </c>
      <c r="DF4">
        <v>78.873239436619713</v>
      </c>
      <c r="DG4">
        <v>33.649289099526065</v>
      </c>
      <c r="DH4">
        <v>11.111111111111111</v>
      </c>
      <c r="DI4">
        <v>3.3707865168539324</v>
      </c>
      <c r="DJ4">
        <v>8.4112149532710276</v>
      </c>
      <c r="DK4">
        <v>32.824427480916029</v>
      </c>
      <c r="DL4">
        <v>38.129496402877699</v>
      </c>
      <c r="DM4">
        <v>18.137254901960784</v>
      </c>
      <c r="DN4">
        <v>57.854406130268202</v>
      </c>
      <c r="DO4">
        <v>11.009174311926607</v>
      </c>
      <c r="DP4">
        <v>10.622710622710622</v>
      </c>
      <c r="DQ4">
        <v>27.536231884057973</v>
      </c>
      <c r="DR4">
        <v>4.7619047619047619</v>
      </c>
      <c r="DS4">
        <v>46.428571428571431</v>
      </c>
      <c r="DT4">
        <v>59.649122807017541</v>
      </c>
      <c r="DU4">
        <v>59.813084112149525</v>
      </c>
      <c r="DV4">
        <v>63.157894736842103</v>
      </c>
      <c r="DW4">
        <v>46.25</v>
      </c>
      <c r="DX4">
        <v>62.184873949579831</v>
      </c>
      <c r="DY4">
        <v>58.974358974358978</v>
      </c>
      <c r="EB4">
        <v>17.005669406291616</v>
      </c>
      <c r="EC4">
        <v>25.870291279186546</v>
      </c>
    </row>
    <row r="5" spans="1:133" x14ac:dyDescent="0.2">
      <c r="A5">
        <v>4</v>
      </c>
      <c r="B5">
        <f>34/109*100</f>
        <v>31.192660550458719</v>
      </c>
      <c r="C5">
        <v>3</v>
      </c>
      <c r="D5">
        <f>89/203*100</f>
        <v>43.842364532019708</v>
      </c>
      <c r="E5">
        <v>3</v>
      </c>
      <c r="F5">
        <f>32/134*100</f>
        <v>23.880597014925371</v>
      </c>
      <c r="G5">
        <v>3</v>
      </c>
      <c r="H5">
        <f>(26)/225*100</f>
        <v>11.555555555555555</v>
      </c>
      <c r="I5">
        <v>3</v>
      </c>
      <c r="J5">
        <f>(112-78)/112*100</f>
        <v>30.357142857142854</v>
      </c>
      <c r="K5">
        <v>3</v>
      </c>
      <c r="L5">
        <f>(68-62)/68*100</f>
        <v>8.8235294117647065</v>
      </c>
      <c r="M5">
        <v>3</v>
      </c>
      <c r="P5">
        <v>31.192660550458719</v>
      </c>
      <c r="Q5">
        <v>43.842364532019708</v>
      </c>
      <c r="R5">
        <v>23.880597014925371</v>
      </c>
      <c r="S5">
        <v>11.555555555555555</v>
      </c>
      <c r="T5">
        <v>30.357142857142854</v>
      </c>
      <c r="U5">
        <v>8.8235294117647065</v>
      </c>
      <c r="X5" t="s">
        <v>22</v>
      </c>
      <c r="Y5">
        <v>3.3547799999999999</v>
      </c>
      <c r="Z5">
        <v>9.67</v>
      </c>
      <c r="AA5">
        <v>31.481481481481481</v>
      </c>
      <c r="AB5">
        <v>11.555555555555555</v>
      </c>
      <c r="AC5">
        <v>19.26605504587156</v>
      </c>
      <c r="AD5">
        <v>55.555555555555557</v>
      </c>
      <c r="AE5">
        <v>9.4736842105263168</v>
      </c>
      <c r="AF5">
        <v>24.375</v>
      </c>
      <c r="AG5">
        <v>57.407407407407405</v>
      </c>
      <c r="AH5">
        <v>97</v>
      </c>
      <c r="AI5">
        <v>65.853658536585371</v>
      </c>
      <c r="AJ5">
        <v>25</v>
      </c>
      <c r="AK5">
        <v>19.166666666666668</v>
      </c>
      <c r="AL5">
        <v>22.222222222222221</v>
      </c>
      <c r="AM5">
        <v>62.4</v>
      </c>
      <c r="AN5">
        <v>86.47540983606558</v>
      </c>
      <c r="AO5">
        <v>86.877828054298647</v>
      </c>
      <c r="AP5">
        <v>100</v>
      </c>
      <c r="AQ5">
        <v>90.740740740740748</v>
      </c>
      <c r="AR5">
        <v>83.229813664596278</v>
      </c>
      <c r="AS5">
        <v>69.082125603864725</v>
      </c>
      <c r="AT5">
        <v>54.500000000000007</v>
      </c>
      <c r="AU5">
        <v>83.229813664596278</v>
      </c>
      <c r="AV5">
        <v>65.693430656934311</v>
      </c>
      <c r="AW5">
        <v>66.359447004608299</v>
      </c>
      <c r="AX5">
        <v>100</v>
      </c>
      <c r="AY5">
        <v>75.776397515527947</v>
      </c>
      <c r="AZ5">
        <v>63.414634146341463</v>
      </c>
      <c r="BA5">
        <v>60.360360360360367</v>
      </c>
      <c r="BB5">
        <v>72</v>
      </c>
      <c r="BC5">
        <v>63.483146067415731</v>
      </c>
      <c r="BD5">
        <v>64.5</v>
      </c>
      <c r="BE5">
        <v>34.782608695652172</v>
      </c>
      <c r="BF5">
        <v>60.509554140127385</v>
      </c>
      <c r="BG5">
        <v>64.15094339622641</v>
      </c>
      <c r="BH5">
        <v>62.790697674418603</v>
      </c>
      <c r="BI5">
        <v>78.423236514522827</v>
      </c>
      <c r="BJ5">
        <v>53.94736842105263</v>
      </c>
      <c r="BK5">
        <v>18.96551724137931</v>
      </c>
      <c r="BL5">
        <v>78.67647058823529</v>
      </c>
      <c r="BM5">
        <v>85.714285714285708</v>
      </c>
      <c r="BN5">
        <v>96.333332999999996</v>
      </c>
      <c r="BO5">
        <v>71.084337349397586</v>
      </c>
      <c r="BP5">
        <v>88.255033557046985</v>
      </c>
      <c r="BQ5">
        <v>75.806451612903231</v>
      </c>
      <c r="BR5">
        <v>88.995215311004785</v>
      </c>
      <c r="BS5">
        <v>76.724137931034491</v>
      </c>
      <c r="BT5">
        <v>91.93</v>
      </c>
      <c r="BU5">
        <v>86.58536585365853</v>
      </c>
      <c r="BV5">
        <v>84.677419354838719</v>
      </c>
      <c r="BW5">
        <v>95.628415300546436</v>
      </c>
      <c r="BX5">
        <v>70.723684210526315</v>
      </c>
      <c r="BY5">
        <v>95.333330000000004</v>
      </c>
      <c r="BZ5">
        <v>83.516483516483518</v>
      </c>
      <c r="CA5">
        <v>82.941176470588246</v>
      </c>
      <c r="CB5">
        <v>70</v>
      </c>
      <c r="CC5">
        <v>67.32673267326733</v>
      </c>
      <c r="CD5">
        <v>97.6666666666666</v>
      </c>
      <c r="CE5">
        <v>81.072581933933151</v>
      </c>
      <c r="CF5">
        <v>44.512195121951223</v>
      </c>
      <c r="CG5">
        <v>66.070999999999998</v>
      </c>
      <c r="CH5">
        <v>66.438356164383563</v>
      </c>
      <c r="CI5">
        <v>88.679245283018872</v>
      </c>
      <c r="CJ5">
        <v>84.353741496598644</v>
      </c>
      <c r="CK5">
        <v>44.549763033175353</v>
      </c>
      <c r="CL5">
        <v>57.936507936507944</v>
      </c>
      <c r="CM5">
        <v>70.769230769230774</v>
      </c>
      <c r="CN5">
        <v>81.300813008130078</v>
      </c>
      <c r="CO5">
        <v>76.004135439675252</v>
      </c>
      <c r="CP5">
        <v>56.557377049180324</v>
      </c>
      <c r="CQ5">
        <v>77.777777777777786</v>
      </c>
      <c r="CR5">
        <v>92.5</v>
      </c>
      <c r="CS5">
        <v>71.590909090909093</v>
      </c>
      <c r="CT5">
        <v>93.548387096774192</v>
      </c>
      <c r="CU5">
        <v>82.89473684210526</v>
      </c>
      <c r="CV5">
        <v>57.95454545454546</v>
      </c>
      <c r="CW5">
        <v>74.81481481481481</v>
      </c>
      <c r="CX5">
        <v>20.606060606060606</v>
      </c>
      <c r="CY5">
        <v>30.386740331491712</v>
      </c>
      <c r="CZ5">
        <v>59.259259259259252</v>
      </c>
      <c r="DA5">
        <v>75.384615384615387</v>
      </c>
      <c r="DB5">
        <v>73</v>
      </c>
      <c r="DC5">
        <v>88.275862068965523</v>
      </c>
      <c r="DD5">
        <v>52.272727272727273</v>
      </c>
      <c r="DE5">
        <v>54.385964912280706</v>
      </c>
      <c r="DF5">
        <v>69.927536231884062</v>
      </c>
      <c r="DG5">
        <v>38.053097345132741</v>
      </c>
      <c r="DH5">
        <v>5.3191489361702127</v>
      </c>
      <c r="DI5">
        <v>18.994413407821227</v>
      </c>
      <c r="DJ5">
        <v>49.006622516556291</v>
      </c>
      <c r="DK5">
        <v>64.179104477611943</v>
      </c>
      <c r="DL5">
        <v>8.1081081081081088</v>
      </c>
      <c r="DM5">
        <v>60.8</v>
      </c>
      <c r="DN5">
        <v>23.369565217391305</v>
      </c>
      <c r="DO5">
        <v>56.994818652849744</v>
      </c>
      <c r="DP5">
        <v>21.546961325966851</v>
      </c>
      <c r="DQ5">
        <v>46.153846153846153</v>
      </c>
      <c r="DR5">
        <v>43.778801843317972</v>
      </c>
      <c r="DS5">
        <v>20.76923076923077</v>
      </c>
      <c r="DT5">
        <v>1.4184397163120568</v>
      </c>
      <c r="DU5">
        <v>50</v>
      </c>
      <c r="DV5">
        <v>81.690140845070431</v>
      </c>
      <c r="DW5">
        <v>37.162162162162161</v>
      </c>
      <c r="DX5">
        <v>14.732142857142858</v>
      </c>
      <c r="DY5">
        <v>25.714285714285712</v>
      </c>
      <c r="EB5">
        <v>76.816307751136904</v>
      </c>
      <c r="EC5">
        <v>8.684574389512969</v>
      </c>
    </row>
    <row r="6" spans="1:133" x14ac:dyDescent="0.2">
      <c r="A6">
        <v>5</v>
      </c>
      <c r="B6">
        <f>24/100*100</f>
        <v>24</v>
      </c>
      <c r="C6">
        <v>3</v>
      </c>
      <c r="D6">
        <f>59/228*100</f>
        <v>25.877192982456144</v>
      </c>
      <c r="E6">
        <v>3</v>
      </c>
      <c r="F6">
        <f>34/181*100</f>
        <v>18.784530386740332</v>
      </c>
      <c r="G6">
        <v>3</v>
      </c>
      <c r="H6">
        <f>42/218*100</f>
        <v>19.26605504587156</v>
      </c>
      <c r="I6">
        <v>3</v>
      </c>
      <c r="J6">
        <f>(88-73)/88*100</f>
        <v>17.045454545454543</v>
      </c>
      <c r="K6">
        <v>3</v>
      </c>
      <c r="L6">
        <f>29/283*100</f>
        <v>10.247349823321555</v>
      </c>
      <c r="M6">
        <v>3</v>
      </c>
      <c r="P6">
        <v>24</v>
      </c>
      <c r="Q6">
        <v>25.877192982456144</v>
      </c>
      <c r="R6">
        <v>18.784530386740332</v>
      </c>
      <c r="S6">
        <v>19.26605504587156</v>
      </c>
      <c r="T6">
        <v>17.045454545454543</v>
      </c>
      <c r="U6">
        <v>10.247349823321555</v>
      </c>
      <c r="X6" t="s">
        <v>23</v>
      </c>
      <c r="Y6">
        <v>1.6536439999999999</v>
      </c>
      <c r="Z6">
        <v>3.8694500000000001</v>
      </c>
      <c r="AA6">
        <v>1.0243329999999999</v>
      </c>
      <c r="AB6">
        <v>30.357142857142854</v>
      </c>
      <c r="AC6">
        <v>17.045454545454543</v>
      </c>
      <c r="AD6">
        <v>16.260162601626014</v>
      </c>
      <c r="AE6">
        <v>6.4516129032258061</v>
      </c>
      <c r="AF6">
        <v>59.504132231404959</v>
      </c>
      <c r="AG6">
        <v>99.23</v>
      </c>
      <c r="AH6">
        <v>79.310344827586206</v>
      </c>
      <c r="AI6">
        <v>83.544303797468359</v>
      </c>
      <c r="AJ6">
        <v>29.11392405063291</v>
      </c>
      <c r="AK6">
        <v>29.813664596273291</v>
      </c>
      <c r="AL6">
        <v>10.48951048951049</v>
      </c>
      <c r="AM6">
        <v>72.5</v>
      </c>
      <c r="AN6">
        <v>52.413793103448278</v>
      </c>
      <c r="AO6">
        <v>85.5</v>
      </c>
      <c r="AP6">
        <v>88.52459016393442</v>
      </c>
      <c r="AQ6">
        <v>82.524271844660191</v>
      </c>
      <c r="AR6">
        <v>66.666666666666657</v>
      </c>
      <c r="AS6">
        <v>43.2</v>
      </c>
      <c r="AT6">
        <v>67.2</v>
      </c>
      <c r="AU6">
        <v>66.666666666666657</v>
      </c>
      <c r="AV6">
        <v>72.641509433962256</v>
      </c>
      <c r="AW6">
        <v>62.721893491124256</v>
      </c>
      <c r="AX6">
        <v>88.965517241379317</v>
      </c>
      <c r="AY6">
        <v>55.462184873949582</v>
      </c>
      <c r="AZ6">
        <v>75.998999999999995</v>
      </c>
      <c r="BA6">
        <v>81.888888899999998</v>
      </c>
      <c r="BB6">
        <v>74.285714285714292</v>
      </c>
      <c r="BC6">
        <v>34.146341463414636</v>
      </c>
      <c r="BD6">
        <v>80.158730158730165</v>
      </c>
      <c r="BE6">
        <v>66.666666666666657</v>
      </c>
      <c r="BF6">
        <v>90.604026845637591</v>
      </c>
      <c r="BG6">
        <v>84.93150684931507</v>
      </c>
      <c r="BH6">
        <v>97</v>
      </c>
      <c r="BI6">
        <v>65.306122448979593</v>
      </c>
      <c r="BJ6">
        <v>73.68421052631578</v>
      </c>
      <c r="BK6">
        <v>29.599999999999998</v>
      </c>
      <c r="BL6">
        <v>69.002695417789766</v>
      </c>
      <c r="BM6">
        <v>65.608465608465607</v>
      </c>
      <c r="BN6">
        <v>84.848484848484844</v>
      </c>
      <c r="BO6">
        <v>76.363636363636374</v>
      </c>
      <c r="BP6">
        <v>76.984126984126988</v>
      </c>
      <c r="BQ6">
        <v>71.900826446281002</v>
      </c>
      <c r="BR6">
        <v>86.178861788617894</v>
      </c>
      <c r="BS6">
        <v>84.946236559139791</v>
      </c>
      <c r="BT6">
        <v>86.274509803921575</v>
      </c>
      <c r="BU6">
        <v>83.236994219653184</v>
      </c>
      <c r="BV6">
        <v>86.010362694300511</v>
      </c>
      <c r="BW6">
        <v>88.095238095238088</v>
      </c>
      <c r="BX6">
        <v>90.184049079754601</v>
      </c>
      <c r="BY6">
        <v>96.078431372549019</v>
      </c>
      <c r="BZ6">
        <v>93.193717277486911</v>
      </c>
      <c r="CA6">
        <v>82.959641255605376</v>
      </c>
      <c r="CB6">
        <v>84.8</v>
      </c>
      <c r="CC6">
        <v>67.901234567901241</v>
      </c>
      <c r="CD6">
        <v>71.621621621621628</v>
      </c>
      <c r="CE6">
        <v>83.819813596416992</v>
      </c>
      <c r="CF6">
        <v>46.629213483146067</v>
      </c>
      <c r="CG6">
        <v>67.261904761904773</v>
      </c>
      <c r="CH6">
        <v>71.074380165289256</v>
      </c>
      <c r="CI6">
        <v>88.75</v>
      </c>
      <c r="CJ6">
        <v>87.931034482758619</v>
      </c>
      <c r="CK6">
        <v>45.783132530120483</v>
      </c>
      <c r="CL6">
        <v>56.71641791044776</v>
      </c>
      <c r="CM6">
        <v>42.142857142857146</v>
      </c>
      <c r="CN6">
        <v>60.377358490566039</v>
      </c>
      <c r="CO6">
        <v>67.857142857142861</v>
      </c>
      <c r="CP6">
        <v>28.571428571428569</v>
      </c>
      <c r="CQ6">
        <v>33.210332103321036</v>
      </c>
      <c r="CR6">
        <v>68.59504132231406</v>
      </c>
      <c r="CS6">
        <v>80.508474576271183</v>
      </c>
      <c r="CT6">
        <v>93.442622950819683</v>
      </c>
      <c r="CU6">
        <v>92.771084337349393</v>
      </c>
      <c r="CV6">
        <v>35</v>
      </c>
      <c r="CW6">
        <v>65.217391304347828</v>
      </c>
      <c r="CX6">
        <v>34.545454545454547</v>
      </c>
      <c r="CY6">
        <v>62.711864406779661</v>
      </c>
      <c r="CZ6">
        <v>60</v>
      </c>
      <c r="DA6">
        <v>75.294117647058826</v>
      </c>
      <c r="DB6">
        <v>54.237288135593218</v>
      </c>
      <c r="DC6">
        <v>29.487179487179489</v>
      </c>
      <c r="DD6">
        <v>52.631578947368418</v>
      </c>
      <c r="DE6">
        <v>63.157894736842103</v>
      </c>
      <c r="DF6">
        <v>64.397905759162299</v>
      </c>
      <c r="DG6">
        <v>37.280701754385966</v>
      </c>
      <c r="DH6">
        <v>29.787234042553191</v>
      </c>
      <c r="DI6">
        <v>34.972677595628419</v>
      </c>
      <c r="DJ6">
        <v>62.015503875968989</v>
      </c>
      <c r="DK6">
        <v>83.177570093457945</v>
      </c>
      <c r="DL6">
        <v>59.22330097087378</v>
      </c>
      <c r="DM6">
        <v>42.361111111111107</v>
      </c>
      <c r="DN6">
        <v>51.19047619047619</v>
      </c>
      <c r="DO6">
        <v>52.608695652173907</v>
      </c>
      <c r="DP6">
        <v>80.392156862745097</v>
      </c>
      <c r="DQ6">
        <v>81.699346405228752</v>
      </c>
      <c r="DR6">
        <v>64.545454545454547</v>
      </c>
      <c r="DS6">
        <v>54.54545454545454</v>
      </c>
      <c r="DT6">
        <v>63.076923076923073</v>
      </c>
      <c r="DU6">
        <v>57.272727272727273</v>
      </c>
      <c r="DV6">
        <v>47.222222222222221</v>
      </c>
      <c r="DW6">
        <v>88.961038961038966</v>
      </c>
      <c r="DX6">
        <v>60.317460317460316</v>
      </c>
      <c r="DY6">
        <v>53.741496598639458</v>
      </c>
      <c r="EB6">
        <v>27.993392326073305</v>
      </c>
      <c r="EC6">
        <v>46.237972479041218</v>
      </c>
    </row>
    <row r="7" spans="1:133" x14ac:dyDescent="0.2">
      <c r="A7">
        <v>6</v>
      </c>
      <c r="B7">
        <f>10/119*100</f>
        <v>8.4033613445378155</v>
      </c>
      <c r="C7">
        <v>3</v>
      </c>
      <c r="D7">
        <f>92/185*100</f>
        <v>49.729729729729733</v>
      </c>
      <c r="E7">
        <v>3</v>
      </c>
      <c r="F7">
        <f>(254-212)/245*100</f>
        <v>17.142857142857142</v>
      </c>
      <c r="G7">
        <v>3</v>
      </c>
      <c r="H7">
        <f>90/162*100</f>
        <v>55.555555555555557</v>
      </c>
      <c r="I7">
        <v>3</v>
      </c>
      <c r="J7">
        <f>20/123*100</f>
        <v>16.260162601626014</v>
      </c>
      <c r="K7">
        <v>3</v>
      </c>
      <c r="L7">
        <f>10/123*100</f>
        <v>8.1300813008130071</v>
      </c>
      <c r="M7">
        <v>3</v>
      </c>
      <c r="P7">
        <v>8.4033613445378155</v>
      </c>
      <c r="Q7">
        <v>49.729729729729733</v>
      </c>
      <c r="R7">
        <v>17.142857142857142</v>
      </c>
      <c r="S7">
        <v>55.555555555555557</v>
      </c>
      <c r="T7">
        <v>16.260162601626014</v>
      </c>
      <c r="U7">
        <v>8.1300813008130071</v>
      </c>
      <c r="X7" t="s">
        <v>24</v>
      </c>
      <c r="Y7">
        <v>5.7721</v>
      </c>
      <c r="Z7">
        <v>7.2403500000000003</v>
      </c>
      <c r="AA7">
        <v>15.306122448979592</v>
      </c>
      <c r="AB7">
        <v>8.8235294117647065</v>
      </c>
      <c r="AC7">
        <v>10.247349823321555</v>
      </c>
      <c r="AD7">
        <v>8.1300813008130071</v>
      </c>
      <c r="AE7">
        <v>5.6818181818181817</v>
      </c>
      <c r="AF7">
        <v>62.809917355371901</v>
      </c>
      <c r="AG7">
        <v>98.34</v>
      </c>
      <c r="AH7">
        <v>90.804597701149419</v>
      </c>
      <c r="AI7">
        <v>77.215189873417728</v>
      </c>
      <c r="AJ7">
        <v>20.652173913043477</v>
      </c>
      <c r="AK7">
        <v>9.8130841121495322</v>
      </c>
      <c r="AL7">
        <v>65.562913907284766</v>
      </c>
      <c r="AM7">
        <v>47.5</v>
      </c>
      <c r="AN7">
        <v>45.517241379310349</v>
      </c>
      <c r="AO7">
        <v>90</v>
      </c>
      <c r="AP7">
        <v>96.721311475409834</v>
      </c>
      <c r="AQ7">
        <v>63.10679611650486</v>
      </c>
      <c r="AR7">
        <v>37.931034482758619</v>
      </c>
      <c r="AS7">
        <v>62.4</v>
      </c>
      <c r="AT7">
        <v>57.599999999999994</v>
      </c>
      <c r="AU7">
        <v>56.80473372781065</v>
      </c>
      <c r="AV7">
        <v>70.34482758620689</v>
      </c>
      <c r="AW7">
        <v>38.655462184873954</v>
      </c>
      <c r="AX7">
        <v>65.998999999999995</v>
      </c>
      <c r="AY7">
        <v>81.888888899999998</v>
      </c>
      <c r="AZ7">
        <v>56.349206349206348</v>
      </c>
      <c r="BA7">
        <v>58.82352941176471</v>
      </c>
      <c r="BB7">
        <v>61.97613544092308</v>
      </c>
      <c r="BC7">
        <v>48.984076709999997</v>
      </c>
      <c r="BD7">
        <v>88.095238095238088</v>
      </c>
      <c r="BE7">
        <v>27.777777777777779</v>
      </c>
      <c r="BF7">
        <v>63.758389261744966</v>
      </c>
      <c r="BG7">
        <v>78.082191780821915</v>
      </c>
      <c r="BH7">
        <v>69.950738916256157</v>
      </c>
      <c r="BI7">
        <v>51.700680272108848</v>
      </c>
      <c r="BJ7">
        <v>40.425531914893611</v>
      </c>
      <c r="BK7">
        <v>46.296296296296298</v>
      </c>
      <c r="BL7">
        <v>79.032258064516128</v>
      </c>
      <c r="BM7">
        <v>90.404040404040416</v>
      </c>
      <c r="BN7">
        <v>64.646464646464651</v>
      </c>
      <c r="BO7">
        <v>76.363636363636374</v>
      </c>
      <c r="BP7">
        <v>69.047619047619051</v>
      </c>
      <c r="BQ7">
        <v>84.939759036144579</v>
      </c>
      <c r="BR7">
        <v>88.617886178861795</v>
      </c>
      <c r="BS7">
        <v>91.358024691358025</v>
      </c>
      <c r="BT7">
        <v>66.666666666666657</v>
      </c>
      <c r="BU7">
        <v>89.017341040462426</v>
      </c>
      <c r="BV7">
        <v>89.325842696629209</v>
      </c>
      <c r="BW7">
        <v>81.888888899999998</v>
      </c>
      <c r="BX7">
        <v>77.914110429447859</v>
      </c>
      <c r="BY7">
        <v>96.078431372549019</v>
      </c>
      <c r="BZ7">
        <v>82.722513089005233</v>
      </c>
      <c r="CA7">
        <v>60.538116591928251</v>
      </c>
      <c r="CB7">
        <v>76.8</v>
      </c>
      <c r="CC7">
        <v>80.246913580246911</v>
      </c>
      <c r="CD7">
        <v>70.270270270270274</v>
      </c>
      <c r="CE7">
        <v>77.795765047635385</v>
      </c>
      <c r="CF7">
        <v>44.696969696969695</v>
      </c>
      <c r="CG7">
        <v>23.728813559322035</v>
      </c>
      <c r="CH7">
        <v>42.245989304812838</v>
      </c>
      <c r="CI7">
        <v>81.871345029239762</v>
      </c>
      <c r="CJ7">
        <v>63.157894736842103</v>
      </c>
      <c r="CK7">
        <v>50.943396226415096</v>
      </c>
      <c r="CL7">
        <v>46.296296296296298</v>
      </c>
      <c r="CM7">
        <v>45.454545454545453</v>
      </c>
      <c r="CN7">
        <v>37.719298245614034</v>
      </c>
      <c r="CO7">
        <v>49.122807017543856</v>
      </c>
      <c r="CP7">
        <v>20.168067226890756</v>
      </c>
      <c r="CQ7">
        <v>70.114942528735639</v>
      </c>
      <c r="CR7">
        <v>79.338842975206617</v>
      </c>
      <c r="CS7">
        <v>16.101694915254235</v>
      </c>
      <c r="CT7">
        <v>94.382022471910105</v>
      </c>
      <c r="CU7">
        <v>92.771084337349393</v>
      </c>
      <c r="CV7">
        <v>42.142857142857146</v>
      </c>
      <c r="CW7">
        <v>70.652173913043484</v>
      </c>
      <c r="CX7">
        <v>58.870967741935488</v>
      </c>
      <c r="CY7">
        <v>55.045871559633028</v>
      </c>
      <c r="CZ7">
        <v>36.708860759493675</v>
      </c>
      <c r="DA7">
        <v>66.292134831460672</v>
      </c>
      <c r="DB7">
        <v>35.897435897435898</v>
      </c>
      <c r="DC7">
        <v>47.593582887700535</v>
      </c>
      <c r="DD7">
        <v>61.53846153846154</v>
      </c>
      <c r="DE7">
        <v>57.857142857142861</v>
      </c>
      <c r="DF7">
        <v>57.843137254901968</v>
      </c>
      <c r="DG7">
        <v>45.121951219512198</v>
      </c>
      <c r="DH7">
        <v>37.790697674418603</v>
      </c>
      <c r="DI7">
        <v>53.030303030303031</v>
      </c>
      <c r="DJ7">
        <v>83.056478405315616</v>
      </c>
      <c r="DK7">
        <v>74.528301886792448</v>
      </c>
      <c r="DL7">
        <v>46.05263157894737</v>
      </c>
      <c r="DM7">
        <v>37.172774869109951</v>
      </c>
      <c r="DN7">
        <v>49.549549549549546</v>
      </c>
      <c r="DO7">
        <v>56.682027649769587</v>
      </c>
      <c r="DP7">
        <v>70.731707317073173</v>
      </c>
      <c r="DQ7">
        <v>54.166666666666664</v>
      </c>
      <c r="DR7">
        <v>71.369294605809131</v>
      </c>
      <c r="DS7">
        <v>82.822085889570545</v>
      </c>
      <c r="DT7">
        <v>48.717948717948715</v>
      </c>
      <c r="DU7">
        <v>46.341463414634148</v>
      </c>
      <c r="DV7">
        <v>53.246753246753244</v>
      </c>
      <c r="DW7">
        <v>67.283950617283949</v>
      </c>
      <c r="DX7">
        <v>63.758389261744966</v>
      </c>
      <c r="DY7">
        <v>55.279503105590067</v>
      </c>
      <c r="EB7">
        <v>33.081467950343459</v>
      </c>
      <c r="EC7">
        <v>80.722848739637357</v>
      </c>
    </row>
    <row r="8" spans="1:133" x14ac:dyDescent="0.2">
      <c r="A8">
        <v>7</v>
      </c>
      <c r="B8">
        <f>10/119*100</f>
        <v>8.4033613445378155</v>
      </c>
      <c r="C8">
        <v>3</v>
      </c>
      <c r="D8">
        <f>16/165*100</f>
        <v>9.6969696969696972</v>
      </c>
      <c r="E8">
        <v>3</v>
      </c>
      <c r="F8">
        <f>31/250*100</f>
        <v>12.4</v>
      </c>
      <c r="G8">
        <v>3</v>
      </c>
      <c r="H8">
        <f>9/95*100</f>
        <v>9.4736842105263168</v>
      </c>
      <c r="I8">
        <v>3</v>
      </c>
      <c r="J8">
        <f>6/93*100</f>
        <v>6.4516129032258061</v>
      </c>
      <c r="K8">
        <v>3</v>
      </c>
      <c r="L8">
        <f>5/88*100</f>
        <v>5.6818181818181817</v>
      </c>
      <c r="M8">
        <v>3</v>
      </c>
      <c r="P8">
        <v>8.4033613445378155</v>
      </c>
      <c r="Q8">
        <v>9.6969696969696972</v>
      </c>
      <c r="R8">
        <v>12.4</v>
      </c>
      <c r="S8">
        <v>9.4736842105263168</v>
      </c>
      <c r="T8">
        <v>6.4516129032258061</v>
      </c>
      <c r="U8">
        <v>5.6818181818181817</v>
      </c>
      <c r="EB8">
        <v>40.401229289477378</v>
      </c>
      <c r="EC8">
        <v>73.15112898096406</v>
      </c>
    </row>
    <row r="9" spans="1:133" x14ac:dyDescent="0.2">
      <c r="A9">
        <v>8</v>
      </c>
      <c r="B9">
        <f>63/134*100</f>
        <v>47.014925373134332</v>
      </c>
      <c r="C9">
        <v>3</v>
      </c>
      <c r="D9">
        <f>65/147*100</f>
        <v>44.217687074829932</v>
      </c>
      <c r="E9">
        <v>3</v>
      </c>
      <c r="F9">
        <f>(243-147)/243*100</f>
        <v>39.506172839506171</v>
      </c>
      <c r="G9">
        <v>2</v>
      </c>
      <c r="H9">
        <f>(160-121)/160*100</f>
        <v>24.375</v>
      </c>
      <c r="I9">
        <v>3</v>
      </c>
      <c r="J9">
        <f>(121-49)/121*100</f>
        <v>59.504132231404959</v>
      </c>
      <c r="K9">
        <v>3</v>
      </c>
      <c r="L9">
        <f>(121-45)/121*100</f>
        <v>62.809917355371901</v>
      </c>
      <c r="M9">
        <v>3</v>
      </c>
      <c r="P9">
        <v>47.014925373134332</v>
      </c>
      <c r="Q9">
        <v>44.217687074829932</v>
      </c>
      <c r="R9">
        <v>39.506172839506171</v>
      </c>
      <c r="S9">
        <v>24.375</v>
      </c>
      <c r="T9">
        <v>59.504132231404959</v>
      </c>
      <c r="U9">
        <v>62.809917355371901</v>
      </c>
      <c r="EB9">
        <v>59.655646125635677</v>
      </c>
      <c r="EC9">
        <v>79.662218463103187</v>
      </c>
    </row>
    <row r="10" spans="1:133" x14ac:dyDescent="0.2">
      <c r="A10">
        <v>9</v>
      </c>
      <c r="B10">
        <f>174/208*100</f>
        <v>83.65384615384616</v>
      </c>
      <c r="C10">
        <v>3</v>
      </c>
      <c r="D10">
        <f>139/165*100</f>
        <v>84.242424242424235</v>
      </c>
      <c r="E10">
        <v>3</v>
      </c>
      <c r="F10">
        <f>(205-79)/205*100</f>
        <v>61.463414634146339</v>
      </c>
      <c r="G10">
        <v>2</v>
      </c>
      <c r="H10">
        <f>(162-69)/162*100</f>
        <v>57.407407407407405</v>
      </c>
      <c r="I10">
        <v>3</v>
      </c>
      <c r="J10">
        <v>99.23</v>
      </c>
      <c r="K10">
        <v>3</v>
      </c>
      <c r="L10">
        <v>98.34</v>
      </c>
      <c r="M10">
        <v>3</v>
      </c>
      <c r="P10">
        <v>83.65384615384616</v>
      </c>
      <c r="Q10">
        <v>84.242424242424235</v>
      </c>
      <c r="R10">
        <v>61.463414634146339</v>
      </c>
      <c r="S10">
        <v>57.407407407407405</v>
      </c>
      <c r="T10">
        <v>99.23</v>
      </c>
      <c r="U10">
        <v>98.34</v>
      </c>
      <c r="EB10">
        <v>62.25194452825906</v>
      </c>
      <c r="EC10">
        <v>66.126353217667045</v>
      </c>
    </row>
    <row r="11" spans="1:133" x14ac:dyDescent="0.2">
      <c r="A11">
        <v>10</v>
      </c>
      <c r="B11">
        <f>79/165*100</f>
        <v>47.878787878787875</v>
      </c>
      <c r="C11">
        <v>3</v>
      </c>
      <c r="D11">
        <f>104/208*100</f>
        <v>50</v>
      </c>
      <c r="E11">
        <v>3</v>
      </c>
      <c r="F11">
        <f>136/184*100</f>
        <v>73.91304347826086</v>
      </c>
      <c r="G11">
        <v>3</v>
      </c>
      <c r="H11">
        <v>97</v>
      </c>
      <c r="I11">
        <v>3</v>
      </c>
      <c r="J11">
        <f>(87-18)/87*100</f>
        <v>79.310344827586206</v>
      </c>
      <c r="K11">
        <v>3</v>
      </c>
      <c r="L11">
        <f>(87-8)/87*100</f>
        <v>90.804597701149419</v>
      </c>
      <c r="M11">
        <v>2</v>
      </c>
      <c r="P11">
        <v>47.878787878787875</v>
      </c>
      <c r="Q11">
        <v>50</v>
      </c>
      <c r="R11">
        <v>73.91304347826086</v>
      </c>
      <c r="S11">
        <v>97</v>
      </c>
      <c r="T11">
        <v>79.310344827586206</v>
      </c>
      <c r="U11">
        <v>90.804597701149419</v>
      </c>
      <c r="EB11">
        <v>76.29484297840763</v>
      </c>
      <c r="EC11">
        <v>62.377950107408537</v>
      </c>
    </row>
    <row r="12" spans="1:133" x14ac:dyDescent="0.2">
      <c r="A12">
        <v>11</v>
      </c>
      <c r="B12">
        <f>64/89*100</f>
        <v>71.910112359550567</v>
      </c>
      <c r="C12">
        <v>3</v>
      </c>
      <c r="D12">
        <f>187/253*100</f>
        <v>73.91304347826086</v>
      </c>
      <c r="E12">
        <v>3</v>
      </c>
      <c r="F12">
        <f>23/26*100</f>
        <v>88.461538461538453</v>
      </c>
      <c r="G12">
        <v>3</v>
      </c>
      <c r="H12">
        <f>189/287*100</f>
        <v>65.853658536585371</v>
      </c>
      <c r="I12">
        <v>3</v>
      </c>
      <c r="J12">
        <f>(158-26)/158*100</f>
        <v>83.544303797468359</v>
      </c>
      <c r="K12">
        <v>3</v>
      </c>
      <c r="L12">
        <f>(158-36)/158*100</f>
        <v>77.215189873417728</v>
      </c>
      <c r="M12">
        <v>3</v>
      </c>
      <c r="P12">
        <v>71.910112359550567</v>
      </c>
      <c r="Q12">
        <v>73.91304347826086</v>
      </c>
      <c r="R12">
        <v>88.461538461538453</v>
      </c>
      <c r="S12">
        <v>65.853658536585371</v>
      </c>
      <c r="T12">
        <v>83.544303797468359</v>
      </c>
      <c r="U12">
        <v>77.215189873417728</v>
      </c>
      <c r="EB12">
        <v>74.859663667410715</v>
      </c>
      <c r="EC12">
        <v>58.201383088413984</v>
      </c>
    </row>
    <row r="13" spans="1:133" x14ac:dyDescent="0.2">
      <c r="A13">
        <v>12</v>
      </c>
      <c r="B13">
        <f>2/11*100</f>
        <v>18.181818181818183</v>
      </c>
      <c r="C13">
        <v>3</v>
      </c>
      <c r="D13">
        <f>19/134*100</f>
        <v>14.17910447761194</v>
      </c>
      <c r="E13">
        <v>3</v>
      </c>
      <c r="F13">
        <f>73/120*100</f>
        <v>60.833333333333329</v>
      </c>
      <c r="G13">
        <v>3</v>
      </c>
      <c r="H13">
        <f>(120-90)/120*100</f>
        <v>25</v>
      </c>
      <c r="I13">
        <v>3</v>
      </c>
      <c r="J13">
        <f>46/158*100</f>
        <v>29.11392405063291</v>
      </c>
      <c r="K13">
        <v>3</v>
      </c>
      <c r="L13">
        <f>(92-73)/92*100</f>
        <v>20.652173913043477</v>
      </c>
      <c r="M13">
        <v>3</v>
      </c>
      <c r="P13">
        <v>18.181818181818183</v>
      </c>
      <c r="Q13">
        <v>14.17910447761194</v>
      </c>
      <c r="R13">
        <v>60.833333333333329</v>
      </c>
      <c r="S13">
        <v>25</v>
      </c>
      <c r="T13">
        <v>29.11392405063291</v>
      </c>
      <c r="U13">
        <v>20.652173913043477</v>
      </c>
      <c r="EB13">
        <v>71.422867124938193</v>
      </c>
      <c r="EC13">
        <v>61.526708600869675</v>
      </c>
    </row>
    <row r="14" spans="1:133" x14ac:dyDescent="0.2">
      <c r="A14">
        <v>13</v>
      </c>
      <c r="B14">
        <f>63/114*100</f>
        <v>55.26315789473685</v>
      </c>
      <c r="C14">
        <v>3</v>
      </c>
      <c r="D14">
        <f>63/156*100</f>
        <v>40.384615384615387</v>
      </c>
      <c r="E14">
        <v>3</v>
      </c>
      <c r="F14">
        <f>37/84*100</f>
        <v>44.047619047619044</v>
      </c>
      <c r="G14">
        <v>3</v>
      </c>
      <c r="H14">
        <f>(120-97)/120*100</f>
        <v>19.166666666666668</v>
      </c>
      <c r="I14">
        <v>3</v>
      </c>
      <c r="J14">
        <f>48/161*100</f>
        <v>29.813664596273291</v>
      </c>
      <c r="K14">
        <v>3</v>
      </c>
      <c r="L14">
        <f>21/214*100</f>
        <v>9.8130841121495322</v>
      </c>
      <c r="M14">
        <v>3</v>
      </c>
      <c r="P14">
        <v>55.26315789473685</v>
      </c>
      <c r="Q14">
        <v>40.384615384615387</v>
      </c>
      <c r="R14">
        <v>44.047619047619044</v>
      </c>
      <c r="S14">
        <v>19.166666666666668</v>
      </c>
      <c r="T14">
        <v>29.813664596273291</v>
      </c>
      <c r="U14">
        <v>9.8130841121495322</v>
      </c>
      <c r="EB14">
        <v>62.853752713459244</v>
      </c>
      <c r="EC14">
        <v>65.523566648250537</v>
      </c>
    </row>
    <row r="15" spans="1:133" x14ac:dyDescent="0.2">
      <c r="A15">
        <v>14</v>
      </c>
      <c r="B15">
        <f>63/107*100</f>
        <v>58.878504672897193</v>
      </c>
      <c r="C15">
        <v>3</v>
      </c>
      <c r="D15">
        <f>80/159*100</f>
        <v>50.314465408805034</v>
      </c>
      <c r="E15">
        <v>3</v>
      </c>
      <c r="F15">
        <f>29/83*100</f>
        <v>34.939759036144579</v>
      </c>
      <c r="G15">
        <v>3</v>
      </c>
      <c r="H15">
        <f>40/180*100</f>
        <v>22.222222222222221</v>
      </c>
      <c r="I15">
        <v>3</v>
      </c>
      <c r="J15">
        <f>30/286*100</f>
        <v>10.48951048951049</v>
      </c>
      <c r="K15">
        <v>3</v>
      </c>
      <c r="L15">
        <f>198/302*100</f>
        <v>65.562913907284766</v>
      </c>
      <c r="M15">
        <v>3</v>
      </c>
      <c r="P15">
        <v>58.878504672897193</v>
      </c>
      <c r="Q15">
        <v>50.314465408805034</v>
      </c>
      <c r="R15">
        <v>34.939759036144579</v>
      </c>
      <c r="S15">
        <v>22.222222222222221</v>
      </c>
      <c r="T15">
        <v>10.48951048951049</v>
      </c>
      <c r="U15">
        <v>65.562913907284766</v>
      </c>
      <c r="EB15">
        <v>66.489446983915528</v>
      </c>
      <c r="EC15">
        <v>71.093064988603729</v>
      </c>
    </row>
    <row r="16" spans="1:133" x14ac:dyDescent="0.2">
      <c r="A16">
        <v>15</v>
      </c>
      <c r="B16">
        <f>86/151*100</f>
        <v>56.953642384105962</v>
      </c>
      <c r="C16">
        <v>3</v>
      </c>
      <c r="D16">
        <f>98/222*100</f>
        <v>44.144144144144143</v>
      </c>
      <c r="E16">
        <v>3</v>
      </c>
      <c r="F16">
        <f>(266-68)/266*100</f>
        <v>74.436090225563916</v>
      </c>
      <c r="G16">
        <v>3</v>
      </c>
      <c r="H16">
        <f>78/125*100</f>
        <v>62.4</v>
      </c>
      <c r="I16">
        <v>3</v>
      </c>
      <c r="J16">
        <f>29/40*100</f>
        <v>72.5</v>
      </c>
      <c r="K16">
        <v>3</v>
      </c>
      <c r="L16">
        <f>19/40*100</f>
        <v>47.5</v>
      </c>
      <c r="M16">
        <v>2</v>
      </c>
      <c r="P16">
        <v>56.953642384105962</v>
      </c>
      <c r="Q16">
        <v>44.144144144144143</v>
      </c>
      <c r="R16">
        <v>74.436090225563916</v>
      </c>
      <c r="S16">
        <v>62.4</v>
      </c>
      <c r="T16">
        <v>72.5</v>
      </c>
      <c r="U16">
        <v>47.5</v>
      </c>
      <c r="EB16">
        <v>74.760377532473001</v>
      </c>
      <c r="EC16">
        <v>50.557415228623967</v>
      </c>
    </row>
    <row r="17" spans="1:133" x14ac:dyDescent="0.2">
      <c r="A17">
        <v>16</v>
      </c>
      <c r="B17">
        <f>60/141*100</f>
        <v>42.553191489361701</v>
      </c>
      <c r="C17">
        <v>3</v>
      </c>
      <c r="D17">
        <f>149/184*100</f>
        <v>80.978260869565219</v>
      </c>
      <c r="E17">
        <v>1</v>
      </c>
      <c r="F17">
        <f>(244-84)/244*100</f>
        <v>65.573770491803273</v>
      </c>
      <c r="G17">
        <v>3</v>
      </c>
      <c r="H17">
        <f>211/244*100</f>
        <v>86.47540983606558</v>
      </c>
      <c r="I17">
        <v>3</v>
      </c>
      <c r="J17">
        <f>(145-69)/145*100</f>
        <v>52.413793103448278</v>
      </c>
      <c r="K17">
        <v>3</v>
      </c>
      <c r="L17">
        <f>(135-69)/145*100</f>
        <v>45.517241379310349</v>
      </c>
      <c r="M17">
        <v>2</v>
      </c>
      <c r="P17">
        <v>42.553191489361701</v>
      </c>
      <c r="Q17">
        <v>80.978260869565219</v>
      </c>
      <c r="R17">
        <v>65.573770491803273</v>
      </c>
      <c r="S17">
        <v>86.47540983606558</v>
      </c>
      <c r="T17">
        <v>52.413793103448278</v>
      </c>
      <c r="U17">
        <v>45.517241379310349</v>
      </c>
      <c r="EB17">
        <v>57.520376511929129</v>
      </c>
      <c r="EC17">
        <v>71.057457740433748</v>
      </c>
    </row>
    <row r="18" spans="1:133" x14ac:dyDescent="0.2">
      <c r="A18">
        <v>17</v>
      </c>
      <c r="B18">
        <f>58/139*100</f>
        <v>41.726618705035975</v>
      </c>
      <c r="C18">
        <v>2</v>
      </c>
      <c r="D18">
        <f>190/225*100</f>
        <v>84.444444444444443</v>
      </c>
      <c r="E18">
        <v>1</v>
      </c>
      <c r="F18">
        <f>(240-50)/240*100</f>
        <v>79.166666666666657</v>
      </c>
      <c r="G18">
        <v>3</v>
      </c>
      <c r="H18">
        <f>192/221*100</f>
        <v>86.877828054298647</v>
      </c>
      <c r="I18">
        <v>3</v>
      </c>
      <c r="J18">
        <f>190/200*L18</f>
        <v>85.5</v>
      </c>
      <c r="K18">
        <v>3</v>
      </c>
      <c r="L18">
        <f>180/200*100</f>
        <v>90</v>
      </c>
      <c r="M18">
        <v>2</v>
      </c>
      <c r="P18">
        <v>41.726618705035975</v>
      </c>
      <c r="Q18">
        <v>84.444444444444443</v>
      </c>
      <c r="R18">
        <v>79.166666666666657</v>
      </c>
      <c r="S18">
        <v>86.877828054298647</v>
      </c>
      <c r="T18">
        <v>85.5</v>
      </c>
      <c r="U18">
        <v>90</v>
      </c>
      <c r="EB18">
        <v>68.557160564992685</v>
      </c>
      <c r="EC18">
        <v>62.581923043149715</v>
      </c>
    </row>
    <row r="19" spans="1:133" x14ac:dyDescent="0.2">
      <c r="A19">
        <v>18</v>
      </c>
      <c r="B19">
        <f>66/103*100</f>
        <v>64.077669902912632</v>
      </c>
      <c r="C19">
        <v>2</v>
      </c>
      <c r="D19">
        <f>(218-28)/218*100</f>
        <v>87.155963302752298</v>
      </c>
      <c r="E19">
        <v>3</v>
      </c>
      <c r="F19">
        <f>100/241*100</f>
        <v>41.49377593360996</v>
      </c>
      <c r="G19">
        <v>3</v>
      </c>
      <c r="H19">
        <v>100</v>
      </c>
      <c r="I19">
        <v>2</v>
      </c>
      <c r="J19">
        <f>(122-14)/122*100</f>
        <v>88.52459016393442</v>
      </c>
      <c r="K19">
        <v>2</v>
      </c>
      <c r="L19">
        <f>(132-14)/122*100</f>
        <v>96.721311475409834</v>
      </c>
      <c r="M19">
        <v>3</v>
      </c>
      <c r="P19">
        <v>64.077669902912632</v>
      </c>
      <c r="Q19">
        <v>87.155963302752298</v>
      </c>
      <c r="R19">
        <v>41.49377593360996</v>
      </c>
      <c r="S19">
        <v>100</v>
      </c>
      <c r="T19">
        <v>88.52459016393442</v>
      </c>
      <c r="U19">
        <v>96.721311475409834</v>
      </c>
      <c r="EB19">
        <v>37.235269190016098</v>
      </c>
      <c r="EC19">
        <v>44.532175927120477</v>
      </c>
    </row>
    <row r="20" spans="1:133" x14ac:dyDescent="0.2">
      <c r="A20">
        <v>19</v>
      </c>
      <c r="B20">
        <f>68/119*100</f>
        <v>57.142857142857139</v>
      </c>
      <c r="C20">
        <v>3</v>
      </c>
      <c r="D20">
        <f>67/190*100</f>
        <v>35.263157894736842</v>
      </c>
      <c r="E20">
        <v>3</v>
      </c>
      <c r="F20">
        <f>(203-65)/203*100</f>
        <v>67.980295566502463</v>
      </c>
      <c r="G20">
        <v>3</v>
      </c>
      <c r="H20">
        <f>(162-15)/162*100</f>
        <v>90.740740740740748</v>
      </c>
      <c r="I20">
        <v>2</v>
      </c>
      <c r="J20">
        <f>(103-18)/103*100</f>
        <v>82.524271844660191</v>
      </c>
      <c r="K20">
        <v>2</v>
      </c>
      <c r="L20">
        <f>(103-38)/103*100</f>
        <v>63.10679611650486</v>
      </c>
      <c r="M20">
        <v>3</v>
      </c>
      <c r="P20">
        <v>57.142857142857139</v>
      </c>
      <c r="Q20">
        <v>35.263157894736842</v>
      </c>
      <c r="R20">
        <v>67.980295566502463</v>
      </c>
      <c r="S20">
        <v>90.740740740740748</v>
      </c>
      <c r="T20">
        <v>82.524271844660191</v>
      </c>
      <c r="U20">
        <v>63.10679611650486</v>
      </c>
      <c r="EB20">
        <v>65.566172276155768</v>
      </c>
      <c r="EC20">
        <v>42.247688894581536</v>
      </c>
    </row>
    <row r="21" spans="1:133" x14ac:dyDescent="0.2">
      <c r="A21">
        <v>20</v>
      </c>
      <c r="B21">
        <f>58/123*100</f>
        <v>47.154471544715449</v>
      </c>
      <c r="C21">
        <v>3</v>
      </c>
      <c r="D21">
        <f>(196-37)/196*100</f>
        <v>81.122448979591837</v>
      </c>
      <c r="E21">
        <v>3</v>
      </c>
      <c r="F21">
        <f>(98-41)/98*100</f>
        <v>58.163265306122447</v>
      </c>
      <c r="G21">
        <v>3</v>
      </c>
      <c r="H21">
        <f>(161-27)/161*100</f>
        <v>83.229813664596278</v>
      </c>
      <c r="I21">
        <v>1</v>
      </c>
      <c r="J21">
        <f>(87-29)/87*100</f>
        <v>66.666666666666657</v>
      </c>
      <c r="K21">
        <v>1</v>
      </c>
      <c r="L21">
        <f>(87-54)/87*100</f>
        <v>37.931034482758619</v>
      </c>
      <c r="M21">
        <v>3</v>
      </c>
      <c r="P21">
        <v>47.154471544715449</v>
      </c>
      <c r="Q21">
        <v>81.122448979591837</v>
      </c>
      <c r="R21">
        <v>58.163265306122447</v>
      </c>
      <c r="S21">
        <v>83.229813664596278</v>
      </c>
      <c r="T21">
        <v>66.666666666666657</v>
      </c>
      <c r="U21">
        <v>37.931034482758619</v>
      </c>
      <c r="EB21">
        <v>85.314601086669981</v>
      </c>
      <c r="EC21">
        <v>70.020888255652821</v>
      </c>
    </row>
    <row r="22" spans="1:133" x14ac:dyDescent="0.2">
      <c r="A22">
        <v>21</v>
      </c>
      <c r="B22">
        <f>50/102*100</f>
        <v>49.019607843137251</v>
      </c>
      <c r="C22">
        <v>3</v>
      </c>
      <c r="D22">
        <f>131/199*100</f>
        <v>65.829145728643212</v>
      </c>
      <c r="E22">
        <v>3</v>
      </c>
      <c r="F22">
        <f>(186-75)/186*100</f>
        <v>59.677419354838712</v>
      </c>
      <c r="G22">
        <v>3</v>
      </c>
      <c r="H22">
        <f>143/207*100</f>
        <v>69.082125603864725</v>
      </c>
      <c r="I22">
        <v>3</v>
      </c>
      <c r="J22">
        <f>(125-71)/125*100</f>
        <v>43.2</v>
      </c>
      <c r="K22">
        <v>3</v>
      </c>
      <c r="L22">
        <f>(125-47)/125*100</f>
        <v>62.4</v>
      </c>
      <c r="M22">
        <v>3</v>
      </c>
      <c r="P22">
        <v>49.019607843137251</v>
      </c>
      <c r="Q22">
        <v>65.829145728643212</v>
      </c>
      <c r="R22">
        <v>59.677419354838712</v>
      </c>
      <c r="S22">
        <v>69.082125603864725</v>
      </c>
      <c r="T22">
        <v>43.2</v>
      </c>
      <c r="U22">
        <v>62.4</v>
      </c>
      <c r="EB22">
        <v>79.355550235812487</v>
      </c>
      <c r="EC22">
        <v>82.043505734895334</v>
      </c>
    </row>
    <row r="23" spans="1:133" x14ac:dyDescent="0.2">
      <c r="A23">
        <v>22</v>
      </c>
      <c r="B23">
        <f>80/120*100</f>
        <v>66.666666666666657</v>
      </c>
      <c r="C23">
        <v>3</v>
      </c>
      <c r="D23">
        <f>159/231*100</f>
        <v>68.831168831168839</v>
      </c>
      <c r="E23">
        <v>3</v>
      </c>
      <c r="F23">
        <f>(149-68)/149*100</f>
        <v>54.36241610738255</v>
      </c>
      <c r="G23">
        <v>3</v>
      </c>
      <c r="H23">
        <f>(200-91)/200*100</f>
        <v>54.500000000000007</v>
      </c>
      <c r="I23">
        <v>3</v>
      </c>
      <c r="J23">
        <f>(125-41)/125*100</f>
        <v>67.2</v>
      </c>
      <c r="K23">
        <v>3</v>
      </c>
      <c r="L23">
        <f>(125-53)/125*100</f>
        <v>57.599999999999994</v>
      </c>
      <c r="M23">
        <v>3</v>
      </c>
      <c r="P23">
        <v>66.666666666666657</v>
      </c>
      <c r="Q23">
        <v>68.831168831168839</v>
      </c>
      <c r="R23">
        <v>54.36241610738255</v>
      </c>
      <c r="S23">
        <v>54.500000000000007</v>
      </c>
      <c r="T23">
        <v>67.2</v>
      </c>
      <c r="U23">
        <v>57.599999999999994</v>
      </c>
      <c r="EB23">
        <v>73.129827207413953</v>
      </c>
      <c r="EC23">
        <v>82.785187210281308</v>
      </c>
    </row>
    <row r="24" spans="1:133" x14ac:dyDescent="0.2">
      <c r="A24">
        <v>23</v>
      </c>
      <c r="B24">
        <f>58/123*100</f>
        <v>47.154471544715449</v>
      </c>
      <c r="C24">
        <v>2</v>
      </c>
      <c r="D24">
        <f>(196-37)/196*100</f>
        <v>81.122448979591837</v>
      </c>
      <c r="E24">
        <v>1</v>
      </c>
      <c r="F24">
        <f>(98-41)/98*100</f>
        <v>58.163265306122447</v>
      </c>
      <c r="G24">
        <v>3</v>
      </c>
      <c r="H24">
        <f>(161-27)/161*100</f>
        <v>83.229813664596278</v>
      </c>
      <c r="I24">
        <v>1</v>
      </c>
      <c r="J24">
        <f>(87-29)/87*100</f>
        <v>66.666666666666657</v>
      </c>
      <c r="K24">
        <v>1</v>
      </c>
      <c r="L24">
        <f>(169-73)/169*100</f>
        <v>56.80473372781065</v>
      </c>
      <c r="M24">
        <v>1</v>
      </c>
      <c r="P24">
        <v>47.154471544715449</v>
      </c>
      <c r="Q24">
        <v>81.122448979591837</v>
      </c>
      <c r="R24">
        <v>58.163265306122447</v>
      </c>
      <c r="S24">
        <v>83.229813664596278</v>
      </c>
      <c r="T24">
        <v>66.666666666666657</v>
      </c>
      <c r="U24">
        <v>56.80473372781065</v>
      </c>
      <c r="EB24">
        <v>83.600591752499597</v>
      </c>
      <c r="EC24">
        <v>63.761339805516513</v>
      </c>
    </row>
    <row r="25" spans="1:133" x14ac:dyDescent="0.2">
      <c r="A25">
        <v>24</v>
      </c>
      <c r="B25">
        <f>83/123*100</f>
        <v>67.479674796747972</v>
      </c>
      <c r="C25">
        <v>2</v>
      </c>
      <c r="D25">
        <f>(187-23)/187*100</f>
        <v>87.700534759358277</v>
      </c>
      <c r="E25">
        <v>1</v>
      </c>
      <c r="F25">
        <f>79/126*100</f>
        <v>62.698412698412696</v>
      </c>
      <c r="G25">
        <v>2</v>
      </c>
      <c r="H25">
        <f>180/274*100</f>
        <v>65.693430656934311</v>
      </c>
      <c r="I25">
        <v>1</v>
      </c>
      <c r="J25">
        <f>231/318*100</f>
        <v>72.641509433962256</v>
      </c>
      <c r="K25">
        <v>1</v>
      </c>
      <c r="L25">
        <f>(145-43)/145*100</f>
        <v>70.34482758620689</v>
      </c>
      <c r="M25">
        <v>3</v>
      </c>
      <c r="P25">
        <v>67.479674796747972</v>
      </c>
      <c r="Q25">
        <v>87.700534759358277</v>
      </c>
      <c r="R25">
        <v>62.698412698412696</v>
      </c>
      <c r="S25">
        <v>65.693430656934311</v>
      </c>
      <c r="T25">
        <v>72.641509433962256</v>
      </c>
      <c r="U25">
        <v>70.34482758620689</v>
      </c>
      <c r="EB25">
        <v>86.364958505046147</v>
      </c>
      <c r="EC25">
        <v>76.679602487036576</v>
      </c>
    </row>
    <row r="26" spans="1:133" x14ac:dyDescent="0.2">
      <c r="A26">
        <v>25</v>
      </c>
      <c r="B26">
        <f>27/97*100</f>
        <v>27.835051546391753</v>
      </c>
      <c r="C26">
        <v>3</v>
      </c>
      <c r="D26">
        <f>(178-116)/178*100</f>
        <v>34.831460674157306</v>
      </c>
      <c r="E26">
        <v>3</v>
      </c>
      <c r="F26">
        <f>(85-23)/85*100</f>
        <v>72.941176470588232</v>
      </c>
      <c r="G26">
        <v>2</v>
      </c>
      <c r="H26">
        <f>(217-73)/217*100</f>
        <v>66.359447004608299</v>
      </c>
      <c r="I26">
        <v>2</v>
      </c>
      <c r="J26">
        <f>(169-63)/169*100</f>
        <v>62.721893491124256</v>
      </c>
      <c r="K26">
        <v>2</v>
      </c>
      <c r="L26">
        <f>(119-73)/119*100</f>
        <v>38.655462184873954</v>
      </c>
      <c r="M26">
        <v>1</v>
      </c>
      <c r="P26">
        <v>27.835051546391753</v>
      </c>
      <c r="Q26">
        <v>34.831460674157306</v>
      </c>
      <c r="R26">
        <v>72.941176470588232</v>
      </c>
      <c r="S26">
        <v>66.359447004608299</v>
      </c>
      <c r="T26">
        <v>62.721893491124256</v>
      </c>
      <c r="U26">
        <v>38.655462184873954</v>
      </c>
      <c r="EB26">
        <v>85.088773358625346</v>
      </c>
      <c r="EC26">
        <v>76.165204714899062</v>
      </c>
    </row>
    <row r="27" spans="1:133" x14ac:dyDescent="0.2">
      <c r="A27">
        <v>26</v>
      </c>
      <c r="B27">
        <f>30/79*100</f>
        <v>37.974683544303801</v>
      </c>
      <c r="C27">
        <v>3</v>
      </c>
      <c r="D27">
        <f>(156-45)/156*100</f>
        <v>71.15384615384616</v>
      </c>
      <c r="E27">
        <v>2</v>
      </c>
      <c r="F27">
        <f>(154-23)/154*100</f>
        <v>85.064935064935071</v>
      </c>
      <c r="G27">
        <v>2</v>
      </c>
      <c r="H27">
        <v>100</v>
      </c>
      <c r="I27">
        <v>2</v>
      </c>
      <c r="J27">
        <f>(145-16)/145*100</f>
        <v>88.965517241379317</v>
      </c>
      <c r="K27">
        <v>2</v>
      </c>
      <c r="L27">
        <v>65.998999999999995</v>
      </c>
      <c r="M27">
        <v>1</v>
      </c>
      <c r="P27">
        <v>37.974683544303801</v>
      </c>
      <c r="Q27">
        <v>71.15384615384616</v>
      </c>
      <c r="R27">
        <v>85.064935064935071</v>
      </c>
      <c r="S27">
        <v>100</v>
      </c>
      <c r="T27">
        <v>88.965517241379317</v>
      </c>
      <c r="U27">
        <v>65.998999999999995</v>
      </c>
      <c r="EB27">
        <v>80.155850932971376</v>
      </c>
      <c r="EC27">
        <v>79.987056685296935</v>
      </c>
    </row>
    <row r="28" spans="1:133" x14ac:dyDescent="0.2">
      <c r="A28">
        <v>27</v>
      </c>
      <c r="B28">
        <f>51/111*100</f>
        <v>45.945945945945951</v>
      </c>
      <c r="C28">
        <v>2</v>
      </c>
      <c r="D28">
        <f>(170-23)/170*100</f>
        <v>86.470588235294116</v>
      </c>
      <c r="E28">
        <v>2</v>
      </c>
      <c r="F28">
        <f>122/147*100</f>
        <v>82.993197278911566</v>
      </c>
      <c r="G28">
        <v>2</v>
      </c>
      <c r="H28">
        <f>(161-39)/161*100</f>
        <v>75.776397515527947</v>
      </c>
      <c r="I28">
        <v>2</v>
      </c>
      <c r="J28">
        <f>(119-53)/119*100</f>
        <v>55.462184873949582</v>
      </c>
      <c r="K28">
        <v>2</v>
      </c>
      <c r="L28">
        <v>81.888888899999998</v>
      </c>
      <c r="M28">
        <v>1</v>
      </c>
      <c r="P28">
        <v>45.945945945945951</v>
      </c>
      <c r="Q28">
        <v>86.470588235294116</v>
      </c>
      <c r="R28">
        <v>82.993197278911566</v>
      </c>
      <c r="S28">
        <v>75.776397515527947</v>
      </c>
      <c r="T28">
        <v>55.462184873949582</v>
      </c>
      <c r="U28">
        <v>81.888888899999998</v>
      </c>
      <c r="EB28">
        <v>80.389213035863918</v>
      </c>
      <c r="EC28">
        <v>80.28120254048325</v>
      </c>
    </row>
    <row r="29" spans="1:133" x14ac:dyDescent="0.2">
      <c r="A29">
        <v>28</v>
      </c>
      <c r="B29">
        <f>38/84*100</f>
        <v>45.238095238095241</v>
      </c>
      <c r="C29">
        <v>3</v>
      </c>
      <c r="D29">
        <f>148/235*100</f>
        <v>62.978723404255319</v>
      </c>
      <c r="E29">
        <v>3</v>
      </c>
      <c r="F29">
        <f>(175-47)/175*100</f>
        <v>73.142857142857139</v>
      </c>
      <c r="G29">
        <v>3</v>
      </c>
      <c r="H29">
        <f>(123-45)/123*100</f>
        <v>63.414634146341463</v>
      </c>
      <c r="I29">
        <v>2</v>
      </c>
      <c r="J29">
        <v>75.998999999999995</v>
      </c>
      <c r="K29">
        <v>2</v>
      </c>
      <c r="L29">
        <f>(126-55)/126*100</f>
        <v>56.349206349206348</v>
      </c>
      <c r="M29">
        <v>1</v>
      </c>
      <c r="P29">
        <v>45.238095238095241</v>
      </c>
      <c r="Q29">
        <v>62.978723404255319</v>
      </c>
      <c r="R29">
        <v>73.142857142857139</v>
      </c>
      <c r="S29">
        <v>63.414634146341463</v>
      </c>
      <c r="T29">
        <v>75.998999999999995</v>
      </c>
      <c r="U29">
        <v>56.349206349206348</v>
      </c>
      <c r="EB29">
        <v>78.850443905879686</v>
      </c>
      <c r="EC29">
        <v>71.529573379547628</v>
      </c>
    </row>
    <row r="30" spans="1:133" x14ac:dyDescent="0.2">
      <c r="A30">
        <v>29</v>
      </c>
      <c r="B30">
        <f>45/91*100</f>
        <v>49.450549450549453</v>
      </c>
      <c r="C30">
        <v>3</v>
      </c>
      <c r="D30">
        <f>112/173*100</f>
        <v>64.739884393063591</v>
      </c>
      <c r="E30">
        <v>3</v>
      </c>
      <c r="F30">
        <f>(98-16)/98*100</f>
        <v>83.673469387755105</v>
      </c>
      <c r="G30">
        <v>3</v>
      </c>
      <c r="H30">
        <f>(111-44)/111*100</f>
        <v>60.360360360360367</v>
      </c>
      <c r="I30">
        <v>2</v>
      </c>
      <c r="J30">
        <v>81.888888899999998</v>
      </c>
      <c r="K30">
        <v>2</v>
      </c>
      <c r="L30">
        <f>(136-56)/136*100</f>
        <v>58.82352941176471</v>
      </c>
      <c r="M30">
        <v>2</v>
      </c>
      <c r="P30">
        <v>49.450549450549453</v>
      </c>
      <c r="Q30">
        <v>64.739884393063591</v>
      </c>
      <c r="R30">
        <v>83.673469387755105</v>
      </c>
      <c r="S30">
        <v>60.360360360360367</v>
      </c>
      <c r="T30">
        <v>81.888888899999998</v>
      </c>
      <c r="U30">
        <v>58.82352941176471</v>
      </c>
      <c r="EB30">
        <v>79.140857118794727</v>
      </c>
      <c r="EC30">
        <v>74.77444372347783</v>
      </c>
    </row>
    <row r="31" spans="1:133" x14ac:dyDescent="0.2">
      <c r="A31">
        <v>30</v>
      </c>
      <c r="B31">
        <f>80/120*100</f>
        <v>66.666666666666657</v>
      </c>
      <c r="C31">
        <v>3</v>
      </c>
      <c r="D31">
        <f>198/231*100</f>
        <v>85.714285714285708</v>
      </c>
      <c r="E31">
        <v>1</v>
      </c>
      <c r="F31">
        <f>(149-18)/149*100</f>
        <v>87.919463087248317</v>
      </c>
      <c r="G31">
        <v>3</v>
      </c>
      <c r="H31">
        <f>(200-56)/200*100</f>
        <v>72</v>
      </c>
      <c r="I31">
        <v>3</v>
      </c>
      <c r="J31">
        <f>156/210*100</f>
        <v>74.285714285714292</v>
      </c>
      <c r="K31">
        <v>3</v>
      </c>
      <c r="L31">
        <f>AVERAGE(L16:L30)</f>
        <v>61.97613544092308</v>
      </c>
      <c r="M31">
        <v>3</v>
      </c>
      <c r="P31">
        <v>66.666666666666657</v>
      </c>
      <c r="Q31">
        <v>85.714285714285708</v>
      </c>
      <c r="R31">
        <v>87.919463087248317</v>
      </c>
      <c r="S31">
        <v>72</v>
      </c>
      <c r="T31">
        <v>74.285714285714292</v>
      </c>
      <c r="U31">
        <v>61.97613544092308</v>
      </c>
      <c r="EB31">
        <v>52.440755490763003</v>
      </c>
      <c r="EC31">
        <v>49.254146623981264</v>
      </c>
    </row>
    <row r="32" spans="1:133" x14ac:dyDescent="0.2">
      <c r="A32">
        <v>31</v>
      </c>
      <c r="B32">
        <f>48/92*100</f>
        <v>52.173913043478258</v>
      </c>
      <c r="C32">
        <v>3</v>
      </c>
      <c r="D32">
        <f>85/158*100</f>
        <v>53.797468354430379</v>
      </c>
      <c r="E32">
        <v>3</v>
      </c>
      <c r="F32">
        <f>(134-10)/134*100</f>
        <v>92.537313432835816</v>
      </c>
      <c r="G32">
        <v>3</v>
      </c>
      <c r="H32">
        <f>(178-65)/178*100</f>
        <v>63.483146067415731</v>
      </c>
      <c r="I32">
        <v>3</v>
      </c>
      <c r="J32">
        <f>56/164*100</f>
        <v>34.146341463414636</v>
      </c>
      <c r="K32">
        <v>3</v>
      </c>
      <c r="L32">
        <v>48.984076709999997</v>
      </c>
      <c r="M32">
        <v>3</v>
      </c>
      <c r="P32">
        <v>52.173913043478258</v>
      </c>
      <c r="Q32">
        <v>53.797468354430379</v>
      </c>
      <c r="R32">
        <v>92.537313432835816</v>
      </c>
      <c r="S32">
        <v>63.483146067415731</v>
      </c>
      <c r="T32">
        <v>34.146341463414636</v>
      </c>
      <c r="U32">
        <v>48.984076709999997</v>
      </c>
      <c r="EB32">
        <v>57.677476432038475</v>
      </c>
      <c r="EC32">
        <v>67.121943532157985</v>
      </c>
    </row>
    <row r="33" spans="1:133" x14ac:dyDescent="0.2">
      <c r="A33">
        <v>32</v>
      </c>
      <c r="B33">
        <f>AVERAGE(B21:B32)</f>
        <v>50.22998315261782</v>
      </c>
      <c r="C33">
        <v>3</v>
      </c>
      <c r="D33">
        <f>73/145*100</f>
        <v>50.344827586206897</v>
      </c>
      <c r="E33">
        <v>3</v>
      </c>
      <c r="F33">
        <f>(141-31)/141*100</f>
        <v>78.01418439716312</v>
      </c>
      <c r="G33">
        <v>3</v>
      </c>
      <c r="H33">
        <f>129/200*100</f>
        <v>64.5</v>
      </c>
      <c r="I33">
        <v>3</v>
      </c>
      <c r="J33">
        <f>(126-25)/126*100</f>
        <v>80.158730158730165</v>
      </c>
      <c r="K33">
        <v>3</v>
      </c>
      <c r="L33">
        <f>(126-15)/126*100</f>
        <v>88.095238095238088</v>
      </c>
      <c r="M33">
        <v>2</v>
      </c>
      <c r="P33">
        <v>50.22998315261782</v>
      </c>
      <c r="Q33">
        <v>50.344827586206897</v>
      </c>
      <c r="R33">
        <v>78.01418439716312</v>
      </c>
      <c r="S33">
        <v>64.5</v>
      </c>
      <c r="T33">
        <v>80.158730158730165</v>
      </c>
      <c r="U33">
        <v>88.095238095238088</v>
      </c>
      <c r="EB33">
        <v>58.905913800860077</v>
      </c>
      <c r="EC33">
        <v>69.025137625902772</v>
      </c>
    </row>
    <row r="34" spans="1:133" x14ac:dyDescent="0.2">
      <c r="A34">
        <v>33</v>
      </c>
      <c r="B34">
        <v>44.184562</v>
      </c>
      <c r="C34">
        <v>2</v>
      </c>
      <c r="D34">
        <f>12/44*100</f>
        <v>27.27272727272727</v>
      </c>
      <c r="E34">
        <v>3</v>
      </c>
      <c r="F34">
        <f>15/66*100</f>
        <v>22.727272727272727</v>
      </c>
      <c r="G34">
        <v>3</v>
      </c>
      <c r="H34">
        <f>8/23*100</f>
        <v>34.782608695652172</v>
      </c>
      <c r="I34">
        <v>3</v>
      </c>
      <c r="J34">
        <f>12/18*100</f>
        <v>66.666666666666657</v>
      </c>
      <c r="K34">
        <v>3</v>
      </c>
      <c r="L34">
        <f>5/18*100</f>
        <v>27.777777777777779</v>
      </c>
      <c r="M34">
        <v>3</v>
      </c>
      <c r="P34">
        <v>44.184562</v>
      </c>
      <c r="Q34">
        <v>27.27272727272727</v>
      </c>
      <c r="R34">
        <v>22.727272727272727</v>
      </c>
      <c r="S34">
        <v>34.782608695652172</v>
      </c>
      <c r="T34">
        <v>66.666666666666657</v>
      </c>
      <c r="U34">
        <v>27.777777777777779</v>
      </c>
      <c r="EB34">
        <v>63.324720128714091</v>
      </c>
      <c r="EC34">
        <v>85.130101091080903</v>
      </c>
    </row>
    <row r="35" spans="1:133" x14ac:dyDescent="0.2">
      <c r="A35">
        <v>34</v>
      </c>
      <c r="B35">
        <f>189/227*100</f>
        <v>83.259911894273131</v>
      </c>
      <c r="C35">
        <v>3</v>
      </c>
      <c r="D35">
        <f>(132-97)/132*100</f>
        <v>26.515151515151516</v>
      </c>
      <c r="E35">
        <v>2</v>
      </c>
      <c r="F35">
        <f>(128-40)/128*100</f>
        <v>68.75</v>
      </c>
      <c r="G35">
        <v>3</v>
      </c>
      <c r="H35">
        <f>(157-62)/157*100</f>
        <v>60.509554140127385</v>
      </c>
      <c r="I35">
        <v>3</v>
      </c>
      <c r="J35">
        <f>(149-14)/149*100</f>
        <v>90.604026845637591</v>
      </c>
      <c r="K35">
        <v>3</v>
      </c>
      <c r="L35">
        <f>(149-54)/149*100</f>
        <v>63.758389261744966</v>
      </c>
      <c r="M35">
        <v>3</v>
      </c>
      <c r="P35">
        <v>83.259911894273131</v>
      </c>
      <c r="Q35">
        <v>26.515151515151516</v>
      </c>
      <c r="R35">
        <v>68.75</v>
      </c>
      <c r="S35">
        <v>60.509554140127385</v>
      </c>
      <c r="T35">
        <v>90.604026845637591</v>
      </c>
      <c r="U35">
        <v>63.758389261744966</v>
      </c>
      <c r="EB35">
        <v>61.758821586539746</v>
      </c>
      <c r="EC35">
        <v>79.037315694123251</v>
      </c>
    </row>
    <row r="36" spans="1:133" x14ac:dyDescent="0.2">
      <c r="A36">
        <v>35</v>
      </c>
      <c r="B36">
        <f>57/143*100</f>
        <v>39.86013986013986</v>
      </c>
      <c r="C36">
        <v>3</v>
      </c>
      <c r="D36">
        <f>225/233*100</f>
        <v>96.566523605150209</v>
      </c>
      <c r="E36">
        <v>2</v>
      </c>
      <c r="F36">
        <f>(156-30)/156*100</f>
        <v>80.769230769230774</v>
      </c>
      <c r="G36">
        <v>3</v>
      </c>
      <c r="H36">
        <f>(53-19)/53*100</f>
        <v>64.15094339622641</v>
      </c>
      <c r="I36">
        <v>3</v>
      </c>
      <c r="J36">
        <f>(146-22)/146*100</f>
        <v>84.93150684931507</v>
      </c>
      <c r="K36">
        <v>3</v>
      </c>
      <c r="L36">
        <f>(146-32)/146*100</f>
        <v>78.082191780821915</v>
      </c>
      <c r="M36">
        <v>3</v>
      </c>
      <c r="P36">
        <v>39.86013986013986</v>
      </c>
      <c r="Q36">
        <v>96.566523605150209</v>
      </c>
      <c r="R36">
        <v>80.769230769230774</v>
      </c>
      <c r="S36">
        <v>64.15094339622641</v>
      </c>
      <c r="T36">
        <v>84.93150684931507</v>
      </c>
      <c r="U36">
        <v>78.082191780821915</v>
      </c>
      <c r="EB36">
        <v>34.419093574300149</v>
      </c>
      <c r="EC36">
        <v>75.3394032413144</v>
      </c>
    </row>
    <row r="37" spans="1:133" x14ac:dyDescent="0.2">
      <c r="A37">
        <v>36</v>
      </c>
      <c r="B37">
        <f>144/179*100</f>
        <v>80.44692737430168</v>
      </c>
      <c r="C37">
        <v>3</v>
      </c>
      <c r="D37">
        <f>154/193*100</f>
        <v>79.792746113989637</v>
      </c>
      <c r="E37">
        <v>3</v>
      </c>
      <c r="F37">
        <f>(154-98)/154*100</f>
        <v>36.363636363636367</v>
      </c>
      <c r="G37">
        <v>3</v>
      </c>
      <c r="H37">
        <f>(129-48)/129*100</f>
        <v>62.790697674418603</v>
      </c>
      <c r="I37">
        <v>3</v>
      </c>
      <c r="J37">
        <v>97</v>
      </c>
      <c r="K37">
        <v>3</v>
      </c>
      <c r="L37">
        <f>142/203*100</f>
        <v>69.950738916256157</v>
      </c>
      <c r="M37">
        <v>3</v>
      </c>
      <c r="P37">
        <v>80.44692737430168</v>
      </c>
      <c r="Q37">
        <v>79.792746113989637</v>
      </c>
      <c r="R37">
        <v>36.363636363636367</v>
      </c>
      <c r="S37">
        <v>62.790697674418603</v>
      </c>
      <c r="T37">
        <v>97</v>
      </c>
      <c r="U37">
        <v>69.950738916256157</v>
      </c>
      <c r="EB37">
        <v>49.321557248274445</v>
      </c>
      <c r="EC37">
        <v>61.690585984064249</v>
      </c>
    </row>
    <row r="38" spans="1:133" x14ac:dyDescent="0.2">
      <c r="A38">
        <v>37</v>
      </c>
      <c r="B38">
        <f>108/156*100</f>
        <v>69.230769230769226</v>
      </c>
      <c r="C38">
        <v>3</v>
      </c>
      <c r="D38">
        <f>98/(121+98)*100</f>
        <v>44.74885844748858</v>
      </c>
      <c r="E38">
        <v>3</v>
      </c>
      <c r="F38">
        <f>113/171*100</f>
        <v>66.081871345029242</v>
      </c>
      <c r="G38">
        <v>3</v>
      </c>
      <c r="H38">
        <f>(241-52)/241*100</f>
        <v>78.423236514522827</v>
      </c>
      <c r="I38">
        <v>3</v>
      </c>
      <c r="J38">
        <f>(147-51)/147*100</f>
        <v>65.306122448979593</v>
      </c>
      <c r="K38">
        <v>3</v>
      </c>
      <c r="L38">
        <f>(147-71)/147*100</f>
        <v>51.700680272108848</v>
      </c>
      <c r="M38">
        <v>3</v>
      </c>
      <c r="P38">
        <v>69.230769230769226</v>
      </c>
      <c r="Q38">
        <v>44.74885844748858</v>
      </c>
      <c r="R38">
        <v>66.081871345029242</v>
      </c>
      <c r="S38">
        <v>78.423236514522827</v>
      </c>
      <c r="T38">
        <v>65.306122448979593</v>
      </c>
      <c r="U38">
        <v>51.700680272108848</v>
      </c>
      <c r="EB38">
        <v>83.62064740196098</v>
      </c>
      <c r="EC38">
        <v>66.95485935860151</v>
      </c>
    </row>
    <row r="39" spans="1:133" x14ac:dyDescent="0.2">
      <c r="A39">
        <v>38</v>
      </c>
      <c r="B39">
        <f>6/21*100</f>
        <v>28.571428571428569</v>
      </c>
      <c r="C39">
        <v>2</v>
      </c>
      <c r="D39">
        <f>1/8*100</f>
        <v>12.5</v>
      </c>
      <c r="E39">
        <v>2</v>
      </c>
      <c r="F39">
        <f>18/31*100</f>
        <v>58.064516129032263</v>
      </c>
      <c r="G39">
        <v>3</v>
      </c>
      <c r="H39">
        <f>41/76*100</f>
        <v>53.94736842105263</v>
      </c>
      <c r="I39">
        <v>3</v>
      </c>
      <c r="J39">
        <f>56/76*100</f>
        <v>73.68421052631578</v>
      </c>
      <c r="K39">
        <v>3</v>
      </c>
      <c r="L39">
        <f>38/94*100</f>
        <v>40.425531914893611</v>
      </c>
      <c r="M39">
        <v>2</v>
      </c>
      <c r="P39">
        <v>28.571428571428569</v>
      </c>
      <c r="Q39">
        <v>12.5</v>
      </c>
      <c r="R39">
        <v>58.064516129032263</v>
      </c>
      <c r="S39">
        <v>53.94736842105263</v>
      </c>
      <c r="T39">
        <v>73.68421052631578</v>
      </c>
      <c r="U39">
        <v>40.425531914893611</v>
      </c>
      <c r="EB39">
        <v>58.724063977584962</v>
      </c>
      <c r="EC39">
        <v>48.836842839656221</v>
      </c>
    </row>
    <row r="40" spans="1:133" x14ac:dyDescent="0.2">
      <c r="A40">
        <v>39</v>
      </c>
      <c r="B40">
        <f>25/76*100</f>
        <v>32.894736842105267</v>
      </c>
      <c r="C40">
        <v>3</v>
      </c>
      <c r="D40">
        <f>45/89*100</f>
        <v>50.561797752808992</v>
      </c>
      <c r="E40">
        <v>3</v>
      </c>
      <c r="F40">
        <f>112/149*100</f>
        <v>75.167785234899327</v>
      </c>
      <c r="G40">
        <v>3</v>
      </c>
      <c r="H40">
        <f>11/58*100</f>
        <v>18.96551724137931</v>
      </c>
      <c r="I40">
        <v>3</v>
      </c>
      <c r="J40">
        <f>37/125*100</f>
        <v>29.599999999999998</v>
      </c>
      <c r="K40">
        <v>3</v>
      </c>
      <c r="L40">
        <f>(25/54*100)</f>
        <v>46.296296296296298</v>
      </c>
      <c r="M40">
        <v>3</v>
      </c>
      <c r="P40">
        <v>32.894736842105267</v>
      </c>
      <c r="Q40">
        <v>50.561797752808992</v>
      </c>
      <c r="R40">
        <v>75.167785234899327</v>
      </c>
      <c r="S40">
        <v>18.96551724137931</v>
      </c>
      <c r="T40">
        <v>29.599999999999998</v>
      </c>
      <c r="U40">
        <v>46.296296296296298</v>
      </c>
      <c r="EB40">
        <v>94.264420030211241</v>
      </c>
      <c r="EC40">
        <v>52.339185747807115</v>
      </c>
    </row>
    <row r="41" spans="1:133" x14ac:dyDescent="0.2">
      <c r="A41">
        <v>40</v>
      </c>
      <c r="B41">
        <f>87/184*100</f>
        <v>47.282608695652172</v>
      </c>
      <c r="C41">
        <v>3</v>
      </c>
      <c r="D41">
        <f>222/261*100</f>
        <v>85.057471264367805</v>
      </c>
      <c r="E41">
        <v>3</v>
      </c>
      <c r="F41">
        <f>(149-58)/149*100</f>
        <v>61.073825503355707</v>
      </c>
      <c r="G41">
        <v>3</v>
      </c>
      <c r="H41">
        <f>321/408*100</f>
        <v>78.67647058823529</v>
      </c>
      <c r="I41">
        <v>3</v>
      </c>
      <c r="J41">
        <f>256/371*100</f>
        <v>69.002695417789766</v>
      </c>
      <c r="K41">
        <v>3</v>
      </c>
      <c r="L41">
        <f>196/248*100</f>
        <v>79.032258064516128</v>
      </c>
      <c r="M41">
        <v>3</v>
      </c>
      <c r="P41">
        <v>47.282608695652172</v>
      </c>
      <c r="Q41">
        <v>85.057471264367805</v>
      </c>
      <c r="R41">
        <v>61.073825503355707</v>
      </c>
      <c r="S41">
        <v>78.67647058823529</v>
      </c>
      <c r="T41">
        <v>69.002695417789766</v>
      </c>
      <c r="U41">
        <v>79.032258064516128</v>
      </c>
      <c r="EB41">
        <v>75.3394032413144</v>
      </c>
      <c r="EC41">
        <v>53.968736972078347</v>
      </c>
    </row>
    <row r="42" spans="1:133" x14ac:dyDescent="0.2">
      <c r="A42">
        <v>41</v>
      </c>
      <c r="B42">
        <f>78/92*100</f>
        <v>84.782608695652172</v>
      </c>
      <c r="C42">
        <v>3</v>
      </c>
      <c r="D42">
        <f>121/153*100</f>
        <v>79.084967320261441</v>
      </c>
      <c r="E42">
        <v>3</v>
      </c>
      <c r="F42">
        <f>273/315*100</f>
        <v>86.666666666666671</v>
      </c>
      <c r="G42">
        <v>1</v>
      </c>
      <c r="H42">
        <f>96/112*100</f>
        <v>85.714285714285708</v>
      </c>
      <c r="I42">
        <v>3</v>
      </c>
      <c r="J42">
        <f>124/189*100</f>
        <v>65.608465608465607</v>
      </c>
      <c r="K42">
        <v>1</v>
      </c>
      <c r="L42">
        <f>179/198*100</f>
        <v>90.404040404040416</v>
      </c>
      <c r="M42">
        <v>3</v>
      </c>
      <c r="P42">
        <v>84.782608695652172</v>
      </c>
      <c r="Q42">
        <v>79.084967320261441</v>
      </c>
      <c r="R42">
        <v>86.666666666666671</v>
      </c>
      <c r="S42">
        <v>85.714285714285708</v>
      </c>
      <c r="T42">
        <v>65.608465608465607</v>
      </c>
      <c r="U42">
        <v>90.404040404040416</v>
      </c>
      <c r="EB42">
        <v>64.052226100979041</v>
      </c>
      <c r="EC42">
        <v>67.058628562063447</v>
      </c>
    </row>
    <row r="43" spans="1:133" x14ac:dyDescent="0.2">
      <c r="A43">
        <v>42</v>
      </c>
      <c r="B43">
        <f>115/161*100</f>
        <v>71.428571428571431</v>
      </c>
      <c r="C43">
        <v>3</v>
      </c>
      <c r="D43">
        <f>130/137*100</f>
        <v>94.890510948905103</v>
      </c>
      <c r="E43">
        <v>3</v>
      </c>
      <c r="F43">
        <f>(149-23)/149*100</f>
        <v>84.56375838926175</v>
      </c>
      <c r="G43">
        <v>3</v>
      </c>
      <c r="H43">
        <v>96.333332999999996</v>
      </c>
      <c r="I43">
        <v>3</v>
      </c>
      <c r="J43">
        <f>(99-15)/99*100</f>
        <v>84.848484848484844</v>
      </c>
      <c r="K43">
        <v>3</v>
      </c>
      <c r="L43">
        <f>(99-35)/99*100</f>
        <v>64.646464646464651</v>
      </c>
      <c r="M43">
        <v>3</v>
      </c>
      <c r="P43">
        <v>71.428571428571431</v>
      </c>
      <c r="Q43">
        <v>94.890510948905103</v>
      </c>
      <c r="R43">
        <v>84.56375838926175</v>
      </c>
      <c r="S43">
        <v>96.333332999999996</v>
      </c>
      <c r="T43">
        <v>84.848484848484844</v>
      </c>
      <c r="U43">
        <v>64.646464646464651</v>
      </c>
      <c r="EB43">
        <v>57.358584836674673</v>
      </c>
      <c r="EC43">
        <v>59.919904114207689</v>
      </c>
    </row>
    <row r="44" spans="1:133" x14ac:dyDescent="0.2">
      <c r="A44">
        <v>43</v>
      </c>
      <c r="B44">
        <f>148/198*100</f>
        <v>74.747474747474755</v>
      </c>
      <c r="C44">
        <v>3</v>
      </c>
      <c r="D44">
        <f>59/130*100</f>
        <v>45.384615384615387</v>
      </c>
      <c r="E44">
        <v>3</v>
      </c>
      <c r="F44">
        <f>73/189*100</f>
        <v>38.62433862433862</v>
      </c>
      <c r="G44">
        <v>3</v>
      </c>
      <c r="H44">
        <f>59/83*100</f>
        <v>71.084337349397586</v>
      </c>
      <c r="I44">
        <v>3</v>
      </c>
      <c r="J44">
        <f>84/110*100</f>
        <v>76.363636363636374</v>
      </c>
      <c r="K44">
        <v>3</v>
      </c>
      <c r="L44">
        <f>84/110*100</f>
        <v>76.363636363636374</v>
      </c>
      <c r="M44">
        <v>3</v>
      </c>
      <c r="P44">
        <v>74.747474747474755</v>
      </c>
      <c r="Q44">
        <v>45.384615384615387</v>
      </c>
      <c r="R44">
        <v>38.62433862433862</v>
      </c>
      <c r="S44">
        <v>71.084337349397586</v>
      </c>
      <c r="T44">
        <v>76.363636363636374</v>
      </c>
      <c r="U44">
        <v>76.363636363636374</v>
      </c>
      <c r="EB44">
        <v>55.841482064158129</v>
      </c>
      <c r="EC44">
        <v>64.052226100979041</v>
      </c>
    </row>
    <row r="45" spans="1:133" x14ac:dyDescent="0.2">
      <c r="A45">
        <v>44</v>
      </c>
      <c r="B45">
        <f>151/191*100</f>
        <v>79.057591623036643</v>
      </c>
      <c r="C45">
        <v>3</v>
      </c>
      <c r="D45">
        <f>99/127*100</f>
        <v>77.952755905511808</v>
      </c>
      <c r="E45">
        <v>3</v>
      </c>
      <c r="F45">
        <f>(205-64)/205*100</f>
        <v>68.780487804878049</v>
      </c>
      <c r="G45">
        <v>3</v>
      </c>
      <c r="H45">
        <f>263/298*100</f>
        <v>88.255033557046985</v>
      </c>
      <c r="I45">
        <v>3</v>
      </c>
      <c r="J45">
        <f>(126-29)/126*100</f>
        <v>76.984126984126988</v>
      </c>
      <c r="K45">
        <v>3</v>
      </c>
      <c r="L45">
        <f>(126-39)/126*100</f>
        <v>69.047619047619051</v>
      </c>
      <c r="M45">
        <v>3</v>
      </c>
      <c r="P45">
        <v>79.057591623036643</v>
      </c>
      <c r="Q45">
        <v>77.952755905511808</v>
      </c>
      <c r="R45">
        <v>68.780487804878049</v>
      </c>
      <c r="S45">
        <v>88.255033557046985</v>
      </c>
      <c r="T45">
        <v>76.984126984126988</v>
      </c>
      <c r="U45">
        <v>69.047619047619051</v>
      </c>
      <c r="EB45">
        <v>55.853317676311512</v>
      </c>
      <c r="EC45">
        <v>31.536354672589798</v>
      </c>
    </row>
    <row r="46" spans="1:133" x14ac:dyDescent="0.2">
      <c r="A46">
        <v>45</v>
      </c>
      <c r="B46">
        <f>189/288*100</f>
        <v>65.625</v>
      </c>
      <c r="C46">
        <v>3</v>
      </c>
      <c r="D46">
        <f>(199-17)/199*100</f>
        <v>91.457286432160799</v>
      </c>
      <c r="E46">
        <v>3</v>
      </c>
      <c r="F46">
        <f>(168-55)/168*100</f>
        <v>67.261904761904773</v>
      </c>
      <c r="G46">
        <v>3</v>
      </c>
      <c r="H46">
        <f>(124-30)/124*100</f>
        <v>75.806451612903231</v>
      </c>
      <c r="I46">
        <v>3</v>
      </c>
      <c r="J46">
        <f>87/121*100</f>
        <v>71.900826446281002</v>
      </c>
      <c r="K46">
        <v>3</v>
      </c>
      <c r="L46">
        <f>141/166*100</f>
        <v>84.939759036144579</v>
      </c>
      <c r="M46">
        <v>3</v>
      </c>
      <c r="P46">
        <v>65.625</v>
      </c>
      <c r="Q46">
        <v>91.457286432160799</v>
      </c>
      <c r="R46">
        <v>67.261904761904773</v>
      </c>
      <c r="S46">
        <v>75.806451612903231</v>
      </c>
      <c r="T46">
        <v>71.900826446281002</v>
      </c>
      <c r="U46">
        <v>84.939759036144579</v>
      </c>
      <c r="EB46">
        <v>37.332264842091526</v>
      </c>
      <c r="EC46">
        <v>20.557737843061791</v>
      </c>
    </row>
    <row r="47" spans="1:133" x14ac:dyDescent="0.2">
      <c r="A47">
        <v>46</v>
      </c>
      <c r="B47">
        <f>126/157*100</f>
        <v>80.254777070063696</v>
      </c>
      <c r="C47">
        <v>3</v>
      </c>
      <c r="D47">
        <f>222/235*100</f>
        <v>94.468085106382986</v>
      </c>
      <c r="E47">
        <v>3</v>
      </c>
      <c r="F47">
        <f>(169-45)/169*100</f>
        <v>73.372781065088759</v>
      </c>
      <c r="G47">
        <v>2</v>
      </c>
      <c r="H47">
        <f>(209-23)/209*100</f>
        <v>88.995215311004785</v>
      </c>
      <c r="I47">
        <v>3</v>
      </c>
      <c r="J47">
        <f>(123-17)/123*100</f>
        <v>86.178861788617894</v>
      </c>
      <c r="K47">
        <v>3</v>
      </c>
      <c r="L47">
        <f>109/123*100</f>
        <v>88.617886178861795</v>
      </c>
      <c r="M47">
        <v>3</v>
      </c>
      <c r="P47">
        <v>80.254777070063696</v>
      </c>
      <c r="Q47">
        <v>94.468085106382986</v>
      </c>
      <c r="R47">
        <v>73.372781065088759</v>
      </c>
      <c r="S47">
        <v>88.995215311004785</v>
      </c>
      <c r="T47">
        <v>86.178861788617894</v>
      </c>
      <c r="U47">
        <v>88.617886178861795</v>
      </c>
      <c r="EB47">
        <v>35.98449301105142</v>
      </c>
      <c r="EC47">
        <v>29.012806834503262</v>
      </c>
    </row>
    <row r="48" spans="1:133" x14ac:dyDescent="0.2">
      <c r="A48">
        <v>47</v>
      </c>
      <c r="B48">
        <f>188/220*100</f>
        <v>85.454545454545453</v>
      </c>
      <c r="C48">
        <v>3</v>
      </c>
      <c r="D48">
        <f>(180-47)/180*100</f>
        <v>73.888888888888886</v>
      </c>
      <c r="E48">
        <v>3</v>
      </c>
      <c r="F48">
        <f>(218-79)/218*100</f>
        <v>63.761467889908253</v>
      </c>
      <c r="G48">
        <v>3</v>
      </c>
      <c r="H48">
        <f>(232-54)/232*100</f>
        <v>76.724137931034491</v>
      </c>
      <c r="I48">
        <v>3</v>
      </c>
      <c r="J48">
        <f>79/93*100</f>
        <v>84.946236559139791</v>
      </c>
      <c r="K48">
        <v>3</v>
      </c>
      <c r="L48">
        <f>74/81*100</f>
        <v>91.358024691358025</v>
      </c>
      <c r="M48">
        <v>3</v>
      </c>
      <c r="P48">
        <v>85.454545454545453</v>
      </c>
      <c r="Q48">
        <v>73.888888888888886</v>
      </c>
      <c r="R48">
        <v>63.761467889908253</v>
      </c>
      <c r="S48">
        <v>76.724137931034491</v>
      </c>
      <c r="T48">
        <v>84.946236559139791</v>
      </c>
      <c r="U48">
        <v>91.358024691358025</v>
      </c>
      <c r="EB48">
        <v>50.965764908926843</v>
      </c>
      <c r="EC48">
        <v>39.29333696188565</v>
      </c>
    </row>
    <row r="49" spans="1:133" x14ac:dyDescent="0.2">
      <c r="A49">
        <v>48</v>
      </c>
      <c r="B49">
        <f>165/239*100</f>
        <v>69.037656903765694</v>
      </c>
      <c r="C49">
        <v>3</v>
      </c>
      <c r="D49">
        <f>73/140*100</f>
        <v>52.142857142857146</v>
      </c>
      <c r="E49">
        <v>3</v>
      </c>
      <c r="F49">
        <f>(154-42)/154*100</f>
        <v>72.727272727272734</v>
      </c>
      <c r="G49">
        <v>2</v>
      </c>
      <c r="H49">
        <v>91.93</v>
      </c>
      <c r="I49">
        <v>3</v>
      </c>
      <c r="J49">
        <f>(102-14)/102*100</f>
        <v>86.274509803921575</v>
      </c>
      <c r="K49">
        <v>3</v>
      </c>
      <c r="L49">
        <f>(102-34)/102*100</f>
        <v>66.666666666666657</v>
      </c>
      <c r="M49">
        <v>3</v>
      </c>
      <c r="P49">
        <v>69.037656903765694</v>
      </c>
      <c r="Q49">
        <v>52.142857142857146</v>
      </c>
      <c r="R49">
        <v>72.727272727272734</v>
      </c>
      <c r="S49">
        <v>91.93</v>
      </c>
      <c r="T49">
        <v>86.274509803921575</v>
      </c>
      <c r="U49">
        <v>66.666666666666657</v>
      </c>
      <c r="EB49">
        <v>35.479149451876715</v>
      </c>
      <c r="EC49">
        <v>52.681301127993066</v>
      </c>
    </row>
    <row r="50" spans="1:133" x14ac:dyDescent="0.2">
      <c r="A50">
        <v>49</v>
      </c>
      <c r="B50">
        <f>165/219*100</f>
        <v>75.342465753424662</v>
      </c>
      <c r="C50">
        <v>3</v>
      </c>
      <c r="D50">
        <f>(168-29)/159*100</f>
        <v>87.421383647798748</v>
      </c>
      <c r="E50">
        <v>3</v>
      </c>
      <c r="F50">
        <f>(105-21)/105*100</f>
        <v>80</v>
      </c>
      <c r="G50">
        <v>3</v>
      </c>
      <c r="H50">
        <f>213/246*100</f>
        <v>86.58536585365853</v>
      </c>
      <c r="I50">
        <v>3</v>
      </c>
      <c r="J50">
        <f>(173-29)/173*100</f>
        <v>83.236994219653184</v>
      </c>
      <c r="K50">
        <v>2</v>
      </c>
      <c r="L50">
        <f>(173-19)/173*100</f>
        <v>89.017341040462426</v>
      </c>
      <c r="M50">
        <v>3</v>
      </c>
      <c r="P50">
        <v>75.342465753424662</v>
      </c>
      <c r="Q50">
        <v>87.421383647798748</v>
      </c>
      <c r="R50">
        <v>80</v>
      </c>
      <c r="S50">
        <v>86.58536585365853</v>
      </c>
      <c r="T50">
        <v>83.236994219653184</v>
      </c>
      <c r="U50">
        <v>89.017341040462426</v>
      </c>
      <c r="EB50">
        <v>50.335838967727973</v>
      </c>
      <c r="EC50">
        <v>35.741476740648586</v>
      </c>
    </row>
    <row r="51" spans="1:133" x14ac:dyDescent="0.2">
      <c r="A51">
        <v>50</v>
      </c>
      <c r="B51">
        <f>107/131*100</f>
        <v>81.679389312977108</v>
      </c>
      <c r="C51">
        <v>3</v>
      </c>
      <c r="D51">
        <f>89/109*100</f>
        <v>81.651376146788991</v>
      </c>
      <c r="E51">
        <v>3</v>
      </c>
      <c r="F51">
        <f>(194-10)/194*100</f>
        <v>94.845360824742258</v>
      </c>
      <c r="G51">
        <v>3</v>
      </c>
      <c r="H51">
        <f>(124-19)/124*100</f>
        <v>84.677419354838719</v>
      </c>
      <c r="I51">
        <v>3</v>
      </c>
      <c r="J51">
        <f>166/193*100</f>
        <v>86.010362694300511</v>
      </c>
      <c r="K51">
        <v>3</v>
      </c>
      <c r="L51">
        <f>159/178*100</f>
        <v>89.325842696629209</v>
      </c>
      <c r="M51">
        <v>3</v>
      </c>
      <c r="P51">
        <v>81.679389312977108</v>
      </c>
      <c r="Q51">
        <v>81.651376146788991</v>
      </c>
      <c r="R51">
        <v>94.845360824742258</v>
      </c>
      <c r="S51">
        <v>84.677419354838719</v>
      </c>
      <c r="T51">
        <v>86.010362694300511</v>
      </c>
      <c r="U51">
        <v>89.325842696629209</v>
      </c>
      <c r="EB51">
        <v>32.42803060562651</v>
      </c>
      <c r="EC51">
        <v>35.080328231475868</v>
      </c>
    </row>
    <row r="52" spans="1:133" x14ac:dyDescent="0.2">
      <c r="A52">
        <v>51</v>
      </c>
      <c r="B52">
        <f>(138-16)/138*100</f>
        <v>88.405797101449281</v>
      </c>
      <c r="C52">
        <v>3</v>
      </c>
      <c r="D52">
        <f>121/164*100</f>
        <v>73.780487804878049</v>
      </c>
      <c r="E52">
        <v>3</v>
      </c>
      <c r="F52">
        <f>(139-24)/139*100</f>
        <v>82.733812949640281</v>
      </c>
      <c r="G52">
        <v>3</v>
      </c>
      <c r="H52">
        <f>175/183*100</f>
        <v>95.628415300546436</v>
      </c>
      <c r="I52">
        <v>3</v>
      </c>
      <c r="J52">
        <f>(126-15)/126*100</f>
        <v>88.095238095238088</v>
      </c>
      <c r="K52">
        <v>3</v>
      </c>
      <c r="L52">
        <v>81.888888899999998</v>
      </c>
      <c r="M52">
        <v>3</v>
      </c>
      <c r="P52">
        <v>88.405797101449281</v>
      </c>
      <c r="Q52">
        <v>73.780487804878049</v>
      </c>
      <c r="R52">
        <v>82.733812949640281</v>
      </c>
      <c r="S52">
        <v>95.628415300546436</v>
      </c>
      <c r="T52">
        <v>88.095238095238088</v>
      </c>
      <c r="U52">
        <v>81.888888899999998</v>
      </c>
      <c r="EB52">
        <v>62.160726012620444</v>
      </c>
      <c r="EC52">
        <v>41.585180866999288</v>
      </c>
    </row>
    <row r="53" spans="1:133" x14ac:dyDescent="0.2">
      <c r="A53">
        <v>52</v>
      </c>
      <c r="B53">
        <f>271/329*100</f>
        <v>82.370820668693014</v>
      </c>
      <c r="C53">
        <v>3</v>
      </c>
      <c r="D53">
        <f>(190-30)/190*100</f>
        <v>84.210526315789465</v>
      </c>
      <c r="E53">
        <v>3</v>
      </c>
      <c r="F53">
        <f>(188-46)/188*100</f>
        <v>75.531914893617028</v>
      </c>
      <c r="G53">
        <v>2</v>
      </c>
      <c r="H53">
        <f>(304-89)/304*100</f>
        <v>70.723684210526315</v>
      </c>
      <c r="I53">
        <v>3</v>
      </c>
      <c r="J53">
        <f>(163-16)/163*100</f>
        <v>90.184049079754601</v>
      </c>
      <c r="K53">
        <v>3</v>
      </c>
      <c r="L53">
        <f>(163-36)/163*100</f>
        <v>77.914110429447859</v>
      </c>
      <c r="M53">
        <v>3</v>
      </c>
      <c r="P53">
        <v>82.370820668693014</v>
      </c>
      <c r="Q53">
        <v>84.210526315789465</v>
      </c>
      <c r="R53">
        <v>75.531914893617028</v>
      </c>
      <c r="S53">
        <v>70.723684210526315</v>
      </c>
      <c r="T53">
        <v>90.184049079754601</v>
      </c>
      <c r="U53">
        <v>77.914110429447859</v>
      </c>
      <c r="EB53">
        <v>55.346164725617705</v>
      </c>
      <c r="EC53">
        <v>45.865769999999998</v>
      </c>
    </row>
    <row r="54" spans="1:133" x14ac:dyDescent="0.2">
      <c r="A54">
        <v>53</v>
      </c>
      <c r="B54">
        <f>167/288*100</f>
        <v>57.986111111111114</v>
      </c>
      <c r="C54">
        <v>3</v>
      </c>
      <c r="D54">
        <f>(117-30)/117*100</f>
        <v>74.358974358974365</v>
      </c>
      <c r="E54">
        <v>3</v>
      </c>
      <c r="F54">
        <f>110/176*100</f>
        <v>62.5</v>
      </c>
      <c r="G54">
        <v>3</v>
      </c>
      <c r="H54">
        <v>95.333330000000004</v>
      </c>
      <c r="I54">
        <v>3</v>
      </c>
      <c r="J54">
        <f>(153-6)/153*100</f>
        <v>96.078431372549019</v>
      </c>
      <c r="K54">
        <v>3</v>
      </c>
      <c r="L54">
        <f>(153-6)/153*100</f>
        <v>96.078431372549019</v>
      </c>
      <c r="M54">
        <v>3</v>
      </c>
      <c r="P54">
        <v>57.986111111111114</v>
      </c>
      <c r="Q54">
        <v>74.358974358974365</v>
      </c>
      <c r="R54">
        <v>62.5</v>
      </c>
      <c r="S54">
        <v>95.333330000000004</v>
      </c>
      <c r="T54">
        <v>96.078431372549019</v>
      </c>
      <c r="U54">
        <v>96.078431372549019</v>
      </c>
      <c r="EB54">
        <v>46.608132920267423</v>
      </c>
      <c r="EC54">
        <v>51.178530000000002</v>
      </c>
    </row>
    <row r="55" spans="1:133" x14ac:dyDescent="0.2">
      <c r="A55">
        <v>54</v>
      </c>
      <c r="B55">
        <f>99/170*100</f>
        <v>58.235294117647065</v>
      </c>
      <c r="C55">
        <v>3</v>
      </c>
      <c r="D55">
        <f>(231-53)/231*100</f>
        <v>77.056277056277054</v>
      </c>
      <c r="E55">
        <v>3</v>
      </c>
      <c r="F55">
        <f>87/111*100</f>
        <v>78.378378378378372</v>
      </c>
      <c r="G55">
        <v>3</v>
      </c>
      <c r="H55">
        <f>(91-15)/91*100</f>
        <v>83.516483516483518</v>
      </c>
      <c r="I55">
        <v>3</v>
      </c>
      <c r="J55">
        <f>(191-13)/191*100</f>
        <v>93.193717277486911</v>
      </c>
      <c r="K55">
        <v>3</v>
      </c>
      <c r="L55">
        <f>(191-33)/191*100</f>
        <v>82.722513089005233</v>
      </c>
      <c r="M55">
        <v>3</v>
      </c>
      <c r="P55">
        <v>58.235294117647065</v>
      </c>
      <c r="Q55">
        <v>77.056277056277054</v>
      </c>
      <c r="R55">
        <v>78.378378378378372</v>
      </c>
      <c r="S55">
        <v>83.516483516483518</v>
      </c>
      <c r="T55">
        <v>93.193717277486911</v>
      </c>
      <c r="U55">
        <v>82.722513089005233</v>
      </c>
      <c r="EB55">
        <v>49.001523288345034</v>
      </c>
      <c r="EC55">
        <v>42.151739999999997</v>
      </c>
    </row>
    <row r="56" spans="1:133" x14ac:dyDescent="0.2">
      <c r="A56">
        <v>55</v>
      </c>
      <c r="B56">
        <f>150/201*100</f>
        <v>74.626865671641795</v>
      </c>
      <c r="C56">
        <v>3</v>
      </c>
      <c r="D56">
        <f>(213-31)/213*100</f>
        <v>85.44600938967136</v>
      </c>
      <c r="E56">
        <v>3</v>
      </c>
      <c r="F56">
        <f>(180-21)/180*100</f>
        <v>88.333333333333329</v>
      </c>
      <c r="G56">
        <v>3</v>
      </c>
      <c r="H56">
        <f>141/170*100</f>
        <v>82.941176470588246</v>
      </c>
      <c r="I56">
        <v>3</v>
      </c>
      <c r="J56">
        <f>(223-38)/223*100</f>
        <v>82.959641255605376</v>
      </c>
      <c r="K56">
        <v>3</v>
      </c>
      <c r="L56">
        <f>(223-88)/223*100</f>
        <v>60.538116591928251</v>
      </c>
      <c r="M56">
        <v>3</v>
      </c>
      <c r="P56">
        <v>74.626865671641795</v>
      </c>
      <c r="Q56">
        <v>85.44600938967136</v>
      </c>
      <c r="R56">
        <v>88.333333333333329</v>
      </c>
      <c r="S56">
        <v>82.941176470588246</v>
      </c>
      <c r="T56">
        <v>82.959641255605376</v>
      </c>
      <c r="U56">
        <v>60.538116591928251</v>
      </c>
      <c r="EB56">
        <v>38.331507612639875</v>
      </c>
      <c r="EC56">
        <v>54.099670000000003</v>
      </c>
    </row>
    <row r="57" spans="1:133" ht="16" x14ac:dyDescent="0.2">
      <c r="A57">
        <v>56</v>
      </c>
      <c r="B57">
        <f>109/139*100</f>
        <v>78.417266187050359</v>
      </c>
      <c r="C57">
        <v>3</v>
      </c>
      <c r="D57">
        <f>(256-33)/256*100</f>
        <v>87.109375</v>
      </c>
      <c r="E57">
        <v>3</v>
      </c>
      <c r="F57">
        <f>(93-16)/93*100</f>
        <v>82.795698924731184</v>
      </c>
      <c r="G57">
        <v>3</v>
      </c>
      <c r="H57">
        <f>98/140*100</f>
        <v>70</v>
      </c>
      <c r="I57">
        <v>3</v>
      </c>
      <c r="J57">
        <f>(125-19)/125*100</f>
        <v>84.8</v>
      </c>
      <c r="K57">
        <v>3</v>
      </c>
      <c r="L57">
        <f>(125-29)/125*100</f>
        <v>76.8</v>
      </c>
      <c r="M57">
        <v>3</v>
      </c>
      <c r="P57">
        <v>78.417266187050359</v>
      </c>
      <c r="Q57">
        <v>87.109375</v>
      </c>
      <c r="R57">
        <v>82.795698924731184</v>
      </c>
      <c r="S57">
        <v>70</v>
      </c>
      <c r="T57">
        <v>84.8</v>
      </c>
      <c r="U57">
        <v>76.8</v>
      </c>
      <c r="EB57" s="26"/>
      <c r="EC57" s="26"/>
    </row>
    <row r="58" spans="1:133" x14ac:dyDescent="0.2">
      <c r="A58">
        <v>57</v>
      </c>
      <c r="B58">
        <f>207/239*100</f>
        <v>86.610878661087867</v>
      </c>
      <c r="C58">
        <v>3</v>
      </c>
      <c r="D58">
        <f>(111-5)/111*100</f>
        <v>95.495495495495504</v>
      </c>
      <c r="E58">
        <v>3</v>
      </c>
      <c r="F58">
        <f>(151-24)/151*100</f>
        <v>84.105960264900659</v>
      </c>
      <c r="G58">
        <v>2</v>
      </c>
      <c r="H58">
        <f>(101-33)/101*100</f>
        <v>67.32673267326733</v>
      </c>
      <c r="I58">
        <v>3</v>
      </c>
      <c r="J58">
        <f>55/81*100</f>
        <v>67.901234567901241</v>
      </c>
      <c r="K58">
        <v>3</v>
      </c>
      <c r="L58">
        <f>65/81*100</f>
        <v>80.246913580246911</v>
      </c>
      <c r="M58">
        <v>3</v>
      </c>
      <c r="P58">
        <v>86.610878661087867</v>
      </c>
      <c r="Q58">
        <v>95.495495495495504</v>
      </c>
      <c r="R58">
        <v>84.105960264900659</v>
      </c>
      <c r="S58">
        <v>67.32673267326733</v>
      </c>
      <c r="T58">
        <v>67.901234567901241</v>
      </c>
      <c r="U58">
        <v>80.246913580246911</v>
      </c>
    </row>
    <row r="59" spans="1:133" x14ac:dyDescent="0.2">
      <c r="A59">
        <v>58</v>
      </c>
      <c r="B59">
        <f>96/232*100</f>
        <v>41.379310344827587</v>
      </c>
      <c r="C59">
        <v>3</v>
      </c>
      <c r="D59">
        <f>(117-30)/117*100</f>
        <v>74.358974358974365</v>
      </c>
      <c r="E59">
        <v>3</v>
      </c>
      <c r="F59">
        <f>198/268*100</f>
        <v>73.880597014925371</v>
      </c>
      <c r="G59">
        <v>3</v>
      </c>
      <c r="H59">
        <v>97.6666666666666</v>
      </c>
      <c r="I59">
        <v>3</v>
      </c>
      <c r="J59">
        <f>53/74*100</f>
        <v>71.621621621621628</v>
      </c>
      <c r="K59">
        <v>3</v>
      </c>
      <c r="L59">
        <f>52/74*100</f>
        <v>70.270270270270274</v>
      </c>
      <c r="M59">
        <v>3</v>
      </c>
      <c r="P59">
        <v>41.379310344827587</v>
      </c>
      <c r="Q59">
        <v>74.358974358974365</v>
      </c>
      <c r="R59">
        <v>73.880597014925371</v>
      </c>
      <c r="S59">
        <v>97.6666666666666</v>
      </c>
      <c r="T59">
        <v>71.621621621621628</v>
      </c>
      <c r="U59">
        <v>70.270270270270274</v>
      </c>
    </row>
    <row r="60" spans="1:133" x14ac:dyDescent="0.2">
      <c r="A60">
        <v>59</v>
      </c>
      <c r="B60">
        <f>AVERAGE(B53:B59)</f>
        <v>68.518078108865538</v>
      </c>
      <c r="C60">
        <v>3</v>
      </c>
      <c r="D60">
        <f>(165-84)/165*100</f>
        <v>49.090909090909093</v>
      </c>
      <c r="E60">
        <v>3</v>
      </c>
      <c r="F60">
        <f>(103-12)/103*100</f>
        <v>88.349514563106794</v>
      </c>
      <c r="G60">
        <v>3</v>
      </c>
      <c r="H60">
        <f>AVERAGE(H53:H59)</f>
        <v>81.072581933933151</v>
      </c>
      <c r="I60">
        <v>3</v>
      </c>
      <c r="J60">
        <f>AVERAGE(J53:J59)</f>
        <v>83.819813596416992</v>
      </c>
      <c r="K60">
        <v>3</v>
      </c>
      <c r="L60">
        <f>AVERAGE(L53:L59)</f>
        <v>77.795765047635385</v>
      </c>
      <c r="M60">
        <v>3</v>
      </c>
      <c r="P60">
        <v>68.518078108865538</v>
      </c>
      <c r="Q60">
        <v>49.090909090909093</v>
      </c>
      <c r="R60">
        <v>88.349514563106794</v>
      </c>
      <c r="S60">
        <v>81.072581933933151</v>
      </c>
      <c r="T60">
        <v>83.819813596416992</v>
      </c>
      <c r="U60">
        <v>77.795765047635385</v>
      </c>
    </row>
    <row r="61" spans="1:133" x14ac:dyDescent="0.2">
      <c r="A61">
        <v>60</v>
      </c>
      <c r="B61">
        <f>45/91*100</f>
        <v>49.450549450549453</v>
      </c>
      <c r="C61">
        <v>3</v>
      </c>
      <c r="D61">
        <f>98/208*100</f>
        <v>47.115384615384613</v>
      </c>
      <c r="E61">
        <v>3</v>
      </c>
      <c r="F61">
        <f>89/141*100</f>
        <v>63.12056737588653</v>
      </c>
      <c r="G61">
        <v>2</v>
      </c>
      <c r="H61">
        <f>73/164*100</f>
        <v>44.512195121951223</v>
      </c>
      <c r="I61">
        <v>3</v>
      </c>
      <c r="J61">
        <f>(178-95)/178*100</f>
        <v>46.629213483146067</v>
      </c>
      <c r="K61">
        <v>3</v>
      </c>
      <c r="L61">
        <f>59/132*100</f>
        <v>44.696969696969695</v>
      </c>
      <c r="M61">
        <v>3</v>
      </c>
      <c r="P61">
        <v>49.450549450549453</v>
      </c>
      <c r="Q61">
        <v>47.115384615384613</v>
      </c>
      <c r="R61">
        <v>63.12056737588653</v>
      </c>
      <c r="S61">
        <v>44.512195121951223</v>
      </c>
      <c r="T61">
        <v>46.629213483146067</v>
      </c>
      <c r="U61">
        <v>44.696969696969695</v>
      </c>
    </row>
    <row r="62" spans="1:133" x14ac:dyDescent="0.2">
      <c r="A62">
        <v>61</v>
      </c>
      <c r="B62">
        <f>234/289*100</f>
        <v>80.968858131487892</v>
      </c>
      <c r="C62">
        <v>3</v>
      </c>
      <c r="D62">
        <f>(163)/201*100</f>
        <v>81.094527363184071</v>
      </c>
      <c r="E62">
        <v>3</v>
      </c>
      <c r="F62">
        <f>(183-30)/183*100</f>
        <v>83.606557377049185</v>
      </c>
      <c r="G62">
        <v>3</v>
      </c>
      <c r="H62">
        <v>66.070999999999998</v>
      </c>
      <c r="I62">
        <v>2</v>
      </c>
      <c r="J62">
        <f>(168-55)/168*100</f>
        <v>67.261904761904773</v>
      </c>
      <c r="K62">
        <v>2</v>
      </c>
      <c r="L62">
        <f>14/59*100</f>
        <v>23.728813559322035</v>
      </c>
      <c r="M62">
        <v>2</v>
      </c>
      <c r="P62">
        <v>80.968858131487892</v>
      </c>
      <c r="Q62">
        <v>81.094527363184071</v>
      </c>
      <c r="R62">
        <v>83.606557377049185</v>
      </c>
      <c r="S62">
        <v>66.070999999999998</v>
      </c>
      <c r="T62">
        <v>67.261904761904773</v>
      </c>
      <c r="U62">
        <v>23.728813559322035</v>
      </c>
    </row>
    <row r="63" spans="1:133" x14ac:dyDescent="0.2">
      <c r="A63">
        <v>62</v>
      </c>
      <c r="B63">
        <f>88/97*100</f>
        <v>90.721649484536087</v>
      </c>
      <c r="C63">
        <v>3</v>
      </c>
      <c r="D63">
        <f>93/114*100</f>
        <v>81.578947368421055</v>
      </c>
      <c r="E63">
        <v>3</v>
      </c>
      <c r="F63">
        <f>95/153*100</f>
        <v>62.091503267973856</v>
      </c>
      <c r="G63">
        <v>3</v>
      </c>
      <c r="H63">
        <f>(146-49)/146*100</f>
        <v>66.438356164383563</v>
      </c>
      <c r="I63">
        <v>2</v>
      </c>
      <c r="J63">
        <f>(121-35)/121*100</f>
        <v>71.074380165289256</v>
      </c>
      <c r="K63">
        <v>2</v>
      </c>
      <c r="L63">
        <f>(187-108)/187*100</f>
        <v>42.245989304812838</v>
      </c>
      <c r="M63">
        <v>2</v>
      </c>
      <c r="P63">
        <v>90.721649484536087</v>
      </c>
      <c r="Q63">
        <v>81.578947368421055</v>
      </c>
      <c r="R63">
        <v>62.091503267973856</v>
      </c>
      <c r="S63">
        <v>66.438356164383563</v>
      </c>
      <c r="T63">
        <v>71.074380165289256</v>
      </c>
      <c r="U63">
        <v>42.245989304812838</v>
      </c>
    </row>
    <row r="64" spans="1:133" x14ac:dyDescent="0.2">
      <c r="A64">
        <v>63</v>
      </c>
      <c r="B64">
        <f>173/201*100</f>
        <v>86.069651741293526</v>
      </c>
      <c r="C64">
        <v>3</v>
      </c>
      <c r="D64">
        <f>(218-43)/218*100</f>
        <v>80.275229357798167</v>
      </c>
      <c r="E64">
        <v>3</v>
      </c>
      <c r="F64">
        <f>63/74*100</f>
        <v>85.13513513513513</v>
      </c>
      <c r="G64">
        <v>3</v>
      </c>
      <c r="H64">
        <f>94/106*100</f>
        <v>88.679245283018872</v>
      </c>
      <c r="I64">
        <v>3</v>
      </c>
      <c r="J64">
        <f>71/80*100</f>
        <v>88.75</v>
      </c>
      <c r="K64">
        <v>3</v>
      </c>
      <c r="L64">
        <f>(171-31)/171*100</f>
        <v>81.871345029239762</v>
      </c>
      <c r="M64">
        <v>3</v>
      </c>
      <c r="P64">
        <v>86.069651741293526</v>
      </c>
      <c r="Q64">
        <v>80.275229357798167</v>
      </c>
      <c r="R64">
        <v>85.13513513513513</v>
      </c>
      <c r="S64">
        <v>88.679245283018872</v>
      </c>
      <c r="T64">
        <v>88.75</v>
      </c>
      <c r="U64">
        <v>81.871345029239762</v>
      </c>
    </row>
    <row r="65" spans="1:21" x14ac:dyDescent="0.2">
      <c r="A65">
        <v>64</v>
      </c>
      <c r="B65">
        <f>221/277*100</f>
        <v>79.783393501805051</v>
      </c>
      <c r="C65">
        <v>3</v>
      </c>
      <c r="D65">
        <f>126/137*100</f>
        <v>91.970802919708035</v>
      </c>
      <c r="E65">
        <v>3</v>
      </c>
      <c r="F65">
        <f>(185-61)/185*100</f>
        <v>67.027027027027032</v>
      </c>
      <c r="G65">
        <v>2</v>
      </c>
      <c r="H65">
        <f>(147-23)/147*100</f>
        <v>84.353741496598644</v>
      </c>
      <c r="I65">
        <v>3</v>
      </c>
      <c r="J65">
        <f>(116-14)/116*100</f>
        <v>87.931034482758619</v>
      </c>
      <c r="K65">
        <v>3</v>
      </c>
      <c r="L65">
        <f>(152-56)/152*100</f>
        <v>63.157894736842103</v>
      </c>
      <c r="M65">
        <v>3</v>
      </c>
      <c r="P65">
        <v>79.783393501805051</v>
      </c>
      <c r="Q65">
        <v>91.970802919708035</v>
      </c>
      <c r="R65">
        <v>67.027027027027032</v>
      </c>
      <c r="S65">
        <v>84.353741496598644</v>
      </c>
      <c r="T65">
        <v>87.931034482758619</v>
      </c>
      <c r="U65">
        <v>63.157894736842103</v>
      </c>
    </row>
    <row r="66" spans="1:21" x14ac:dyDescent="0.2">
      <c r="A66">
        <v>65</v>
      </c>
      <c r="B66">
        <f>46/89*100</f>
        <v>51.68539325842697</v>
      </c>
      <c r="C66">
        <v>3</v>
      </c>
      <c r="D66">
        <f>45/135*100</f>
        <v>33.333333333333329</v>
      </c>
      <c r="E66">
        <v>3</v>
      </c>
      <c r="F66">
        <f>(103-12)/103*100</f>
        <v>88.349514563106794</v>
      </c>
      <c r="G66">
        <v>3</v>
      </c>
      <c r="H66">
        <f>(211-117)/211*100</f>
        <v>44.549763033175353</v>
      </c>
      <c r="I66">
        <v>3</v>
      </c>
      <c r="J66">
        <f>(83-45)/83*100</f>
        <v>45.783132530120483</v>
      </c>
      <c r="K66">
        <v>3</v>
      </c>
      <c r="L66">
        <f>(106-52)/106*100</f>
        <v>50.943396226415096</v>
      </c>
      <c r="M66">
        <v>3</v>
      </c>
      <c r="P66">
        <v>51.68539325842697</v>
      </c>
      <c r="Q66">
        <v>33.333333333333329</v>
      </c>
      <c r="R66">
        <v>88.349514563106794</v>
      </c>
      <c r="S66">
        <v>44.549763033175353</v>
      </c>
      <c r="T66">
        <v>45.783132530120483</v>
      </c>
      <c r="U66">
        <v>50.943396226415096</v>
      </c>
    </row>
    <row r="67" spans="1:21" x14ac:dyDescent="0.2">
      <c r="A67">
        <v>66</v>
      </c>
      <c r="B67">
        <f>121/174*100</f>
        <v>69.540229885057471</v>
      </c>
      <c r="C67">
        <v>3</v>
      </c>
      <c r="D67">
        <f>47/167*100</f>
        <v>28.143712574850298</v>
      </c>
      <c r="E67">
        <v>3</v>
      </c>
      <c r="F67">
        <f>(183-23)/183*100</f>
        <v>87.431693989071036</v>
      </c>
      <c r="G67">
        <v>2</v>
      </c>
      <c r="H67">
        <f>73/126*100</f>
        <v>57.936507936507944</v>
      </c>
      <c r="I67">
        <v>2</v>
      </c>
      <c r="J67">
        <f>(134-58)/134*100</f>
        <v>56.71641791044776</v>
      </c>
      <c r="K67">
        <v>2</v>
      </c>
      <c r="L67">
        <f>(108-58)/108*100</f>
        <v>46.296296296296298</v>
      </c>
      <c r="M67">
        <v>2</v>
      </c>
      <c r="P67">
        <v>69.540229885057471</v>
      </c>
      <c r="Q67">
        <v>28.143712574850298</v>
      </c>
      <c r="R67">
        <v>87.431693989071036</v>
      </c>
      <c r="S67">
        <v>57.936507936507944</v>
      </c>
      <c r="T67">
        <v>56.71641791044776</v>
      </c>
      <c r="U67">
        <v>46.296296296296298</v>
      </c>
    </row>
    <row r="68" spans="1:21" x14ac:dyDescent="0.2">
      <c r="A68">
        <v>67</v>
      </c>
      <c r="B68">
        <f>111/159*100</f>
        <v>69.811320754716974</v>
      </c>
      <c r="C68">
        <v>3</v>
      </c>
      <c r="D68">
        <f>AVERAGE(D52:D67)</f>
        <v>71.526185400228044</v>
      </c>
      <c r="E68">
        <v>3</v>
      </c>
      <c r="F68">
        <f>(201-93)/201*100</f>
        <v>53.731343283582092</v>
      </c>
      <c r="G68">
        <v>3</v>
      </c>
      <c r="H68">
        <f>46/65*100</f>
        <v>70.769230769230774</v>
      </c>
      <c r="I68">
        <v>2</v>
      </c>
      <c r="J68">
        <f>(140-81)/140*100</f>
        <v>42.142857142857146</v>
      </c>
      <c r="K68">
        <v>2</v>
      </c>
      <c r="L68">
        <f>(110-60)/110*100</f>
        <v>45.454545454545453</v>
      </c>
      <c r="M68">
        <v>2</v>
      </c>
      <c r="P68">
        <v>69.811320754716974</v>
      </c>
      <c r="Q68">
        <v>71.526185400228044</v>
      </c>
      <c r="R68">
        <v>53.731343283582092</v>
      </c>
      <c r="S68">
        <v>70.769230769230774</v>
      </c>
      <c r="T68">
        <v>42.142857142857146</v>
      </c>
      <c r="U68">
        <v>45.454545454545453</v>
      </c>
    </row>
    <row r="69" spans="1:21" x14ac:dyDescent="0.2">
      <c r="A69">
        <v>68</v>
      </c>
      <c r="B69">
        <f>48/92*100</f>
        <v>52.173913043478258</v>
      </c>
      <c r="C69">
        <v>3</v>
      </c>
      <c r="D69">
        <f>142/192*100</f>
        <v>73.958333333333343</v>
      </c>
      <c r="E69">
        <v>3</v>
      </c>
      <c r="F69">
        <f>96/129*100</f>
        <v>74.418604651162795</v>
      </c>
      <c r="G69">
        <v>3</v>
      </c>
      <c r="H69">
        <f>(123-23)/123*100</f>
        <v>81.300813008130078</v>
      </c>
      <c r="I69">
        <v>3</v>
      </c>
      <c r="J69">
        <f>(53-21)/53*100</f>
        <v>60.377358490566039</v>
      </c>
      <c r="K69">
        <v>3</v>
      </c>
      <c r="L69">
        <f>(114-71)/114*100</f>
        <v>37.719298245614034</v>
      </c>
      <c r="M69">
        <v>3</v>
      </c>
      <c r="P69">
        <v>52.173913043478258</v>
      </c>
      <c r="Q69">
        <v>73.958333333333343</v>
      </c>
      <c r="R69">
        <v>74.418604651162795</v>
      </c>
      <c r="S69">
        <v>81.300813008130078</v>
      </c>
      <c r="T69">
        <v>60.377358490566039</v>
      </c>
      <c r="U69">
        <v>37.719298245614034</v>
      </c>
    </row>
    <row r="70" spans="1:21" x14ac:dyDescent="0.2">
      <c r="A70">
        <v>69</v>
      </c>
      <c r="B70">
        <f>67/131*100</f>
        <v>51.145038167938928</v>
      </c>
      <c r="C70">
        <v>3</v>
      </c>
      <c r="D70">
        <f>103/204*100</f>
        <v>50.490196078431367</v>
      </c>
      <c r="E70">
        <v>3</v>
      </c>
      <c r="F70">
        <f>183/241*100</f>
        <v>75.933609958506224</v>
      </c>
      <c r="G70">
        <v>3</v>
      </c>
      <c r="H70">
        <f>AVERAGE(H50:H69)</f>
        <v>76.004135439675252</v>
      </c>
      <c r="I70">
        <v>2</v>
      </c>
      <c r="J70">
        <f>19/28*100</f>
        <v>67.857142857142861</v>
      </c>
      <c r="K70">
        <v>2</v>
      </c>
      <c r="L70">
        <f>84/171*100</f>
        <v>49.122807017543856</v>
      </c>
      <c r="M70">
        <v>2</v>
      </c>
      <c r="P70">
        <v>51.145038167938928</v>
      </c>
      <c r="Q70">
        <v>50.490196078431367</v>
      </c>
      <c r="R70">
        <v>75.933609958506224</v>
      </c>
      <c r="S70">
        <v>76.004135439675252</v>
      </c>
      <c r="T70">
        <v>67.857142857142861</v>
      </c>
      <c r="U70">
        <v>49.122807017543856</v>
      </c>
    </row>
    <row r="71" spans="1:21" x14ac:dyDescent="0.2">
      <c r="A71">
        <v>70</v>
      </c>
      <c r="B71">
        <f>18/103*100</f>
        <v>17.475728155339805</v>
      </c>
      <c r="C71">
        <v>3</v>
      </c>
      <c r="D71">
        <f>23/113*100</f>
        <v>20.353982300884958</v>
      </c>
      <c r="E71">
        <v>3</v>
      </c>
      <c r="F71">
        <f>(183-67)/183*100</f>
        <v>63.387978142076506</v>
      </c>
      <c r="G71">
        <v>2</v>
      </c>
      <c r="H71">
        <f>(122-53)/122*100</f>
        <v>56.557377049180324</v>
      </c>
      <c r="I71">
        <v>2</v>
      </c>
      <c r="J71">
        <f>34/119*100</f>
        <v>28.571428571428569</v>
      </c>
      <c r="K71">
        <v>2</v>
      </c>
      <c r="L71">
        <f>24/119*100</f>
        <v>20.168067226890756</v>
      </c>
      <c r="M71">
        <v>2</v>
      </c>
      <c r="P71">
        <v>17.475728155339805</v>
      </c>
      <c r="Q71">
        <v>20.353982300884958</v>
      </c>
      <c r="R71">
        <v>63.387978142076506</v>
      </c>
      <c r="S71">
        <v>56.557377049180324</v>
      </c>
      <c r="T71">
        <v>28.571428571428569</v>
      </c>
      <c r="U71">
        <v>20.168067226890756</v>
      </c>
    </row>
    <row r="72" spans="1:21" x14ac:dyDescent="0.2">
      <c r="A72">
        <v>71</v>
      </c>
      <c r="B72">
        <f>54/213*100</f>
        <v>25.352112676056336</v>
      </c>
      <c r="C72">
        <v>3</v>
      </c>
      <c r="D72">
        <f>50/213*100</f>
        <v>23.474178403755868</v>
      </c>
      <c r="E72">
        <v>2</v>
      </c>
      <c r="F72">
        <f>(300-102)/300*100</f>
        <v>66</v>
      </c>
      <c r="G72">
        <v>2</v>
      </c>
      <c r="H72">
        <f>77/99*100</f>
        <v>77.777777777777786</v>
      </c>
      <c r="I72">
        <v>2</v>
      </c>
      <c r="J72">
        <f>(271-181)/271*100</f>
        <v>33.210332103321036</v>
      </c>
      <c r="K72">
        <v>2</v>
      </c>
      <c r="L72">
        <f>183/261*100</f>
        <v>70.114942528735639</v>
      </c>
      <c r="M72">
        <v>3</v>
      </c>
      <c r="P72">
        <v>25.352112676056336</v>
      </c>
      <c r="Q72">
        <v>23.474178403755868</v>
      </c>
      <c r="R72">
        <v>66</v>
      </c>
      <c r="S72">
        <v>77.777777777777786</v>
      </c>
      <c r="T72">
        <v>33.210332103321036</v>
      </c>
      <c r="U72">
        <v>70.114942528735639</v>
      </c>
    </row>
    <row r="73" spans="1:21" x14ac:dyDescent="0.2">
      <c r="A73">
        <v>72</v>
      </c>
      <c r="B73">
        <f>140/179*100</f>
        <v>78.212290502793294</v>
      </c>
      <c r="C73">
        <v>3</v>
      </c>
      <c r="D73">
        <f>149/163*100</f>
        <v>91.411042944785279</v>
      </c>
      <c r="E73">
        <v>2</v>
      </c>
      <c r="F73">
        <f>154/168*100</f>
        <v>91.666666666666657</v>
      </c>
      <c r="G73">
        <v>3</v>
      </c>
      <c r="H73">
        <f>74/80*100</f>
        <v>92.5</v>
      </c>
      <c r="I73">
        <v>2</v>
      </c>
      <c r="J73">
        <f>83/121*100</f>
        <v>68.59504132231406</v>
      </c>
      <c r="K73">
        <v>2</v>
      </c>
      <c r="L73">
        <f>(121-25)/121*100</f>
        <v>79.338842975206617</v>
      </c>
      <c r="M73">
        <v>3</v>
      </c>
      <c r="P73">
        <v>78.212290502793294</v>
      </c>
      <c r="Q73">
        <v>91.411042944785279</v>
      </c>
      <c r="R73">
        <v>91.666666666666657</v>
      </c>
      <c r="S73">
        <v>92.5</v>
      </c>
      <c r="T73">
        <v>68.59504132231406</v>
      </c>
      <c r="U73">
        <v>79.338842975206617</v>
      </c>
    </row>
    <row r="74" spans="1:21" x14ac:dyDescent="0.2">
      <c r="A74">
        <v>73</v>
      </c>
      <c r="B74">
        <f>193/266*100</f>
        <v>72.556390977443613</v>
      </c>
      <c r="C74">
        <v>2</v>
      </c>
      <c r="D74">
        <f>96/266*100</f>
        <v>36.090225563909769</v>
      </c>
      <c r="E74">
        <v>2</v>
      </c>
      <c r="F74">
        <f>(151-37)/151*100</f>
        <v>75.496688741721854</v>
      </c>
      <c r="G74">
        <v>3</v>
      </c>
      <c r="H74">
        <f>63/88*100</f>
        <v>71.590909090909093</v>
      </c>
      <c r="I74">
        <v>2</v>
      </c>
      <c r="J74">
        <f>(118-23)/118*100</f>
        <v>80.508474576271183</v>
      </c>
      <c r="K74">
        <v>2</v>
      </c>
      <c r="L74">
        <f>(118-99)/118*100</f>
        <v>16.101694915254235</v>
      </c>
      <c r="M74">
        <v>3</v>
      </c>
      <c r="P74">
        <v>72.556390977443613</v>
      </c>
      <c r="Q74">
        <v>36.090225563909769</v>
      </c>
      <c r="R74">
        <v>75.496688741721854</v>
      </c>
      <c r="S74">
        <v>71.590909090909093</v>
      </c>
      <c r="T74">
        <v>80.508474576271183</v>
      </c>
      <c r="U74">
        <v>16.101694915254235</v>
      </c>
    </row>
    <row r="75" spans="1:21" x14ac:dyDescent="0.2">
      <c r="A75">
        <v>74</v>
      </c>
      <c r="B75">
        <f>(274)/286*100</f>
        <v>95.8041958041958</v>
      </c>
      <c r="C75">
        <v>2</v>
      </c>
      <c r="D75">
        <f>(286-20)/286*100</f>
        <v>93.006993006993014</v>
      </c>
      <c r="E75">
        <v>2</v>
      </c>
      <c r="F75">
        <f>83/87*100</f>
        <v>95.402298850574709</v>
      </c>
      <c r="G75">
        <v>3</v>
      </c>
      <c r="H75">
        <f>29/31*100</f>
        <v>93.548387096774192</v>
      </c>
      <c r="I75">
        <v>2</v>
      </c>
      <c r="J75">
        <f>57/61*100</f>
        <v>93.442622950819683</v>
      </c>
      <c r="K75">
        <v>2</v>
      </c>
      <c r="L75">
        <f>84/89*100</f>
        <v>94.382022471910105</v>
      </c>
      <c r="M75">
        <v>2</v>
      </c>
      <c r="P75">
        <v>95.8041958041958</v>
      </c>
      <c r="Q75">
        <v>93.006993006993014</v>
      </c>
      <c r="R75">
        <v>95.402298850574709</v>
      </c>
      <c r="S75">
        <v>93.548387096774192</v>
      </c>
      <c r="T75">
        <v>93.442622950819683</v>
      </c>
      <c r="U75">
        <v>94.382022471910105</v>
      </c>
    </row>
    <row r="76" spans="1:21" x14ac:dyDescent="0.2">
      <c r="A76">
        <v>75</v>
      </c>
      <c r="B76">
        <f>(281-116)/281*100</f>
        <v>58.718861209964416</v>
      </c>
      <c r="C76">
        <v>3</v>
      </c>
      <c r="D76">
        <f>(281-98)/281*100</f>
        <v>65.12455516014235</v>
      </c>
      <c r="E76">
        <v>2</v>
      </c>
      <c r="F76">
        <f>(82-33)/82*100</f>
        <v>59.756097560975604</v>
      </c>
      <c r="G76">
        <v>2</v>
      </c>
      <c r="H76">
        <f>63/76*100</f>
        <v>82.89473684210526</v>
      </c>
      <c r="I76">
        <v>2</v>
      </c>
      <c r="J76">
        <f>(83-6)/83*100</f>
        <v>92.771084337349393</v>
      </c>
      <c r="K76">
        <v>2</v>
      </c>
      <c r="L76">
        <f>(83-6)/83*100</f>
        <v>92.771084337349393</v>
      </c>
      <c r="M76">
        <v>2</v>
      </c>
      <c r="P76">
        <v>58.718861209964416</v>
      </c>
      <c r="Q76">
        <v>65.12455516014235</v>
      </c>
      <c r="R76">
        <v>59.756097560975604</v>
      </c>
      <c r="S76">
        <v>82.89473684210526</v>
      </c>
      <c r="T76">
        <v>92.771084337349393</v>
      </c>
      <c r="U76">
        <v>92.771084337349393</v>
      </c>
    </row>
    <row r="77" spans="1:21" x14ac:dyDescent="0.2">
      <c r="A77">
        <v>76</v>
      </c>
      <c r="B77">
        <f>(161)/176*100</f>
        <v>91.477272727272734</v>
      </c>
      <c r="C77">
        <v>3</v>
      </c>
      <c r="D77">
        <f>(176-33)/176*100</f>
        <v>81.25</v>
      </c>
      <c r="E77">
        <v>2</v>
      </c>
      <c r="F77">
        <f>(138-52)/138*100</f>
        <v>62.318840579710141</v>
      </c>
      <c r="G77">
        <v>2</v>
      </c>
      <c r="H77">
        <f>(88-37)/88*100</f>
        <v>57.95454545454546</v>
      </c>
      <c r="I77">
        <v>2</v>
      </c>
      <c r="J77">
        <f>(140-91)/140*100</f>
        <v>35</v>
      </c>
      <c r="K77">
        <v>2</v>
      </c>
      <c r="L77">
        <f>(140-81)/140*100</f>
        <v>42.142857142857146</v>
      </c>
      <c r="M77">
        <v>2</v>
      </c>
      <c r="P77">
        <v>91.477272727272734</v>
      </c>
      <c r="Q77">
        <v>81.25</v>
      </c>
      <c r="R77">
        <v>62.318840579710141</v>
      </c>
      <c r="S77">
        <v>57.95454545454546</v>
      </c>
      <c r="T77">
        <v>35</v>
      </c>
      <c r="U77">
        <v>42.142857142857146</v>
      </c>
    </row>
    <row r="78" spans="1:21" x14ac:dyDescent="0.2">
      <c r="A78">
        <v>77</v>
      </c>
      <c r="B78">
        <f>158/201*100</f>
        <v>78.606965174129357</v>
      </c>
      <c r="C78">
        <v>3</v>
      </c>
      <c r="D78">
        <f>(201-42)/201*100</f>
        <v>79.104477611940297</v>
      </c>
      <c r="E78">
        <v>2</v>
      </c>
      <c r="F78">
        <f>47/141*100</f>
        <v>33.333333333333329</v>
      </c>
      <c r="G78">
        <v>2</v>
      </c>
      <c r="H78">
        <f>(135-34)/135*100</f>
        <v>74.81481481481481</v>
      </c>
      <c r="I78">
        <v>3</v>
      </c>
      <c r="J78">
        <f>(184-64)/184*100</f>
        <v>65.217391304347828</v>
      </c>
      <c r="K78">
        <v>3</v>
      </c>
      <c r="L78">
        <f>(184-54)/184*100</f>
        <v>70.652173913043484</v>
      </c>
      <c r="M78">
        <v>3</v>
      </c>
      <c r="P78">
        <v>78.606965174129357</v>
      </c>
      <c r="Q78">
        <v>79.104477611940297</v>
      </c>
      <c r="R78">
        <v>33.333333333333329</v>
      </c>
      <c r="S78">
        <v>74.81481481481481</v>
      </c>
      <c r="T78">
        <v>65.217391304347828</v>
      </c>
      <c r="U78">
        <v>70.652173913043484</v>
      </c>
    </row>
    <row r="79" spans="1:21" x14ac:dyDescent="0.2">
      <c r="A79">
        <v>78</v>
      </c>
      <c r="B79">
        <f>(250-70)/250*100</f>
        <v>72</v>
      </c>
      <c r="C79">
        <v>2</v>
      </c>
      <c r="D79">
        <f>191/263*100</f>
        <v>72.623574144486696</v>
      </c>
      <c r="E79">
        <v>1</v>
      </c>
      <c r="F79">
        <f>55/160*100</f>
        <v>34.375</v>
      </c>
      <c r="G79">
        <v>3</v>
      </c>
      <c r="H79">
        <f>34/165*100</f>
        <v>20.606060606060606</v>
      </c>
      <c r="I79">
        <v>3</v>
      </c>
      <c r="J79">
        <f>(110-72)/110*100</f>
        <v>34.545454545454547</v>
      </c>
      <c r="K79">
        <v>3</v>
      </c>
      <c r="L79">
        <f>73/124*100</f>
        <v>58.870967741935488</v>
      </c>
      <c r="M79">
        <v>3</v>
      </c>
      <c r="P79">
        <v>72</v>
      </c>
      <c r="Q79">
        <v>72.623574144486696</v>
      </c>
      <c r="R79">
        <v>34.375</v>
      </c>
      <c r="S79">
        <v>20.606060606060606</v>
      </c>
      <c r="T79">
        <v>34.545454545454547</v>
      </c>
      <c r="U79">
        <v>58.870967741935488</v>
      </c>
    </row>
    <row r="80" spans="1:21" x14ac:dyDescent="0.2">
      <c r="A80">
        <v>79</v>
      </c>
      <c r="B80">
        <f>141/208*100</f>
        <v>67.788461538461547</v>
      </c>
      <c r="C80">
        <v>2</v>
      </c>
      <c r="D80">
        <f>(153-78)/153*100</f>
        <v>49.019607843137251</v>
      </c>
      <c r="E80">
        <v>1</v>
      </c>
      <c r="F80">
        <f>107/218*100</f>
        <v>49.082568807339449</v>
      </c>
      <c r="G80">
        <v>3</v>
      </c>
      <c r="H80">
        <f>(181-126)/181*100</f>
        <v>30.386740331491712</v>
      </c>
      <c r="I80">
        <v>3</v>
      </c>
      <c r="J80">
        <f>74/118*100</f>
        <v>62.711864406779661</v>
      </c>
      <c r="K80">
        <v>3</v>
      </c>
      <c r="L80">
        <f>(109-49)/109*100</f>
        <v>55.045871559633028</v>
      </c>
      <c r="M80">
        <v>3</v>
      </c>
      <c r="P80">
        <v>67.788461538461547</v>
      </c>
      <c r="Q80">
        <v>49.019607843137251</v>
      </c>
      <c r="R80">
        <v>49.082568807339449</v>
      </c>
      <c r="S80">
        <v>30.386740331491712</v>
      </c>
      <c r="T80">
        <v>62.711864406779661</v>
      </c>
      <c r="U80">
        <v>55.045871559633028</v>
      </c>
    </row>
    <row r="81" spans="1:21" x14ac:dyDescent="0.2">
      <c r="A81">
        <v>80</v>
      </c>
      <c r="B81">
        <f>76/142*100</f>
        <v>53.521126760563376</v>
      </c>
      <c r="C81">
        <v>2</v>
      </c>
      <c r="D81">
        <f>26/85*100</f>
        <v>30.588235294117649</v>
      </c>
      <c r="E81">
        <v>1</v>
      </c>
      <c r="F81">
        <f>(166-27)/166*100</f>
        <v>83.734939759036138</v>
      </c>
      <c r="G81">
        <v>3</v>
      </c>
      <c r="H81">
        <f>(108-44)/108*100</f>
        <v>59.259259259259252</v>
      </c>
      <c r="I81">
        <v>2</v>
      </c>
      <c r="J81">
        <f>72/120*100</f>
        <v>60</v>
      </c>
      <c r="K81">
        <v>2</v>
      </c>
      <c r="L81">
        <f>(79-50)/79*100</f>
        <v>36.708860759493675</v>
      </c>
      <c r="M81">
        <v>2</v>
      </c>
      <c r="P81">
        <v>53.521126760563376</v>
      </c>
      <c r="Q81">
        <v>30.588235294117649</v>
      </c>
      <c r="R81">
        <v>83.734939759036138</v>
      </c>
      <c r="S81">
        <v>59.259259259259252</v>
      </c>
      <c r="T81">
        <v>60</v>
      </c>
      <c r="U81">
        <v>36.708860759493675</v>
      </c>
    </row>
    <row r="82" spans="1:21" x14ac:dyDescent="0.2">
      <c r="A82">
        <v>81</v>
      </c>
      <c r="B82">
        <f>86/135*100</f>
        <v>63.703703703703709</v>
      </c>
      <c r="C82">
        <v>1</v>
      </c>
      <c r="D82">
        <f>79/170*100</f>
        <v>46.470588235294116</v>
      </c>
      <c r="E82">
        <v>1</v>
      </c>
      <c r="F82">
        <f>91/121*100</f>
        <v>75.206611570247944</v>
      </c>
      <c r="G82">
        <v>3</v>
      </c>
      <c r="H82">
        <f>(130-32)/130*100</f>
        <v>75.384615384615387</v>
      </c>
      <c r="I82">
        <v>2</v>
      </c>
      <c r="J82">
        <f>64/85*100</f>
        <v>75.294117647058826</v>
      </c>
      <c r="K82">
        <v>2</v>
      </c>
      <c r="L82">
        <f>(88-29)/89*100</f>
        <v>66.292134831460672</v>
      </c>
      <c r="M82">
        <v>2</v>
      </c>
      <c r="P82">
        <v>63.703703703703709</v>
      </c>
      <c r="Q82">
        <v>46.470588235294116</v>
      </c>
      <c r="R82">
        <v>75.206611570247944</v>
      </c>
      <c r="S82">
        <v>75.384615384615387</v>
      </c>
      <c r="T82">
        <v>75.294117647058826</v>
      </c>
      <c r="U82">
        <v>66.292134831460672</v>
      </c>
    </row>
    <row r="83" spans="1:21" x14ac:dyDescent="0.2">
      <c r="A83">
        <v>82</v>
      </c>
      <c r="B83">
        <f>63/79*100</f>
        <v>79.74683544303798</v>
      </c>
      <c r="C83">
        <v>1</v>
      </c>
      <c r="D83">
        <f>104/167*100</f>
        <v>62.275449101796411</v>
      </c>
      <c r="E83">
        <v>1</v>
      </c>
      <c r="F83">
        <f>81/149*100</f>
        <v>54.36241610738255</v>
      </c>
      <c r="G83">
        <v>3</v>
      </c>
      <c r="H83">
        <f>(73/100)*100</f>
        <v>73</v>
      </c>
      <c r="I83">
        <v>2</v>
      </c>
      <c r="J83">
        <f>32/59*100</f>
        <v>54.237288135593218</v>
      </c>
      <c r="K83">
        <v>2</v>
      </c>
      <c r="L83">
        <f>14/39*100</f>
        <v>35.897435897435898</v>
      </c>
      <c r="M83">
        <v>2</v>
      </c>
      <c r="P83">
        <v>79.74683544303798</v>
      </c>
      <c r="Q83">
        <v>62.275449101796411</v>
      </c>
      <c r="R83">
        <v>54.36241610738255</v>
      </c>
      <c r="S83">
        <v>73</v>
      </c>
      <c r="T83">
        <v>54.237288135593218</v>
      </c>
      <c r="U83">
        <v>35.897435897435898</v>
      </c>
    </row>
    <row r="84" spans="1:21" x14ac:dyDescent="0.2">
      <c r="A84">
        <v>83</v>
      </c>
      <c r="B84">
        <f>141/166*100</f>
        <v>84.939759036144579</v>
      </c>
      <c r="C84">
        <v>1</v>
      </c>
      <c r="D84">
        <f>55/70*100</f>
        <v>78.571428571428569</v>
      </c>
      <c r="E84">
        <v>1</v>
      </c>
      <c r="F84">
        <f>112/202*100</f>
        <v>55.445544554455452</v>
      </c>
      <c r="G84">
        <v>2</v>
      </c>
      <c r="H84">
        <f>(145-17)/145*100</f>
        <v>88.275862068965523</v>
      </c>
      <c r="I84">
        <v>2</v>
      </c>
      <c r="J84">
        <f>23/78*100</f>
        <v>29.487179487179489</v>
      </c>
      <c r="K84">
        <v>2</v>
      </c>
      <c r="L84">
        <f>(187-98)/187*100</f>
        <v>47.593582887700535</v>
      </c>
      <c r="M84">
        <v>2</v>
      </c>
      <c r="P84">
        <v>84.939759036144579</v>
      </c>
      <c r="Q84">
        <v>78.571428571428569</v>
      </c>
      <c r="R84">
        <v>55.445544554455452</v>
      </c>
      <c r="S84">
        <v>88.275862068965523</v>
      </c>
      <c r="T84">
        <v>29.487179487179489</v>
      </c>
      <c r="U84">
        <v>47.593582887700535</v>
      </c>
    </row>
    <row r="85" spans="1:21" x14ac:dyDescent="0.2">
      <c r="A85">
        <v>84</v>
      </c>
      <c r="B85">
        <f>97/114*100</f>
        <v>85.087719298245617</v>
      </c>
      <c r="C85">
        <v>3</v>
      </c>
      <c r="D85">
        <f>25/97*100</f>
        <v>25.773195876288657</v>
      </c>
      <c r="E85">
        <v>1</v>
      </c>
      <c r="F85">
        <f>123/184*100</f>
        <v>66.847826086956516</v>
      </c>
      <c r="G85">
        <v>2</v>
      </c>
      <c r="H85">
        <f>(88-42)/88*100</f>
        <v>52.272727272727273</v>
      </c>
      <c r="I85">
        <v>2</v>
      </c>
      <c r="J85">
        <f>(171-81)/171*100</f>
        <v>52.631578947368418</v>
      </c>
      <c r="K85">
        <v>2</v>
      </c>
      <c r="L85">
        <f>56/91*100</f>
        <v>61.53846153846154</v>
      </c>
      <c r="M85">
        <v>2</v>
      </c>
      <c r="P85">
        <v>85.087719298245617</v>
      </c>
      <c r="Q85">
        <v>25.773195876288657</v>
      </c>
      <c r="R85">
        <v>66.847826086956516</v>
      </c>
      <c r="S85">
        <v>52.272727272727273</v>
      </c>
      <c r="T85">
        <v>52.631578947368418</v>
      </c>
      <c r="U85">
        <v>61.53846153846154</v>
      </c>
    </row>
    <row r="86" spans="1:21" x14ac:dyDescent="0.2">
      <c r="A86">
        <v>85</v>
      </c>
      <c r="B86">
        <f>123/214*100</f>
        <v>57.476635514018696</v>
      </c>
      <c r="C86">
        <v>3</v>
      </c>
      <c r="D86">
        <f>78/223*100</f>
        <v>34.977578475336323</v>
      </c>
      <c r="E86">
        <v>3</v>
      </c>
      <c r="F86">
        <f>(253-83)/253*100</f>
        <v>67.193675889328063</v>
      </c>
      <c r="G86">
        <v>3</v>
      </c>
      <c r="H86">
        <f>31/57*100</f>
        <v>54.385964912280706</v>
      </c>
      <c r="I86">
        <v>3</v>
      </c>
      <c r="J86">
        <f>(152-56)/152*100</f>
        <v>63.157894736842103</v>
      </c>
      <c r="K86">
        <v>3</v>
      </c>
      <c r="L86">
        <f>81/140*100</f>
        <v>57.857142857142861</v>
      </c>
      <c r="M86">
        <v>3</v>
      </c>
      <c r="P86">
        <v>57.476635514018696</v>
      </c>
      <c r="Q86">
        <v>34.977578475336323</v>
      </c>
      <c r="R86">
        <v>67.193675889328063</v>
      </c>
      <c r="S86">
        <v>54.385964912280706</v>
      </c>
      <c r="T86">
        <v>63.157894736842103</v>
      </c>
      <c r="U86">
        <v>57.857142857142861</v>
      </c>
    </row>
    <row r="87" spans="1:21" x14ac:dyDescent="0.2">
      <c r="A87">
        <v>86</v>
      </c>
      <c r="B87">
        <f>85/228*100</f>
        <v>37.280701754385966</v>
      </c>
      <c r="C87">
        <v>1</v>
      </c>
      <c r="D87">
        <f>82/306*100</f>
        <v>26.797385620915033</v>
      </c>
      <c r="E87">
        <v>3</v>
      </c>
      <c r="F87">
        <f>168/213*100</f>
        <v>78.873239436619713</v>
      </c>
      <c r="G87">
        <v>3</v>
      </c>
      <c r="H87">
        <f>193/276*100</f>
        <v>69.927536231884062</v>
      </c>
      <c r="I87">
        <v>3</v>
      </c>
      <c r="J87">
        <f>123/191*100</f>
        <v>64.397905759162299</v>
      </c>
      <c r="K87">
        <v>3</v>
      </c>
      <c r="L87">
        <f>59/102*100</f>
        <v>57.843137254901968</v>
      </c>
      <c r="M87">
        <v>3</v>
      </c>
      <c r="P87">
        <v>37.280701754385966</v>
      </c>
      <c r="Q87">
        <v>26.797385620915033</v>
      </c>
      <c r="R87">
        <v>78.873239436619713</v>
      </c>
      <c r="S87">
        <v>69.927536231884062</v>
      </c>
      <c r="T87">
        <v>64.397905759162299</v>
      </c>
      <c r="U87">
        <v>57.843137254901968</v>
      </c>
    </row>
    <row r="88" spans="1:21" x14ac:dyDescent="0.2">
      <c r="A88">
        <v>87</v>
      </c>
      <c r="B88">
        <f>52/279*100</f>
        <v>18.637992831541219</v>
      </c>
      <c r="C88">
        <v>1</v>
      </c>
      <c r="D88">
        <f>43/261*100</f>
        <v>16.475095785440612</v>
      </c>
      <c r="E88">
        <v>3</v>
      </c>
      <c r="F88">
        <f>71/211*100</f>
        <v>33.649289099526065</v>
      </c>
      <c r="G88">
        <v>3</v>
      </c>
      <c r="H88">
        <f>43/113*100</f>
        <v>38.053097345132741</v>
      </c>
      <c r="I88">
        <v>3</v>
      </c>
      <c r="J88">
        <f>85/228*100</f>
        <v>37.280701754385966</v>
      </c>
      <c r="K88">
        <v>3</v>
      </c>
      <c r="L88">
        <f>111/246*100</f>
        <v>45.121951219512198</v>
      </c>
      <c r="M88">
        <v>3</v>
      </c>
      <c r="P88">
        <v>18.637992831541219</v>
      </c>
      <c r="Q88">
        <v>16.475095785440612</v>
      </c>
      <c r="R88">
        <v>33.649289099526065</v>
      </c>
      <c r="S88">
        <v>38.053097345132741</v>
      </c>
      <c r="T88">
        <v>37.280701754385966</v>
      </c>
      <c r="U88">
        <v>45.121951219512198</v>
      </c>
    </row>
    <row r="89" spans="1:21" x14ac:dyDescent="0.2">
      <c r="A89">
        <v>88</v>
      </c>
      <c r="B89">
        <f>75/323*100</f>
        <v>23.219814241486066</v>
      </c>
      <c r="C89">
        <v>1</v>
      </c>
      <c r="D89">
        <f>49/304*100</f>
        <v>16.118421052631579</v>
      </c>
      <c r="E89">
        <v>3</v>
      </c>
      <c r="F89">
        <f>15/135*100</f>
        <v>11.111111111111111</v>
      </c>
      <c r="G89">
        <v>3</v>
      </c>
      <c r="H89">
        <f>5/94*100</f>
        <v>5.3191489361702127</v>
      </c>
      <c r="I89">
        <v>3</v>
      </c>
      <c r="J89">
        <f>84/282*100</f>
        <v>29.787234042553191</v>
      </c>
      <c r="K89">
        <v>3</v>
      </c>
      <c r="L89">
        <f>65/172*100</f>
        <v>37.790697674418603</v>
      </c>
      <c r="M89">
        <v>3</v>
      </c>
      <c r="P89">
        <v>23.219814241486066</v>
      </c>
      <c r="Q89">
        <v>16.118421052631579</v>
      </c>
      <c r="R89">
        <v>11.111111111111111</v>
      </c>
      <c r="S89">
        <v>5.3191489361702127</v>
      </c>
      <c r="T89">
        <v>29.787234042553191</v>
      </c>
      <c r="U89">
        <v>37.790697674418603</v>
      </c>
    </row>
    <row r="90" spans="1:21" x14ac:dyDescent="0.2">
      <c r="A90">
        <v>89</v>
      </c>
      <c r="B90">
        <f>75/122*100</f>
        <v>61.475409836065573</v>
      </c>
      <c r="C90">
        <v>3</v>
      </c>
      <c r="D90">
        <f>9/403*100</f>
        <v>2.2332506203473943</v>
      </c>
      <c r="E90">
        <v>3</v>
      </c>
      <c r="F90">
        <f>3/89*100</f>
        <v>3.3707865168539324</v>
      </c>
      <c r="G90">
        <v>3</v>
      </c>
      <c r="H90">
        <f>34/179*100</f>
        <v>18.994413407821227</v>
      </c>
      <c r="I90">
        <v>3</v>
      </c>
      <c r="J90">
        <f>64/183*100</f>
        <v>34.972677595628419</v>
      </c>
      <c r="K90">
        <v>3</v>
      </c>
      <c r="L90">
        <f>105/198*100</f>
        <v>53.030303030303031</v>
      </c>
      <c r="M90">
        <v>3</v>
      </c>
      <c r="P90">
        <v>61.475409836065573</v>
      </c>
      <c r="Q90">
        <v>2.2332506203473943</v>
      </c>
      <c r="R90">
        <v>3.3707865168539324</v>
      </c>
      <c r="S90">
        <v>18.994413407821227</v>
      </c>
      <c r="T90">
        <v>34.972677595628419</v>
      </c>
      <c r="U90">
        <v>53.030303030303031</v>
      </c>
    </row>
    <row r="91" spans="1:21" x14ac:dyDescent="0.2">
      <c r="A91">
        <v>90</v>
      </c>
      <c r="B91">
        <f>49/198*100</f>
        <v>24.747474747474747</v>
      </c>
      <c r="C91">
        <v>1</v>
      </c>
      <c r="D91">
        <f>15/176*100</f>
        <v>8.5227272727272716</v>
      </c>
      <c r="E91">
        <v>3</v>
      </c>
      <c r="F91">
        <f>18/214*100</f>
        <v>8.4112149532710276</v>
      </c>
      <c r="G91">
        <v>3</v>
      </c>
      <c r="H91">
        <f>74/151*100</f>
        <v>49.006622516556291</v>
      </c>
      <c r="I91">
        <v>3</v>
      </c>
      <c r="J91">
        <f>80/129*100</f>
        <v>62.015503875968989</v>
      </c>
      <c r="K91">
        <v>3</v>
      </c>
      <c r="L91">
        <f>250/301*100</f>
        <v>83.056478405315616</v>
      </c>
      <c r="M91">
        <v>3</v>
      </c>
      <c r="P91">
        <v>24.747474747474747</v>
      </c>
      <c r="Q91">
        <v>8.5227272727272716</v>
      </c>
      <c r="R91">
        <v>8.4112149532710276</v>
      </c>
      <c r="S91">
        <v>49.006622516556291</v>
      </c>
      <c r="T91">
        <v>62.015503875968989</v>
      </c>
      <c r="U91">
        <v>83.056478405315616</v>
      </c>
    </row>
    <row r="92" spans="1:21" x14ac:dyDescent="0.2">
      <c r="A92">
        <v>91</v>
      </c>
      <c r="B92">
        <f>48/193*100</f>
        <v>24.870466321243523</v>
      </c>
      <c r="C92">
        <v>3</v>
      </c>
      <c r="D92">
        <f>46/126*100</f>
        <v>36.507936507936506</v>
      </c>
      <c r="E92">
        <v>3</v>
      </c>
      <c r="F92">
        <f>43/131*100</f>
        <v>32.824427480916029</v>
      </c>
      <c r="G92">
        <v>3</v>
      </c>
      <c r="H92">
        <f>86/134*100</f>
        <v>64.179104477611943</v>
      </c>
      <c r="I92">
        <v>3</v>
      </c>
      <c r="J92">
        <f>89/107*100</f>
        <v>83.177570093457945</v>
      </c>
      <c r="K92">
        <v>3</v>
      </c>
      <c r="L92">
        <f>79/106*100</f>
        <v>74.528301886792448</v>
      </c>
      <c r="M92">
        <v>3</v>
      </c>
      <c r="P92">
        <v>24.870466321243523</v>
      </c>
      <c r="Q92">
        <v>36.507936507936506</v>
      </c>
      <c r="R92">
        <v>32.824427480916029</v>
      </c>
      <c r="S92">
        <v>64.179104477611943</v>
      </c>
      <c r="T92">
        <v>83.177570093457945</v>
      </c>
      <c r="U92">
        <v>74.528301886792448</v>
      </c>
    </row>
    <row r="93" spans="1:21" x14ac:dyDescent="0.2">
      <c r="A93">
        <v>92</v>
      </c>
      <c r="B93">
        <f>31/67*100</f>
        <v>46.268656716417908</v>
      </c>
      <c r="C93">
        <v>3</v>
      </c>
      <c r="D93">
        <f>30/180*100</f>
        <v>16.666666666666664</v>
      </c>
      <c r="E93">
        <v>3</v>
      </c>
      <c r="F93">
        <f>53/139*100</f>
        <v>38.129496402877699</v>
      </c>
      <c r="G93">
        <v>3</v>
      </c>
      <c r="H93">
        <f>3/37*100</f>
        <v>8.1081081081081088</v>
      </c>
      <c r="I93">
        <v>3</v>
      </c>
      <c r="J93">
        <f>61/103*100</f>
        <v>59.22330097087378</v>
      </c>
      <c r="K93">
        <v>3</v>
      </c>
      <c r="L93">
        <f>35/76*100</f>
        <v>46.05263157894737</v>
      </c>
      <c r="M93">
        <v>3</v>
      </c>
      <c r="P93">
        <v>46.268656716417908</v>
      </c>
      <c r="Q93">
        <v>16.666666666666664</v>
      </c>
      <c r="R93">
        <v>38.129496402877699</v>
      </c>
      <c r="S93">
        <v>8.1081081081081088</v>
      </c>
      <c r="T93">
        <v>59.22330097087378</v>
      </c>
      <c r="U93">
        <v>46.05263157894737</v>
      </c>
    </row>
    <row r="94" spans="1:21" x14ac:dyDescent="0.2">
      <c r="A94">
        <v>93</v>
      </c>
      <c r="B94">
        <f>87/220*100</f>
        <v>39.545454545454547</v>
      </c>
      <c r="C94">
        <v>3</v>
      </c>
      <c r="D94">
        <f>45/361*100</f>
        <v>12.465373961218837</v>
      </c>
      <c r="E94">
        <v>3</v>
      </c>
      <c r="F94">
        <f>37/204*100</f>
        <v>18.137254901960784</v>
      </c>
      <c r="G94">
        <v>3</v>
      </c>
      <c r="H94">
        <f>76/125*100</f>
        <v>60.8</v>
      </c>
      <c r="I94">
        <v>3</v>
      </c>
      <c r="J94">
        <f>61/144*100</f>
        <v>42.361111111111107</v>
      </c>
      <c r="K94">
        <v>3</v>
      </c>
      <c r="L94">
        <f>71/191*100</f>
        <v>37.172774869109951</v>
      </c>
      <c r="M94">
        <v>3</v>
      </c>
      <c r="P94">
        <v>39.545454545454547</v>
      </c>
      <c r="Q94">
        <v>12.465373961218837</v>
      </c>
      <c r="R94">
        <v>18.137254901960784</v>
      </c>
      <c r="S94">
        <v>60.8</v>
      </c>
      <c r="T94">
        <v>42.361111111111107</v>
      </c>
      <c r="U94">
        <v>37.172774869109951</v>
      </c>
    </row>
    <row r="95" spans="1:21" x14ac:dyDescent="0.2">
      <c r="A95">
        <v>94</v>
      </c>
      <c r="B95">
        <f>67/149*100</f>
        <v>44.966442953020135</v>
      </c>
      <c r="C95">
        <v>3</v>
      </c>
      <c r="D95">
        <f>56/248*100</f>
        <v>22.58064516129032</v>
      </c>
      <c r="E95">
        <v>3</v>
      </c>
      <c r="F95">
        <f>151/261*100</f>
        <v>57.854406130268202</v>
      </c>
      <c r="G95">
        <v>3</v>
      </c>
      <c r="H95">
        <f>43/184*100</f>
        <v>23.369565217391305</v>
      </c>
      <c r="I95">
        <v>3</v>
      </c>
      <c r="J95">
        <f>86/168*100</f>
        <v>51.19047619047619</v>
      </c>
      <c r="K95">
        <v>3</v>
      </c>
      <c r="L95">
        <f>55/111*100</f>
        <v>49.549549549549546</v>
      </c>
      <c r="M95">
        <v>3</v>
      </c>
      <c r="P95">
        <v>44.966442953020135</v>
      </c>
      <c r="Q95">
        <v>22.58064516129032</v>
      </c>
      <c r="R95">
        <v>57.854406130268202</v>
      </c>
      <c r="S95">
        <v>23.369565217391305</v>
      </c>
      <c r="T95">
        <v>51.19047619047619</v>
      </c>
      <c r="U95">
        <v>49.549549549549546</v>
      </c>
    </row>
    <row r="96" spans="1:21" x14ac:dyDescent="0.2">
      <c r="A96">
        <v>95</v>
      </c>
      <c r="B96">
        <f>17/54*100</f>
        <v>31.481481481481481</v>
      </c>
      <c r="C96">
        <v>3</v>
      </c>
      <c r="D96">
        <f>42/276*100</f>
        <v>15.217391304347828</v>
      </c>
      <c r="E96">
        <v>3</v>
      </c>
      <c r="F96">
        <f>12/109*100</f>
        <v>11.009174311926607</v>
      </c>
      <c r="G96">
        <v>3</v>
      </c>
      <c r="H96">
        <f>110/193*100</f>
        <v>56.994818652849744</v>
      </c>
      <c r="I96">
        <v>3</v>
      </c>
      <c r="J96">
        <f>121/230*100</f>
        <v>52.608695652173907</v>
      </c>
      <c r="K96">
        <v>3</v>
      </c>
      <c r="L96">
        <f>123/217*100</f>
        <v>56.682027649769587</v>
      </c>
      <c r="M96">
        <v>3</v>
      </c>
      <c r="P96">
        <v>31.481481481481481</v>
      </c>
      <c r="Q96">
        <v>15.217391304347828</v>
      </c>
      <c r="R96">
        <v>11.009174311926607</v>
      </c>
      <c r="S96">
        <v>56.994818652849744</v>
      </c>
      <c r="T96">
        <v>52.608695652173907</v>
      </c>
      <c r="U96">
        <v>56.682027649769587</v>
      </c>
    </row>
    <row r="97" spans="1:21" x14ac:dyDescent="0.2">
      <c r="A97">
        <v>96</v>
      </c>
      <c r="B97">
        <f>23/204*100</f>
        <v>11.274509803921569</v>
      </c>
      <c r="C97">
        <v>3</v>
      </c>
      <c r="D97">
        <f>51/239*100</f>
        <v>21.338912133891213</v>
      </c>
      <c r="E97">
        <v>3</v>
      </c>
      <c r="F97">
        <f>29/273*100</f>
        <v>10.622710622710622</v>
      </c>
      <c r="G97">
        <v>3</v>
      </c>
      <c r="H97">
        <f>39/181*100</f>
        <v>21.546961325966851</v>
      </c>
      <c r="I97">
        <v>3</v>
      </c>
      <c r="J97">
        <f>164/204*100</f>
        <v>80.392156862745097</v>
      </c>
      <c r="K97">
        <v>3</v>
      </c>
      <c r="L97">
        <f>87/123*100</f>
        <v>70.731707317073173</v>
      </c>
      <c r="M97">
        <v>3</v>
      </c>
      <c r="P97">
        <v>11.274509803921569</v>
      </c>
      <c r="Q97">
        <v>21.338912133891213</v>
      </c>
      <c r="R97">
        <v>10.622710622710622</v>
      </c>
      <c r="S97">
        <v>21.546961325966851</v>
      </c>
      <c r="T97">
        <v>80.392156862745097</v>
      </c>
      <c r="U97">
        <v>70.731707317073173</v>
      </c>
    </row>
    <row r="98" spans="1:21" x14ac:dyDescent="0.2">
      <c r="A98">
        <v>97</v>
      </c>
      <c r="B98">
        <f>96/165*100</f>
        <v>58.18181818181818</v>
      </c>
      <c r="C98">
        <v>3</v>
      </c>
      <c r="D98">
        <f>94/247*100</f>
        <v>38.056680161943319</v>
      </c>
      <c r="E98">
        <v>3</v>
      </c>
      <c r="F98">
        <f>57/207*100</f>
        <v>27.536231884057973</v>
      </c>
      <c r="G98">
        <v>3</v>
      </c>
      <c r="H98">
        <f>72/156*100</f>
        <v>46.153846153846153</v>
      </c>
      <c r="I98">
        <v>3</v>
      </c>
      <c r="J98">
        <f>125/153*100</f>
        <v>81.699346405228752</v>
      </c>
      <c r="K98">
        <v>3</v>
      </c>
      <c r="L98">
        <f>52/96*100</f>
        <v>54.166666666666664</v>
      </c>
      <c r="M98">
        <v>3</v>
      </c>
      <c r="P98">
        <v>58.18181818181818</v>
      </c>
      <c r="Q98">
        <v>38.056680161943319</v>
      </c>
      <c r="R98">
        <v>27.536231884057973</v>
      </c>
      <c r="S98">
        <v>46.153846153846153</v>
      </c>
      <c r="T98">
        <v>81.699346405228752</v>
      </c>
      <c r="U98">
        <v>54.166666666666664</v>
      </c>
    </row>
    <row r="99" spans="1:21" x14ac:dyDescent="0.2">
      <c r="A99">
        <v>98</v>
      </c>
      <c r="B99">
        <f>55/199*100</f>
        <v>27.638190954773869</v>
      </c>
      <c r="C99">
        <v>3</v>
      </c>
      <c r="D99">
        <f>2/256*100</f>
        <v>0.78125</v>
      </c>
      <c r="E99">
        <v>3</v>
      </c>
      <c r="F99">
        <f>1/21*100</f>
        <v>4.7619047619047619</v>
      </c>
      <c r="G99">
        <v>3</v>
      </c>
      <c r="H99">
        <f>95/217*100</f>
        <v>43.778801843317972</v>
      </c>
      <c r="I99">
        <v>3</v>
      </c>
      <c r="J99">
        <f>142/220*100</f>
        <v>64.545454545454547</v>
      </c>
      <c r="K99">
        <v>3</v>
      </c>
      <c r="L99">
        <f>172/241*100</f>
        <v>71.369294605809131</v>
      </c>
      <c r="M99">
        <v>3</v>
      </c>
      <c r="P99">
        <v>27.638190954773869</v>
      </c>
      <c r="Q99">
        <v>0.78125</v>
      </c>
      <c r="R99">
        <v>4.7619047619047619</v>
      </c>
      <c r="S99">
        <v>43.778801843317972</v>
      </c>
      <c r="T99">
        <v>64.545454545454547</v>
      </c>
      <c r="U99">
        <v>71.369294605809131</v>
      </c>
    </row>
    <row r="100" spans="1:21" x14ac:dyDescent="0.2">
      <c r="A100">
        <v>99</v>
      </c>
      <c r="B100">
        <f>45/189*100</f>
        <v>23.809523809523807</v>
      </c>
      <c r="C100">
        <v>3</v>
      </c>
      <c r="D100">
        <f>176/239*100</f>
        <v>73.640167364016733</v>
      </c>
      <c r="E100">
        <v>3</v>
      </c>
      <c r="F100">
        <f>13/28*100</f>
        <v>46.428571428571431</v>
      </c>
      <c r="G100">
        <v>3</v>
      </c>
      <c r="H100">
        <f>27/130*100</f>
        <v>20.76923076923077</v>
      </c>
      <c r="I100">
        <v>3</v>
      </c>
      <c r="J100">
        <f>60/110*100</f>
        <v>54.54545454545454</v>
      </c>
      <c r="K100">
        <v>3</v>
      </c>
      <c r="L100">
        <f>270/326*100</f>
        <v>82.822085889570545</v>
      </c>
      <c r="M100">
        <v>3</v>
      </c>
      <c r="P100">
        <v>23.809523809523807</v>
      </c>
      <c r="Q100">
        <v>73.640167364016733</v>
      </c>
      <c r="R100">
        <v>46.428571428571431</v>
      </c>
      <c r="S100">
        <v>20.76923076923077</v>
      </c>
      <c r="T100">
        <v>54.54545454545454</v>
      </c>
      <c r="U100">
        <v>82.822085889570545</v>
      </c>
    </row>
    <row r="101" spans="1:21" x14ac:dyDescent="0.2">
      <c r="A101">
        <v>100</v>
      </c>
      <c r="B101">
        <f>52/248*100</f>
        <v>20.967741935483872</v>
      </c>
      <c r="C101">
        <v>3</v>
      </c>
      <c r="D101">
        <f>2/271*100</f>
        <v>0.73800738007380073</v>
      </c>
      <c r="E101">
        <v>3</v>
      </c>
      <c r="F101">
        <f>34/57*100</f>
        <v>59.649122807017541</v>
      </c>
      <c r="G101">
        <v>3</v>
      </c>
      <c r="H101">
        <f>2/141*100</f>
        <v>1.4184397163120568</v>
      </c>
      <c r="I101">
        <v>3</v>
      </c>
      <c r="J101">
        <f>82/130*100</f>
        <v>63.076923076923073</v>
      </c>
      <c r="K101">
        <v>3</v>
      </c>
      <c r="L101">
        <f>57/117*100</f>
        <v>48.717948717948715</v>
      </c>
      <c r="M101">
        <v>3</v>
      </c>
      <c r="P101">
        <v>20.967741935483872</v>
      </c>
      <c r="Q101">
        <v>0.73800738007380073</v>
      </c>
      <c r="R101">
        <v>59.649122807017541</v>
      </c>
      <c r="S101">
        <v>1.4184397163120568</v>
      </c>
      <c r="T101">
        <v>63.076923076923073</v>
      </c>
      <c r="U101">
        <v>48.717948717948715</v>
      </c>
    </row>
    <row r="102" spans="1:21" x14ac:dyDescent="0.2">
      <c r="A102">
        <v>101</v>
      </c>
      <c r="B102">
        <f>122/161*100</f>
        <v>75.776397515527947</v>
      </c>
      <c r="C102">
        <v>3</v>
      </c>
      <c r="D102">
        <f>98/117*100</f>
        <v>83.760683760683762</v>
      </c>
      <c r="E102">
        <v>3</v>
      </c>
      <c r="F102">
        <f>64/107*100</f>
        <v>59.813084112149525</v>
      </c>
      <c r="G102">
        <v>3</v>
      </c>
      <c r="H102">
        <f>58/116*100</f>
        <v>50</v>
      </c>
      <c r="I102">
        <v>3</v>
      </c>
      <c r="J102">
        <f>63/110*100</f>
        <v>57.272727272727273</v>
      </c>
      <c r="K102">
        <v>3</v>
      </c>
      <c r="L102">
        <f>57/123*100</f>
        <v>46.341463414634148</v>
      </c>
      <c r="M102">
        <v>3</v>
      </c>
      <c r="P102">
        <v>75.776397515527947</v>
      </c>
      <c r="Q102">
        <v>83.760683760683762</v>
      </c>
      <c r="R102">
        <v>59.813084112149525</v>
      </c>
      <c r="S102">
        <v>50</v>
      </c>
      <c r="T102">
        <v>57.272727272727273</v>
      </c>
      <c r="U102">
        <v>46.341463414634148</v>
      </c>
    </row>
    <row r="103" spans="1:21" x14ac:dyDescent="0.2">
      <c r="A103">
        <v>102</v>
      </c>
      <c r="B103">
        <f>65/85*100</f>
        <v>76.470588235294116</v>
      </c>
      <c r="C103">
        <v>3</v>
      </c>
      <c r="D103">
        <f>32/311*100</f>
        <v>10.289389067524116</v>
      </c>
      <c r="E103">
        <v>3</v>
      </c>
      <c r="F103">
        <f>36/57*100</f>
        <v>63.157894736842103</v>
      </c>
      <c r="G103">
        <v>3</v>
      </c>
      <c r="H103">
        <f>116/142*100</f>
        <v>81.690140845070431</v>
      </c>
      <c r="I103">
        <v>3</v>
      </c>
      <c r="J103">
        <f>51/108*100</f>
        <v>47.222222222222221</v>
      </c>
      <c r="K103">
        <v>3</v>
      </c>
      <c r="L103">
        <f>123/231*100</f>
        <v>53.246753246753244</v>
      </c>
      <c r="M103">
        <v>3</v>
      </c>
      <c r="P103">
        <v>76.470588235294116</v>
      </c>
      <c r="Q103">
        <v>10.289389067524116</v>
      </c>
      <c r="R103">
        <v>63.157894736842103</v>
      </c>
      <c r="S103">
        <v>81.690140845070431</v>
      </c>
      <c r="T103">
        <v>47.222222222222221</v>
      </c>
      <c r="U103">
        <v>53.246753246753244</v>
      </c>
    </row>
    <row r="104" spans="1:21" x14ac:dyDescent="0.2">
      <c r="A104">
        <v>103</v>
      </c>
      <c r="B104">
        <f>41/210*100</f>
        <v>19.523809523809526</v>
      </c>
      <c r="C104">
        <v>3</v>
      </c>
      <c r="D104">
        <f>35/171*100</f>
        <v>20.467836257309941</v>
      </c>
      <c r="E104">
        <v>3</v>
      </c>
      <c r="F104">
        <f>37/80*100</f>
        <v>46.25</v>
      </c>
      <c r="G104">
        <v>3</v>
      </c>
      <c r="H104">
        <f>55/148*100</f>
        <v>37.162162162162161</v>
      </c>
      <c r="I104">
        <v>3</v>
      </c>
      <c r="J104">
        <f>137/154*100</f>
        <v>88.961038961038966</v>
      </c>
      <c r="K104">
        <v>3</v>
      </c>
      <c r="L104">
        <f>109/162*100</f>
        <v>67.283950617283949</v>
      </c>
      <c r="M104">
        <v>3</v>
      </c>
      <c r="P104">
        <v>19.523809523809526</v>
      </c>
      <c r="Q104">
        <v>20.467836257309941</v>
      </c>
      <c r="R104">
        <v>46.25</v>
      </c>
      <c r="S104">
        <v>37.162162162162161</v>
      </c>
      <c r="T104">
        <v>88.961038961038966</v>
      </c>
      <c r="U104">
        <v>67.283950617283949</v>
      </c>
    </row>
    <row r="105" spans="1:21" x14ac:dyDescent="0.2">
      <c r="A105">
        <v>104</v>
      </c>
      <c r="B105">
        <f>46/122*100</f>
        <v>37.704918032786885</v>
      </c>
      <c r="C105">
        <v>3</v>
      </c>
      <c r="D105">
        <f>151/273*100</f>
        <v>55.311355311355314</v>
      </c>
      <c r="E105">
        <v>3</v>
      </c>
      <c r="F105">
        <f>74/119*100</f>
        <v>62.184873949579831</v>
      </c>
      <c r="G105">
        <v>3</v>
      </c>
      <c r="H105">
        <f>33/224*100</f>
        <v>14.732142857142858</v>
      </c>
      <c r="I105">
        <v>3</v>
      </c>
      <c r="J105">
        <f>76/126*100</f>
        <v>60.317460317460316</v>
      </c>
      <c r="K105">
        <v>3</v>
      </c>
      <c r="L105">
        <f>95/149*100</f>
        <v>63.758389261744966</v>
      </c>
      <c r="M105">
        <v>3</v>
      </c>
      <c r="P105">
        <v>37.704918032786885</v>
      </c>
      <c r="Q105">
        <v>55.311355311355314</v>
      </c>
      <c r="R105">
        <v>62.184873949579831</v>
      </c>
      <c r="S105">
        <v>14.732142857142858</v>
      </c>
      <c r="T105">
        <v>60.317460317460316</v>
      </c>
      <c r="U105">
        <v>63.758389261744966</v>
      </c>
    </row>
    <row r="106" spans="1:21" x14ac:dyDescent="0.2">
      <c r="A106">
        <v>105</v>
      </c>
      <c r="B106">
        <f>31/122*100</f>
        <v>25.409836065573771</v>
      </c>
      <c r="C106">
        <v>3</v>
      </c>
      <c r="D106">
        <f>25/230*100</f>
        <v>10.869565217391305</v>
      </c>
      <c r="E106">
        <v>3</v>
      </c>
      <c r="F106">
        <f>23/39*100</f>
        <v>58.974358974358978</v>
      </c>
      <c r="G106">
        <v>3</v>
      </c>
      <c r="H106">
        <f>36/140*100</f>
        <v>25.714285714285712</v>
      </c>
      <c r="I106">
        <v>3</v>
      </c>
      <c r="J106">
        <f>79/147*100</f>
        <v>53.741496598639458</v>
      </c>
      <c r="K106">
        <v>3</v>
      </c>
      <c r="L106">
        <f>89/161*100</f>
        <v>55.279503105590067</v>
      </c>
      <c r="M106">
        <v>3</v>
      </c>
      <c r="P106">
        <v>25.409836065573771</v>
      </c>
      <c r="Q106">
        <v>10.869565217391305</v>
      </c>
      <c r="R106">
        <v>58.974358974358978</v>
      </c>
      <c r="S106">
        <v>25.714285714285712</v>
      </c>
      <c r="T106">
        <v>53.741496598639458</v>
      </c>
      <c r="U106">
        <v>55.279503105590067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275B-088A-6040-BEEA-819271843456}">
  <dimension ref="A1:W8"/>
  <sheetViews>
    <sheetView workbookViewId="0">
      <selection activeCell="A3" sqref="A3"/>
    </sheetView>
  </sheetViews>
  <sheetFormatPr baseColWidth="10" defaultRowHeight="15" x14ac:dyDescent="0.2"/>
  <cols>
    <col min="1" max="1" width="71" bestFit="1" customWidth="1"/>
  </cols>
  <sheetData>
    <row r="1" spans="1:23" x14ac:dyDescent="0.2">
      <c r="A1" t="s">
        <v>270</v>
      </c>
    </row>
    <row r="2" spans="1:23" x14ac:dyDescent="0.2">
      <c r="A2" s="29" t="s">
        <v>271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  <c r="I2" s="30">
        <v>8</v>
      </c>
      <c r="J2" s="30">
        <v>9</v>
      </c>
      <c r="K2" s="30">
        <v>10</v>
      </c>
      <c r="L2" s="30">
        <v>11</v>
      </c>
      <c r="M2" s="30">
        <v>12</v>
      </c>
      <c r="N2" s="30">
        <v>13</v>
      </c>
      <c r="O2" s="30">
        <v>14</v>
      </c>
      <c r="P2" s="30">
        <v>15</v>
      </c>
      <c r="Q2" s="30">
        <v>16</v>
      </c>
      <c r="R2" s="30">
        <v>17</v>
      </c>
      <c r="S2" s="30">
        <v>18</v>
      </c>
      <c r="T2" s="30">
        <v>19</v>
      </c>
      <c r="U2" s="30">
        <v>20</v>
      </c>
      <c r="V2" s="30">
        <v>21</v>
      </c>
      <c r="W2" s="30">
        <v>22</v>
      </c>
    </row>
    <row r="3" spans="1:23" x14ac:dyDescent="0.2">
      <c r="A3" s="31" t="s">
        <v>264</v>
      </c>
      <c r="B3" s="32">
        <v>114</v>
      </c>
      <c r="C3" s="32">
        <v>152.38</v>
      </c>
      <c r="D3" s="32">
        <v>0</v>
      </c>
      <c r="E3" s="32">
        <v>0</v>
      </c>
      <c r="F3" s="32">
        <v>0</v>
      </c>
      <c r="G3" s="32">
        <v>0</v>
      </c>
      <c r="H3" s="32">
        <v>143.41</v>
      </c>
      <c r="I3" s="32">
        <v>192.02</v>
      </c>
      <c r="J3" s="33">
        <v>147.6</v>
      </c>
      <c r="K3" s="32">
        <v>143.19999999999999</v>
      </c>
      <c r="L3" s="32">
        <v>0</v>
      </c>
      <c r="M3" s="32">
        <v>0</v>
      </c>
      <c r="N3" s="32">
        <v>75.5</v>
      </c>
      <c r="O3" s="32">
        <v>0</v>
      </c>
      <c r="P3" s="32">
        <v>0</v>
      </c>
      <c r="Q3" s="32">
        <v>0</v>
      </c>
      <c r="R3" s="32">
        <v>0</v>
      </c>
      <c r="S3" s="32">
        <v>0</v>
      </c>
      <c r="T3" s="32">
        <v>0</v>
      </c>
      <c r="U3" s="32">
        <v>0</v>
      </c>
      <c r="V3" s="32">
        <v>0</v>
      </c>
      <c r="W3" s="32">
        <v>0</v>
      </c>
    </row>
    <row r="4" spans="1:23" x14ac:dyDescent="0.2">
      <c r="A4" s="31" t="s">
        <v>265</v>
      </c>
      <c r="B4" s="32">
        <v>146</v>
      </c>
      <c r="C4" s="32">
        <v>0</v>
      </c>
      <c r="D4" s="32">
        <v>0</v>
      </c>
      <c r="E4" s="32">
        <v>0</v>
      </c>
      <c r="F4" s="32">
        <v>0</v>
      </c>
      <c r="G4" s="32">
        <v>0</v>
      </c>
      <c r="H4" s="32">
        <v>0</v>
      </c>
      <c r="I4" s="32">
        <v>147</v>
      </c>
      <c r="J4" s="30">
        <v>0</v>
      </c>
      <c r="K4" s="32">
        <v>0</v>
      </c>
      <c r="L4" s="32">
        <v>155</v>
      </c>
      <c r="M4" s="32">
        <v>0</v>
      </c>
      <c r="N4" s="32">
        <v>0</v>
      </c>
      <c r="O4" s="32">
        <v>0</v>
      </c>
      <c r="P4" s="32">
        <v>151</v>
      </c>
      <c r="Q4" s="32">
        <v>139</v>
      </c>
      <c r="R4" s="32">
        <v>121</v>
      </c>
      <c r="S4" s="32">
        <v>0</v>
      </c>
      <c r="T4" s="32">
        <v>0</v>
      </c>
      <c r="U4" s="32">
        <v>152</v>
      </c>
      <c r="V4" s="32">
        <v>148</v>
      </c>
      <c r="W4" s="32">
        <v>155</v>
      </c>
    </row>
    <row r="5" spans="1:23" x14ac:dyDescent="0.2">
      <c r="A5" s="31" t="s">
        <v>266</v>
      </c>
      <c r="B5" s="32">
        <v>0</v>
      </c>
      <c r="C5" s="32">
        <v>0</v>
      </c>
      <c r="D5" s="32">
        <v>0</v>
      </c>
      <c r="E5" s="32">
        <v>0</v>
      </c>
      <c r="F5" s="32">
        <v>56.85</v>
      </c>
      <c r="G5" s="32">
        <v>0</v>
      </c>
      <c r="H5" s="32">
        <v>30</v>
      </c>
      <c r="I5" s="32">
        <v>104</v>
      </c>
      <c r="J5" s="32">
        <v>99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1.98</v>
      </c>
      <c r="S5" s="32">
        <v>7.82</v>
      </c>
      <c r="T5" s="32">
        <v>0</v>
      </c>
      <c r="U5" s="32">
        <v>0</v>
      </c>
      <c r="V5" s="32">
        <v>155.32</v>
      </c>
      <c r="W5" s="32">
        <v>137.81</v>
      </c>
    </row>
    <row r="6" spans="1:23" x14ac:dyDescent="0.2">
      <c r="A6" s="31" t="s">
        <v>267</v>
      </c>
      <c r="B6" s="32">
        <v>63.69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155</v>
      </c>
      <c r="K6" s="32">
        <v>0</v>
      </c>
      <c r="L6" s="32">
        <v>39.950000000000003</v>
      </c>
      <c r="M6" s="32">
        <v>0</v>
      </c>
      <c r="N6" s="32">
        <v>0</v>
      </c>
      <c r="O6" s="32">
        <v>0</v>
      </c>
      <c r="P6" s="32">
        <v>0</v>
      </c>
      <c r="Q6" s="32">
        <v>142.31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</row>
    <row r="7" spans="1:23" x14ac:dyDescent="0.2">
      <c r="A7" s="31" t="s">
        <v>268</v>
      </c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159.137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  <c r="U7" s="32">
        <v>0</v>
      </c>
      <c r="V7" s="32">
        <v>0</v>
      </c>
      <c r="W7" s="32">
        <v>0</v>
      </c>
    </row>
    <row r="8" spans="1:23" x14ac:dyDescent="0.2">
      <c r="A8" s="31" t="s">
        <v>269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3DB2-FFEB-43AD-B33C-A6FCE37E47E0}">
  <dimension ref="A1:H112"/>
  <sheetViews>
    <sheetView topLeftCell="A12" workbookViewId="0">
      <selection activeCell="G3" sqref="G3:H28"/>
    </sheetView>
  </sheetViews>
  <sheetFormatPr baseColWidth="10" defaultColWidth="8.83203125" defaultRowHeight="16" x14ac:dyDescent="0.2"/>
  <cols>
    <col min="2" max="2" width="20.1640625" style="16" customWidth="1"/>
    <col min="3" max="3" width="16.5" style="4" customWidth="1"/>
    <col min="7" max="7" width="23.33203125" customWidth="1"/>
    <col min="8" max="8" width="31.5" customWidth="1"/>
  </cols>
  <sheetData>
    <row r="1" spans="1:8" ht="24" x14ac:dyDescent="0.3">
      <c r="A1" s="1" t="s">
        <v>8</v>
      </c>
      <c r="B1" s="16" t="s">
        <v>49</v>
      </c>
      <c r="G1" t="s">
        <v>172</v>
      </c>
    </row>
    <row r="2" spans="1:8" ht="15" x14ac:dyDescent="0.2">
      <c r="A2" s="8"/>
      <c r="B2" s="12" t="s">
        <v>14</v>
      </c>
      <c r="C2" s="12" t="s">
        <v>15</v>
      </c>
    </row>
    <row r="3" spans="1:8" ht="15" x14ac:dyDescent="0.2">
      <c r="B3" s="13">
        <v>44.252873559999998</v>
      </c>
      <c r="C3" s="13">
        <v>0.66666666669999997</v>
      </c>
      <c r="G3" s="15" t="s">
        <v>30</v>
      </c>
      <c r="H3" s="13" t="s">
        <v>50</v>
      </c>
    </row>
    <row r="4" spans="1:8" ht="15" x14ac:dyDescent="0.2">
      <c r="B4" s="13">
        <v>49.650349650000003</v>
      </c>
      <c r="C4" s="13">
        <v>0.78823522509999999</v>
      </c>
      <c r="G4" s="15"/>
      <c r="H4" s="13"/>
    </row>
    <row r="5" spans="1:8" ht="15" x14ac:dyDescent="0.2">
      <c r="B5" s="13">
        <v>35.135135140000003</v>
      </c>
      <c r="C5" s="13">
        <v>0</v>
      </c>
      <c r="G5" s="15" t="s">
        <v>32</v>
      </c>
      <c r="H5" s="13" t="s">
        <v>15</v>
      </c>
    </row>
    <row r="6" spans="1:8" ht="15" x14ac:dyDescent="0.2">
      <c r="B6" s="13">
        <v>37.435897439999998</v>
      </c>
      <c r="C6" s="13">
        <v>0</v>
      </c>
      <c r="G6" s="15" t="s">
        <v>33</v>
      </c>
      <c r="H6" s="13" t="s">
        <v>33</v>
      </c>
    </row>
    <row r="7" spans="1:8" ht="15" x14ac:dyDescent="0.2">
      <c r="B7" s="13">
        <v>54.609929080000001</v>
      </c>
      <c r="C7" s="13">
        <v>0</v>
      </c>
      <c r="G7" s="15" t="s">
        <v>34</v>
      </c>
      <c r="H7" s="13" t="s">
        <v>14</v>
      </c>
    </row>
    <row r="8" spans="1:8" ht="15" x14ac:dyDescent="0.2">
      <c r="B8" s="13">
        <v>24.468085110000001</v>
      </c>
      <c r="C8" s="13">
        <v>0</v>
      </c>
      <c r="G8" s="15"/>
      <c r="H8" s="13"/>
    </row>
    <row r="9" spans="1:8" ht="15" x14ac:dyDescent="0.2">
      <c r="B9" s="13">
        <v>45.864661650000002</v>
      </c>
      <c r="C9" s="13">
        <v>0</v>
      </c>
      <c r="G9" s="15" t="s">
        <v>145</v>
      </c>
      <c r="H9" s="13"/>
    </row>
    <row r="10" spans="1:8" ht="15" x14ac:dyDescent="0.2">
      <c r="B10" s="13">
        <v>26.92307692</v>
      </c>
      <c r="C10" s="13">
        <v>0.71744568099999995</v>
      </c>
      <c r="G10" s="15" t="s">
        <v>35</v>
      </c>
      <c r="H10" s="13" t="s">
        <v>36</v>
      </c>
    </row>
    <row r="11" spans="1:8" ht="15" x14ac:dyDescent="0.2">
      <c r="B11" s="13">
        <v>38.775510199999999</v>
      </c>
      <c r="C11" s="13">
        <v>0</v>
      </c>
      <c r="G11" s="15" t="s">
        <v>37</v>
      </c>
      <c r="H11" s="13" t="s">
        <v>38</v>
      </c>
    </row>
    <row r="12" spans="1:8" ht="15" x14ac:dyDescent="0.2">
      <c r="B12" s="13">
        <v>30.519480519999998</v>
      </c>
      <c r="C12" s="13">
        <v>2.4758498146600001</v>
      </c>
      <c r="G12" s="15" t="s">
        <v>39</v>
      </c>
      <c r="H12" s="13" t="s">
        <v>40</v>
      </c>
    </row>
    <row r="13" spans="1:8" ht="15" x14ac:dyDescent="0.2">
      <c r="B13" s="13">
        <v>16</v>
      </c>
      <c r="C13" s="13">
        <v>2.3022813690000001</v>
      </c>
      <c r="G13" s="15" t="s">
        <v>41</v>
      </c>
      <c r="H13" s="13" t="s">
        <v>42</v>
      </c>
    </row>
    <row r="14" spans="1:8" ht="15" x14ac:dyDescent="0.2">
      <c r="B14" s="13">
        <v>41.860465120000001</v>
      </c>
      <c r="C14" s="13">
        <v>0.23217758265999999</v>
      </c>
      <c r="G14" s="15" t="s">
        <v>43</v>
      </c>
      <c r="H14" s="13" t="s">
        <v>175</v>
      </c>
    </row>
    <row r="15" spans="1:8" ht="15" x14ac:dyDescent="0.2">
      <c r="B15" s="13">
        <v>31.325301199999998</v>
      </c>
      <c r="C15" s="13">
        <v>0.51112563330000005</v>
      </c>
      <c r="G15" s="15" t="s">
        <v>147</v>
      </c>
      <c r="H15" s="13">
        <v>55</v>
      </c>
    </row>
    <row r="16" spans="1:8" ht="15" x14ac:dyDescent="0.2">
      <c r="B16" s="13">
        <v>31.506849320000001</v>
      </c>
      <c r="C16" s="13">
        <v>0</v>
      </c>
      <c r="G16" s="15"/>
      <c r="H16" s="13"/>
    </row>
    <row r="17" spans="2:8" ht="15" x14ac:dyDescent="0.2">
      <c r="B17" s="13">
        <v>42.613636360000001</v>
      </c>
      <c r="C17" s="13">
        <v>0</v>
      </c>
      <c r="G17" s="15" t="s">
        <v>44</v>
      </c>
      <c r="H17" s="13"/>
    </row>
    <row r="18" spans="2:8" ht="15" x14ac:dyDescent="0.2">
      <c r="B18" s="13">
        <v>51.2605042</v>
      </c>
      <c r="C18" s="13">
        <v>0</v>
      </c>
      <c r="G18" s="15" t="s">
        <v>148</v>
      </c>
      <c r="H18" s="13">
        <v>-43.87</v>
      </c>
    </row>
    <row r="19" spans="2:8" ht="15" x14ac:dyDescent="0.2">
      <c r="B19" s="13">
        <v>79.069767440000007</v>
      </c>
      <c r="C19" s="13">
        <v>0.76805738010000002</v>
      </c>
      <c r="G19" s="15" t="s">
        <v>149</v>
      </c>
      <c r="H19" s="13">
        <v>18.93</v>
      </c>
    </row>
    <row r="20" spans="2:8" ht="15" x14ac:dyDescent="0.2">
      <c r="B20" s="13">
        <v>43.030303029999999</v>
      </c>
      <c r="C20" s="13">
        <v>0.63321782649000002</v>
      </c>
      <c r="G20" s="15" t="s">
        <v>150</v>
      </c>
      <c r="H20" s="13">
        <v>2.552</v>
      </c>
    </row>
    <row r="21" spans="2:8" ht="15" x14ac:dyDescent="0.2">
      <c r="B21" s="13">
        <v>51.048951049999999</v>
      </c>
      <c r="C21" s="13">
        <v>0</v>
      </c>
      <c r="G21" s="15" t="s">
        <v>45</v>
      </c>
      <c r="H21" s="13" t="s">
        <v>176</v>
      </c>
    </row>
    <row r="22" spans="2:8" ht="15" x14ac:dyDescent="0.2">
      <c r="B22" s="13">
        <v>12.707182319999999</v>
      </c>
      <c r="C22" s="13">
        <v>1.3002323333300001</v>
      </c>
      <c r="G22" s="15" t="s">
        <v>152</v>
      </c>
      <c r="H22" s="13">
        <v>0.84550000000000003</v>
      </c>
    </row>
    <row r="23" spans="2:8" ht="15" x14ac:dyDescent="0.2">
      <c r="B23" s="13">
        <v>30.281690139999998</v>
      </c>
      <c r="C23" s="13">
        <v>5.846153846</v>
      </c>
      <c r="G23" s="15"/>
      <c r="H23" s="13"/>
    </row>
    <row r="24" spans="2:8" ht="15" x14ac:dyDescent="0.2">
      <c r="B24" s="13">
        <v>35.761589399999998</v>
      </c>
      <c r="C24" s="13">
        <v>1.6732983450000001</v>
      </c>
      <c r="G24" s="15" t="s">
        <v>153</v>
      </c>
      <c r="H24" s="13"/>
    </row>
    <row r="25" spans="2:8" ht="15" x14ac:dyDescent="0.2">
      <c r="B25" s="13">
        <v>68.46153846</v>
      </c>
      <c r="C25" s="13">
        <v>1.8607533144999999</v>
      </c>
      <c r="G25" s="15" t="s">
        <v>154</v>
      </c>
      <c r="H25" s="13">
        <v>-0.113</v>
      </c>
    </row>
    <row r="26" spans="2:8" ht="15" x14ac:dyDescent="0.2">
      <c r="B26" s="13">
        <v>84.023668639999997</v>
      </c>
      <c r="C26" s="13">
        <v>2.3564744320000002</v>
      </c>
      <c r="G26" s="15" t="s">
        <v>155</v>
      </c>
      <c r="H26" s="13">
        <v>0.20580000000000001</v>
      </c>
    </row>
    <row r="27" spans="2:8" ht="15" x14ac:dyDescent="0.2">
      <c r="B27" s="13">
        <v>60.130718950000002</v>
      </c>
      <c r="C27" s="13">
        <v>0.3215804283</v>
      </c>
      <c r="G27" s="15" t="s">
        <v>37</v>
      </c>
      <c r="H27" s="13" t="s">
        <v>67</v>
      </c>
    </row>
    <row r="28" spans="2:8" ht="15" x14ac:dyDescent="0.2">
      <c r="B28" s="13">
        <v>87.5</v>
      </c>
      <c r="C28" s="13">
        <v>0</v>
      </c>
      <c r="G28" s="15" t="s">
        <v>156</v>
      </c>
      <c r="H28" s="13" t="s">
        <v>66</v>
      </c>
    </row>
    <row r="29" spans="2:8" ht="15" x14ac:dyDescent="0.2">
      <c r="B29" s="13">
        <v>30.39215686</v>
      </c>
      <c r="C29" s="13">
        <v>0</v>
      </c>
      <c r="G29" s="15" t="s">
        <v>46</v>
      </c>
      <c r="H29" s="13"/>
    </row>
    <row r="30" spans="2:8" ht="15" x14ac:dyDescent="0.2">
      <c r="B30" s="13">
        <v>43.684210530000001</v>
      </c>
      <c r="C30" s="13">
        <v>0</v>
      </c>
      <c r="G30" s="15" t="s">
        <v>47</v>
      </c>
      <c r="H30" s="13">
        <v>110</v>
      </c>
    </row>
    <row r="31" spans="2:8" ht="15" x14ac:dyDescent="0.2">
      <c r="B31" s="13">
        <v>61.702127660000002</v>
      </c>
      <c r="C31" s="13">
        <v>0</v>
      </c>
      <c r="G31" s="15" t="s">
        <v>48</v>
      </c>
      <c r="H31" s="13">
        <v>55</v>
      </c>
    </row>
    <row r="32" spans="2:8" ht="15" x14ac:dyDescent="0.2">
      <c r="B32" s="13">
        <v>3.680981595</v>
      </c>
      <c r="C32" s="13">
        <v>0.87520980952399996</v>
      </c>
      <c r="G32" s="15"/>
      <c r="H32" s="13"/>
    </row>
    <row r="33" spans="2:3" ht="15" x14ac:dyDescent="0.2">
      <c r="B33" s="13">
        <v>35.585585590000001</v>
      </c>
      <c r="C33" s="13">
        <v>14.917393003100001</v>
      </c>
    </row>
    <row r="34" spans="2:3" ht="15" x14ac:dyDescent="0.2">
      <c r="B34" s="13">
        <v>72.222222220000006</v>
      </c>
      <c r="C34" s="13">
        <v>1.9584907659999999</v>
      </c>
    </row>
    <row r="35" spans="2:3" ht="15" x14ac:dyDescent="0.2">
      <c r="B35" s="13">
        <v>56.647398840000001</v>
      </c>
      <c r="C35" s="13">
        <v>13.143008119999999</v>
      </c>
    </row>
    <row r="36" spans="2:3" ht="15" x14ac:dyDescent="0.2">
      <c r="B36" s="13">
        <v>48.19277108</v>
      </c>
      <c r="C36" s="13">
        <v>1.8607533144999999</v>
      </c>
    </row>
    <row r="37" spans="2:3" ht="15" x14ac:dyDescent="0.2">
      <c r="B37" s="13">
        <v>57.142857139999997</v>
      </c>
      <c r="C37" s="13">
        <v>2.3564744320000002</v>
      </c>
    </row>
    <row r="38" spans="2:3" ht="15" x14ac:dyDescent="0.2">
      <c r="B38" s="13">
        <v>65.662650600000006</v>
      </c>
      <c r="C38" s="13">
        <v>0.3215804283</v>
      </c>
    </row>
    <row r="39" spans="2:3" ht="15" x14ac:dyDescent="0.2">
      <c r="B39" s="13">
        <v>49.047619050000002</v>
      </c>
      <c r="C39" s="13">
        <v>0</v>
      </c>
    </row>
    <row r="40" spans="2:3" ht="15" x14ac:dyDescent="0.2">
      <c r="B40" s="13">
        <v>50.434782609999999</v>
      </c>
      <c r="C40" s="13">
        <v>0</v>
      </c>
    </row>
    <row r="41" spans="2:3" ht="15" x14ac:dyDescent="0.2">
      <c r="B41" s="13">
        <v>47.923322679999998</v>
      </c>
      <c r="C41" s="13">
        <v>0</v>
      </c>
    </row>
    <row r="42" spans="2:3" ht="15" x14ac:dyDescent="0.2">
      <c r="B42" s="13">
        <v>57.746478869999997</v>
      </c>
      <c r="C42" s="13">
        <v>0</v>
      </c>
    </row>
    <row r="43" spans="2:3" ht="15" x14ac:dyDescent="0.2">
      <c r="B43" s="13">
        <v>50.364963500000002</v>
      </c>
      <c r="C43" s="13">
        <v>0.87520980952399996</v>
      </c>
    </row>
    <row r="44" spans="2:3" ht="15" x14ac:dyDescent="0.2">
      <c r="B44" s="13">
        <v>39.160839160000002</v>
      </c>
      <c r="C44" s="13">
        <v>14.917393003100001</v>
      </c>
    </row>
    <row r="45" spans="2:3" ht="15" x14ac:dyDescent="0.2">
      <c r="B45" s="13">
        <v>5.3333333329999997</v>
      </c>
      <c r="C45" s="13">
        <v>1.9584907659999999</v>
      </c>
    </row>
    <row r="46" spans="2:3" ht="15" x14ac:dyDescent="0.2">
      <c r="B46" s="13">
        <v>35.37414966</v>
      </c>
      <c r="C46" s="13">
        <v>13.143008119999999</v>
      </c>
    </row>
    <row r="47" spans="2:3" ht="15" x14ac:dyDescent="0.2">
      <c r="B47" s="13">
        <v>60.458452719999997</v>
      </c>
      <c r="C47" s="13">
        <v>11.5</v>
      </c>
    </row>
    <row r="48" spans="2:3" ht="15" x14ac:dyDescent="0.2">
      <c r="B48" s="13">
        <v>69.683257920000003</v>
      </c>
      <c r="C48" s="13">
        <v>1.3157890000000001</v>
      </c>
    </row>
    <row r="49" spans="2:3" ht="15" x14ac:dyDescent="0.2">
      <c r="B49" s="13">
        <v>67.338709679999994</v>
      </c>
      <c r="C49" s="13">
        <v>0</v>
      </c>
    </row>
    <row r="50" spans="2:3" ht="15" x14ac:dyDescent="0.2">
      <c r="B50" s="13">
        <v>64.976958530000005</v>
      </c>
      <c r="C50" s="13">
        <v>0</v>
      </c>
    </row>
    <row r="51" spans="2:3" ht="15" x14ac:dyDescent="0.2">
      <c r="B51" s="13">
        <v>27.397260299999999</v>
      </c>
      <c r="C51" s="13">
        <v>1.7647060000000001</v>
      </c>
    </row>
    <row r="52" spans="2:3" ht="15" x14ac:dyDescent="0.2">
      <c r="B52" s="13">
        <v>49.333333330000002</v>
      </c>
      <c r="C52" s="13">
        <v>0</v>
      </c>
    </row>
    <row r="53" spans="2:3" ht="15" x14ac:dyDescent="0.2">
      <c r="B53" s="13">
        <v>51.982378850000003</v>
      </c>
      <c r="C53" s="13">
        <v>0</v>
      </c>
    </row>
    <row r="54" spans="2:3" ht="15" x14ac:dyDescent="0.2">
      <c r="B54" s="13">
        <v>48.167539269999999</v>
      </c>
      <c r="C54" s="13">
        <v>0</v>
      </c>
    </row>
    <row r="55" spans="2:3" ht="15" x14ac:dyDescent="0.2">
      <c r="B55" s="13">
        <v>62.015503879999997</v>
      </c>
      <c r="C55" s="13">
        <v>0</v>
      </c>
    </row>
    <row r="56" spans="2:3" ht="15" x14ac:dyDescent="0.2">
      <c r="B56" s="13">
        <v>35.672514620000001</v>
      </c>
      <c r="C56" s="13">
        <v>14.75248</v>
      </c>
    </row>
    <row r="57" spans="2:3" ht="15" x14ac:dyDescent="0.2">
      <c r="B57" s="13">
        <v>34.61538462</v>
      </c>
      <c r="C57" s="13">
        <v>5.4644810000000001</v>
      </c>
    </row>
    <row r="58" spans="2:3" ht="15" x14ac:dyDescent="0.2">
      <c r="B58" s="13">
        <v>45.370370370000003</v>
      </c>
      <c r="C58" s="13"/>
    </row>
    <row r="59" spans="2:3" ht="15" x14ac:dyDescent="0.2">
      <c r="B59" s="13">
        <v>37.078651690000001</v>
      </c>
      <c r="C59" s="13"/>
    </row>
    <row r="60" spans="2:3" ht="15" x14ac:dyDescent="0.2">
      <c r="B60" s="13">
        <v>62.64367816</v>
      </c>
      <c r="C60" s="13"/>
    </row>
    <row r="61" spans="2:3" ht="15" x14ac:dyDescent="0.2">
      <c r="B61" s="13">
        <v>40.531561459999999</v>
      </c>
      <c r="C61" s="13"/>
    </row>
    <row r="62" spans="2:3" ht="15" x14ac:dyDescent="0.2">
      <c r="B62" s="13">
        <v>34.95575221</v>
      </c>
      <c r="C62" s="13"/>
    </row>
    <row r="63" spans="2:3" ht="15" x14ac:dyDescent="0.2">
      <c r="B63" s="13">
        <v>51.875</v>
      </c>
      <c r="C63" s="13"/>
    </row>
    <row r="64" spans="2:3" ht="15" x14ac:dyDescent="0.2">
      <c r="B64" s="13">
        <v>83.471074380000005</v>
      </c>
      <c r="C64" s="13"/>
    </row>
    <row r="65" spans="2:3" ht="15" x14ac:dyDescent="0.2">
      <c r="B65" s="13">
        <v>48.571428570000002</v>
      </c>
      <c r="C65" s="13"/>
    </row>
    <row r="66" spans="2:3" ht="15" x14ac:dyDescent="0.2">
      <c r="B66" s="13">
        <v>55.462184870000002</v>
      </c>
      <c r="C66" s="13"/>
    </row>
    <row r="67" spans="2:3" ht="15" x14ac:dyDescent="0.2">
      <c r="B67" s="13">
        <v>57.803468209999998</v>
      </c>
      <c r="C67" s="13"/>
    </row>
    <row r="68" spans="2:3" ht="15" x14ac:dyDescent="0.2">
      <c r="B68" s="13">
        <v>39.588688949999998</v>
      </c>
      <c r="C68" s="13"/>
    </row>
    <row r="69" spans="2:3" ht="15" x14ac:dyDescent="0.2">
      <c r="B69" s="13">
        <v>25.342465749999999</v>
      </c>
      <c r="C69" s="13"/>
    </row>
    <row r="70" spans="2:3" ht="15" x14ac:dyDescent="0.2">
      <c r="B70" s="13">
        <v>36.607142860000003</v>
      </c>
      <c r="C70" s="13"/>
    </row>
    <row r="71" spans="2:3" ht="15" x14ac:dyDescent="0.2">
      <c r="B71" s="13">
        <v>40.495867769999997</v>
      </c>
      <c r="C71" s="13"/>
    </row>
    <row r="72" spans="2:3" ht="15" x14ac:dyDescent="0.2">
      <c r="B72" s="13">
        <v>31.578947370000002</v>
      </c>
      <c r="C72" s="13"/>
    </row>
    <row r="73" spans="2:3" ht="15" x14ac:dyDescent="0.2">
      <c r="B73" s="13">
        <v>54.268292680000002</v>
      </c>
      <c r="C73" s="13"/>
    </row>
    <row r="74" spans="2:3" ht="15" x14ac:dyDescent="0.2">
      <c r="B74" s="13">
        <v>13.432835819999999</v>
      </c>
      <c r="C74" s="13"/>
    </row>
    <row r="75" spans="2:3" ht="15" x14ac:dyDescent="0.2">
      <c r="B75" s="13">
        <v>79.605263160000007</v>
      </c>
      <c r="C75" s="13"/>
    </row>
    <row r="76" spans="2:3" ht="15" x14ac:dyDescent="0.2">
      <c r="B76" s="13">
        <v>44.262295080000001</v>
      </c>
      <c r="C76" s="13"/>
    </row>
    <row r="77" spans="2:3" ht="15" x14ac:dyDescent="0.2">
      <c r="B77" s="13">
        <v>45.161290319999999</v>
      </c>
      <c r="C77" s="13"/>
    </row>
    <row r="78" spans="2:3" ht="15" x14ac:dyDescent="0.2">
      <c r="B78" s="13">
        <v>44.444444439999998</v>
      </c>
      <c r="C78" s="13"/>
    </row>
    <row r="79" spans="2:3" ht="15" x14ac:dyDescent="0.2">
      <c r="B79" s="13">
        <v>34.104046240000002</v>
      </c>
      <c r="C79" s="13"/>
    </row>
    <row r="80" spans="2:3" ht="15" x14ac:dyDescent="0.2">
      <c r="B80" s="13">
        <v>83</v>
      </c>
      <c r="C80" s="13"/>
    </row>
    <row r="81" spans="2:3" ht="15" x14ac:dyDescent="0.2">
      <c r="B81" s="13">
        <v>67.391304349999999</v>
      </c>
      <c r="C81" s="13"/>
    </row>
    <row r="82" spans="2:3" ht="15" x14ac:dyDescent="0.2">
      <c r="B82" s="13">
        <v>35.869565219999998</v>
      </c>
      <c r="C82" s="13"/>
    </row>
    <row r="83" spans="2:3" ht="15" x14ac:dyDescent="0.2">
      <c r="B83" s="13">
        <v>71.333333330000002</v>
      </c>
      <c r="C83" s="13"/>
    </row>
    <row r="84" spans="2:3" ht="15" x14ac:dyDescent="0.2">
      <c r="B84" s="13">
        <v>68.055555560000002</v>
      </c>
      <c r="C84" s="13"/>
    </row>
    <row r="85" spans="2:3" ht="15" x14ac:dyDescent="0.2">
      <c r="B85" s="13">
        <v>11.009174310000001</v>
      </c>
      <c r="C85" s="13"/>
    </row>
    <row r="86" spans="2:3" ht="15" x14ac:dyDescent="0.2">
      <c r="B86" s="13">
        <v>24.822695039999999</v>
      </c>
      <c r="C86" s="13"/>
    </row>
    <row r="87" spans="2:3" ht="15" x14ac:dyDescent="0.2">
      <c r="B87" s="13">
        <v>12.94117647</v>
      </c>
      <c r="C87" s="13"/>
    </row>
    <row r="88" spans="2:3" ht="15" x14ac:dyDescent="0.2">
      <c r="B88" s="13">
        <v>50.641025640000002</v>
      </c>
      <c r="C88" s="13"/>
    </row>
    <row r="89" spans="2:3" ht="15" x14ac:dyDescent="0.2">
      <c r="B89" s="13">
        <v>31.25</v>
      </c>
      <c r="C89" s="13"/>
    </row>
    <row r="90" spans="2:3" ht="15" x14ac:dyDescent="0.2">
      <c r="B90" s="13">
        <v>54.87804878</v>
      </c>
      <c r="C90" s="13"/>
    </row>
    <row r="91" spans="2:3" ht="15" x14ac:dyDescent="0.2">
      <c r="B91" s="13">
        <v>58</v>
      </c>
      <c r="C91" s="13"/>
    </row>
    <row r="92" spans="2:3" ht="15" x14ac:dyDescent="0.2">
      <c r="B92" s="13">
        <v>53.146853100000001</v>
      </c>
      <c r="C92" s="13"/>
    </row>
    <row r="93" spans="2:3" ht="15" x14ac:dyDescent="0.2">
      <c r="B93" s="13">
        <v>50.413223100000003</v>
      </c>
      <c r="C93" s="13"/>
    </row>
    <row r="94" spans="2:3" ht="15" x14ac:dyDescent="0.2">
      <c r="B94" s="13">
        <v>29.411764699999999</v>
      </c>
      <c r="C94" s="13"/>
    </row>
    <row r="95" spans="2:3" ht="15" x14ac:dyDescent="0.2">
      <c r="B95" s="13">
        <v>33.582089600000003</v>
      </c>
      <c r="C95" s="13"/>
    </row>
    <row r="96" spans="2:3" ht="15" x14ac:dyDescent="0.2">
      <c r="B96" s="13">
        <v>38.970588200000002</v>
      </c>
      <c r="C96" s="13"/>
    </row>
    <row r="97" spans="2:3" ht="15" x14ac:dyDescent="0.2">
      <c r="B97" s="13">
        <v>54.621848700000001</v>
      </c>
      <c r="C97" s="13"/>
    </row>
    <row r="98" spans="2:3" ht="15" x14ac:dyDescent="0.2">
      <c r="B98" s="13">
        <v>33.980582499999997</v>
      </c>
      <c r="C98" s="13"/>
    </row>
    <row r="99" spans="2:3" ht="15" x14ac:dyDescent="0.2">
      <c r="B99" s="13">
        <v>59.433962299999997</v>
      </c>
      <c r="C99" s="13"/>
    </row>
    <row r="100" spans="2:3" ht="15" x14ac:dyDescent="0.2">
      <c r="B100" s="13">
        <v>23.952095799999999</v>
      </c>
      <c r="C100" s="13"/>
    </row>
    <row r="101" spans="2:3" ht="15" x14ac:dyDescent="0.2">
      <c r="B101" s="13">
        <v>27.2058824</v>
      </c>
      <c r="C101" s="13"/>
    </row>
    <row r="102" spans="2:3" ht="15" x14ac:dyDescent="0.2">
      <c r="B102" s="13">
        <v>23.756906099999998</v>
      </c>
      <c r="C102" s="13"/>
    </row>
    <row r="103" spans="2:3" ht="15" x14ac:dyDescent="0.2">
      <c r="B103" s="13">
        <v>37.142857100000001</v>
      </c>
      <c r="C103" s="13"/>
    </row>
    <row r="104" spans="2:3" ht="15" x14ac:dyDescent="0.2">
      <c r="B104" s="13">
        <v>35.470085500000003</v>
      </c>
      <c r="C104" s="13"/>
    </row>
    <row r="105" spans="2:3" ht="15" x14ac:dyDescent="0.2">
      <c r="B105" s="13">
        <v>31.578947400000001</v>
      </c>
      <c r="C105" s="13"/>
    </row>
    <row r="106" spans="2:3" ht="15" x14ac:dyDescent="0.2">
      <c r="B106" s="13">
        <v>64.3274854</v>
      </c>
      <c r="C106" s="13"/>
    </row>
    <row r="107" spans="2:3" ht="15" x14ac:dyDescent="0.2">
      <c r="B107" s="13">
        <v>54.248365999999997</v>
      </c>
      <c r="C107" s="13"/>
    </row>
    <row r="108" spans="2:3" ht="15" x14ac:dyDescent="0.2">
      <c r="B108" s="13">
        <v>73.275862099999998</v>
      </c>
      <c r="C108" s="13"/>
    </row>
    <row r="109" spans="2:3" ht="15" x14ac:dyDescent="0.2">
      <c r="B109" s="13">
        <v>23.571428600000001</v>
      </c>
      <c r="C109" s="13"/>
    </row>
    <row r="110" spans="2:3" ht="15" x14ac:dyDescent="0.2">
      <c r="B110" s="13">
        <v>34.444444400000002</v>
      </c>
      <c r="C110" s="13"/>
    </row>
    <row r="111" spans="2:3" ht="15" x14ac:dyDescent="0.2">
      <c r="B111" s="13">
        <v>29.5180723</v>
      </c>
      <c r="C111" s="13"/>
    </row>
    <row r="112" spans="2:3" ht="15" x14ac:dyDescent="0.2">
      <c r="B112" s="13">
        <v>25.342465749999999</v>
      </c>
      <c r="C11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D542-4693-4A6B-8893-EA6FD18A0BDF}">
  <dimension ref="A1:I480"/>
  <sheetViews>
    <sheetView topLeftCell="A14" workbookViewId="0">
      <selection activeCell="J19" sqref="J19"/>
    </sheetView>
  </sheetViews>
  <sheetFormatPr baseColWidth="10" defaultColWidth="8.83203125" defaultRowHeight="15" x14ac:dyDescent="0.2"/>
  <cols>
    <col min="2" max="2" width="19.6640625" style="20" customWidth="1"/>
    <col min="3" max="3" width="16.33203125" style="4" customWidth="1"/>
    <col min="8" max="8" width="26" customWidth="1"/>
    <col min="9" max="9" width="27.1640625" customWidth="1"/>
  </cols>
  <sheetData>
    <row r="1" spans="1:9" ht="24" x14ac:dyDescent="0.3">
      <c r="A1" s="1" t="s">
        <v>9</v>
      </c>
      <c r="B1" s="20" t="s">
        <v>93</v>
      </c>
    </row>
    <row r="2" spans="1:9" x14ac:dyDescent="0.2">
      <c r="A2" s="8"/>
      <c r="B2" s="12" t="s">
        <v>14</v>
      </c>
      <c r="C2" s="12" t="s">
        <v>15</v>
      </c>
      <c r="H2" s="15" t="s">
        <v>30</v>
      </c>
      <c r="I2" s="13" t="s">
        <v>92</v>
      </c>
    </row>
    <row r="3" spans="1:9" x14ac:dyDescent="0.2">
      <c r="B3" s="13">
        <v>31.192660549999999</v>
      </c>
      <c r="C3" s="13">
        <v>5.0000000000000001E-3</v>
      </c>
      <c r="H3" s="15"/>
      <c r="I3" s="13"/>
    </row>
    <row r="4" spans="1:9" x14ac:dyDescent="0.2">
      <c r="B4" s="13">
        <v>31.481481479999999</v>
      </c>
      <c r="C4" s="13">
        <v>4.0000000000000001E-3</v>
      </c>
      <c r="H4" s="15" t="s">
        <v>32</v>
      </c>
      <c r="I4" s="13" t="s">
        <v>15</v>
      </c>
    </row>
    <row r="5" spans="1:9" x14ac:dyDescent="0.2">
      <c r="B5" s="13">
        <v>32.142857139999997</v>
      </c>
      <c r="C5" s="13">
        <v>0</v>
      </c>
      <c r="H5" s="15" t="s">
        <v>33</v>
      </c>
      <c r="I5" s="13" t="s">
        <v>33</v>
      </c>
    </row>
    <row r="6" spans="1:9" x14ac:dyDescent="0.2">
      <c r="B6" s="13">
        <v>40.845070419999999</v>
      </c>
      <c r="C6" s="13">
        <v>0</v>
      </c>
      <c r="H6" s="15" t="s">
        <v>34</v>
      </c>
      <c r="I6" s="13" t="s">
        <v>14</v>
      </c>
    </row>
    <row r="7" spans="1:9" x14ac:dyDescent="0.2">
      <c r="B7" s="13">
        <v>54</v>
      </c>
      <c r="C7" s="13">
        <v>0</v>
      </c>
      <c r="H7" s="15"/>
      <c r="I7" s="13"/>
    </row>
    <row r="8" spans="1:9" x14ac:dyDescent="0.2">
      <c r="B8" s="13">
        <v>58.823529409999999</v>
      </c>
      <c r="C8" s="13">
        <v>0</v>
      </c>
      <c r="H8" s="15" t="s">
        <v>234</v>
      </c>
      <c r="I8" s="13"/>
    </row>
    <row r="9" spans="1:9" x14ac:dyDescent="0.2">
      <c r="B9" s="13">
        <v>30.281690139999998</v>
      </c>
      <c r="C9" s="13">
        <v>0</v>
      </c>
      <c r="H9" s="15" t="s">
        <v>35</v>
      </c>
      <c r="I9" s="13" t="s">
        <v>36</v>
      </c>
    </row>
    <row r="10" spans="1:9" x14ac:dyDescent="0.2">
      <c r="B10" s="13">
        <v>47.01492537</v>
      </c>
      <c r="C10" s="13">
        <v>0.87314626100000003</v>
      </c>
      <c r="H10" s="15" t="s">
        <v>37</v>
      </c>
      <c r="I10" s="13" t="s">
        <v>38</v>
      </c>
    </row>
    <row r="11" spans="1:9" x14ac:dyDescent="0.2">
      <c r="B11" s="13">
        <v>47.878787879999997</v>
      </c>
      <c r="C11" s="13">
        <v>0</v>
      </c>
      <c r="H11" s="15" t="s">
        <v>39</v>
      </c>
      <c r="I11" s="13" t="s">
        <v>40</v>
      </c>
    </row>
    <row r="12" spans="1:9" x14ac:dyDescent="0.2">
      <c r="B12" s="13">
        <v>30.232558139999998</v>
      </c>
      <c r="C12" s="13">
        <v>0</v>
      </c>
      <c r="H12" s="15" t="s">
        <v>41</v>
      </c>
      <c r="I12" s="13" t="s">
        <v>42</v>
      </c>
    </row>
    <row r="13" spans="1:9" x14ac:dyDescent="0.2">
      <c r="B13" s="13">
        <v>47.368421050000002</v>
      </c>
      <c r="C13" s="13">
        <v>0</v>
      </c>
      <c r="H13" s="15" t="s">
        <v>43</v>
      </c>
      <c r="I13" s="13" t="s">
        <v>235</v>
      </c>
    </row>
    <row r="14" spans="1:9" x14ac:dyDescent="0.2">
      <c r="B14" s="13">
        <v>75.206611570000007</v>
      </c>
      <c r="C14" s="13">
        <v>0.33112582779999999</v>
      </c>
      <c r="H14" s="15"/>
      <c r="I14" s="13"/>
    </row>
    <row r="15" spans="1:9" x14ac:dyDescent="0.2">
      <c r="B15" s="13">
        <v>55.263157890000002</v>
      </c>
      <c r="C15" s="13">
        <v>0.51156826322000004</v>
      </c>
      <c r="H15" s="15" t="s">
        <v>44</v>
      </c>
      <c r="I15" s="13"/>
    </row>
    <row r="16" spans="1:9" x14ac:dyDescent="0.2">
      <c r="B16" s="13">
        <v>58.878504669999998</v>
      </c>
      <c r="C16" s="13">
        <v>0</v>
      </c>
      <c r="H16" s="15" t="s">
        <v>236</v>
      </c>
      <c r="I16" s="13">
        <v>60.82</v>
      </c>
    </row>
    <row r="17" spans="2:9" x14ac:dyDescent="0.2">
      <c r="B17" s="13">
        <v>49.019607839999999</v>
      </c>
      <c r="C17" s="13">
        <v>0</v>
      </c>
      <c r="H17" s="15" t="s">
        <v>237</v>
      </c>
      <c r="I17" s="13">
        <v>0.34279999999999999</v>
      </c>
    </row>
    <row r="18" spans="2:9" x14ac:dyDescent="0.2">
      <c r="B18" s="13">
        <v>66.666666669999998</v>
      </c>
      <c r="C18" s="13">
        <v>0</v>
      </c>
      <c r="H18" s="15" t="s">
        <v>238</v>
      </c>
      <c r="I18" s="13" t="s">
        <v>239</v>
      </c>
    </row>
    <row r="19" spans="2:9" x14ac:dyDescent="0.2">
      <c r="B19" s="13">
        <v>32.142857139999997</v>
      </c>
      <c r="C19" s="13">
        <v>0.64264401240000002</v>
      </c>
      <c r="H19" s="15" t="s">
        <v>45</v>
      </c>
      <c r="I19" s="13" t="s">
        <v>240</v>
      </c>
    </row>
    <row r="20" spans="2:9" x14ac:dyDescent="0.2">
      <c r="B20" s="13">
        <v>52.173913040000002</v>
      </c>
      <c r="C20" s="13">
        <v>0.34218933330000001</v>
      </c>
      <c r="H20" s="15" t="s">
        <v>241</v>
      </c>
      <c r="I20" s="13">
        <v>0.40860000000000002</v>
      </c>
    </row>
    <row r="21" spans="2:9" x14ac:dyDescent="0.2">
      <c r="B21" s="13">
        <v>51.145038169999999</v>
      </c>
      <c r="C21" s="13">
        <v>0</v>
      </c>
      <c r="H21" s="15"/>
      <c r="I21" s="13"/>
    </row>
    <row r="22" spans="2:9" x14ac:dyDescent="0.2">
      <c r="B22" s="13">
        <v>30.434782609999999</v>
      </c>
      <c r="C22" s="13">
        <v>0</v>
      </c>
      <c r="H22" s="15" t="s">
        <v>242</v>
      </c>
      <c r="I22" s="13"/>
    </row>
    <row r="23" spans="2:9" x14ac:dyDescent="0.2">
      <c r="B23" s="13">
        <v>46.109656059999999</v>
      </c>
      <c r="C23" s="13">
        <v>0</v>
      </c>
      <c r="H23" s="15" t="s">
        <v>243</v>
      </c>
      <c r="I23" s="13" t="s">
        <v>244</v>
      </c>
    </row>
    <row r="24" spans="2:9" x14ac:dyDescent="0.2">
      <c r="B24" s="13">
        <v>43.842364529999998</v>
      </c>
      <c r="C24" s="13">
        <v>0</v>
      </c>
      <c r="H24" s="15" t="s">
        <v>35</v>
      </c>
      <c r="I24" s="13" t="s">
        <v>36</v>
      </c>
    </row>
    <row r="25" spans="2:9" x14ac:dyDescent="0.2">
      <c r="B25" s="13">
        <v>43.78378378</v>
      </c>
      <c r="C25" s="13">
        <v>0</v>
      </c>
      <c r="H25" s="15" t="s">
        <v>37</v>
      </c>
      <c r="I25" s="13" t="s">
        <v>38</v>
      </c>
    </row>
    <row r="26" spans="2:9" x14ac:dyDescent="0.2">
      <c r="B26" s="13">
        <v>39.03508772</v>
      </c>
      <c r="C26" s="13">
        <v>0</v>
      </c>
      <c r="H26" s="15" t="s">
        <v>39</v>
      </c>
      <c r="I26" s="13" t="s">
        <v>40</v>
      </c>
    </row>
    <row r="27" spans="2:9" x14ac:dyDescent="0.2">
      <c r="B27" s="13">
        <v>84.459459460000005</v>
      </c>
      <c r="C27" s="13">
        <v>0.52194092830000005</v>
      </c>
      <c r="H27" s="15"/>
      <c r="I27" s="13"/>
    </row>
    <row r="28" spans="2:9" x14ac:dyDescent="0.2">
      <c r="B28" s="13">
        <v>52.727272730000003</v>
      </c>
      <c r="C28" s="13">
        <v>0</v>
      </c>
      <c r="H28" s="15" t="s">
        <v>46</v>
      </c>
      <c r="I28" s="13"/>
    </row>
    <row r="29" spans="2:9" x14ac:dyDescent="0.2">
      <c r="B29" s="13">
        <v>27.878787880000001</v>
      </c>
      <c r="C29" s="13">
        <v>0</v>
      </c>
      <c r="H29" s="15" t="s">
        <v>47</v>
      </c>
      <c r="I29" s="13">
        <v>478</v>
      </c>
    </row>
    <row r="30" spans="2:9" x14ac:dyDescent="0.2">
      <c r="B30" s="13">
        <v>49.729729730000003</v>
      </c>
      <c r="C30" s="13">
        <v>0</v>
      </c>
      <c r="H30" s="15" t="s">
        <v>48</v>
      </c>
      <c r="I30" s="13">
        <v>44</v>
      </c>
    </row>
    <row r="31" spans="2:9" x14ac:dyDescent="0.2">
      <c r="B31" s="13">
        <v>44.217687069999997</v>
      </c>
      <c r="C31" s="13">
        <v>0</v>
      </c>
    </row>
    <row r="32" spans="2:9" x14ac:dyDescent="0.2">
      <c r="B32" s="13">
        <v>50</v>
      </c>
      <c r="C32" s="13">
        <v>0.89456123967099999</v>
      </c>
    </row>
    <row r="33" spans="2:3" x14ac:dyDescent="0.2">
      <c r="B33" s="13">
        <v>7.5</v>
      </c>
      <c r="C33" s="13">
        <v>0</v>
      </c>
    </row>
    <row r="34" spans="2:3" x14ac:dyDescent="0.2">
      <c r="B34" s="13">
        <v>66.007905140000005</v>
      </c>
      <c r="C34" s="13">
        <v>0</v>
      </c>
    </row>
    <row r="35" spans="2:3" x14ac:dyDescent="0.2">
      <c r="B35" s="13">
        <v>44.029850750000001</v>
      </c>
      <c r="C35" s="13">
        <v>0</v>
      </c>
    </row>
    <row r="36" spans="2:3" x14ac:dyDescent="0.2">
      <c r="B36" s="13">
        <v>51.282051279999997</v>
      </c>
      <c r="C36" s="13">
        <v>0.80712357627099995</v>
      </c>
    </row>
    <row r="37" spans="2:3" x14ac:dyDescent="0.2">
      <c r="B37" s="13">
        <v>55.974842770000002</v>
      </c>
      <c r="C37" s="13">
        <v>0</v>
      </c>
    </row>
    <row r="38" spans="2:3" x14ac:dyDescent="0.2">
      <c r="B38" s="13">
        <v>65.829145729999993</v>
      </c>
      <c r="C38" s="13">
        <v>0.69225165460000004</v>
      </c>
    </row>
    <row r="39" spans="2:3" x14ac:dyDescent="0.2">
      <c r="B39" s="13">
        <v>85.714285709999999</v>
      </c>
      <c r="C39" s="13">
        <v>0</v>
      </c>
    </row>
    <row r="40" spans="2:3" x14ac:dyDescent="0.2">
      <c r="B40" s="13">
        <v>85.05747126</v>
      </c>
      <c r="C40" s="13">
        <v>4.1176470600000004</v>
      </c>
    </row>
    <row r="41" spans="2:3" x14ac:dyDescent="0.2">
      <c r="B41" s="13">
        <v>53.797468350000003</v>
      </c>
      <c r="C41" s="13">
        <v>0.86956522000000003</v>
      </c>
    </row>
    <row r="42" spans="2:3" x14ac:dyDescent="0.2">
      <c r="B42" s="13">
        <v>36.697247709999999</v>
      </c>
      <c r="C42" s="13">
        <v>0</v>
      </c>
    </row>
    <row r="43" spans="2:3" x14ac:dyDescent="0.2">
      <c r="B43" s="13">
        <v>37.195121950000001</v>
      </c>
      <c r="C43" s="13">
        <v>0.37037037037037002</v>
      </c>
    </row>
    <row r="44" spans="2:3" x14ac:dyDescent="0.2">
      <c r="B44" s="13">
        <v>51.237978179999999</v>
      </c>
      <c r="C44" s="13">
        <v>1.6184210526315801</v>
      </c>
    </row>
    <row r="45" spans="2:3" x14ac:dyDescent="0.2">
      <c r="B45" s="13">
        <v>53.260869569999997</v>
      </c>
      <c r="C45" s="13">
        <v>2.4814814809999999</v>
      </c>
    </row>
    <row r="46" spans="2:3" x14ac:dyDescent="0.2">
      <c r="B46" s="13">
        <v>23.880597009999999</v>
      </c>
      <c r="C46" s="13">
        <v>0</v>
      </c>
    </row>
    <row r="47" spans="2:3" x14ac:dyDescent="0.2">
      <c r="B47" s="13">
        <v>64.566929130000005</v>
      </c>
      <c r="C47" s="13"/>
    </row>
    <row r="48" spans="2:3" x14ac:dyDescent="0.2">
      <c r="B48" s="13">
        <v>53.038674030000003</v>
      </c>
      <c r="C48" s="13"/>
    </row>
    <row r="49" spans="2:3" x14ac:dyDescent="0.2">
      <c r="B49" s="13">
        <v>25.609756099999998</v>
      </c>
      <c r="C49" s="13"/>
    </row>
    <row r="50" spans="2:3" x14ac:dyDescent="0.2">
      <c r="B50" s="13">
        <v>29.2</v>
      </c>
      <c r="C50" s="13"/>
    </row>
    <row r="51" spans="2:3" x14ac:dyDescent="0.2">
      <c r="B51" s="13">
        <v>41.632653060000003</v>
      </c>
      <c r="C51" s="13"/>
    </row>
    <row r="52" spans="2:3" x14ac:dyDescent="0.2">
      <c r="B52" s="13">
        <v>39.506172839999998</v>
      </c>
      <c r="C52" s="13"/>
    </row>
    <row r="53" spans="2:3" x14ac:dyDescent="0.2">
      <c r="B53" s="13">
        <v>61.463414630000003</v>
      </c>
      <c r="C53" s="13"/>
    </row>
    <row r="54" spans="2:3" x14ac:dyDescent="0.2">
      <c r="B54" s="13">
        <v>73.913043479999999</v>
      </c>
      <c r="C54" s="13"/>
    </row>
    <row r="55" spans="2:3" x14ac:dyDescent="0.2">
      <c r="B55" s="13">
        <v>50</v>
      </c>
      <c r="C55" s="13"/>
    </row>
    <row r="56" spans="2:3" x14ac:dyDescent="0.2">
      <c r="B56" s="13">
        <v>60.833333330000002</v>
      </c>
      <c r="C56" s="13"/>
    </row>
    <row r="57" spans="2:3" x14ac:dyDescent="0.2">
      <c r="B57" s="13">
        <v>44.047619050000002</v>
      </c>
      <c r="C57" s="13"/>
    </row>
    <row r="58" spans="2:3" x14ac:dyDescent="0.2">
      <c r="B58" s="13">
        <v>60.240963860000001</v>
      </c>
      <c r="C58" s="13"/>
    </row>
    <row r="59" spans="2:3" x14ac:dyDescent="0.2">
      <c r="B59" s="13">
        <v>59.677419350000001</v>
      </c>
      <c r="C59" s="13"/>
    </row>
    <row r="60" spans="2:3" x14ac:dyDescent="0.2">
      <c r="B60" s="13">
        <v>87.919463089999994</v>
      </c>
      <c r="C60" s="13"/>
    </row>
    <row r="61" spans="2:3" x14ac:dyDescent="0.2">
      <c r="B61" s="13">
        <v>61.073825499999998</v>
      </c>
      <c r="C61" s="13"/>
    </row>
    <row r="62" spans="2:3" x14ac:dyDescent="0.2">
      <c r="B62" s="13">
        <v>92.537313429999998</v>
      </c>
      <c r="C62" s="13"/>
    </row>
    <row r="63" spans="2:3" x14ac:dyDescent="0.2">
      <c r="B63" s="13">
        <v>74.226804119999997</v>
      </c>
      <c r="C63" s="13"/>
    </row>
    <row r="64" spans="2:3" x14ac:dyDescent="0.2">
      <c r="B64" s="13">
        <v>61.15107914</v>
      </c>
      <c r="C64" s="13"/>
    </row>
    <row r="65" spans="2:3" x14ac:dyDescent="0.2">
      <c r="B65" s="13">
        <v>63.265306119999998</v>
      </c>
      <c r="C65" s="13"/>
    </row>
    <row r="66" spans="2:3" x14ac:dyDescent="0.2">
      <c r="B66" s="13">
        <v>74.829931970000004</v>
      </c>
      <c r="C66" s="13"/>
    </row>
    <row r="67" spans="2:3" x14ac:dyDescent="0.2">
      <c r="B67" s="13">
        <v>11.55555556</v>
      </c>
      <c r="C67" s="13"/>
    </row>
    <row r="68" spans="2:3" x14ac:dyDescent="0.2">
      <c r="B68" s="13">
        <v>70.192307690000007</v>
      </c>
      <c r="C68" s="13"/>
    </row>
    <row r="69" spans="2:3" x14ac:dyDescent="0.2">
      <c r="B69" s="13">
        <v>86.470588239999998</v>
      </c>
      <c r="C69" s="13"/>
    </row>
    <row r="70" spans="2:3" x14ac:dyDescent="0.2">
      <c r="B70" s="13">
        <v>81.308411210000003</v>
      </c>
      <c r="C70" s="13"/>
    </row>
    <row r="71" spans="2:3" x14ac:dyDescent="0.2">
      <c r="B71" s="13">
        <v>50</v>
      </c>
      <c r="C71" s="13"/>
    </row>
    <row r="72" spans="2:3" x14ac:dyDescent="0.2">
      <c r="B72" s="13">
        <v>44.444444439999998</v>
      </c>
      <c r="C72" s="13"/>
    </row>
    <row r="73" spans="2:3" x14ac:dyDescent="0.2">
      <c r="B73" s="13">
        <v>16.84210526</v>
      </c>
      <c r="C73" s="13"/>
    </row>
    <row r="74" spans="2:3" x14ac:dyDescent="0.2">
      <c r="B74" s="13">
        <v>24.375</v>
      </c>
      <c r="C74" s="13"/>
    </row>
    <row r="75" spans="2:3" x14ac:dyDescent="0.2">
      <c r="B75" s="13">
        <v>57.407407409999998</v>
      </c>
      <c r="C75" s="13"/>
    </row>
    <row r="76" spans="2:3" x14ac:dyDescent="0.2">
      <c r="B76" s="13">
        <v>97</v>
      </c>
      <c r="C76" s="13"/>
    </row>
    <row r="77" spans="2:3" x14ac:dyDescent="0.2">
      <c r="B77" s="13">
        <v>78</v>
      </c>
      <c r="C77" s="13"/>
    </row>
    <row r="78" spans="2:3" x14ac:dyDescent="0.2">
      <c r="B78" s="13">
        <v>25</v>
      </c>
      <c r="C78" s="13"/>
    </row>
    <row r="79" spans="2:3" x14ac:dyDescent="0.2">
      <c r="B79" s="13">
        <v>60.833333330000002</v>
      </c>
      <c r="C79" s="13"/>
    </row>
    <row r="80" spans="2:3" x14ac:dyDescent="0.2">
      <c r="B80" s="13">
        <v>77.777777779999994</v>
      </c>
      <c r="C80" s="13"/>
    </row>
    <row r="81" spans="2:3" x14ac:dyDescent="0.2">
      <c r="B81" s="13">
        <v>69.082125599999998</v>
      </c>
      <c r="C81" s="13"/>
    </row>
    <row r="82" spans="2:3" x14ac:dyDescent="0.2">
      <c r="B82" s="13">
        <v>72</v>
      </c>
      <c r="C82" s="13"/>
    </row>
    <row r="83" spans="2:3" x14ac:dyDescent="0.2">
      <c r="B83" s="13">
        <v>98</v>
      </c>
      <c r="C83" s="13"/>
    </row>
    <row r="84" spans="2:3" x14ac:dyDescent="0.2">
      <c r="B84" s="13">
        <v>61.607142860000003</v>
      </c>
      <c r="C84" s="13"/>
    </row>
    <row r="85" spans="2:3" x14ac:dyDescent="0.2">
      <c r="B85" s="13">
        <v>68.548387099999999</v>
      </c>
      <c r="C85" s="13"/>
    </row>
    <row r="86" spans="2:3" x14ac:dyDescent="0.2">
      <c r="B86" s="13">
        <v>22.875816990000001</v>
      </c>
      <c r="C86" s="13"/>
    </row>
    <row r="87" spans="2:3" x14ac:dyDescent="0.2">
      <c r="B87" s="13">
        <v>82.911392410000005</v>
      </c>
      <c r="C87" s="13"/>
    </row>
    <row r="88" spans="2:3" x14ac:dyDescent="0.2">
      <c r="B88" s="13">
        <v>32.28346457</v>
      </c>
      <c r="C88" s="13"/>
    </row>
    <row r="89" spans="2:3" x14ac:dyDescent="0.2">
      <c r="B89" s="13">
        <v>13.33333333</v>
      </c>
      <c r="C89" s="13"/>
    </row>
    <row r="90" spans="2:3" x14ac:dyDescent="0.2">
      <c r="B90" s="13">
        <v>56.602112769999998</v>
      </c>
      <c r="C90" s="13"/>
    </row>
    <row r="91" spans="2:3" x14ac:dyDescent="0.2">
      <c r="B91" s="13">
        <v>64.705882349999996</v>
      </c>
      <c r="C91" s="13"/>
    </row>
    <row r="92" spans="2:3" x14ac:dyDescent="0.2">
      <c r="B92" s="13">
        <v>61.81818182</v>
      </c>
      <c r="C92" s="13"/>
    </row>
    <row r="93" spans="2:3" x14ac:dyDescent="0.2">
      <c r="B93" s="13">
        <v>30.35714286</v>
      </c>
      <c r="C93" s="13"/>
    </row>
    <row r="94" spans="2:3" x14ac:dyDescent="0.2">
      <c r="B94" s="13">
        <v>100</v>
      </c>
      <c r="C94" s="13"/>
    </row>
    <row r="95" spans="2:3" x14ac:dyDescent="0.2">
      <c r="B95" s="13">
        <v>65.178571430000005</v>
      </c>
      <c r="C95" s="13"/>
    </row>
    <row r="96" spans="2:3" x14ac:dyDescent="0.2">
      <c r="B96" s="13">
        <v>83.739837399999999</v>
      </c>
      <c r="C96" s="13"/>
    </row>
    <row r="97" spans="2:3" x14ac:dyDescent="0.2">
      <c r="B97" s="13">
        <v>17.045454549999999</v>
      </c>
      <c r="C97" s="13"/>
    </row>
    <row r="98" spans="2:3" x14ac:dyDescent="0.2">
      <c r="B98" s="13">
        <v>59.504132230000003</v>
      </c>
      <c r="C98" s="13"/>
    </row>
    <row r="99" spans="2:3" x14ac:dyDescent="0.2">
      <c r="B99" s="13">
        <v>99</v>
      </c>
      <c r="C99" s="13"/>
    </row>
    <row r="100" spans="2:3" x14ac:dyDescent="0.2">
      <c r="B100" s="13">
        <v>79.310344830000005</v>
      </c>
      <c r="C100" s="13"/>
    </row>
    <row r="101" spans="2:3" x14ac:dyDescent="0.2">
      <c r="B101" s="13">
        <v>53.260869569999997</v>
      </c>
      <c r="C101" s="13"/>
    </row>
    <row r="102" spans="2:3" x14ac:dyDescent="0.2">
      <c r="B102" s="13">
        <v>70.886075950000006</v>
      </c>
      <c r="C102" s="13"/>
    </row>
    <row r="103" spans="2:3" x14ac:dyDescent="0.2">
      <c r="B103" s="13">
        <v>98</v>
      </c>
      <c r="C103" s="13"/>
    </row>
    <row r="104" spans="2:3" x14ac:dyDescent="0.2">
      <c r="B104" s="13">
        <v>83</v>
      </c>
      <c r="C104" s="13"/>
    </row>
    <row r="105" spans="2:3" x14ac:dyDescent="0.2">
      <c r="B105" s="13">
        <v>97.6</v>
      </c>
      <c r="C105" s="13"/>
    </row>
    <row r="106" spans="2:3" x14ac:dyDescent="0.2">
      <c r="B106" s="13">
        <v>38.235294119999999</v>
      </c>
      <c r="C106" s="13"/>
    </row>
    <row r="107" spans="2:3" x14ac:dyDescent="0.2">
      <c r="B107" s="13">
        <v>34.545454550000002</v>
      </c>
      <c r="C107" s="13"/>
    </row>
    <row r="108" spans="2:3" x14ac:dyDescent="0.2">
      <c r="B108" s="13">
        <v>57.142857139999997</v>
      </c>
      <c r="C108" s="13"/>
    </row>
    <row r="109" spans="2:3" x14ac:dyDescent="0.2">
      <c r="B109" s="13">
        <v>40.989399290000001</v>
      </c>
      <c r="C109" s="13"/>
    </row>
    <row r="110" spans="2:3" x14ac:dyDescent="0.2">
      <c r="B110" s="13">
        <v>56.25</v>
      </c>
      <c r="C110" s="13"/>
    </row>
    <row r="111" spans="2:3" x14ac:dyDescent="0.2">
      <c r="B111" s="13">
        <v>91.869918699999999</v>
      </c>
      <c r="C111" s="13"/>
    </row>
    <row r="112" spans="2:3" x14ac:dyDescent="0.2">
      <c r="B112" s="13">
        <v>17.045454549999999</v>
      </c>
      <c r="C112" s="13"/>
    </row>
    <row r="113" spans="2:3" x14ac:dyDescent="0.2">
      <c r="B113" s="13">
        <v>62.80991736</v>
      </c>
      <c r="C113" s="13"/>
    </row>
    <row r="114" spans="2:3" x14ac:dyDescent="0.2">
      <c r="B114" s="13">
        <v>98</v>
      </c>
      <c r="C114" s="13"/>
    </row>
    <row r="115" spans="2:3" x14ac:dyDescent="0.2">
      <c r="B115" s="13">
        <v>90.804597700000002</v>
      </c>
      <c r="C115" s="13"/>
    </row>
    <row r="116" spans="2:3" x14ac:dyDescent="0.2">
      <c r="B116" s="13">
        <v>20.652173909999998</v>
      </c>
      <c r="C116" s="13"/>
    </row>
    <row r="117" spans="2:3" x14ac:dyDescent="0.2">
      <c r="B117" s="13">
        <v>58.227848100000003</v>
      </c>
      <c r="C117" s="13"/>
    </row>
    <row r="118" spans="2:3" x14ac:dyDescent="0.2">
      <c r="B118" s="13">
        <v>84</v>
      </c>
      <c r="C118" s="13"/>
    </row>
    <row r="119" spans="2:3" x14ac:dyDescent="0.2">
      <c r="B119" s="13">
        <v>82</v>
      </c>
      <c r="C119" s="13"/>
    </row>
    <row r="120" spans="2:3" x14ac:dyDescent="0.2">
      <c r="B120" s="13">
        <v>81.599999999999994</v>
      </c>
      <c r="C120" s="13"/>
    </row>
    <row r="121" spans="2:3" x14ac:dyDescent="0.2">
      <c r="B121" s="13">
        <v>60.944861029999998</v>
      </c>
      <c r="C121" s="13"/>
    </row>
    <row r="122" spans="2:3" x14ac:dyDescent="0.2">
      <c r="B122" s="13">
        <v>56.953642379999998</v>
      </c>
      <c r="C122" s="13"/>
    </row>
    <row r="123" spans="2:3" x14ac:dyDescent="0.2">
      <c r="B123" s="13">
        <v>42.553191490000003</v>
      </c>
      <c r="C123" s="13"/>
    </row>
    <row r="124" spans="2:3" x14ac:dyDescent="0.2">
      <c r="B124" s="13">
        <v>41.726618709999997</v>
      </c>
      <c r="C124" s="13"/>
    </row>
    <row r="125" spans="2:3" x14ac:dyDescent="0.2">
      <c r="B125" s="13">
        <v>64.077669900000004</v>
      </c>
      <c r="C125" s="13"/>
    </row>
    <row r="126" spans="2:3" x14ac:dyDescent="0.2">
      <c r="B126" s="13">
        <v>57.142857139999997</v>
      </c>
      <c r="C126" s="13"/>
    </row>
    <row r="127" spans="2:3" x14ac:dyDescent="0.2">
      <c r="B127" s="13">
        <v>47.154471540000003</v>
      </c>
      <c r="C127" s="13"/>
    </row>
    <row r="128" spans="2:3" x14ac:dyDescent="0.2">
      <c r="B128" s="13">
        <v>67.479674799999998</v>
      </c>
      <c r="C128" s="13"/>
    </row>
    <row r="129" spans="2:3" x14ac:dyDescent="0.2">
      <c r="B129" s="13">
        <v>27.835051549999999</v>
      </c>
      <c r="C129" s="13"/>
    </row>
    <row r="130" spans="2:3" x14ac:dyDescent="0.2">
      <c r="B130" s="13">
        <v>37.974683540000001</v>
      </c>
      <c r="C130" s="13"/>
    </row>
    <row r="131" spans="2:3" x14ac:dyDescent="0.2">
      <c r="B131" s="13">
        <v>45.945945950000002</v>
      </c>
      <c r="C131" s="13"/>
    </row>
    <row r="132" spans="2:3" x14ac:dyDescent="0.2">
      <c r="B132" s="13">
        <v>45.23809524</v>
      </c>
      <c r="C132" s="13"/>
    </row>
    <row r="133" spans="2:3" x14ac:dyDescent="0.2">
      <c r="B133" s="13">
        <v>49.450549449999997</v>
      </c>
      <c r="C133" s="13"/>
    </row>
    <row r="134" spans="2:3" x14ac:dyDescent="0.2">
      <c r="B134" s="13">
        <v>48.627704309999999</v>
      </c>
      <c r="C134" s="13"/>
    </row>
    <row r="135" spans="2:3" x14ac:dyDescent="0.2">
      <c r="B135" s="13">
        <v>44.144144140000002</v>
      </c>
      <c r="C135" s="13"/>
    </row>
    <row r="136" spans="2:3" x14ac:dyDescent="0.2">
      <c r="B136" s="13">
        <v>80.97826087</v>
      </c>
      <c r="C136" s="13"/>
    </row>
    <row r="137" spans="2:3" x14ac:dyDescent="0.2">
      <c r="B137" s="13">
        <v>84.444444439999998</v>
      </c>
      <c r="C137" s="13"/>
    </row>
    <row r="138" spans="2:3" x14ac:dyDescent="0.2">
      <c r="B138" s="13">
        <v>87.155963299999996</v>
      </c>
      <c r="C138" s="13"/>
    </row>
    <row r="139" spans="2:3" x14ac:dyDescent="0.2">
      <c r="B139" s="13">
        <v>35.263157890000002</v>
      </c>
      <c r="C139" s="13"/>
    </row>
    <row r="140" spans="2:3" x14ac:dyDescent="0.2">
      <c r="B140" s="13">
        <v>81.122448980000001</v>
      </c>
      <c r="C140" s="13"/>
    </row>
    <row r="141" spans="2:3" x14ac:dyDescent="0.2">
      <c r="B141" s="13">
        <v>87.700534759999996</v>
      </c>
      <c r="C141" s="13"/>
    </row>
    <row r="142" spans="2:3" x14ac:dyDescent="0.2">
      <c r="B142" s="13">
        <v>34.831460669999998</v>
      </c>
      <c r="C142" s="13"/>
    </row>
    <row r="143" spans="2:3" x14ac:dyDescent="0.2">
      <c r="B143" s="13">
        <v>71.153846150000007</v>
      </c>
      <c r="C143" s="13"/>
    </row>
    <row r="144" spans="2:3" x14ac:dyDescent="0.2">
      <c r="B144" s="13">
        <v>86.470588239999998</v>
      </c>
      <c r="C144" s="13"/>
    </row>
    <row r="145" spans="2:3" x14ac:dyDescent="0.2">
      <c r="B145" s="13">
        <v>62.9787234</v>
      </c>
      <c r="C145" s="13"/>
    </row>
    <row r="146" spans="2:3" x14ac:dyDescent="0.2">
      <c r="B146" s="13">
        <v>64.73988439</v>
      </c>
      <c r="C146" s="13"/>
    </row>
    <row r="147" spans="2:3" x14ac:dyDescent="0.2">
      <c r="B147" s="13">
        <v>50.344827590000001</v>
      </c>
      <c r="C147" s="13"/>
    </row>
    <row r="148" spans="2:3" x14ac:dyDescent="0.2">
      <c r="B148" s="13">
        <v>18.023255809999998</v>
      </c>
      <c r="C148" s="13"/>
    </row>
    <row r="149" spans="2:3" x14ac:dyDescent="0.2">
      <c r="B149" s="13">
        <v>34.285714290000001</v>
      </c>
      <c r="C149" s="13"/>
    </row>
    <row r="150" spans="2:3" x14ac:dyDescent="0.2">
      <c r="B150" s="13">
        <v>73.958333330000002</v>
      </c>
      <c r="C150" s="13"/>
    </row>
    <row r="151" spans="2:3" x14ac:dyDescent="0.2">
      <c r="B151" s="13">
        <v>50.490196079999997</v>
      </c>
      <c r="C151" s="13"/>
    </row>
    <row r="152" spans="2:3" x14ac:dyDescent="0.2">
      <c r="B152" s="13">
        <v>70.954356849999996</v>
      </c>
      <c r="C152" s="13"/>
    </row>
    <row r="153" spans="2:3" x14ac:dyDescent="0.2">
      <c r="B153" s="13">
        <v>19.634703200000001</v>
      </c>
      <c r="C153" s="13"/>
    </row>
    <row r="154" spans="2:3" x14ac:dyDescent="0.2">
      <c r="B154" s="13">
        <v>59.93025497</v>
      </c>
      <c r="C154" s="13"/>
    </row>
    <row r="155" spans="2:3" x14ac:dyDescent="0.2">
      <c r="B155" s="13">
        <v>74.436090230000005</v>
      </c>
      <c r="C155" s="13"/>
    </row>
    <row r="156" spans="2:3" x14ac:dyDescent="0.2">
      <c r="B156" s="13">
        <v>65.573770490000001</v>
      </c>
      <c r="C156" s="13"/>
    </row>
    <row r="157" spans="2:3" x14ac:dyDescent="0.2">
      <c r="B157" s="13">
        <v>79.166666669999998</v>
      </c>
      <c r="C157" s="13"/>
    </row>
    <row r="158" spans="2:3" x14ac:dyDescent="0.2">
      <c r="B158" s="13">
        <v>41.493775929999998</v>
      </c>
      <c r="C158" s="13"/>
    </row>
    <row r="159" spans="2:3" x14ac:dyDescent="0.2">
      <c r="B159" s="13">
        <v>67.980295569999996</v>
      </c>
      <c r="C159" s="13"/>
    </row>
    <row r="160" spans="2:3" x14ac:dyDescent="0.2">
      <c r="B160" s="13">
        <v>58.16326531</v>
      </c>
      <c r="C160" s="13"/>
    </row>
    <row r="161" spans="2:3" x14ac:dyDescent="0.2">
      <c r="B161" s="13">
        <v>62.698412699999999</v>
      </c>
      <c r="C161" s="13"/>
    </row>
    <row r="162" spans="2:3" x14ac:dyDescent="0.2">
      <c r="B162" s="13">
        <v>72.941176470000002</v>
      </c>
      <c r="C162" s="13"/>
    </row>
    <row r="163" spans="2:3" x14ac:dyDescent="0.2">
      <c r="B163" s="13">
        <v>85.064935059999996</v>
      </c>
      <c r="C163" s="13"/>
    </row>
    <row r="164" spans="2:3" x14ac:dyDescent="0.2">
      <c r="B164" s="13">
        <v>82.993197280000004</v>
      </c>
      <c r="C164" s="13"/>
    </row>
    <row r="165" spans="2:3" x14ac:dyDescent="0.2">
      <c r="B165" s="13">
        <v>73.142857140000004</v>
      </c>
      <c r="C165" s="13"/>
    </row>
    <row r="166" spans="2:3" x14ac:dyDescent="0.2">
      <c r="B166" s="13">
        <v>83.673469389999994</v>
      </c>
      <c r="C166" s="13"/>
    </row>
    <row r="167" spans="2:3" x14ac:dyDescent="0.2">
      <c r="B167" s="13">
        <v>78.014184400000005</v>
      </c>
      <c r="C167" s="13"/>
    </row>
    <row r="168" spans="2:3" x14ac:dyDescent="0.2">
      <c r="B168" s="13">
        <v>61.290322580000002</v>
      </c>
      <c r="C168" s="13"/>
    </row>
    <row r="169" spans="2:3" x14ac:dyDescent="0.2">
      <c r="B169" s="13">
        <v>88.135593220000004</v>
      </c>
      <c r="C169" s="13"/>
    </row>
    <row r="170" spans="2:3" x14ac:dyDescent="0.2">
      <c r="B170" s="13">
        <v>72.549019610000002</v>
      </c>
      <c r="C170" s="13"/>
    </row>
    <row r="171" spans="2:3" x14ac:dyDescent="0.2">
      <c r="B171" s="13">
        <v>74.5</v>
      </c>
      <c r="C171" s="13"/>
    </row>
    <row r="172" spans="2:3" x14ac:dyDescent="0.2">
      <c r="B172" s="13">
        <v>62.4</v>
      </c>
      <c r="C172" s="13"/>
    </row>
    <row r="173" spans="2:3" x14ac:dyDescent="0.2">
      <c r="B173" s="13">
        <v>86.475409839999998</v>
      </c>
      <c r="C173" s="13"/>
    </row>
    <row r="174" spans="2:3" x14ac:dyDescent="0.2">
      <c r="B174" s="13">
        <v>86.877828050000005</v>
      </c>
      <c r="C174" s="13"/>
    </row>
    <row r="175" spans="2:3" x14ac:dyDescent="0.2">
      <c r="B175" s="13">
        <v>100</v>
      </c>
      <c r="C175" s="13"/>
    </row>
    <row r="176" spans="2:3" x14ac:dyDescent="0.2">
      <c r="B176" s="13">
        <v>90.740740740000007</v>
      </c>
      <c r="C176" s="13"/>
    </row>
    <row r="177" spans="2:3" x14ac:dyDescent="0.2">
      <c r="B177" s="13">
        <v>83.229813660000005</v>
      </c>
      <c r="C177" s="13"/>
    </row>
    <row r="178" spans="2:3" x14ac:dyDescent="0.2">
      <c r="B178" s="13">
        <v>65.693430660000004</v>
      </c>
      <c r="C178" s="13"/>
    </row>
    <row r="179" spans="2:3" x14ac:dyDescent="0.2">
      <c r="B179" s="13">
        <v>66.359447000000003</v>
      </c>
      <c r="C179" s="13"/>
    </row>
    <row r="180" spans="2:3" x14ac:dyDescent="0.2">
      <c r="B180" s="13">
        <v>100</v>
      </c>
      <c r="C180" s="13"/>
    </row>
    <row r="181" spans="2:3" x14ac:dyDescent="0.2">
      <c r="B181" s="13">
        <v>75.776397520000003</v>
      </c>
      <c r="C181" s="13"/>
    </row>
    <row r="182" spans="2:3" x14ac:dyDescent="0.2">
      <c r="B182" s="13">
        <v>63.414634149999998</v>
      </c>
      <c r="C182" s="13"/>
    </row>
    <row r="183" spans="2:3" x14ac:dyDescent="0.2">
      <c r="B183" s="13">
        <v>60.360360360000001</v>
      </c>
      <c r="C183" s="13"/>
    </row>
    <row r="184" spans="2:3" x14ac:dyDescent="0.2">
      <c r="B184" s="13">
        <v>64.5</v>
      </c>
      <c r="C184" s="13"/>
    </row>
    <row r="185" spans="2:3" x14ac:dyDescent="0.2">
      <c r="B185" s="13">
        <v>60.833333330000002</v>
      </c>
      <c r="C185" s="13"/>
    </row>
    <row r="186" spans="2:3" x14ac:dyDescent="0.2">
      <c r="B186" s="13">
        <v>70.754716979999998</v>
      </c>
      <c r="C186" s="13"/>
    </row>
    <row r="187" spans="2:3" x14ac:dyDescent="0.2">
      <c r="B187" s="13">
        <v>63.483146069999997</v>
      </c>
      <c r="C187" s="13"/>
    </row>
    <row r="188" spans="2:3" x14ac:dyDescent="0.2">
      <c r="B188" s="13">
        <v>100</v>
      </c>
      <c r="C188" s="13"/>
    </row>
    <row r="189" spans="2:3" x14ac:dyDescent="0.2">
      <c r="B189" s="13">
        <v>76.523485789999995</v>
      </c>
      <c r="C189" s="13"/>
    </row>
    <row r="190" spans="2:3" x14ac:dyDescent="0.2">
      <c r="B190" s="13">
        <v>72.5</v>
      </c>
      <c r="C190" s="13"/>
    </row>
    <row r="191" spans="2:3" x14ac:dyDescent="0.2">
      <c r="B191" s="13">
        <v>52.413793099999999</v>
      </c>
      <c r="C191" s="13"/>
    </row>
    <row r="192" spans="2:3" x14ac:dyDescent="0.2">
      <c r="B192" s="13">
        <v>95</v>
      </c>
      <c r="C192" s="13"/>
    </row>
    <row r="193" spans="2:3" x14ac:dyDescent="0.2">
      <c r="B193" s="13">
        <v>88.524590160000002</v>
      </c>
      <c r="C193" s="13"/>
    </row>
    <row r="194" spans="2:3" x14ac:dyDescent="0.2">
      <c r="B194" s="13">
        <v>82.524271839999997</v>
      </c>
      <c r="C194" s="13"/>
    </row>
    <row r="195" spans="2:3" x14ac:dyDescent="0.2">
      <c r="B195" s="13">
        <v>66.666666669999998</v>
      </c>
      <c r="C195" s="13"/>
    </row>
    <row r="196" spans="2:3" x14ac:dyDescent="0.2">
      <c r="B196" s="13">
        <v>100</v>
      </c>
      <c r="C196" s="13"/>
    </row>
    <row r="197" spans="2:3" x14ac:dyDescent="0.2">
      <c r="B197" s="13">
        <v>62.721893489999999</v>
      </c>
      <c r="C197" s="13"/>
    </row>
    <row r="198" spans="2:3" x14ac:dyDescent="0.2">
      <c r="B198" s="13">
        <v>88.965517239999997</v>
      </c>
      <c r="C198" s="13"/>
    </row>
    <row r="199" spans="2:3" x14ac:dyDescent="0.2">
      <c r="B199" s="13">
        <v>55.462184870000002</v>
      </c>
      <c r="C199" s="13"/>
    </row>
    <row r="200" spans="2:3" x14ac:dyDescent="0.2">
      <c r="B200" s="13">
        <v>75.998999999999995</v>
      </c>
      <c r="C200" s="13"/>
    </row>
    <row r="201" spans="2:3" x14ac:dyDescent="0.2">
      <c r="B201" s="13">
        <v>81.888888899999998</v>
      </c>
      <c r="C201" s="13"/>
    </row>
    <row r="202" spans="2:3" x14ac:dyDescent="0.2">
      <c r="B202" s="13">
        <v>80.158730160000005</v>
      </c>
      <c r="C202" s="13"/>
    </row>
    <row r="203" spans="2:3" x14ac:dyDescent="0.2">
      <c r="B203" s="13">
        <v>80.882352940000004</v>
      </c>
      <c r="C203" s="13"/>
    </row>
    <row r="204" spans="2:3" x14ac:dyDescent="0.2">
      <c r="B204" s="13">
        <v>60.162601629999997</v>
      </c>
      <c r="C204" s="13"/>
    </row>
    <row r="205" spans="2:3" x14ac:dyDescent="0.2">
      <c r="B205" s="13">
        <v>40.963855420000002</v>
      </c>
      <c r="C205" s="13"/>
    </row>
    <row r="206" spans="2:3" x14ac:dyDescent="0.2">
      <c r="B206" s="13">
        <v>60.130718950000002</v>
      </c>
      <c r="C206" s="13"/>
    </row>
    <row r="207" spans="2:3" x14ac:dyDescent="0.2">
      <c r="B207" s="13">
        <v>91.735537190000002</v>
      </c>
      <c r="C207" s="13"/>
    </row>
    <row r="208" spans="2:3" x14ac:dyDescent="0.2">
      <c r="B208" s="13">
        <v>47.5</v>
      </c>
      <c r="C208" s="13"/>
    </row>
    <row r="209" spans="2:3" x14ac:dyDescent="0.2">
      <c r="B209" s="13">
        <v>45.517241380000002</v>
      </c>
      <c r="C209" s="13"/>
    </row>
    <row r="210" spans="2:3" x14ac:dyDescent="0.2">
      <c r="B210" s="13">
        <v>90</v>
      </c>
      <c r="C210" s="13"/>
    </row>
    <row r="211" spans="2:3" x14ac:dyDescent="0.2">
      <c r="B211" s="13">
        <v>96.721311479999997</v>
      </c>
      <c r="C211" s="13"/>
    </row>
    <row r="212" spans="2:3" x14ac:dyDescent="0.2">
      <c r="B212" s="13">
        <v>63.106796119999998</v>
      </c>
      <c r="C212" s="13"/>
    </row>
    <row r="213" spans="2:3" x14ac:dyDescent="0.2">
      <c r="B213" s="13">
        <v>37.931034480000001</v>
      </c>
      <c r="C213" s="13"/>
    </row>
    <row r="214" spans="2:3" x14ac:dyDescent="0.2">
      <c r="B214" s="13">
        <v>100</v>
      </c>
      <c r="C214" s="13"/>
    </row>
    <row r="215" spans="2:3" x14ac:dyDescent="0.2">
      <c r="B215" s="13">
        <v>56.804733730000002</v>
      </c>
      <c r="C215" s="13"/>
    </row>
    <row r="216" spans="2:3" x14ac:dyDescent="0.2">
      <c r="B216" s="13">
        <v>70.344827589999994</v>
      </c>
      <c r="C216" s="13"/>
    </row>
    <row r="217" spans="2:3" x14ac:dyDescent="0.2">
      <c r="B217" s="13">
        <v>38.655462180000001</v>
      </c>
      <c r="C217" s="13"/>
    </row>
    <row r="218" spans="2:3" x14ac:dyDescent="0.2">
      <c r="B218" s="13">
        <v>65.998999999999995</v>
      </c>
      <c r="C218" s="13"/>
    </row>
    <row r="219" spans="2:3" x14ac:dyDescent="0.2">
      <c r="B219" s="13">
        <v>81.888888899999998</v>
      </c>
      <c r="C219" s="13"/>
    </row>
    <row r="220" spans="2:3" x14ac:dyDescent="0.2">
      <c r="B220" s="13">
        <v>56.349206350000003</v>
      </c>
      <c r="C220" s="13"/>
    </row>
    <row r="221" spans="2:3" x14ac:dyDescent="0.2">
      <c r="B221" s="13">
        <v>58.823529409999999</v>
      </c>
      <c r="C221" s="13"/>
    </row>
    <row r="222" spans="2:3" x14ac:dyDescent="0.2">
      <c r="B222" s="13">
        <v>63.414634149999998</v>
      </c>
      <c r="C222" s="13"/>
    </row>
    <row r="223" spans="2:3" x14ac:dyDescent="0.2">
      <c r="B223" s="13">
        <v>61.445783130000002</v>
      </c>
      <c r="C223" s="13"/>
    </row>
    <row r="224" spans="2:3" x14ac:dyDescent="0.2">
      <c r="B224" s="13">
        <v>51.633986929999999</v>
      </c>
      <c r="C224" s="13"/>
    </row>
    <row r="225" spans="2:3" x14ac:dyDescent="0.2">
      <c r="B225" s="13">
        <v>95.867768600000005</v>
      </c>
      <c r="C225" s="13"/>
    </row>
    <row r="226" spans="2:3" x14ac:dyDescent="0.2">
      <c r="B226" s="13">
        <v>95.867768600000005</v>
      </c>
      <c r="C226" s="13"/>
    </row>
    <row r="227" spans="2:3" x14ac:dyDescent="0.2">
      <c r="B227" s="13">
        <v>67.256419629999996</v>
      </c>
      <c r="C227" s="13"/>
    </row>
    <row r="228" spans="2:3" x14ac:dyDescent="0.2">
      <c r="B228" s="13">
        <v>71.428571430000005</v>
      </c>
      <c r="C228" s="13"/>
    </row>
    <row r="229" spans="2:3" x14ac:dyDescent="0.2">
      <c r="B229" s="13">
        <v>74.747474749999995</v>
      </c>
      <c r="C229" s="13"/>
    </row>
    <row r="230" spans="2:3" x14ac:dyDescent="0.2">
      <c r="B230" s="13">
        <v>69.037656900000002</v>
      </c>
      <c r="C230" s="13"/>
    </row>
    <row r="231" spans="2:3" x14ac:dyDescent="0.2">
      <c r="B231" s="13">
        <v>47.945205479999998</v>
      </c>
      <c r="C231" s="13"/>
    </row>
    <row r="232" spans="2:3" x14ac:dyDescent="0.2">
      <c r="B232" s="13">
        <v>30.699088150000001</v>
      </c>
      <c r="C232" s="13"/>
    </row>
    <row r="233" spans="2:3" x14ac:dyDescent="0.2">
      <c r="B233" s="13">
        <v>23.26388889</v>
      </c>
      <c r="C233" s="13"/>
    </row>
    <row r="234" spans="2:3" x14ac:dyDescent="0.2">
      <c r="B234" s="13">
        <v>41.379310340000004</v>
      </c>
      <c r="C234" s="13"/>
    </row>
    <row r="235" spans="2:3" x14ac:dyDescent="0.2">
      <c r="B235" s="13">
        <v>51.214456560000002</v>
      </c>
      <c r="C235" s="13"/>
    </row>
    <row r="236" spans="2:3" x14ac:dyDescent="0.2">
      <c r="B236" s="13">
        <v>94.890510950000007</v>
      </c>
      <c r="C236" s="13"/>
    </row>
    <row r="237" spans="2:3" x14ac:dyDescent="0.2">
      <c r="B237" s="13">
        <v>45.38461538</v>
      </c>
      <c r="C237" s="13"/>
    </row>
    <row r="238" spans="2:3" x14ac:dyDescent="0.2">
      <c r="B238" s="13">
        <v>41.428571429999998</v>
      </c>
      <c r="C238" s="13"/>
    </row>
    <row r="239" spans="2:3" x14ac:dyDescent="0.2">
      <c r="B239" s="13">
        <v>68.553459119999999</v>
      </c>
      <c r="C239" s="13"/>
    </row>
    <row r="240" spans="2:3" x14ac:dyDescent="0.2">
      <c r="B240" s="13">
        <v>31.578947370000002</v>
      </c>
      <c r="C240" s="13"/>
    </row>
    <row r="241" spans="2:3" x14ac:dyDescent="0.2">
      <c r="B241" s="13">
        <v>74.358974360000005</v>
      </c>
      <c r="C241" s="13"/>
    </row>
    <row r="242" spans="2:3" x14ac:dyDescent="0.2">
      <c r="B242" s="13">
        <v>49.090909089999997</v>
      </c>
      <c r="C242" s="13"/>
    </row>
    <row r="243" spans="2:3" x14ac:dyDescent="0.2">
      <c r="B243" s="13">
        <v>57.89799824</v>
      </c>
      <c r="C243" s="13"/>
    </row>
    <row r="244" spans="2:3" x14ac:dyDescent="0.2">
      <c r="B244" s="13">
        <v>84.563758390000004</v>
      </c>
      <c r="C244" s="13"/>
    </row>
    <row r="245" spans="2:3" x14ac:dyDescent="0.2">
      <c r="B245" s="13">
        <v>38.624338620000003</v>
      </c>
      <c r="C245" s="13"/>
    </row>
    <row r="246" spans="2:3" x14ac:dyDescent="0.2">
      <c r="B246" s="13">
        <v>72.727272729999996</v>
      </c>
      <c r="C246" s="13"/>
    </row>
    <row r="247" spans="2:3" x14ac:dyDescent="0.2">
      <c r="B247" s="13">
        <v>70.47619048</v>
      </c>
      <c r="C247" s="13"/>
    </row>
    <row r="248" spans="2:3" x14ac:dyDescent="0.2">
      <c r="B248" s="13">
        <v>54.255319149999998</v>
      </c>
      <c r="C248" s="13"/>
    </row>
    <row r="249" spans="2:3" x14ac:dyDescent="0.2">
      <c r="B249" s="13">
        <v>68.279569890000005</v>
      </c>
      <c r="C249" s="13"/>
    </row>
    <row r="250" spans="2:3" x14ac:dyDescent="0.2">
      <c r="B250" s="13">
        <v>73.880597010000002</v>
      </c>
      <c r="C250" s="13"/>
    </row>
    <row r="251" spans="2:3" x14ac:dyDescent="0.2">
      <c r="B251" s="13">
        <v>88.349514560000003</v>
      </c>
      <c r="C251" s="13"/>
    </row>
    <row r="252" spans="2:3" x14ac:dyDescent="0.2">
      <c r="B252" s="13">
        <v>96.333332999999996</v>
      </c>
      <c r="C252" s="13"/>
    </row>
    <row r="253" spans="2:3" x14ac:dyDescent="0.2">
      <c r="B253" s="13">
        <v>100</v>
      </c>
      <c r="C253" s="13"/>
    </row>
    <row r="254" spans="2:3" x14ac:dyDescent="0.2">
      <c r="B254" s="13">
        <v>91.93</v>
      </c>
      <c r="C254" s="13"/>
    </row>
    <row r="255" spans="2:3" x14ac:dyDescent="0.2">
      <c r="B255" s="13">
        <v>92</v>
      </c>
      <c r="C255" s="13"/>
    </row>
    <row r="256" spans="2:3" x14ac:dyDescent="0.2">
      <c r="B256" s="13">
        <v>70.723684210000002</v>
      </c>
      <c r="C256" s="13"/>
    </row>
    <row r="257" spans="2:3" x14ac:dyDescent="0.2">
      <c r="B257" s="13">
        <v>95.333330000000004</v>
      </c>
      <c r="C257" s="13"/>
    </row>
    <row r="258" spans="2:3" x14ac:dyDescent="0.2">
      <c r="B258" s="13">
        <v>97.666666669999998</v>
      </c>
      <c r="C258" s="13"/>
    </row>
    <row r="259" spans="2:3" x14ac:dyDescent="0.2">
      <c r="B259" s="13">
        <v>91.998144839999995</v>
      </c>
      <c r="C259" s="13"/>
    </row>
    <row r="260" spans="2:3" x14ac:dyDescent="0.2">
      <c r="B260" s="13">
        <v>84.848484850000006</v>
      </c>
      <c r="C260" s="13"/>
    </row>
    <row r="261" spans="2:3" x14ac:dyDescent="0.2">
      <c r="B261" s="13">
        <v>76.363636360000001</v>
      </c>
      <c r="C261" s="13"/>
    </row>
    <row r="262" spans="2:3" x14ac:dyDescent="0.2">
      <c r="B262" s="13">
        <v>86.274509800000004</v>
      </c>
      <c r="C262" s="13"/>
    </row>
    <row r="263" spans="2:3" x14ac:dyDescent="0.2">
      <c r="B263" s="13">
        <v>83.23699422</v>
      </c>
      <c r="C263" s="13"/>
    </row>
    <row r="264" spans="2:3" x14ac:dyDescent="0.2">
      <c r="B264" s="13">
        <v>90.184049079999994</v>
      </c>
      <c r="C264" s="13"/>
    </row>
    <row r="265" spans="2:3" x14ac:dyDescent="0.2">
      <c r="B265" s="13">
        <v>96.078431370000004</v>
      </c>
      <c r="C265" s="13"/>
    </row>
    <row r="266" spans="2:3" x14ac:dyDescent="0.2">
      <c r="B266" s="13">
        <v>71.621621619999999</v>
      </c>
      <c r="C266" s="13"/>
    </row>
    <row r="267" spans="2:3" x14ac:dyDescent="0.2">
      <c r="B267" s="13">
        <v>64.646464649999999</v>
      </c>
      <c r="C267" s="13"/>
    </row>
    <row r="268" spans="2:3" x14ac:dyDescent="0.2">
      <c r="B268" s="13">
        <v>76.363636360000001</v>
      </c>
      <c r="C268" s="13"/>
    </row>
    <row r="269" spans="2:3" x14ac:dyDescent="0.2">
      <c r="B269" s="13">
        <v>66.666666669999998</v>
      </c>
      <c r="C269" s="13"/>
    </row>
    <row r="270" spans="2:3" x14ac:dyDescent="0.2">
      <c r="B270" s="13">
        <v>54.335260120000001</v>
      </c>
      <c r="C270" s="13"/>
    </row>
    <row r="271" spans="2:3" x14ac:dyDescent="0.2">
      <c r="B271" s="13">
        <v>53.37423313</v>
      </c>
      <c r="C271" s="13"/>
    </row>
    <row r="272" spans="2:3" x14ac:dyDescent="0.2">
      <c r="B272" s="13">
        <v>96.078431370000004</v>
      </c>
      <c r="C272" s="13"/>
    </row>
    <row r="273" spans="2:3" x14ac:dyDescent="0.2">
      <c r="B273" s="13">
        <v>29.729729729999999</v>
      </c>
      <c r="C273" s="13"/>
    </row>
    <row r="274" spans="2:3" x14ac:dyDescent="0.2">
      <c r="B274" s="13">
        <v>63.027774569999998</v>
      </c>
      <c r="C274" s="13"/>
    </row>
    <row r="275" spans="2:3" x14ac:dyDescent="0.2">
      <c r="B275" s="13">
        <v>91.457286429999996</v>
      </c>
      <c r="C275" s="13"/>
    </row>
    <row r="276" spans="2:3" x14ac:dyDescent="0.2">
      <c r="B276" s="13">
        <v>94.468085110000004</v>
      </c>
      <c r="C276" s="13"/>
    </row>
    <row r="277" spans="2:3" x14ac:dyDescent="0.2">
      <c r="B277" s="13">
        <v>73.888888890000004</v>
      </c>
      <c r="C277" s="13"/>
    </row>
    <row r="278" spans="2:3" x14ac:dyDescent="0.2">
      <c r="B278" s="13">
        <v>72.727272729999996</v>
      </c>
      <c r="C278" s="13"/>
    </row>
    <row r="279" spans="2:3" x14ac:dyDescent="0.2">
      <c r="B279" s="13">
        <v>74.647887319999995</v>
      </c>
      <c r="C279" s="13"/>
    </row>
    <row r="280" spans="2:3" x14ac:dyDescent="0.2">
      <c r="B280" s="13">
        <v>48.046875</v>
      </c>
      <c r="C280" s="13"/>
    </row>
    <row r="281" spans="2:3" x14ac:dyDescent="0.2">
      <c r="B281" s="13">
        <v>95.495495500000004</v>
      </c>
      <c r="C281" s="13"/>
    </row>
    <row r="282" spans="2:3" x14ac:dyDescent="0.2">
      <c r="B282" s="13">
        <v>25.229357799999999</v>
      </c>
      <c r="C282" s="13"/>
    </row>
    <row r="283" spans="2:3" x14ac:dyDescent="0.2">
      <c r="B283" s="13">
        <v>8.0291970799999994</v>
      </c>
      <c r="C283" s="13"/>
    </row>
    <row r="284" spans="2:3" x14ac:dyDescent="0.2">
      <c r="B284" s="13">
        <v>33.333333330000002</v>
      </c>
      <c r="C284" s="13"/>
    </row>
    <row r="285" spans="2:3" x14ac:dyDescent="0.2">
      <c r="B285" s="13">
        <v>28.143712570000002</v>
      </c>
      <c r="C285" s="13"/>
    </row>
    <row r="286" spans="2:3" x14ac:dyDescent="0.2">
      <c r="B286" s="13">
        <v>58.032733890000003</v>
      </c>
      <c r="C286" s="13"/>
    </row>
    <row r="287" spans="2:3" x14ac:dyDescent="0.2">
      <c r="B287" s="13">
        <v>68.75</v>
      </c>
      <c r="C287" s="13"/>
    </row>
    <row r="288" spans="2:3" x14ac:dyDescent="0.2">
      <c r="B288" s="13">
        <v>80.769230769999993</v>
      </c>
      <c r="C288" s="13"/>
    </row>
    <row r="289" spans="2:3" x14ac:dyDescent="0.2">
      <c r="B289" s="13">
        <v>36.363636360000001</v>
      </c>
      <c r="C289" s="13"/>
    </row>
    <row r="290" spans="2:3" x14ac:dyDescent="0.2">
      <c r="B290" s="13">
        <v>66.08187135</v>
      </c>
      <c r="C290" s="13"/>
    </row>
    <row r="291" spans="2:3" x14ac:dyDescent="0.2">
      <c r="B291" s="13">
        <v>68.780487800000003</v>
      </c>
      <c r="C291" s="13"/>
    </row>
    <row r="292" spans="2:3" x14ac:dyDescent="0.2">
      <c r="B292" s="13">
        <v>67.261904759999993</v>
      </c>
      <c r="C292" s="13"/>
    </row>
    <row r="293" spans="2:3" x14ac:dyDescent="0.2">
      <c r="B293" s="13">
        <v>73.372781070000002</v>
      </c>
      <c r="C293" s="13"/>
    </row>
    <row r="294" spans="2:3" x14ac:dyDescent="0.2">
      <c r="B294" s="13">
        <v>63.761467889999999</v>
      </c>
      <c r="C294" s="13"/>
    </row>
    <row r="295" spans="2:3" x14ac:dyDescent="0.2">
      <c r="B295" s="13">
        <v>51.351351350000002</v>
      </c>
      <c r="C295" s="13"/>
    </row>
    <row r="296" spans="2:3" x14ac:dyDescent="0.2">
      <c r="B296" s="13">
        <v>49.444444439999998</v>
      </c>
      <c r="C296" s="13"/>
    </row>
    <row r="297" spans="2:3" x14ac:dyDescent="0.2">
      <c r="B297" s="13">
        <v>82.795698920000007</v>
      </c>
      <c r="C297" s="13"/>
    </row>
    <row r="298" spans="2:3" x14ac:dyDescent="0.2">
      <c r="B298" s="13">
        <v>77.483443710000003</v>
      </c>
      <c r="C298" s="13"/>
    </row>
    <row r="299" spans="2:3" x14ac:dyDescent="0.2">
      <c r="B299" s="13">
        <v>83.606557379999998</v>
      </c>
      <c r="C299" s="13"/>
    </row>
    <row r="300" spans="2:3" x14ac:dyDescent="0.2">
      <c r="B300" s="13">
        <v>35.947712420000002</v>
      </c>
      <c r="C300" s="13"/>
    </row>
    <row r="301" spans="2:3" x14ac:dyDescent="0.2">
      <c r="B301" s="13">
        <v>54.054054049999998</v>
      </c>
      <c r="C301" s="13"/>
    </row>
    <row r="302" spans="2:3" x14ac:dyDescent="0.2">
      <c r="B302" s="13">
        <v>34.59459459</v>
      </c>
      <c r="C302" s="13"/>
    </row>
    <row r="303" spans="2:3" x14ac:dyDescent="0.2">
      <c r="B303" s="13">
        <v>88.349514560000003</v>
      </c>
      <c r="C303" s="13"/>
    </row>
    <row r="304" spans="2:3" x14ac:dyDescent="0.2">
      <c r="B304" s="13">
        <v>87.431693989999999</v>
      </c>
      <c r="C304" s="13"/>
    </row>
    <row r="305" spans="2:3" x14ac:dyDescent="0.2">
      <c r="B305" s="13">
        <v>53.731343279999997</v>
      </c>
      <c r="C305" s="13"/>
    </row>
    <row r="306" spans="2:3" x14ac:dyDescent="0.2">
      <c r="B306" s="13">
        <v>60.509554139999999</v>
      </c>
      <c r="C306" s="13"/>
    </row>
    <row r="307" spans="2:3" x14ac:dyDescent="0.2">
      <c r="B307" s="13">
        <v>64.150943400000003</v>
      </c>
      <c r="C307" s="13"/>
    </row>
    <row r="308" spans="2:3" x14ac:dyDescent="0.2">
      <c r="B308" s="13">
        <v>62.79069767</v>
      </c>
      <c r="C308" s="13"/>
    </row>
    <row r="309" spans="2:3" x14ac:dyDescent="0.2">
      <c r="B309" s="13">
        <v>78.423236509999995</v>
      </c>
      <c r="C309" s="13"/>
    </row>
    <row r="310" spans="2:3" x14ac:dyDescent="0.2">
      <c r="B310" s="13">
        <v>65</v>
      </c>
      <c r="C310" s="13"/>
    </row>
    <row r="311" spans="2:3" x14ac:dyDescent="0.2">
      <c r="B311" s="13">
        <v>75.806451609999996</v>
      </c>
      <c r="C311" s="13"/>
    </row>
    <row r="312" spans="2:3" x14ac:dyDescent="0.2">
      <c r="B312" s="13">
        <v>88.995215310000006</v>
      </c>
      <c r="C312" s="13"/>
    </row>
    <row r="313" spans="2:3" x14ac:dyDescent="0.2">
      <c r="B313" s="13">
        <v>76.724137929999998</v>
      </c>
      <c r="C313" s="13"/>
    </row>
    <row r="314" spans="2:3" x14ac:dyDescent="0.2">
      <c r="B314" s="13">
        <v>61.53846154</v>
      </c>
      <c r="C314" s="13"/>
    </row>
    <row r="315" spans="2:3" x14ac:dyDescent="0.2">
      <c r="B315" s="13">
        <v>59.41176471</v>
      </c>
      <c r="C315" s="13"/>
    </row>
    <row r="316" spans="2:3" x14ac:dyDescent="0.2">
      <c r="B316" s="13">
        <v>10.71428571</v>
      </c>
      <c r="C316" s="13"/>
    </row>
    <row r="317" spans="2:3" x14ac:dyDescent="0.2">
      <c r="B317" s="13">
        <v>67.326732669999998</v>
      </c>
      <c r="C317" s="13"/>
    </row>
    <row r="318" spans="2:3" x14ac:dyDescent="0.2">
      <c r="B318" s="13">
        <v>66.070999999999998</v>
      </c>
      <c r="C318" s="13"/>
    </row>
    <row r="319" spans="2:3" x14ac:dyDescent="0.2">
      <c r="B319" s="13">
        <v>59.589041100000003</v>
      </c>
      <c r="C319" s="13"/>
    </row>
    <row r="320" spans="2:3" x14ac:dyDescent="0.2">
      <c r="B320" s="13">
        <v>45.283018869999999</v>
      </c>
      <c r="C320" s="13"/>
    </row>
    <row r="321" spans="2:3" x14ac:dyDescent="0.2">
      <c r="B321" s="13">
        <v>63.945578230000002</v>
      </c>
      <c r="C321" s="13"/>
    </row>
    <row r="322" spans="2:3" x14ac:dyDescent="0.2">
      <c r="B322" s="13">
        <v>44.549763030000001</v>
      </c>
      <c r="C322" s="13"/>
    </row>
    <row r="323" spans="2:3" x14ac:dyDescent="0.2">
      <c r="B323" s="13">
        <v>57.936507939999998</v>
      </c>
      <c r="C323" s="13"/>
    </row>
    <row r="324" spans="2:3" x14ac:dyDescent="0.2">
      <c r="B324" s="13">
        <v>70.769230769999993</v>
      </c>
      <c r="C324" s="13"/>
    </row>
    <row r="325" spans="2:3" x14ac:dyDescent="0.2">
      <c r="B325" s="13">
        <v>81.300813009999999</v>
      </c>
      <c r="C325" s="13"/>
    </row>
    <row r="326" spans="2:3" x14ac:dyDescent="0.2">
      <c r="B326" s="13">
        <v>63.041821710000001</v>
      </c>
      <c r="C326" s="13"/>
    </row>
    <row r="327" spans="2:3" x14ac:dyDescent="0.2">
      <c r="B327" s="13">
        <v>90.604026849999997</v>
      </c>
      <c r="C327" s="13"/>
    </row>
    <row r="328" spans="2:3" x14ac:dyDescent="0.2">
      <c r="B328" s="13">
        <v>84.931506850000005</v>
      </c>
      <c r="C328" s="13"/>
    </row>
    <row r="329" spans="2:3" x14ac:dyDescent="0.2">
      <c r="B329" s="13">
        <v>97</v>
      </c>
      <c r="C329" s="13"/>
    </row>
    <row r="330" spans="2:3" x14ac:dyDescent="0.2">
      <c r="B330" s="13">
        <v>65.306122450000004</v>
      </c>
      <c r="C330" s="13"/>
    </row>
    <row r="331" spans="2:3" x14ac:dyDescent="0.2">
      <c r="B331" s="13">
        <v>76.984126979999999</v>
      </c>
      <c r="C331" s="13"/>
    </row>
    <row r="332" spans="2:3" x14ac:dyDescent="0.2">
      <c r="B332" s="13">
        <v>95</v>
      </c>
      <c r="C332" s="13"/>
    </row>
    <row r="333" spans="2:3" x14ac:dyDescent="0.2">
      <c r="B333" s="13">
        <v>86.178861789999999</v>
      </c>
      <c r="C333" s="13"/>
    </row>
    <row r="334" spans="2:3" x14ac:dyDescent="0.2">
      <c r="B334" s="13">
        <v>43.010752689999997</v>
      </c>
      <c r="C334" s="13"/>
    </row>
    <row r="335" spans="2:3" x14ac:dyDescent="0.2">
      <c r="B335" s="13">
        <v>93.193717280000001</v>
      </c>
      <c r="C335" s="13"/>
    </row>
    <row r="336" spans="2:3" x14ac:dyDescent="0.2">
      <c r="B336" s="13">
        <v>82.959641259999998</v>
      </c>
      <c r="C336" s="13"/>
    </row>
    <row r="337" spans="2:3" x14ac:dyDescent="0.2">
      <c r="B337" s="13">
        <v>84.8</v>
      </c>
      <c r="C337" s="13"/>
    </row>
    <row r="338" spans="2:3" x14ac:dyDescent="0.2">
      <c r="B338" s="13">
        <v>67.90123457</v>
      </c>
      <c r="C338" s="13"/>
    </row>
    <row r="339" spans="2:3" x14ac:dyDescent="0.2">
      <c r="B339" s="13">
        <v>67.261904759999993</v>
      </c>
      <c r="C339" s="13"/>
    </row>
    <row r="340" spans="2:3" x14ac:dyDescent="0.2">
      <c r="B340" s="13">
        <v>71.074380169999998</v>
      </c>
      <c r="C340" s="13"/>
    </row>
    <row r="341" spans="2:3" x14ac:dyDescent="0.2">
      <c r="B341" s="13">
        <v>52.5</v>
      </c>
      <c r="C341" s="13"/>
    </row>
    <row r="342" spans="2:3" x14ac:dyDescent="0.2">
      <c r="B342" s="13">
        <v>70.689655169999995</v>
      </c>
      <c r="C342" s="13"/>
    </row>
    <row r="343" spans="2:3" x14ac:dyDescent="0.2">
      <c r="B343" s="13">
        <v>45.783132530000003</v>
      </c>
      <c r="C343" s="13"/>
    </row>
    <row r="344" spans="2:3" x14ac:dyDescent="0.2">
      <c r="B344" s="13">
        <v>56.716417909999997</v>
      </c>
      <c r="C344" s="13"/>
    </row>
    <row r="345" spans="2:3" x14ac:dyDescent="0.2">
      <c r="B345" s="13">
        <v>85</v>
      </c>
      <c r="C345" s="13"/>
    </row>
    <row r="346" spans="2:3" x14ac:dyDescent="0.2">
      <c r="B346" s="13">
        <v>60.377358489999999</v>
      </c>
      <c r="C346" s="13"/>
    </row>
    <row r="347" spans="2:3" x14ac:dyDescent="0.2">
      <c r="B347" s="13">
        <v>67.857142859999996</v>
      </c>
      <c r="C347" s="13"/>
    </row>
    <row r="348" spans="2:3" x14ac:dyDescent="0.2">
      <c r="B348" s="13">
        <v>27.777777780000001</v>
      </c>
      <c r="C348" s="13"/>
    </row>
    <row r="349" spans="2:3" x14ac:dyDescent="0.2">
      <c r="B349" s="13">
        <v>80.769230769999993</v>
      </c>
      <c r="C349" s="13"/>
    </row>
    <row r="350" spans="2:3" x14ac:dyDescent="0.2">
      <c r="B350" s="13">
        <v>67.479674799999998</v>
      </c>
      <c r="C350" s="13"/>
    </row>
    <row r="351" spans="2:3" x14ac:dyDescent="0.2">
      <c r="B351" s="13">
        <v>63.758389260000001</v>
      </c>
      <c r="C351" s="13"/>
    </row>
    <row r="352" spans="2:3" x14ac:dyDescent="0.2">
      <c r="B352" s="13">
        <v>78.082191780000002</v>
      </c>
      <c r="C352" s="13"/>
    </row>
    <row r="353" spans="2:3" x14ac:dyDescent="0.2">
      <c r="B353" s="13">
        <v>69.950738920000006</v>
      </c>
      <c r="C353" s="13"/>
    </row>
    <row r="354" spans="2:3" x14ac:dyDescent="0.2">
      <c r="B354" s="13">
        <v>51.700680269999999</v>
      </c>
      <c r="C354" s="13"/>
    </row>
    <row r="355" spans="2:3" x14ac:dyDescent="0.2">
      <c r="B355" s="13">
        <v>69.047619049999994</v>
      </c>
      <c r="C355" s="13"/>
    </row>
    <row r="356" spans="2:3" x14ac:dyDescent="0.2">
      <c r="B356" s="13">
        <v>60</v>
      </c>
      <c r="C356" s="13"/>
    </row>
    <row r="357" spans="2:3" x14ac:dyDescent="0.2">
      <c r="B357" s="13">
        <v>37.398373980000002</v>
      </c>
      <c r="C357" s="13"/>
    </row>
    <row r="358" spans="2:3" x14ac:dyDescent="0.2">
      <c r="B358" s="13">
        <v>32.258064519999998</v>
      </c>
      <c r="C358" s="13"/>
    </row>
    <row r="359" spans="2:3" x14ac:dyDescent="0.2">
      <c r="B359" s="13">
        <v>77.486910989999998</v>
      </c>
      <c r="C359" s="13"/>
    </row>
    <row r="360" spans="2:3" x14ac:dyDescent="0.2">
      <c r="B360" s="13">
        <v>60.538116590000001</v>
      </c>
      <c r="C360" s="13"/>
    </row>
    <row r="361" spans="2:3" x14ac:dyDescent="0.2">
      <c r="B361" s="13">
        <v>36.799999999999997</v>
      </c>
      <c r="C361" s="13"/>
    </row>
    <row r="362" spans="2:3" x14ac:dyDescent="0.2">
      <c r="B362" s="13">
        <v>55.555555560000002</v>
      </c>
      <c r="C362" s="13"/>
    </row>
    <row r="363" spans="2:3" x14ac:dyDescent="0.2">
      <c r="B363" s="13">
        <v>55.357142860000003</v>
      </c>
      <c r="C363" s="13"/>
    </row>
    <row r="364" spans="2:3" x14ac:dyDescent="0.2">
      <c r="B364" s="13">
        <v>29.752066119999999</v>
      </c>
      <c r="C364" s="13"/>
    </row>
    <row r="365" spans="2:3" x14ac:dyDescent="0.2">
      <c r="B365" s="13">
        <v>40</v>
      </c>
      <c r="C365" s="13"/>
    </row>
    <row r="366" spans="2:3" x14ac:dyDescent="0.2">
      <c r="B366" s="13">
        <v>44.82758621</v>
      </c>
      <c r="C366" s="13"/>
    </row>
    <row r="367" spans="2:3" x14ac:dyDescent="0.2">
      <c r="B367" s="13">
        <v>9.6385542169999994</v>
      </c>
      <c r="C367" s="13"/>
    </row>
    <row r="368" spans="2:3" x14ac:dyDescent="0.2">
      <c r="B368" s="13">
        <v>49.253731340000002</v>
      </c>
      <c r="C368" s="13"/>
    </row>
    <row r="369" spans="2:3" x14ac:dyDescent="0.2">
      <c r="B369" s="13">
        <v>85</v>
      </c>
      <c r="C369" s="13"/>
    </row>
    <row r="370" spans="2:3" x14ac:dyDescent="0.2">
      <c r="B370" s="13">
        <v>60.377358489999999</v>
      </c>
      <c r="C370" s="13"/>
    </row>
    <row r="371" spans="2:3" x14ac:dyDescent="0.2">
      <c r="B371" s="13">
        <v>67.857142859999996</v>
      </c>
      <c r="C371" s="13"/>
    </row>
    <row r="372" spans="2:3" x14ac:dyDescent="0.2">
      <c r="B372" s="13">
        <v>73.611111109999996</v>
      </c>
      <c r="C372" s="13"/>
    </row>
    <row r="373" spans="2:3" x14ac:dyDescent="0.2">
      <c r="B373" s="13">
        <v>51.92307692</v>
      </c>
      <c r="C373" s="13"/>
    </row>
    <row r="374" spans="2:3" x14ac:dyDescent="0.2">
      <c r="B374" s="13">
        <v>51.219512199999997</v>
      </c>
      <c r="C374" s="13"/>
    </row>
    <row r="375" spans="2:3" x14ac:dyDescent="0.2">
      <c r="B375" s="13">
        <v>54.641413470000003</v>
      </c>
      <c r="C375" s="13"/>
    </row>
    <row r="376" spans="2:3" x14ac:dyDescent="0.2">
      <c r="B376" s="13">
        <v>17.475728159999999</v>
      </c>
      <c r="C376" s="13"/>
    </row>
    <row r="377" spans="2:3" x14ac:dyDescent="0.2">
      <c r="B377" s="13">
        <v>25.352112680000001</v>
      </c>
      <c r="C377" s="13"/>
    </row>
    <row r="378" spans="2:3" x14ac:dyDescent="0.2">
      <c r="B378" s="13">
        <v>21.787709499999998</v>
      </c>
      <c r="C378" s="13"/>
    </row>
    <row r="379" spans="2:3" x14ac:dyDescent="0.2">
      <c r="B379" s="13">
        <v>72.556390980000003</v>
      </c>
      <c r="C379" s="13"/>
    </row>
    <row r="380" spans="2:3" x14ac:dyDescent="0.2">
      <c r="B380" s="13">
        <v>95.804195800000002</v>
      </c>
      <c r="C380" s="13"/>
    </row>
    <row r="381" spans="2:3" x14ac:dyDescent="0.2">
      <c r="B381" s="13">
        <v>58.71886121</v>
      </c>
      <c r="C381" s="13"/>
    </row>
    <row r="382" spans="2:3" x14ac:dyDescent="0.2">
      <c r="B382" s="13">
        <v>91.477272729999996</v>
      </c>
      <c r="C382" s="13"/>
    </row>
    <row r="383" spans="2:3" x14ac:dyDescent="0.2">
      <c r="B383" s="13">
        <v>78.606965169999995</v>
      </c>
      <c r="C383" s="13"/>
    </row>
    <row r="384" spans="2:3" x14ac:dyDescent="0.2">
      <c r="B384" s="13">
        <v>72</v>
      </c>
      <c r="C384" s="13"/>
    </row>
    <row r="385" spans="2:3" x14ac:dyDescent="0.2">
      <c r="B385" s="13">
        <v>39.215686269999999</v>
      </c>
      <c r="C385" s="13"/>
    </row>
    <row r="386" spans="2:3" x14ac:dyDescent="0.2">
      <c r="B386" s="13">
        <v>53.521126760000001</v>
      </c>
      <c r="C386" s="13"/>
    </row>
    <row r="387" spans="2:3" x14ac:dyDescent="0.2">
      <c r="B387" s="13">
        <v>63.703703699999998</v>
      </c>
      <c r="C387" s="13"/>
    </row>
    <row r="388" spans="2:3" x14ac:dyDescent="0.2">
      <c r="B388" s="13">
        <v>56.88622754</v>
      </c>
      <c r="C388" s="13"/>
    </row>
    <row r="389" spans="2:3" x14ac:dyDescent="0.2">
      <c r="B389" s="13">
        <v>57.469690810000003</v>
      </c>
      <c r="C389" s="13"/>
    </row>
    <row r="390" spans="2:3" x14ac:dyDescent="0.2">
      <c r="B390" s="13">
        <v>7.9646020000000002</v>
      </c>
      <c r="C390" s="13"/>
    </row>
    <row r="391" spans="2:3" x14ac:dyDescent="0.2">
      <c r="B391" s="13">
        <v>23.47418</v>
      </c>
      <c r="C391" s="13"/>
    </row>
    <row r="392" spans="2:3" x14ac:dyDescent="0.2">
      <c r="B392" s="13">
        <v>38.547490000000003</v>
      </c>
      <c r="C392" s="13"/>
    </row>
    <row r="393" spans="2:3" x14ac:dyDescent="0.2">
      <c r="B393" s="13">
        <v>34.962409999999998</v>
      </c>
      <c r="C393" s="13"/>
    </row>
    <row r="394" spans="2:3" x14ac:dyDescent="0.2">
      <c r="B394" s="13">
        <v>93.006990000000002</v>
      </c>
      <c r="C394" s="13"/>
    </row>
    <row r="395" spans="2:3" x14ac:dyDescent="0.2">
      <c r="B395" s="13">
        <v>65.124560000000002</v>
      </c>
      <c r="C395" s="13"/>
    </row>
    <row r="396" spans="2:3" x14ac:dyDescent="0.2">
      <c r="B396" s="13">
        <v>81.25</v>
      </c>
      <c r="C396" s="13"/>
    </row>
    <row r="397" spans="2:3" x14ac:dyDescent="0.2">
      <c r="B397" s="13">
        <v>79.104479999999995</v>
      </c>
      <c r="C397" s="13"/>
    </row>
    <row r="398" spans="2:3" x14ac:dyDescent="0.2">
      <c r="B398" s="13">
        <v>76</v>
      </c>
      <c r="C398" s="13"/>
    </row>
    <row r="399" spans="2:3" x14ac:dyDescent="0.2">
      <c r="B399" s="13">
        <v>49.01961</v>
      </c>
      <c r="C399" s="13"/>
    </row>
    <row r="400" spans="2:3" x14ac:dyDescent="0.2">
      <c r="B400" s="13">
        <v>18.30986</v>
      </c>
      <c r="C400" s="13"/>
    </row>
    <row r="401" spans="2:3" x14ac:dyDescent="0.2">
      <c r="B401" s="13">
        <v>75.55556</v>
      </c>
      <c r="C401" s="13"/>
    </row>
    <row r="402" spans="2:3" x14ac:dyDescent="0.2">
      <c r="B402" s="13">
        <v>62.275449999999999</v>
      </c>
      <c r="C402" s="13"/>
    </row>
    <row r="403" spans="2:3" x14ac:dyDescent="0.2">
      <c r="B403" s="13">
        <v>54.199629999999999</v>
      </c>
      <c r="C403" s="13"/>
    </row>
    <row r="404" spans="2:3" x14ac:dyDescent="0.2">
      <c r="B404" s="13">
        <v>63.387978140000001</v>
      </c>
      <c r="C404" s="13"/>
    </row>
    <row r="405" spans="2:3" x14ac:dyDescent="0.2">
      <c r="B405" s="13">
        <v>66</v>
      </c>
      <c r="C405" s="13"/>
    </row>
    <row r="406" spans="2:3" x14ac:dyDescent="0.2">
      <c r="B406" s="13">
        <v>67.857142859999996</v>
      </c>
      <c r="C406" s="13"/>
    </row>
    <row r="407" spans="2:3" x14ac:dyDescent="0.2">
      <c r="B407" s="13">
        <v>75.496688739999996</v>
      </c>
      <c r="C407" s="13"/>
    </row>
    <row r="408" spans="2:3" x14ac:dyDescent="0.2">
      <c r="B408" s="13">
        <v>52.873563220000001</v>
      </c>
      <c r="C408" s="13"/>
    </row>
    <row r="409" spans="2:3" x14ac:dyDescent="0.2">
      <c r="B409" s="13">
        <v>59.756097560000001</v>
      </c>
      <c r="C409" s="13"/>
    </row>
    <row r="410" spans="2:3" x14ac:dyDescent="0.2">
      <c r="B410" s="13">
        <v>62.31884058</v>
      </c>
      <c r="C410" s="13"/>
    </row>
    <row r="411" spans="2:3" x14ac:dyDescent="0.2">
      <c r="B411" s="13">
        <v>33.333333330000002</v>
      </c>
      <c r="C411" s="13"/>
    </row>
    <row r="412" spans="2:3" x14ac:dyDescent="0.2">
      <c r="B412" s="13">
        <v>34.375</v>
      </c>
      <c r="C412" s="13"/>
    </row>
    <row r="413" spans="2:3" x14ac:dyDescent="0.2">
      <c r="B413" s="13">
        <v>49.082568809999998</v>
      </c>
      <c r="C413" s="13"/>
    </row>
    <row r="414" spans="2:3" x14ac:dyDescent="0.2">
      <c r="B414" s="13">
        <v>83.734939760000003</v>
      </c>
      <c r="C414" s="13"/>
    </row>
    <row r="415" spans="2:3" x14ac:dyDescent="0.2">
      <c r="B415" s="13">
        <v>75.206611570000007</v>
      </c>
      <c r="C415" s="13"/>
    </row>
    <row r="416" spans="2:3" x14ac:dyDescent="0.2">
      <c r="B416" s="13">
        <v>28.865979379999999</v>
      </c>
      <c r="C416" s="13"/>
    </row>
    <row r="417" spans="2:3" x14ac:dyDescent="0.2">
      <c r="B417" s="13">
        <v>55.445544550000001</v>
      </c>
      <c r="C417" s="13"/>
    </row>
    <row r="418" spans="2:3" x14ac:dyDescent="0.2">
      <c r="B418" s="13">
        <v>66.847826089999998</v>
      </c>
      <c r="C418" s="13"/>
    </row>
    <row r="419" spans="2:3" x14ac:dyDescent="0.2">
      <c r="B419" s="13">
        <v>67.193675889999994</v>
      </c>
      <c r="C419" s="13"/>
    </row>
    <row r="420" spans="2:3" x14ac:dyDescent="0.2">
      <c r="B420" s="13">
        <v>71.597633139999999</v>
      </c>
      <c r="C420" s="13"/>
    </row>
    <row r="421" spans="2:3" x14ac:dyDescent="0.2">
      <c r="B421" s="13">
        <v>47.826086959999998</v>
      </c>
      <c r="C421" s="13"/>
    </row>
    <row r="422" spans="2:3" x14ac:dyDescent="0.2">
      <c r="B422" s="13">
        <v>56.557377049999999</v>
      </c>
      <c r="C422" s="13"/>
    </row>
    <row r="423" spans="2:3" x14ac:dyDescent="0.2">
      <c r="B423" s="13">
        <v>77.777777779999994</v>
      </c>
      <c r="C423" s="13"/>
    </row>
    <row r="424" spans="2:3" x14ac:dyDescent="0.2">
      <c r="B424" s="13">
        <v>67.5</v>
      </c>
      <c r="C424" s="13"/>
    </row>
    <row r="425" spans="2:3" x14ac:dyDescent="0.2">
      <c r="B425" s="13">
        <v>67.045454550000002</v>
      </c>
      <c r="C425" s="13"/>
    </row>
    <row r="426" spans="2:3" x14ac:dyDescent="0.2">
      <c r="B426" s="13">
        <v>51.612903230000001</v>
      </c>
      <c r="C426" s="13"/>
    </row>
    <row r="427" spans="2:3" x14ac:dyDescent="0.2">
      <c r="B427" s="13">
        <v>46.052631580000003</v>
      </c>
      <c r="C427" s="13"/>
    </row>
    <row r="428" spans="2:3" x14ac:dyDescent="0.2">
      <c r="B428" s="13">
        <v>57.954545449999998</v>
      </c>
      <c r="C428" s="13"/>
    </row>
    <row r="429" spans="2:3" x14ac:dyDescent="0.2">
      <c r="B429" s="13">
        <v>74.814814810000001</v>
      </c>
      <c r="C429" s="13"/>
    </row>
    <row r="430" spans="2:3" x14ac:dyDescent="0.2">
      <c r="B430" s="13">
        <v>20.60606061</v>
      </c>
      <c r="C430" s="13"/>
    </row>
    <row r="431" spans="2:3" x14ac:dyDescent="0.2">
      <c r="B431" s="13">
        <v>30.386740329999999</v>
      </c>
      <c r="C431" s="13"/>
    </row>
    <row r="432" spans="2:3" x14ac:dyDescent="0.2">
      <c r="B432" s="13">
        <v>59.25925926</v>
      </c>
      <c r="C432" s="13"/>
    </row>
    <row r="433" spans="2:3" x14ac:dyDescent="0.2">
      <c r="B433" s="13">
        <v>75.38461538</v>
      </c>
      <c r="C433" s="13"/>
    </row>
    <row r="434" spans="2:3" x14ac:dyDescent="0.2">
      <c r="B434" s="13">
        <v>73</v>
      </c>
      <c r="C434" s="13"/>
    </row>
    <row r="435" spans="2:3" x14ac:dyDescent="0.2">
      <c r="B435" s="13">
        <v>88.275862070000002</v>
      </c>
      <c r="C435" s="13"/>
    </row>
    <row r="436" spans="2:3" x14ac:dyDescent="0.2">
      <c r="B436" s="13">
        <v>52.272727269999997</v>
      </c>
      <c r="C436" s="13"/>
    </row>
    <row r="437" spans="2:3" x14ac:dyDescent="0.2">
      <c r="B437" s="13">
        <v>54.385964909999998</v>
      </c>
      <c r="C437" s="13"/>
    </row>
    <row r="438" spans="2:3" x14ac:dyDescent="0.2">
      <c r="B438" s="13">
        <v>59.555420890000001</v>
      </c>
      <c r="C438" s="13"/>
    </row>
    <row r="439" spans="2:3" x14ac:dyDescent="0.2">
      <c r="B439" s="13">
        <v>11.764705879999999</v>
      </c>
      <c r="C439" s="13"/>
    </row>
    <row r="440" spans="2:3" x14ac:dyDescent="0.2">
      <c r="B440" s="13">
        <v>33.210332100000002</v>
      </c>
      <c r="C440" s="13"/>
    </row>
    <row r="441" spans="2:3" x14ac:dyDescent="0.2">
      <c r="B441" s="13">
        <v>41.322314050000003</v>
      </c>
      <c r="C441" s="13"/>
    </row>
    <row r="442" spans="2:3" x14ac:dyDescent="0.2">
      <c r="B442" s="13">
        <v>80.508474579999998</v>
      </c>
      <c r="C442" s="13"/>
    </row>
    <row r="443" spans="2:3" x14ac:dyDescent="0.2">
      <c r="B443" s="13">
        <v>73.770491800000002</v>
      </c>
      <c r="C443" s="13"/>
    </row>
    <row r="444" spans="2:3" x14ac:dyDescent="0.2">
      <c r="B444" s="13">
        <v>92.771084340000002</v>
      </c>
      <c r="C444" s="13"/>
    </row>
    <row r="445" spans="2:3" x14ac:dyDescent="0.2">
      <c r="B445" s="13">
        <v>35</v>
      </c>
      <c r="C445" s="13"/>
    </row>
    <row r="446" spans="2:3" x14ac:dyDescent="0.2">
      <c r="B446" s="13">
        <v>65.217391300000003</v>
      </c>
      <c r="C446" s="13"/>
    </row>
    <row r="447" spans="2:3" x14ac:dyDescent="0.2">
      <c r="B447" s="13">
        <v>34.545454550000002</v>
      </c>
      <c r="C447" s="13"/>
    </row>
    <row r="448" spans="2:3" x14ac:dyDescent="0.2">
      <c r="B448" s="13">
        <v>64.220183489999997</v>
      </c>
      <c r="C448" s="13"/>
    </row>
    <row r="449" spans="2:3" x14ac:dyDescent="0.2">
      <c r="B449" s="13">
        <v>49.367088610000003</v>
      </c>
      <c r="C449" s="13"/>
    </row>
    <row r="450" spans="2:3" x14ac:dyDescent="0.2">
      <c r="B450" s="13">
        <v>55.056179780000001</v>
      </c>
      <c r="C450" s="13"/>
    </row>
    <row r="451" spans="2:3" x14ac:dyDescent="0.2">
      <c r="B451" s="13">
        <v>57.627118639999999</v>
      </c>
      <c r="C451" s="13"/>
    </row>
    <row r="452" spans="2:3" x14ac:dyDescent="0.2">
      <c r="B452" s="13">
        <v>36.898395720000003</v>
      </c>
      <c r="C452" s="13"/>
    </row>
    <row r="453" spans="2:3" x14ac:dyDescent="0.2">
      <c r="B453" s="13">
        <v>52.631578949999998</v>
      </c>
      <c r="C453" s="13"/>
    </row>
    <row r="454" spans="2:3" x14ac:dyDescent="0.2">
      <c r="B454" s="13">
        <v>63.157894740000003</v>
      </c>
      <c r="C454" s="13"/>
    </row>
    <row r="455" spans="2:3" x14ac:dyDescent="0.2">
      <c r="B455" s="13">
        <v>50.943396229999998</v>
      </c>
      <c r="C455" s="13"/>
    </row>
    <row r="456" spans="2:3" x14ac:dyDescent="0.2">
      <c r="B456" s="13">
        <v>64.814814810000001</v>
      </c>
      <c r="C456" s="13"/>
    </row>
    <row r="457" spans="2:3" x14ac:dyDescent="0.2">
      <c r="B457" s="13">
        <v>45.454545449999998</v>
      </c>
      <c r="C457" s="13"/>
    </row>
    <row r="458" spans="2:3" x14ac:dyDescent="0.2">
      <c r="B458" s="13">
        <v>32.456140349999998</v>
      </c>
      <c r="C458" s="13"/>
    </row>
    <row r="459" spans="2:3" x14ac:dyDescent="0.2">
      <c r="B459" s="13">
        <v>52.03687927</v>
      </c>
      <c r="C459" s="13"/>
    </row>
    <row r="460" spans="2:3" x14ac:dyDescent="0.2">
      <c r="B460" s="13">
        <v>20.168067229999998</v>
      </c>
      <c r="C460" s="13"/>
    </row>
    <row r="461" spans="2:3" x14ac:dyDescent="0.2">
      <c r="B461" s="13">
        <v>33.210332100000002</v>
      </c>
      <c r="C461" s="13"/>
    </row>
    <row r="462" spans="2:3" x14ac:dyDescent="0.2">
      <c r="B462" s="13">
        <v>33.057851239999998</v>
      </c>
      <c r="C462" s="13"/>
    </row>
    <row r="463" spans="2:3" x14ac:dyDescent="0.2">
      <c r="B463" s="13">
        <v>12.71186441</v>
      </c>
      <c r="C463" s="13"/>
    </row>
    <row r="464" spans="2:3" x14ac:dyDescent="0.2">
      <c r="B464" s="13">
        <v>73.770491800000002</v>
      </c>
      <c r="C464" s="13"/>
    </row>
    <row r="465" spans="2:3" x14ac:dyDescent="0.2">
      <c r="B465" s="13">
        <v>92.771084340000002</v>
      </c>
      <c r="C465" s="13"/>
    </row>
    <row r="466" spans="2:3" x14ac:dyDescent="0.2">
      <c r="B466" s="13">
        <v>42.142857139999997</v>
      </c>
      <c r="C466" s="13"/>
    </row>
    <row r="467" spans="2:3" x14ac:dyDescent="0.2">
      <c r="B467" s="13">
        <v>70.652173910000002</v>
      </c>
      <c r="C467" s="13"/>
    </row>
    <row r="468" spans="2:3" x14ac:dyDescent="0.2">
      <c r="B468" s="13">
        <v>43.636363639999999</v>
      </c>
      <c r="C468" s="13"/>
    </row>
    <row r="469" spans="2:3" x14ac:dyDescent="0.2">
      <c r="B469" s="13">
        <v>55.045871560000002</v>
      </c>
      <c r="C469" s="13"/>
    </row>
    <row r="470" spans="2:3" x14ac:dyDescent="0.2">
      <c r="B470" s="13">
        <v>36.70886076</v>
      </c>
      <c r="C470" s="13"/>
    </row>
    <row r="471" spans="2:3" x14ac:dyDescent="0.2">
      <c r="B471" s="13">
        <v>43.820224719999999</v>
      </c>
      <c r="C471" s="13"/>
    </row>
    <row r="472" spans="2:3" x14ac:dyDescent="0.2">
      <c r="B472" s="13">
        <v>23.728813559999999</v>
      </c>
      <c r="C472" s="13"/>
    </row>
    <row r="473" spans="2:3" x14ac:dyDescent="0.2">
      <c r="B473" s="13">
        <v>26.20320856</v>
      </c>
      <c r="C473" s="13"/>
    </row>
    <row r="474" spans="2:3" x14ac:dyDescent="0.2">
      <c r="B474" s="13">
        <v>52.631578949999998</v>
      </c>
      <c r="C474" s="13"/>
    </row>
    <row r="475" spans="2:3" x14ac:dyDescent="0.2">
      <c r="B475" s="13">
        <v>63.157894740000003</v>
      </c>
      <c r="C475" s="13"/>
    </row>
    <row r="476" spans="2:3" x14ac:dyDescent="0.2">
      <c r="B476" s="13">
        <v>50.943396229999998</v>
      </c>
      <c r="C476" s="13"/>
    </row>
    <row r="477" spans="2:3" x14ac:dyDescent="0.2">
      <c r="B477" s="13">
        <v>46.296296300000002</v>
      </c>
      <c r="C477" s="13"/>
    </row>
    <row r="478" spans="2:3" x14ac:dyDescent="0.2">
      <c r="B478" s="13">
        <v>45.454545449999998</v>
      </c>
      <c r="C478" s="13"/>
    </row>
    <row r="479" spans="2:3" x14ac:dyDescent="0.2">
      <c r="B479" s="13">
        <v>32.456140349999998</v>
      </c>
      <c r="C479" s="13"/>
    </row>
    <row r="480" spans="2:3" x14ac:dyDescent="0.2">
      <c r="B480" s="13">
        <v>44.928395850000001</v>
      </c>
      <c r="C480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8860-D006-4295-94E9-5685B1D4DA5E}">
  <dimension ref="A1:P480"/>
  <sheetViews>
    <sheetView topLeftCell="C24" workbookViewId="0">
      <selection activeCell="O35" sqref="O35"/>
    </sheetView>
  </sheetViews>
  <sheetFormatPr baseColWidth="10" defaultColWidth="8.83203125" defaultRowHeight="15" x14ac:dyDescent="0.2"/>
  <cols>
    <col min="1" max="3" width="23.83203125" style="17" customWidth="1"/>
    <col min="8" max="8" width="23" customWidth="1"/>
    <col min="9" max="9" width="27.5" customWidth="1"/>
    <col min="10" max="10" width="26.5" customWidth="1"/>
    <col min="12" max="12" width="17.83203125" customWidth="1"/>
  </cols>
  <sheetData>
    <row r="1" spans="1:16" s="19" customFormat="1" ht="16" x14ac:dyDescent="0.2">
      <c r="A1" s="18" t="s">
        <v>10</v>
      </c>
      <c r="B1" s="18"/>
      <c r="C1" s="18"/>
      <c r="H1" s="18" t="s">
        <v>84</v>
      </c>
      <c r="I1" s="18"/>
      <c r="J1" s="18"/>
      <c r="K1" s="18"/>
      <c r="L1" s="18"/>
      <c r="M1" s="18"/>
      <c r="N1" s="18"/>
      <c r="O1" s="18"/>
      <c r="P1" s="18"/>
    </row>
    <row r="2" spans="1:16" x14ac:dyDescent="0.2">
      <c r="A2" s="15" t="s">
        <v>7</v>
      </c>
      <c r="B2" s="15" t="s">
        <v>12</v>
      </c>
      <c r="C2" s="15" t="s">
        <v>13</v>
      </c>
      <c r="H2" s="15" t="s">
        <v>55</v>
      </c>
      <c r="I2" s="13">
        <v>1</v>
      </c>
      <c r="J2" s="13"/>
      <c r="K2" s="13"/>
      <c r="L2" s="13"/>
      <c r="M2" s="13"/>
      <c r="N2" s="13"/>
      <c r="O2" s="13"/>
      <c r="P2" s="13"/>
    </row>
    <row r="3" spans="1:16" x14ac:dyDescent="0.2">
      <c r="A3" s="15">
        <v>28.879300000000001</v>
      </c>
      <c r="B3" s="15">
        <v>44.252873559999998</v>
      </c>
      <c r="C3" s="15">
        <v>31.192660549999999</v>
      </c>
      <c r="H3" s="15" t="s">
        <v>56</v>
      </c>
      <c r="I3" s="13">
        <v>3</v>
      </c>
      <c r="J3" s="13"/>
      <c r="K3" s="13"/>
      <c r="L3" s="13"/>
      <c r="M3" s="13"/>
      <c r="N3" s="13"/>
      <c r="O3" s="13"/>
      <c r="P3" s="13"/>
    </row>
    <row r="4" spans="1:16" x14ac:dyDescent="0.2">
      <c r="A4" s="15">
        <v>42.704626330000004</v>
      </c>
      <c r="B4" s="15">
        <v>49.650349650000003</v>
      </c>
      <c r="C4" s="15">
        <v>31.481481479999999</v>
      </c>
      <c r="H4" s="15" t="s">
        <v>57</v>
      </c>
      <c r="I4" s="13">
        <v>0.05</v>
      </c>
      <c r="J4" s="13"/>
      <c r="K4" s="13"/>
      <c r="L4" s="13"/>
      <c r="M4" s="13"/>
      <c r="N4" s="13"/>
      <c r="O4" s="13"/>
      <c r="P4" s="13"/>
    </row>
    <row r="5" spans="1:16" x14ac:dyDescent="0.2">
      <c r="A5" s="15">
        <v>19.52861953</v>
      </c>
      <c r="B5" s="15">
        <v>35.135135140000003</v>
      </c>
      <c r="C5" s="15">
        <v>32.142857139999997</v>
      </c>
      <c r="H5" s="15"/>
      <c r="I5" s="13"/>
      <c r="J5" s="13"/>
      <c r="K5" s="13"/>
      <c r="L5" s="13"/>
      <c r="M5" s="13"/>
      <c r="N5" s="13"/>
      <c r="O5" s="13"/>
      <c r="P5" s="13"/>
    </row>
    <row r="6" spans="1:16" x14ac:dyDescent="0.2">
      <c r="A6" s="15">
        <v>43.568464730000002</v>
      </c>
      <c r="B6" s="15">
        <v>37.435897439999998</v>
      </c>
      <c r="C6" s="15">
        <v>40.845070419999999</v>
      </c>
      <c r="H6" s="15" t="s">
        <v>58</v>
      </c>
      <c r="I6" s="13" t="s">
        <v>59</v>
      </c>
      <c r="J6" s="13" t="s">
        <v>60</v>
      </c>
      <c r="K6" s="13" t="s">
        <v>61</v>
      </c>
      <c r="L6" s="13" t="s">
        <v>62</v>
      </c>
      <c r="M6" s="13" t="s">
        <v>63</v>
      </c>
      <c r="N6" s="13"/>
      <c r="O6" s="13"/>
      <c r="P6" s="13"/>
    </row>
    <row r="7" spans="1:16" x14ac:dyDescent="0.2">
      <c r="A7" s="15">
        <v>33.64485981</v>
      </c>
      <c r="B7" s="15">
        <v>54.609929080000001</v>
      </c>
      <c r="C7" s="15">
        <v>54</v>
      </c>
      <c r="H7" s="15" t="s">
        <v>85</v>
      </c>
      <c r="I7" s="13">
        <v>-12.07</v>
      </c>
      <c r="J7" s="13" t="s">
        <v>86</v>
      </c>
      <c r="K7" s="13" t="s">
        <v>40</v>
      </c>
      <c r="L7" s="13" t="s">
        <v>87</v>
      </c>
      <c r="M7" s="13">
        <v>2.7000000000000001E-3</v>
      </c>
      <c r="N7" s="13" t="s">
        <v>68</v>
      </c>
      <c r="O7" s="13"/>
      <c r="P7" s="13"/>
    </row>
    <row r="8" spans="1:16" x14ac:dyDescent="0.2">
      <c r="A8" s="15">
        <v>6.9672131149999998</v>
      </c>
      <c r="B8" s="15">
        <v>24.468085110000001</v>
      </c>
      <c r="C8" s="15">
        <v>58.823529409999999</v>
      </c>
      <c r="H8" s="15" t="s">
        <v>88</v>
      </c>
      <c r="I8" s="13">
        <v>-27.9</v>
      </c>
      <c r="J8" s="13" t="s">
        <v>89</v>
      </c>
      <c r="K8" s="13" t="s">
        <v>40</v>
      </c>
      <c r="L8" s="13" t="s">
        <v>38</v>
      </c>
      <c r="M8" s="13" t="s">
        <v>36</v>
      </c>
      <c r="N8" s="13" t="s">
        <v>71</v>
      </c>
      <c r="O8" s="13"/>
      <c r="P8" s="13"/>
    </row>
    <row r="9" spans="1:16" x14ac:dyDescent="0.2">
      <c r="A9" s="15">
        <v>4.0752351100000004</v>
      </c>
      <c r="B9" s="15">
        <v>45.864661650000002</v>
      </c>
      <c r="C9" s="15">
        <v>30.281690139999998</v>
      </c>
      <c r="H9" s="15" t="s">
        <v>90</v>
      </c>
      <c r="I9" s="13">
        <v>-15.83</v>
      </c>
      <c r="J9" s="13" t="s">
        <v>91</v>
      </c>
      <c r="K9" s="13" t="s">
        <v>40</v>
      </c>
      <c r="L9" s="13" t="s">
        <v>38</v>
      </c>
      <c r="M9" s="13" t="s">
        <v>36</v>
      </c>
      <c r="N9" s="13" t="s">
        <v>75</v>
      </c>
      <c r="O9" s="13"/>
      <c r="P9" s="13"/>
    </row>
    <row r="10" spans="1:16" x14ac:dyDescent="0.2">
      <c r="A10" s="15">
        <v>1.5625</v>
      </c>
      <c r="B10" s="15">
        <v>26.92307692</v>
      </c>
      <c r="C10" s="15">
        <v>47.01492537</v>
      </c>
      <c r="H10" s="15"/>
      <c r="I10" s="13"/>
      <c r="J10" s="13"/>
      <c r="K10" s="13"/>
      <c r="L10" s="13"/>
      <c r="M10" s="13"/>
      <c r="N10" s="13"/>
      <c r="O10" s="13"/>
      <c r="P10" s="13"/>
    </row>
    <row r="11" spans="1:16" x14ac:dyDescent="0.2">
      <c r="A11" s="15">
        <v>30.4</v>
      </c>
      <c r="B11" s="15">
        <v>38.775510199999999</v>
      </c>
      <c r="C11" s="15">
        <v>47.878787879999997</v>
      </c>
      <c r="H11" s="15" t="s">
        <v>76</v>
      </c>
      <c r="I11" s="13" t="s">
        <v>77</v>
      </c>
      <c r="J11" s="13" t="s">
        <v>78</v>
      </c>
      <c r="K11" s="13" t="s">
        <v>59</v>
      </c>
      <c r="L11" s="13" t="s">
        <v>79</v>
      </c>
      <c r="M11" s="13" t="s">
        <v>80</v>
      </c>
      <c r="N11" s="13" t="s">
        <v>81</v>
      </c>
      <c r="O11" s="13" t="s">
        <v>82</v>
      </c>
      <c r="P11" s="13" t="s">
        <v>83</v>
      </c>
    </row>
    <row r="12" spans="1:16" x14ac:dyDescent="0.2">
      <c r="A12" s="15">
        <v>11.03896104</v>
      </c>
      <c r="B12" s="15">
        <v>30.519480519999998</v>
      </c>
      <c r="C12" s="15">
        <v>30.232558139999998</v>
      </c>
      <c r="H12" s="15" t="s">
        <v>85</v>
      </c>
      <c r="I12" s="13">
        <v>32.92</v>
      </c>
      <c r="J12" s="13">
        <v>44.99</v>
      </c>
      <c r="K12" s="13">
        <v>-12.07</v>
      </c>
      <c r="L12" s="13">
        <v>3.6349999999999998</v>
      </c>
      <c r="M12" s="13">
        <v>44</v>
      </c>
      <c r="N12" s="13">
        <v>110</v>
      </c>
      <c r="O12" s="13">
        <v>4.6970000000000001</v>
      </c>
      <c r="P12" s="13">
        <v>629</v>
      </c>
    </row>
    <row r="13" spans="1:16" x14ac:dyDescent="0.2">
      <c r="A13" s="15">
        <v>7.3333333329999997</v>
      </c>
      <c r="B13" s="15">
        <v>16</v>
      </c>
      <c r="C13" s="15">
        <v>47.368421050000002</v>
      </c>
      <c r="H13" s="15" t="s">
        <v>88</v>
      </c>
      <c r="I13" s="13">
        <v>32.92</v>
      </c>
      <c r="J13" s="13">
        <v>60.82</v>
      </c>
      <c r="K13" s="13">
        <v>-27.9</v>
      </c>
      <c r="L13" s="13">
        <v>3.2109999999999999</v>
      </c>
      <c r="M13" s="13">
        <v>44</v>
      </c>
      <c r="N13" s="13">
        <v>478</v>
      </c>
      <c r="O13" s="13">
        <v>12.29</v>
      </c>
      <c r="P13" s="13">
        <v>629</v>
      </c>
    </row>
    <row r="14" spans="1:16" x14ac:dyDescent="0.2">
      <c r="A14" s="15">
        <v>39.080459769999997</v>
      </c>
      <c r="B14" s="15">
        <v>41.860465120000001</v>
      </c>
      <c r="C14" s="15">
        <v>75.206611570000007</v>
      </c>
      <c r="H14" s="15" t="s">
        <v>90</v>
      </c>
      <c r="I14" s="13">
        <v>44.99</v>
      </c>
      <c r="J14" s="13">
        <v>60.82</v>
      </c>
      <c r="K14" s="13">
        <v>-15.83</v>
      </c>
      <c r="L14" s="13">
        <v>2.1549999999999998</v>
      </c>
      <c r="M14" s="13">
        <v>110</v>
      </c>
      <c r="N14" s="13">
        <v>478</v>
      </c>
      <c r="O14" s="13">
        <v>10.39</v>
      </c>
      <c r="P14" s="13">
        <v>629</v>
      </c>
    </row>
    <row r="15" spans="1:16" x14ac:dyDescent="0.2">
      <c r="A15" s="15">
        <v>68.19787986</v>
      </c>
      <c r="B15" s="15">
        <v>31.325301199999998</v>
      </c>
      <c r="C15" s="15">
        <v>55.263157890000002</v>
      </c>
      <c r="H15" s="15"/>
      <c r="I15" s="13"/>
      <c r="J15" s="13"/>
      <c r="K15" s="13"/>
      <c r="L15" s="13"/>
      <c r="M15" s="13"/>
      <c r="N15" s="13"/>
      <c r="O15" s="13"/>
      <c r="P15" s="13"/>
    </row>
    <row r="16" spans="1:16" x14ac:dyDescent="0.2">
      <c r="A16" s="15">
        <v>72.9903537</v>
      </c>
      <c r="B16" s="15">
        <v>31.506849320000001</v>
      </c>
      <c r="C16" s="15">
        <v>58.878504669999998</v>
      </c>
      <c r="H16" s="15"/>
      <c r="I16" s="13"/>
      <c r="J16" s="13"/>
      <c r="K16" s="13"/>
      <c r="L16" s="13"/>
      <c r="M16" s="13"/>
      <c r="N16" s="13"/>
      <c r="O16" s="13"/>
      <c r="P16" s="13"/>
    </row>
    <row r="17" spans="1:13" x14ac:dyDescent="0.2">
      <c r="A17" s="15">
        <v>47.440273040000001</v>
      </c>
      <c r="B17" s="15">
        <v>42.613636360000001</v>
      </c>
      <c r="C17" s="15">
        <v>49.019607839999999</v>
      </c>
    </row>
    <row r="18" spans="1:13" x14ac:dyDescent="0.2">
      <c r="A18" s="15">
        <v>46.598639460000001</v>
      </c>
      <c r="B18" s="15">
        <v>51.2605042</v>
      </c>
      <c r="C18" s="15">
        <v>66.666666669999998</v>
      </c>
    </row>
    <row r="19" spans="1:13" x14ac:dyDescent="0.2">
      <c r="A19" s="15">
        <v>38.947368419999997</v>
      </c>
      <c r="B19" s="15">
        <v>79.069767440000007</v>
      </c>
      <c r="C19" s="15">
        <v>32.142857139999997</v>
      </c>
      <c r="H19" s="14" t="s">
        <v>30</v>
      </c>
      <c r="I19" s="5" t="s">
        <v>249</v>
      </c>
      <c r="J19" s="5"/>
      <c r="K19" s="5"/>
      <c r="L19" s="5"/>
      <c r="M19" s="5"/>
    </row>
    <row r="20" spans="1:13" x14ac:dyDescent="0.2">
      <c r="A20" s="15">
        <v>22.44318182</v>
      </c>
      <c r="B20" s="15">
        <v>43.030303029999999</v>
      </c>
      <c r="C20" s="15">
        <v>52.173913040000002</v>
      </c>
      <c r="H20" s="14" t="s">
        <v>245</v>
      </c>
      <c r="I20" s="5" t="s">
        <v>71</v>
      </c>
      <c r="J20" s="5"/>
      <c r="K20" s="5"/>
      <c r="L20" s="5"/>
      <c r="M20" s="5"/>
    </row>
    <row r="21" spans="1:13" x14ac:dyDescent="0.2">
      <c r="A21" s="15">
        <v>76.271186439999994</v>
      </c>
      <c r="B21" s="15">
        <v>51.048951049999999</v>
      </c>
      <c r="C21" s="15">
        <v>51.145038169999999</v>
      </c>
      <c r="H21" s="14"/>
      <c r="I21" s="5"/>
      <c r="J21" s="5"/>
      <c r="K21" s="5"/>
      <c r="L21" s="5"/>
      <c r="M21" s="5"/>
    </row>
    <row r="22" spans="1:13" x14ac:dyDescent="0.2">
      <c r="A22" s="15">
        <v>56.431535269999998</v>
      </c>
      <c r="B22" s="15">
        <v>12.707182319999999</v>
      </c>
      <c r="C22" s="15">
        <v>30.434782609999999</v>
      </c>
      <c r="H22" s="14" t="s">
        <v>121</v>
      </c>
      <c r="I22" s="5"/>
      <c r="J22" s="5"/>
      <c r="K22" s="5"/>
      <c r="L22" s="5"/>
      <c r="M22" s="5"/>
    </row>
    <row r="23" spans="1:13" x14ac:dyDescent="0.2">
      <c r="A23" s="15">
        <v>23.475609760000001</v>
      </c>
      <c r="B23" s="15">
        <v>30.281690139999998</v>
      </c>
      <c r="C23" s="15">
        <v>46.109656059999999</v>
      </c>
      <c r="H23" s="14" t="s">
        <v>122</v>
      </c>
      <c r="I23" s="5">
        <v>57.62</v>
      </c>
      <c r="J23" s="5"/>
      <c r="K23" s="5"/>
      <c r="L23" s="5"/>
      <c r="M23" s="5"/>
    </row>
    <row r="24" spans="1:13" x14ac:dyDescent="0.2">
      <c r="A24" s="15">
        <v>39.285714290000001</v>
      </c>
      <c r="B24" s="15">
        <v>35.761589399999998</v>
      </c>
      <c r="C24" s="15">
        <v>43.842364529999998</v>
      </c>
      <c r="H24" s="14" t="s">
        <v>35</v>
      </c>
      <c r="I24" s="5" t="s">
        <v>36</v>
      </c>
      <c r="J24" s="5"/>
      <c r="K24" s="5"/>
      <c r="L24" s="5"/>
      <c r="M24" s="5"/>
    </row>
    <row r="25" spans="1:13" x14ac:dyDescent="0.2">
      <c r="A25" s="15">
        <v>25.17985612</v>
      </c>
      <c r="B25" s="15">
        <v>68.46153846</v>
      </c>
      <c r="C25" s="15">
        <v>43.78378378</v>
      </c>
      <c r="H25" s="14" t="s">
        <v>37</v>
      </c>
      <c r="I25" s="5" t="s">
        <v>38</v>
      </c>
      <c r="J25" s="5"/>
      <c r="K25" s="5"/>
      <c r="L25" s="5"/>
      <c r="M25" s="5"/>
    </row>
    <row r="26" spans="1:13" x14ac:dyDescent="0.2">
      <c r="A26" s="15">
        <v>58.823529409999999</v>
      </c>
      <c r="B26" s="15">
        <v>84.023668639999997</v>
      </c>
      <c r="C26" s="15">
        <v>39.03508772</v>
      </c>
      <c r="H26" s="14" t="s">
        <v>123</v>
      </c>
      <c r="I26" s="5" t="s">
        <v>40</v>
      </c>
      <c r="J26" s="5"/>
      <c r="K26" s="5"/>
      <c r="L26" s="5"/>
      <c r="M26" s="5"/>
    </row>
    <row r="27" spans="1:13" x14ac:dyDescent="0.2">
      <c r="A27" s="15">
        <v>34.306569340000003</v>
      </c>
      <c r="B27" s="15">
        <v>60.130718950000002</v>
      </c>
      <c r="C27" s="15">
        <v>84.459459460000005</v>
      </c>
      <c r="H27" s="14" t="s">
        <v>124</v>
      </c>
      <c r="I27" s="5">
        <v>0.15479999999999999</v>
      </c>
      <c r="J27" s="5"/>
      <c r="K27" s="5"/>
      <c r="L27" s="5"/>
      <c r="M27" s="5"/>
    </row>
    <row r="28" spans="1:13" x14ac:dyDescent="0.2">
      <c r="A28" s="15">
        <v>47.389558229999999</v>
      </c>
      <c r="B28" s="15">
        <v>87.5</v>
      </c>
      <c r="C28" s="15">
        <v>52.727272730000003</v>
      </c>
      <c r="H28" s="14"/>
      <c r="I28" s="5"/>
      <c r="J28" s="5"/>
      <c r="K28" s="5"/>
      <c r="L28" s="5"/>
      <c r="M28" s="5"/>
    </row>
    <row r="29" spans="1:13" x14ac:dyDescent="0.2">
      <c r="A29" s="15">
        <v>23.214285709999999</v>
      </c>
      <c r="B29" s="15">
        <v>30.39215686</v>
      </c>
      <c r="C29" s="15">
        <v>27.878787880000001</v>
      </c>
      <c r="H29" s="14" t="s">
        <v>125</v>
      </c>
      <c r="I29" s="5"/>
      <c r="J29" s="5"/>
      <c r="K29" s="5"/>
      <c r="L29" s="5"/>
      <c r="M29" s="5"/>
    </row>
    <row r="30" spans="1:13" x14ac:dyDescent="0.2">
      <c r="A30" s="15">
        <v>38.837209299999998</v>
      </c>
      <c r="B30" s="15">
        <v>43.684210530000001</v>
      </c>
      <c r="C30" s="15">
        <v>49.729729730000003</v>
      </c>
      <c r="H30" s="14" t="s">
        <v>126</v>
      </c>
      <c r="I30" s="5" t="s">
        <v>246</v>
      </c>
      <c r="J30" s="5"/>
      <c r="K30" s="5"/>
      <c r="L30" s="5"/>
      <c r="M30" s="5"/>
    </row>
    <row r="31" spans="1:13" x14ac:dyDescent="0.2">
      <c r="A31" s="15">
        <v>32.548179869999998</v>
      </c>
      <c r="B31" s="15">
        <v>61.702127660000002</v>
      </c>
      <c r="C31" s="15">
        <v>44.217687069999997</v>
      </c>
      <c r="H31" s="14" t="s">
        <v>35</v>
      </c>
      <c r="I31" s="5">
        <v>2.9499999999999998E-2</v>
      </c>
      <c r="J31" s="5"/>
      <c r="K31" s="5"/>
      <c r="L31" s="5"/>
      <c r="M31" s="5"/>
    </row>
    <row r="32" spans="1:13" x14ac:dyDescent="0.2">
      <c r="A32" s="15">
        <v>10.52631579</v>
      </c>
      <c r="B32" s="15">
        <v>3.680981595</v>
      </c>
      <c r="C32" s="15">
        <v>50</v>
      </c>
      <c r="H32" s="14" t="s">
        <v>37</v>
      </c>
      <c r="I32" s="5" t="s">
        <v>74</v>
      </c>
      <c r="J32" s="5"/>
      <c r="K32" s="5"/>
      <c r="L32" s="5"/>
      <c r="M32" s="5"/>
    </row>
    <row r="33" spans="1:13" x14ac:dyDescent="0.2">
      <c r="A33" s="15">
        <v>58.021390369999999</v>
      </c>
      <c r="B33" s="15">
        <v>35.585585590000001</v>
      </c>
      <c r="C33" s="15">
        <v>7.5</v>
      </c>
      <c r="H33" s="14" t="s">
        <v>128</v>
      </c>
      <c r="I33" s="5" t="s">
        <v>40</v>
      </c>
      <c r="J33" s="5"/>
      <c r="K33" s="5"/>
      <c r="L33" s="5"/>
      <c r="M33" s="5"/>
    </row>
    <row r="34" spans="1:13" x14ac:dyDescent="0.2">
      <c r="A34" s="15">
        <v>32.304526750000001</v>
      </c>
      <c r="B34" s="15">
        <v>72.222222220000006</v>
      </c>
      <c r="C34" s="15">
        <v>66.007905140000005</v>
      </c>
      <c r="H34" s="14"/>
      <c r="I34" s="5"/>
      <c r="J34" s="5"/>
      <c r="K34" s="5"/>
      <c r="L34" s="5"/>
      <c r="M34" s="5"/>
    </row>
    <row r="35" spans="1:13" x14ac:dyDescent="0.2">
      <c r="A35" s="15">
        <v>22.680412369999999</v>
      </c>
      <c r="B35" s="15">
        <v>56.647398840000001</v>
      </c>
      <c r="C35" s="15">
        <v>44.029850750000001</v>
      </c>
      <c r="H35" s="14" t="s">
        <v>129</v>
      </c>
      <c r="I35" s="5"/>
      <c r="J35" s="5"/>
      <c r="K35" s="5"/>
      <c r="L35" s="5"/>
      <c r="M35" s="5"/>
    </row>
    <row r="36" spans="1:13" x14ac:dyDescent="0.2">
      <c r="A36" s="15">
        <v>28.518518520000001</v>
      </c>
      <c r="B36" s="15">
        <v>48.19277108</v>
      </c>
      <c r="C36" s="15">
        <v>51.282051279999997</v>
      </c>
      <c r="H36" s="14" t="s">
        <v>130</v>
      </c>
      <c r="I36" s="5">
        <v>6.5359999999999996</v>
      </c>
      <c r="J36" s="5"/>
      <c r="K36" s="5"/>
      <c r="L36" s="5"/>
      <c r="M36" s="5"/>
    </row>
    <row r="37" spans="1:13" x14ac:dyDescent="0.2">
      <c r="A37" s="15">
        <v>38.961038960000003</v>
      </c>
      <c r="B37" s="15">
        <v>57.142857139999997</v>
      </c>
      <c r="C37" s="15">
        <v>55.974842770000002</v>
      </c>
      <c r="H37" s="14" t="s">
        <v>35</v>
      </c>
      <c r="I37" s="5">
        <v>3.8100000000000002E-2</v>
      </c>
      <c r="J37" s="5"/>
      <c r="K37" s="5"/>
      <c r="L37" s="5"/>
      <c r="M37" s="5"/>
    </row>
    <row r="38" spans="1:13" x14ac:dyDescent="0.2">
      <c r="A38" s="15">
        <v>26.205450729999999</v>
      </c>
      <c r="B38" s="15">
        <v>65.662650600000006</v>
      </c>
      <c r="C38" s="15">
        <v>65.829145729999993</v>
      </c>
      <c r="H38" s="14" t="s">
        <v>37</v>
      </c>
      <c r="I38" s="5" t="s">
        <v>74</v>
      </c>
      <c r="J38" s="5"/>
      <c r="K38" s="5"/>
      <c r="L38" s="5"/>
      <c r="M38" s="5"/>
    </row>
    <row r="39" spans="1:13" x14ac:dyDescent="0.2">
      <c r="A39" s="15">
        <v>20.165745860000001</v>
      </c>
      <c r="B39" s="15">
        <v>49.047619050000002</v>
      </c>
      <c r="C39" s="15">
        <v>85.714285709999999</v>
      </c>
      <c r="H39" s="14" t="s">
        <v>128</v>
      </c>
      <c r="I39" s="5" t="s">
        <v>40</v>
      </c>
      <c r="J39" s="5"/>
      <c r="K39" s="5"/>
      <c r="L39" s="5"/>
      <c r="M39" s="5"/>
    </row>
    <row r="40" spans="1:13" x14ac:dyDescent="0.2">
      <c r="A40" s="15">
        <v>40.715883669999997</v>
      </c>
      <c r="B40" s="15">
        <v>50.434782609999999</v>
      </c>
      <c r="C40" s="15">
        <v>85.05747126</v>
      </c>
      <c r="H40" s="14"/>
      <c r="I40" s="5"/>
      <c r="J40" s="5"/>
      <c r="K40" s="5"/>
      <c r="L40" s="5"/>
      <c r="M40" s="5"/>
    </row>
    <row r="41" spans="1:13" x14ac:dyDescent="0.2">
      <c r="A41" s="15">
        <v>5.0970873790000004</v>
      </c>
      <c r="B41" s="15">
        <v>47.923322679999998</v>
      </c>
      <c r="C41" s="15">
        <v>53.797468350000003</v>
      </c>
      <c r="H41" s="14" t="s">
        <v>131</v>
      </c>
      <c r="I41" s="5" t="s">
        <v>132</v>
      </c>
      <c r="J41" s="5" t="s">
        <v>83</v>
      </c>
      <c r="K41" s="5" t="s">
        <v>133</v>
      </c>
      <c r="L41" s="5" t="s">
        <v>126</v>
      </c>
      <c r="M41" s="5" t="s">
        <v>35</v>
      </c>
    </row>
    <row r="42" spans="1:13" x14ac:dyDescent="0.2">
      <c r="A42" s="15">
        <v>27.9342723</v>
      </c>
      <c r="B42" s="15">
        <v>57.746478869999997</v>
      </c>
      <c r="C42" s="15">
        <v>36.697247709999999</v>
      </c>
      <c r="H42" s="14" t="s">
        <v>134</v>
      </c>
      <c r="I42" s="5">
        <v>47871</v>
      </c>
      <c r="J42" s="5">
        <v>2</v>
      </c>
      <c r="K42" s="5">
        <v>23935</v>
      </c>
      <c r="L42" s="5" t="s">
        <v>247</v>
      </c>
      <c r="M42" s="5" t="s">
        <v>248</v>
      </c>
    </row>
    <row r="43" spans="1:13" x14ac:dyDescent="0.2">
      <c r="A43" s="15">
        <v>34.04255319</v>
      </c>
      <c r="B43" s="15">
        <v>50.364963500000002</v>
      </c>
      <c r="C43" s="15">
        <v>37.195121950000001</v>
      </c>
      <c r="H43" s="14" t="s">
        <v>137</v>
      </c>
      <c r="I43" s="5">
        <v>261273</v>
      </c>
      <c r="J43" s="5">
        <v>629</v>
      </c>
      <c r="K43" s="5">
        <v>415.4</v>
      </c>
      <c r="L43" s="5"/>
      <c r="M43" s="5"/>
    </row>
    <row r="44" spans="1:13" x14ac:dyDescent="0.2">
      <c r="A44" s="15">
        <v>40.463917530000003</v>
      </c>
      <c r="B44" s="15">
        <v>39.160839160000002</v>
      </c>
      <c r="C44" s="15">
        <v>51.237978179999999</v>
      </c>
      <c r="H44" s="14" t="s">
        <v>138</v>
      </c>
      <c r="I44" s="5">
        <v>309143</v>
      </c>
      <c r="J44" s="5">
        <v>631</v>
      </c>
      <c r="K44" s="5"/>
      <c r="L44" s="5"/>
      <c r="M44" s="5"/>
    </row>
    <row r="45" spans="1:13" x14ac:dyDescent="0.2">
      <c r="A45" s="15">
        <v>24.27350427</v>
      </c>
      <c r="B45" s="15">
        <v>5.3333333329999997</v>
      </c>
      <c r="C45" s="15">
        <v>53.260869569999997</v>
      </c>
      <c r="H45" s="14"/>
      <c r="I45" s="5"/>
      <c r="J45" s="5"/>
      <c r="K45" s="5"/>
      <c r="L45" s="5"/>
      <c r="M45" s="5"/>
    </row>
    <row r="46" spans="1:13" x14ac:dyDescent="0.2">
      <c r="A46" s="15">
        <v>17.447916670000001</v>
      </c>
      <c r="B46" s="15">
        <v>35.37414966</v>
      </c>
      <c r="C46" s="15">
        <v>23.880597009999999</v>
      </c>
      <c r="H46" s="14" t="s">
        <v>139</v>
      </c>
      <c r="I46" s="5"/>
      <c r="J46" s="5"/>
      <c r="K46" s="5"/>
      <c r="L46" s="5"/>
      <c r="M46" s="5"/>
    </row>
    <row r="47" spans="1:13" x14ac:dyDescent="0.2">
      <c r="A47" s="15"/>
      <c r="B47" s="15">
        <v>60.458452719999997</v>
      </c>
      <c r="C47" s="15">
        <v>64.566929130000005</v>
      </c>
      <c r="H47" s="14" t="s">
        <v>140</v>
      </c>
      <c r="I47" s="5">
        <v>3</v>
      </c>
      <c r="J47" s="5"/>
      <c r="K47" s="5"/>
      <c r="L47" s="5"/>
      <c r="M47" s="5"/>
    </row>
    <row r="48" spans="1:13" x14ac:dyDescent="0.2">
      <c r="A48" s="15"/>
      <c r="B48" s="15">
        <v>69.683257920000003</v>
      </c>
      <c r="C48" s="15">
        <v>53.038674030000003</v>
      </c>
      <c r="H48" s="14" t="s">
        <v>141</v>
      </c>
      <c r="I48" s="5">
        <v>632</v>
      </c>
      <c r="J48" s="5"/>
      <c r="K48" s="5"/>
      <c r="L48" s="5"/>
      <c r="M48" s="5"/>
    </row>
    <row r="49" spans="1:3" x14ac:dyDescent="0.2">
      <c r="A49" s="15"/>
      <c r="B49" s="15">
        <v>67.338709679999994</v>
      </c>
      <c r="C49" s="15">
        <v>25.609756099999998</v>
      </c>
    </row>
    <row r="50" spans="1:3" x14ac:dyDescent="0.2">
      <c r="A50" s="15"/>
      <c r="B50" s="15">
        <v>64.976958530000005</v>
      </c>
      <c r="C50" s="15">
        <v>29.2</v>
      </c>
    </row>
    <row r="51" spans="1:3" x14ac:dyDescent="0.2">
      <c r="A51" s="15"/>
      <c r="B51" s="15">
        <v>27.397260299999999</v>
      </c>
      <c r="C51" s="15">
        <v>41.632653060000003</v>
      </c>
    </row>
    <row r="52" spans="1:3" x14ac:dyDescent="0.2">
      <c r="A52" s="15"/>
      <c r="B52" s="15">
        <v>49.333333330000002</v>
      </c>
      <c r="C52" s="15">
        <v>39.506172839999998</v>
      </c>
    </row>
    <row r="53" spans="1:3" x14ac:dyDescent="0.2">
      <c r="A53" s="15"/>
      <c r="B53" s="15">
        <v>51.982378850000003</v>
      </c>
      <c r="C53" s="15">
        <v>61.463414630000003</v>
      </c>
    </row>
    <row r="54" spans="1:3" x14ac:dyDescent="0.2">
      <c r="A54" s="15"/>
      <c r="B54" s="15">
        <v>48.167539269999999</v>
      </c>
      <c r="C54" s="15">
        <v>73.913043479999999</v>
      </c>
    </row>
    <row r="55" spans="1:3" x14ac:dyDescent="0.2">
      <c r="A55" s="15"/>
      <c r="B55" s="15">
        <v>62.015503879999997</v>
      </c>
      <c r="C55" s="15">
        <v>50</v>
      </c>
    </row>
    <row r="56" spans="1:3" x14ac:dyDescent="0.2">
      <c r="A56" s="15"/>
      <c r="B56" s="15">
        <v>35.672514620000001</v>
      </c>
      <c r="C56" s="15">
        <v>60.833333330000002</v>
      </c>
    </row>
    <row r="57" spans="1:3" x14ac:dyDescent="0.2">
      <c r="A57" s="15"/>
      <c r="B57" s="15">
        <v>34.61538462</v>
      </c>
      <c r="C57" s="15">
        <v>44.047619050000002</v>
      </c>
    </row>
    <row r="58" spans="1:3" x14ac:dyDescent="0.2">
      <c r="A58" s="15"/>
      <c r="B58" s="15">
        <v>45.370370370000003</v>
      </c>
      <c r="C58" s="15">
        <v>60.240963860000001</v>
      </c>
    </row>
    <row r="59" spans="1:3" x14ac:dyDescent="0.2">
      <c r="A59" s="15"/>
      <c r="B59" s="15">
        <v>37.078651690000001</v>
      </c>
      <c r="C59" s="15">
        <v>59.677419350000001</v>
      </c>
    </row>
    <row r="60" spans="1:3" x14ac:dyDescent="0.2">
      <c r="A60" s="15"/>
      <c r="B60" s="15">
        <v>62.64367816</v>
      </c>
      <c r="C60" s="15">
        <v>87.919463089999994</v>
      </c>
    </row>
    <row r="61" spans="1:3" x14ac:dyDescent="0.2">
      <c r="A61" s="15"/>
      <c r="B61" s="15">
        <v>40.531561459999999</v>
      </c>
      <c r="C61" s="15">
        <v>61.073825499999998</v>
      </c>
    </row>
    <row r="62" spans="1:3" x14ac:dyDescent="0.2">
      <c r="A62" s="15"/>
      <c r="B62" s="15">
        <v>34.95575221</v>
      </c>
      <c r="C62" s="15">
        <v>92.537313429999998</v>
      </c>
    </row>
    <row r="63" spans="1:3" x14ac:dyDescent="0.2">
      <c r="A63" s="15"/>
      <c r="B63" s="15">
        <v>51.875</v>
      </c>
      <c r="C63" s="15">
        <v>74.226804119999997</v>
      </c>
    </row>
    <row r="64" spans="1:3" x14ac:dyDescent="0.2">
      <c r="A64" s="15"/>
      <c r="B64" s="15">
        <v>83.471074380000005</v>
      </c>
      <c r="C64" s="15">
        <v>61.15107914</v>
      </c>
    </row>
    <row r="65" spans="1:3" x14ac:dyDescent="0.2">
      <c r="A65" s="15"/>
      <c r="B65" s="15">
        <v>48.571428570000002</v>
      </c>
      <c r="C65" s="15">
        <v>63.265306119999998</v>
      </c>
    </row>
    <row r="66" spans="1:3" x14ac:dyDescent="0.2">
      <c r="A66" s="15"/>
      <c r="B66" s="15">
        <v>55.462184870000002</v>
      </c>
      <c r="C66" s="15">
        <v>74.829931970000004</v>
      </c>
    </row>
    <row r="67" spans="1:3" x14ac:dyDescent="0.2">
      <c r="A67" s="15"/>
      <c r="B67" s="15">
        <v>57.803468209999998</v>
      </c>
      <c r="C67" s="15">
        <v>11.55555556</v>
      </c>
    </row>
    <row r="68" spans="1:3" x14ac:dyDescent="0.2">
      <c r="A68" s="15"/>
      <c r="B68" s="15">
        <v>39.588688949999998</v>
      </c>
      <c r="C68" s="15">
        <v>70.192307690000007</v>
      </c>
    </row>
    <row r="69" spans="1:3" x14ac:dyDescent="0.2">
      <c r="A69" s="15"/>
      <c r="B69" s="15">
        <v>25.342465749999999</v>
      </c>
      <c r="C69" s="15">
        <v>86.470588239999998</v>
      </c>
    </row>
    <row r="70" spans="1:3" x14ac:dyDescent="0.2">
      <c r="A70" s="15"/>
      <c r="B70" s="15">
        <v>36.607142860000003</v>
      </c>
      <c r="C70" s="15">
        <v>81.308411210000003</v>
      </c>
    </row>
    <row r="71" spans="1:3" x14ac:dyDescent="0.2">
      <c r="A71" s="15"/>
      <c r="B71" s="15">
        <v>40.495867769999997</v>
      </c>
      <c r="C71" s="15">
        <v>50</v>
      </c>
    </row>
    <row r="72" spans="1:3" x14ac:dyDescent="0.2">
      <c r="A72" s="15"/>
      <c r="B72" s="15">
        <v>31.578947370000002</v>
      </c>
      <c r="C72" s="15">
        <v>44.444444439999998</v>
      </c>
    </row>
    <row r="73" spans="1:3" x14ac:dyDescent="0.2">
      <c r="A73" s="15"/>
      <c r="B73" s="15">
        <v>54.268292680000002</v>
      </c>
      <c r="C73" s="15">
        <v>16.84210526</v>
      </c>
    </row>
    <row r="74" spans="1:3" x14ac:dyDescent="0.2">
      <c r="A74" s="15"/>
      <c r="B74" s="15">
        <v>13.432835819999999</v>
      </c>
      <c r="C74" s="15">
        <v>24.375</v>
      </c>
    </row>
    <row r="75" spans="1:3" x14ac:dyDescent="0.2">
      <c r="A75" s="15"/>
      <c r="B75" s="15">
        <v>79.605263160000007</v>
      </c>
      <c r="C75" s="15">
        <v>57.407407409999998</v>
      </c>
    </row>
    <row r="76" spans="1:3" x14ac:dyDescent="0.2">
      <c r="A76" s="15"/>
      <c r="B76" s="15">
        <v>44.262295080000001</v>
      </c>
      <c r="C76" s="15">
        <v>97</v>
      </c>
    </row>
    <row r="77" spans="1:3" x14ac:dyDescent="0.2">
      <c r="A77" s="15"/>
      <c r="B77" s="15">
        <v>45.161290319999999</v>
      </c>
      <c r="C77" s="15">
        <v>78</v>
      </c>
    </row>
    <row r="78" spans="1:3" x14ac:dyDescent="0.2">
      <c r="A78" s="15"/>
      <c r="B78" s="15">
        <v>44.444444439999998</v>
      </c>
      <c r="C78" s="15">
        <v>25</v>
      </c>
    </row>
    <row r="79" spans="1:3" x14ac:dyDescent="0.2">
      <c r="A79" s="15"/>
      <c r="B79" s="15">
        <v>34.104046240000002</v>
      </c>
      <c r="C79" s="15">
        <v>60.833333330000002</v>
      </c>
    </row>
    <row r="80" spans="1:3" x14ac:dyDescent="0.2">
      <c r="A80" s="15"/>
      <c r="B80" s="15">
        <v>83</v>
      </c>
      <c r="C80" s="15">
        <v>77.777777779999994</v>
      </c>
    </row>
    <row r="81" spans="1:3" x14ac:dyDescent="0.2">
      <c r="A81" s="15"/>
      <c r="B81" s="15">
        <v>67.391304349999999</v>
      </c>
      <c r="C81" s="15">
        <v>69.082125599999998</v>
      </c>
    </row>
    <row r="82" spans="1:3" x14ac:dyDescent="0.2">
      <c r="A82" s="15"/>
      <c r="B82" s="15">
        <v>35.869565219999998</v>
      </c>
      <c r="C82" s="15">
        <v>72</v>
      </c>
    </row>
    <row r="83" spans="1:3" x14ac:dyDescent="0.2">
      <c r="A83" s="15"/>
      <c r="B83" s="15">
        <v>71.333333330000002</v>
      </c>
      <c r="C83" s="15">
        <v>98</v>
      </c>
    </row>
    <row r="84" spans="1:3" x14ac:dyDescent="0.2">
      <c r="A84" s="15"/>
      <c r="B84" s="15">
        <v>68.055555560000002</v>
      </c>
      <c r="C84" s="15">
        <v>61.607142860000003</v>
      </c>
    </row>
    <row r="85" spans="1:3" x14ac:dyDescent="0.2">
      <c r="A85" s="15"/>
      <c r="B85" s="15">
        <v>11.009174310000001</v>
      </c>
      <c r="C85" s="15">
        <v>68.548387099999999</v>
      </c>
    </row>
    <row r="86" spans="1:3" x14ac:dyDescent="0.2">
      <c r="A86" s="15"/>
      <c r="B86" s="15">
        <v>24.822695039999999</v>
      </c>
      <c r="C86" s="15">
        <v>22.875816990000001</v>
      </c>
    </row>
    <row r="87" spans="1:3" x14ac:dyDescent="0.2">
      <c r="A87" s="15"/>
      <c r="B87" s="15">
        <v>12.94117647</v>
      </c>
      <c r="C87" s="15">
        <v>82.911392410000005</v>
      </c>
    </row>
    <row r="88" spans="1:3" x14ac:dyDescent="0.2">
      <c r="A88" s="15"/>
      <c r="B88" s="15">
        <v>50.641025640000002</v>
      </c>
      <c r="C88" s="15">
        <v>32.28346457</v>
      </c>
    </row>
    <row r="89" spans="1:3" x14ac:dyDescent="0.2">
      <c r="A89" s="15"/>
      <c r="B89" s="15">
        <v>31.25</v>
      </c>
      <c r="C89" s="15">
        <v>13.33333333</v>
      </c>
    </row>
    <row r="90" spans="1:3" x14ac:dyDescent="0.2">
      <c r="A90" s="15"/>
      <c r="B90" s="15">
        <v>54.87804878</v>
      </c>
      <c r="C90" s="15">
        <v>56.602112769999998</v>
      </c>
    </row>
    <row r="91" spans="1:3" x14ac:dyDescent="0.2">
      <c r="A91" s="15"/>
      <c r="B91" s="15">
        <v>58</v>
      </c>
      <c r="C91" s="15">
        <v>64.705882349999996</v>
      </c>
    </row>
    <row r="92" spans="1:3" x14ac:dyDescent="0.2">
      <c r="A92" s="15"/>
      <c r="B92" s="15">
        <v>53.146853100000001</v>
      </c>
      <c r="C92" s="15">
        <v>61.81818182</v>
      </c>
    </row>
    <row r="93" spans="1:3" x14ac:dyDescent="0.2">
      <c r="A93" s="15"/>
      <c r="B93" s="15">
        <v>50.413223100000003</v>
      </c>
      <c r="C93" s="15">
        <v>30.35714286</v>
      </c>
    </row>
    <row r="94" spans="1:3" x14ac:dyDescent="0.2">
      <c r="A94" s="15"/>
      <c r="B94" s="15">
        <v>29.411764699999999</v>
      </c>
      <c r="C94" s="15">
        <v>100</v>
      </c>
    </row>
    <row r="95" spans="1:3" x14ac:dyDescent="0.2">
      <c r="A95" s="15"/>
      <c r="B95" s="15">
        <v>33.582089600000003</v>
      </c>
      <c r="C95" s="15">
        <v>65.178571430000005</v>
      </c>
    </row>
    <row r="96" spans="1:3" x14ac:dyDescent="0.2">
      <c r="A96" s="15"/>
      <c r="B96" s="15">
        <v>38.970588200000002</v>
      </c>
      <c r="C96" s="15">
        <v>83.739837399999999</v>
      </c>
    </row>
    <row r="97" spans="1:3" x14ac:dyDescent="0.2">
      <c r="A97" s="15"/>
      <c r="B97" s="15">
        <v>54.621848700000001</v>
      </c>
      <c r="C97" s="15">
        <v>17.045454549999999</v>
      </c>
    </row>
    <row r="98" spans="1:3" x14ac:dyDescent="0.2">
      <c r="A98" s="15"/>
      <c r="B98" s="15">
        <v>33.980582499999997</v>
      </c>
      <c r="C98" s="15">
        <v>59.504132230000003</v>
      </c>
    </row>
    <row r="99" spans="1:3" x14ac:dyDescent="0.2">
      <c r="A99" s="15"/>
      <c r="B99" s="15">
        <v>59.433962299999997</v>
      </c>
      <c r="C99" s="15">
        <v>99</v>
      </c>
    </row>
    <row r="100" spans="1:3" x14ac:dyDescent="0.2">
      <c r="A100" s="15"/>
      <c r="B100" s="15">
        <v>23.952095799999999</v>
      </c>
      <c r="C100" s="15">
        <v>79.310344830000005</v>
      </c>
    </row>
    <row r="101" spans="1:3" x14ac:dyDescent="0.2">
      <c r="A101" s="15"/>
      <c r="B101" s="15">
        <v>27.2058824</v>
      </c>
      <c r="C101" s="15">
        <v>53.260869569999997</v>
      </c>
    </row>
    <row r="102" spans="1:3" x14ac:dyDescent="0.2">
      <c r="A102" s="15"/>
      <c r="B102" s="15">
        <v>23.756906099999998</v>
      </c>
      <c r="C102" s="15">
        <v>70.886075950000006</v>
      </c>
    </row>
    <row r="103" spans="1:3" x14ac:dyDescent="0.2">
      <c r="A103" s="15"/>
      <c r="B103" s="15">
        <v>37.142857100000001</v>
      </c>
      <c r="C103" s="15">
        <v>98</v>
      </c>
    </row>
    <row r="104" spans="1:3" x14ac:dyDescent="0.2">
      <c r="A104" s="15"/>
      <c r="B104" s="15">
        <v>35.470085500000003</v>
      </c>
      <c r="C104" s="15">
        <v>83</v>
      </c>
    </row>
    <row r="105" spans="1:3" x14ac:dyDescent="0.2">
      <c r="A105" s="15"/>
      <c r="B105" s="15">
        <v>31.578947400000001</v>
      </c>
      <c r="C105" s="15">
        <v>97.6</v>
      </c>
    </row>
    <row r="106" spans="1:3" x14ac:dyDescent="0.2">
      <c r="A106" s="15"/>
      <c r="B106" s="15">
        <v>64.3274854</v>
      </c>
      <c r="C106" s="15">
        <v>38.235294119999999</v>
      </c>
    </row>
    <row r="107" spans="1:3" x14ac:dyDescent="0.2">
      <c r="A107" s="15"/>
      <c r="B107" s="15">
        <v>54.248365999999997</v>
      </c>
      <c r="C107" s="15">
        <v>34.545454550000002</v>
      </c>
    </row>
    <row r="108" spans="1:3" x14ac:dyDescent="0.2">
      <c r="A108" s="15"/>
      <c r="B108" s="15">
        <v>73.275862099999998</v>
      </c>
      <c r="C108" s="15">
        <v>57.142857139999997</v>
      </c>
    </row>
    <row r="109" spans="1:3" x14ac:dyDescent="0.2">
      <c r="A109" s="15"/>
      <c r="B109" s="15">
        <v>23.571428600000001</v>
      </c>
      <c r="C109" s="15">
        <v>40.989399290000001</v>
      </c>
    </row>
    <row r="110" spans="1:3" x14ac:dyDescent="0.2">
      <c r="A110" s="15"/>
      <c r="B110" s="15">
        <v>34.444444400000002</v>
      </c>
      <c r="C110" s="15">
        <v>56.25</v>
      </c>
    </row>
    <row r="111" spans="1:3" x14ac:dyDescent="0.2">
      <c r="A111" s="15"/>
      <c r="B111" s="15">
        <v>29.5180723</v>
      </c>
      <c r="C111" s="15">
        <v>91.869918699999999</v>
      </c>
    </row>
    <row r="112" spans="1:3" x14ac:dyDescent="0.2">
      <c r="A112" s="15"/>
      <c r="B112" s="15">
        <v>25.342465749999999</v>
      </c>
      <c r="C112" s="15">
        <v>17.045454549999999</v>
      </c>
    </row>
    <row r="113" spans="1:3" x14ac:dyDescent="0.2">
      <c r="A113" s="15"/>
      <c r="B113" s="15"/>
      <c r="C113" s="15">
        <v>62.80991736</v>
      </c>
    </row>
    <row r="114" spans="1:3" x14ac:dyDescent="0.2">
      <c r="A114" s="15"/>
      <c r="B114" s="15"/>
      <c r="C114" s="15">
        <v>98</v>
      </c>
    </row>
    <row r="115" spans="1:3" x14ac:dyDescent="0.2">
      <c r="A115" s="15"/>
      <c r="B115" s="15"/>
      <c r="C115" s="15">
        <v>90.804597700000002</v>
      </c>
    </row>
    <row r="116" spans="1:3" x14ac:dyDescent="0.2">
      <c r="A116" s="15"/>
      <c r="B116" s="15"/>
      <c r="C116" s="15">
        <v>20.652173909999998</v>
      </c>
    </row>
    <row r="117" spans="1:3" x14ac:dyDescent="0.2">
      <c r="A117" s="15"/>
      <c r="B117" s="15"/>
      <c r="C117" s="15">
        <v>58.227848100000003</v>
      </c>
    </row>
    <row r="118" spans="1:3" x14ac:dyDescent="0.2">
      <c r="A118" s="15"/>
      <c r="B118" s="15"/>
      <c r="C118" s="15">
        <v>84</v>
      </c>
    </row>
    <row r="119" spans="1:3" x14ac:dyDescent="0.2">
      <c r="A119" s="15"/>
      <c r="B119" s="15"/>
      <c r="C119" s="15">
        <v>82</v>
      </c>
    </row>
    <row r="120" spans="1:3" x14ac:dyDescent="0.2">
      <c r="A120" s="15"/>
      <c r="B120" s="15"/>
      <c r="C120" s="15">
        <v>81.599999999999994</v>
      </c>
    </row>
    <row r="121" spans="1:3" x14ac:dyDescent="0.2">
      <c r="A121" s="15"/>
      <c r="B121" s="15"/>
      <c r="C121" s="15">
        <v>60.944861029999998</v>
      </c>
    </row>
    <row r="122" spans="1:3" x14ac:dyDescent="0.2">
      <c r="A122" s="15"/>
      <c r="B122" s="15"/>
      <c r="C122" s="15">
        <v>56.953642379999998</v>
      </c>
    </row>
    <row r="123" spans="1:3" x14ac:dyDescent="0.2">
      <c r="A123" s="15"/>
      <c r="B123" s="15"/>
      <c r="C123" s="15">
        <v>42.553191490000003</v>
      </c>
    </row>
    <row r="124" spans="1:3" x14ac:dyDescent="0.2">
      <c r="A124" s="15"/>
      <c r="B124" s="15"/>
      <c r="C124" s="15">
        <v>41.726618709999997</v>
      </c>
    </row>
    <row r="125" spans="1:3" x14ac:dyDescent="0.2">
      <c r="A125" s="15"/>
      <c r="B125" s="15"/>
      <c r="C125" s="15">
        <v>64.077669900000004</v>
      </c>
    </row>
    <row r="126" spans="1:3" x14ac:dyDescent="0.2">
      <c r="A126" s="15"/>
      <c r="B126" s="15"/>
      <c r="C126" s="15">
        <v>57.142857139999997</v>
      </c>
    </row>
    <row r="127" spans="1:3" x14ac:dyDescent="0.2">
      <c r="A127" s="15"/>
      <c r="B127" s="15"/>
      <c r="C127" s="15">
        <v>47.154471540000003</v>
      </c>
    </row>
    <row r="128" spans="1:3" x14ac:dyDescent="0.2">
      <c r="A128" s="15"/>
      <c r="B128" s="15"/>
      <c r="C128" s="15">
        <v>67.479674799999998</v>
      </c>
    </row>
    <row r="129" spans="1:3" x14ac:dyDescent="0.2">
      <c r="A129" s="15"/>
      <c r="B129" s="15"/>
      <c r="C129" s="15">
        <v>27.835051549999999</v>
      </c>
    </row>
    <row r="130" spans="1:3" x14ac:dyDescent="0.2">
      <c r="A130" s="15"/>
      <c r="B130" s="15"/>
      <c r="C130" s="15">
        <v>37.974683540000001</v>
      </c>
    </row>
    <row r="131" spans="1:3" x14ac:dyDescent="0.2">
      <c r="A131" s="15"/>
      <c r="B131" s="15"/>
      <c r="C131" s="15">
        <v>45.945945950000002</v>
      </c>
    </row>
    <row r="132" spans="1:3" x14ac:dyDescent="0.2">
      <c r="A132" s="15"/>
      <c r="B132" s="15"/>
      <c r="C132" s="15">
        <v>45.23809524</v>
      </c>
    </row>
    <row r="133" spans="1:3" x14ac:dyDescent="0.2">
      <c r="A133" s="15"/>
      <c r="B133" s="15"/>
      <c r="C133" s="15">
        <v>49.450549449999997</v>
      </c>
    </row>
    <row r="134" spans="1:3" x14ac:dyDescent="0.2">
      <c r="A134" s="15"/>
      <c r="B134" s="15"/>
      <c r="C134" s="15">
        <v>48.627704309999999</v>
      </c>
    </row>
    <row r="135" spans="1:3" x14ac:dyDescent="0.2">
      <c r="A135" s="15"/>
      <c r="B135" s="15"/>
      <c r="C135" s="15">
        <v>44.144144140000002</v>
      </c>
    </row>
    <row r="136" spans="1:3" x14ac:dyDescent="0.2">
      <c r="A136" s="15"/>
      <c r="B136" s="15"/>
      <c r="C136" s="15">
        <v>80.97826087</v>
      </c>
    </row>
    <row r="137" spans="1:3" x14ac:dyDescent="0.2">
      <c r="A137" s="15"/>
      <c r="B137" s="15"/>
      <c r="C137" s="15">
        <v>84.444444439999998</v>
      </c>
    </row>
    <row r="138" spans="1:3" x14ac:dyDescent="0.2">
      <c r="A138" s="15"/>
      <c r="B138" s="15"/>
      <c r="C138" s="15">
        <v>87.155963299999996</v>
      </c>
    </row>
    <row r="139" spans="1:3" x14ac:dyDescent="0.2">
      <c r="A139" s="15"/>
      <c r="B139" s="15"/>
      <c r="C139" s="15">
        <v>35.263157890000002</v>
      </c>
    </row>
    <row r="140" spans="1:3" x14ac:dyDescent="0.2">
      <c r="A140" s="15"/>
      <c r="B140" s="15"/>
      <c r="C140" s="15">
        <v>81.122448980000001</v>
      </c>
    </row>
    <row r="141" spans="1:3" x14ac:dyDescent="0.2">
      <c r="A141" s="15"/>
      <c r="B141" s="15"/>
      <c r="C141" s="15">
        <v>87.700534759999996</v>
      </c>
    </row>
    <row r="142" spans="1:3" x14ac:dyDescent="0.2">
      <c r="A142" s="15"/>
      <c r="B142" s="15"/>
      <c r="C142" s="15">
        <v>34.831460669999998</v>
      </c>
    </row>
    <row r="143" spans="1:3" x14ac:dyDescent="0.2">
      <c r="A143" s="15"/>
      <c r="B143" s="15"/>
      <c r="C143" s="15">
        <v>71.153846150000007</v>
      </c>
    </row>
    <row r="144" spans="1:3" x14ac:dyDescent="0.2">
      <c r="A144" s="15"/>
      <c r="B144" s="15"/>
      <c r="C144" s="15">
        <v>86.470588239999998</v>
      </c>
    </row>
    <row r="145" spans="1:3" x14ac:dyDescent="0.2">
      <c r="A145" s="15"/>
      <c r="B145" s="15"/>
      <c r="C145" s="15">
        <v>62.9787234</v>
      </c>
    </row>
    <row r="146" spans="1:3" x14ac:dyDescent="0.2">
      <c r="A146" s="15"/>
      <c r="B146" s="15"/>
      <c r="C146" s="15">
        <v>64.73988439</v>
      </c>
    </row>
    <row r="147" spans="1:3" x14ac:dyDescent="0.2">
      <c r="A147" s="15"/>
      <c r="B147" s="15"/>
      <c r="C147" s="15">
        <v>50.344827590000001</v>
      </c>
    </row>
    <row r="148" spans="1:3" x14ac:dyDescent="0.2">
      <c r="A148" s="15"/>
      <c r="B148" s="15"/>
      <c r="C148" s="15">
        <v>18.023255809999998</v>
      </c>
    </row>
    <row r="149" spans="1:3" x14ac:dyDescent="0.2">
      <c r="A149" s="15"/>
      <c r="B149" s="15"/>
      <c r="C149" s="15">
        <v>34.285714290000001</v>
      </c>
    </row>
    <row r="150" spans="1:3" x14ac:dyDescent="0.2">
      <c r="A150" s="15"/>
      <c r="B150" s="15"/>
      <c r="C150" s="15">
        <v>73.958333330000002</v>
      </c>
    </row>
    <row r="151" spans="1:3" x14ac:dyDescent="0.2">
      <c r="A151" s="15"/>
      <c r="B151" s="15"/>
      <c r="C151" s="15">
        <v>50.490196079999997</v>
      </c>
    </row>
    <row r="152" spans="1:3" x14ac:dyDescent="0.2">
      <c r="A152" s="15"/>
      <c r="B152" s="15"/>
      <c r="C152" s="15">
        <v>70.954356849999996</v>
      </c>
    </row>
    <row r="153" spans="1:3" x14ac:dyDescent="0.2">
      <c r="A153" s="15"/>
      <c r="B153" s="15"/>
      <c r="C153" s="15">
        <v>19.634703200000001</v>
      </c>
    </row>
    <row r="154" spans="1:3" x14ac:dyDescent="0.2">
      <c r="A154" s="15"/>
      <c r="B154" s="15"/>
      <c r="C154" s="15">
        <v>59.93025497</v>
      </c>
    </row>
    <row r="155" spans="1:3" x14ac:dyDescent="0.2">
      <c r="A155" s="15"/>
      <c r="B155" s="15"/>
      <c r="C155" s="15">
        <v>74.436090230000005</v>
      </c>
    </row>
    <row r="156" spans="1:3" x14ac:dyDescent="0.2">
      <c r="A156" s="15"/>
      <c r="B156" s="15"/>
      <c r="C156" s="15">
        <v>65.573770490000001</v>
      </c>
    </row>
    <row r="157" spans="1:3" x14ac:dyDescent="0.2">
      <c r="A157" s="15"/>
      <c r="B157" s="15"/>
      <c r="C157" s="15">
        <v>79.166666669999998</v>
      </c>
    </row>
    <row r="158" spans="1:3" x14ac:dyDescent="0.2">
      <c r="A158" s="15"/>
      <c r="B158" s="15"/>
      <c r="C158" s="15">
        <v>41.493775929999998</v>
      </c>
    </row>
    <row r="159" spans="1:3" x14ac:dyDescent="0.2">
      <c r="A159" s="15"/>
      <c r="B159" s="15"/>
      <c r="C159" s="15">
        <v>67.980295569999996</v>
      </c>
    </row>
    <row r="160" spans="1:3" x14ac:dyDescent="0.2">
      <c r="A160" s="15"/>
      <c r="B160" s="15"/>
      <c r="C160" s="15">
        <v>58.16326531</v>
      </c>
    </row>
    <row r="161" spans="1:3" x14ac:dyDescent="0.2">
      <c r="A161" s="15"/>
      <c r="B161" s="15"/>
      <c r="C161" s="15">
        <v>62.698412699999999</v>
      </c>
    </row>
    <row r="162" spans="1:3" x14ac:dyDescent="0.2">
      <c r="A162" s="15"/>
      <c r="B162" s="15"/>
      <c r="C162" s="15">
        <v>72.941176470000002</v>
      </c>
    </row>
    <row r="163" spans="1:3" x14ac:dyDescent="0.2">
      <c r="A163" s="15"/>
      <c r="B163" s="15"/>
      <c r="C163" s="15">
        <v>85.064935059999996</v>
      </c>
    </row>
    <row r="164" spans="1:3" x14ac:dyDescent="0.2">
      <c r="A164" s="15"/>
      <c r="B164" s="15"/>
      <c r="C164" s="15">
        <v>82.993197280000004</v>
      </c>
    </row>
    <row r="165" spans="1:3" x14ac:dyDescent="0.2">
      <c r="A165" s="15"/>
      <c r="B165" s="15"/>
      <c r="C165" s="15">
        <v>73.142857140000004</v>
      </c>
    </row>
    <row r="166" spans="1:3" x14ac:dyDescent="0.2">
      <c r="A166" s="15"/>
      <c r="B166" s="15"/>
      <c r="C166" s="15">
        <v>83.673469389999994</v>
      </c>
    </row>
    <row r="167" spans="1:3" x14ac:dyDescent="0.2">
      <c r="A167" s="15"/>
      <c r="B167" s="15"/>
      <c r="C167" s="15">
        <v>78.014184400000005</v>
      </c>
    </row>
    <row r="168" spans="1:3" x14ac:dyDescent="0.2">
      <c r="A168" s="15"/>
      <c r="B168" s="15"/>
      <c r="C168" s="15">
        <v>61.290322580000002</v>
      </c>
    </row>
    <row r="169" spans="1:3" x14ac:dyDescent="0.2">
      <c r="A169" s="15"/>
      <c r="B169" s="15"/>
      <c r="C169" s="15">
        <v>88.135593220000004</v>
      </c>
    </row>
    <row r="170" spans="1:3" x14ac:dyDescent="0.2">
      <c r="A170" s="15"/>
      <c r="B170" s="15"/>
      <c r="C170" s="15">
        <v>72.549019610000002</v>
      </c>
    </row>
    <row r="171" spans="1:3" x14ac:dyDescent="0.2">
      <c r="A171" s="15"/>
      <c r="B171" s="15"/>
      <c r="C171" s="15">
        <v>74.5</v>
      </c>
    </row>
    <row r="172" spans="1:3" x14ac:dyDescent="0.2">
      <c r="A172" s="15"/>
      <c r="B172" s="15"/>
      <c r="C172" s="15">
        <v>62.4</v>
      </c>
    </row>
    <row r="173" spans="1:3" x14ac:dyDescent="0.2">
      <c r="A173" s="15"/>
      <c r="B173" s="15"/>
      <c r="C173" s="15">
        <v>86.475409839999998</v>
      </c>
    </row>
    <row r="174" spans="1:3" x14ac:dyDescent="0.2">
      <c r="A174" s="15"/>
      <c r="B174" s="15"/>
      <c r="C174" s="15">
        <v>86.877828050000005</v>
      </c>
    </row>
    <row r="175" spans="1:3" x14ac:dyDescent="0.2">
      <c r="A175" s="15"/>
      <c r="B175" s="15"/>
      <c r="C175" s="15">
        <v>100</v>
      </c>
    </row>
    <row r="176" spans="1:3" x14ac:dyDescent="0.2">
      <c r="A176" s="15"/>
      <c r="B176" s="15"/>
      <c r="C176" s="15">
        <v>90.740740740000007</v>
      </c>
    </row>
    <row r="177" spans="1:3" x14ac:dyDescent="0.2">
      <c r="A177" s="15"/>
      <c r="B177" s="15"/>
      <c r="C177" s="15">
        <v>83.229813660000005</v>
      </c>
    </row>
    <row r="178" spans="1:3" x14ac:dyDescent="0.2">
      <c r="A178" s="15"/>
      <c r="B178" s="15"/>
      <c r="C178" s="15">
        <v>65.693430660000004</v>
      </c>
    </row>
    <row r="179" spans="1:3" x14ac:dyDescent="0.2">
      <c r="A179" s="15"/>
      <c r="B179" s="15"/>
      <c r="C179" s="15">
        <v>66.359447000000003</v>
      </c>
    </row>
    <row r="180" spans="1:3" x14ac:dyDescent="0.2">
      <c r="A180" s="15"/>
      <c r="B180" s="15"/>
      <c r="C180" s="15">
        <v>100</v>
      </c>
    </row>
    <row r="181" spans="1:3" x14ac:dyDescent="0.2">
      <c r="A181" s="15"/>
      <c r="B181" s="15"/>
      <c r="C181" s="15">
        <v>75.776397520000003</v>
      </c>
    </row>
    <row r="182" spans="1:3" x14ac:dyDescent="0.2">
      <c r="A182" s="15"/>
      <c r="B182" s="15"/>
      <c r="C182" s="15">
        <v>63.414634149999998</v>
      </c>
    </row>
    <row r="183" spans="1:3" x14ac:dyDescent="0.2">
      <c r="A183" s="15"/>
      <c r="B183" s="15"/>
      <c r="C183" s="15">
        <v>60.360360360000001</v>
      </c>
    </row>
    <row r="184" spans="1:3" x14ac:dyDescent="0.2">
      <c r="A184" s="15"/>
      <c r="B184" s="15"/>
      <c r="C184" s="15">
        <v>64.5</v>
      </c>
    </row>
    <row r="185" spans="1:3" x14ac:dyDescent="0.2">
      <c r="A185" s="15"/>
      <c r="B185" s="15"/>
      <c r="C185" s="15">
        <v>60.833333330000002</v>
      </c>
    </row>
    <row r="186" spans="1:3" x14ac:dyDescent="0.2">
      <c r="A186" s="15"/>
      <c r="B186" s="15"/>
      <c r="C186" s="15">
        <v>70.754716979999998</v>
      </c>
    </row>
    <row r="187" spans="1:3" x14ac:dyDescent="0.2">
      <c r="A187" s="15"/>
      <c r="B187" s="15"/>
      <c r="C187" s="15">
        <v>63.483146069999997</v>
      </c>
    </row>
    <row r="188" spans="1:3" x14ac:dyDescent="0.2">
      <c r="A188" s="15"/>
      <c r="B188" s="15"/>
      <c r="C188" s="15">
        <v>100</v>
      </c>
    </row>
    <row r="189" spans="1:3" x14ac:dyDescent="0.2">
      <c r="A189" s="15"/>
      <c r="B189" s="15"/>
      <c r="C189" s="15">
        <v>76.523485789999995</v>
      </c>
    </row>
    <row r="190" spans="1:3" x14ac:dyDescent="0.2">
      <c r="A190" s="15"/>
      <c r="B190" s="15"/>
      <c r="C190" s="15">
        <v>72.5</v>
      </c>
    </row>
    <row r="191" spans="1:3" x14ac:dyDescent="0.2">
      <c r="A191" s="15"/>
      <c r="B191" s="15"/>
      <c r="C191" s="15">
        <v>52.413793099999999</v>
      </c>
    </row>
    <row r="192" spans="1:3" x14ac:dyDescent="0.2">
      <c r="A192" s="15"/>
      <c r="B192" s="15"/>
      <c r="C192" s="15">
        <v>95</v>
      </c>
    </row>
    <row r="193" spans="1:3" x14ac:dyDescent="0.2">
      <c r="A193" s="15"/>
      <c r="B193" s="15"/>
      <c r="C193" s="15">
        <v>88.524590160000002</v>
      </c>
    </row>
    <row r="194" spans="1:3" x14ac:dyDescent="0.2">
      <c r="A194" s="15"/>
      <c r="B194" s="15"/>
      <c r="C194" s="15">
        <v>82.524271839999997</v>
      </c>
    </row>
    <row r="195" spans="1:3" x14ac:dyDescent="0.2">
      <c r="A195" s="15"/>
      <c r="B195" s="15"/>
      <c r="C195" s="15">
        <v>66.666666669999998</v>
      </c>
    </row>
    <row r="196" spans="1:3" x14ac:dyDescent="0.2">
      <c r="A196" s="15"/>
      <c r="B196" s="15"/>
      <c r="C196" s="15">
        <v>100</v>
      </c>
    </row>
    <row r="197" spans="1:3" x14ac:dyDescent="0.2">
      <c r="A197" s="15"/>
      <c r="B197" s="15"/>
      <c r="C197" s="15">
        <v>62.721893489999999</v>
      </c>
    </row>
    <row r="198" spans="1:3" x14ac:dyDescent="0.2">
      <c r="A198" s="15"/>
      <c r="B198" s="15"/>
      <c r="C198" s="15">
        <v>88.965517239999997</v>
      </c>
    </row>
    <row r="199" spans="1:3" x14ac:dyDescent="0.2">
      <c r="A199" s="15"/>
      <c r="B199" s="15"/>
      <c r="C199" s="15">
        <v>55.462184870000002</v>
      </c>
    </row>
    <row r="200" spans="1:3" x14ac:dyDescent="0.2">
      <c r="A200" s="15"/>
      <c r="B200" s="15"/>
      <c r="C200" s="15">
        <v>75.998999999999995</v>
      </c>
    </row>
    <row r="201" spans="1:3" x14ac:dyDescent="0.2">
      <c r="A201" s="15"/>
      <c r="B201" s="15"/>
      <c r="C201" s="15">
        <v>81.888888899999998</v>
      </c>
    </row>
    <row r="202" spans="1:3" x14ac:dyDescent="0.2">
      <c r="A202" s="15"/>
      <c r="B202" s="15"/>
      <c r="C202" s="15">
        <v>80.158730160000005</v>
      </c>
    </row>
    <row r="203" spans="1:3" x14ac:dyDescent="0.2">
      <c r="A203" s="15"/>
      <c r="B203" s="15"/>
      <c r="C203" s="15">
        <v>80.882352940000004</v>
      </c>
    </row>
    <row r="204" spans="1:3" x14ac:dyDescent="0.2">
      <c r="A204" s="15"/>
      <c r="B204" s="15"/>
      <c r="C204" s="15">
        <v>60.162601629999997</v>
      </c>
    </row>
    <row r="205" spans="1:3" x14ac:dyDescent="0.2">
      <c r="A205" s="15"/>
      <c r="B205" s="15"/>
      <c r="C205" s="15">
        <v>40.963855420000002</v>
      </c>
    </row>
    <row r="206" spans="1:3" x14ac:dyDescent="0.2">
      <c r="A206" s="15"/>
      <c r="B206" s="15"/>
      <c r="C206" s="15">
        <v>60.130718950000002</v>
      </c>
    </row>
    <row r="207" spans="1:3" x14ac:dyDescent="0.2">
      <c r="A207" s="15"/>
      <c r="B207" s="15"/>
      <c r="C207" s="15">
        <v>91.735537190000002</v>
      </c>
    </row>
    <row r="208" spans="1:3" x14ac:dyDescent="0.2">
      <c r="A208" s="15"/>
      <c r="B208" s="15"/>
      <c r="C208" s="15">
        <v>47.5</v>
      </c>
    </row>
    <row r="209" spans="1:3" x14ac:dyDescent="0.2">
      <c r="A209" s="15"/>
      <c r="B209" s="15"/>
      <c r="C209" s="15">
        <v>45.517241380000002</v>
      </c>
    </row>
    <row r="210" spans="1:3" x14ac:dyDescent="0.2">
      <c r="A210" s="15"/>
      <c r="B210" s="15"/>
      <c r="C210" s="15">
        <v>90</v>
      </c>
    </row>
    <row r="211" spans="1:3" x14ac:dyDescent="0.2">
      <c r="A211" s="15"/>
      <c r="B211" s="15"/>
      <c r="C211" s="15">
        <v>96.721311479999997</v>
      </c>
    </row>
    <row r="212" spans="1:3" x14ac:dyDescent="0.2">
      <c r="A212" s="15"/>
      <c r="B212" s="15"/>
      <c r="C212" s="15">
        <v>63.106796119999998</v>
      </c>
    </row>
    <row r="213" spans="1:3" x14ac:dyDescent="0.2">
      <c r="A213" s="15"/>
      <c r="B213" s="15"/>
      <c r="C213" s="15">
        <v>37.931034480000001</v>
      </c>
    </row>
    <row r="214" spans="1:3" x14ac:dyDescent="0.2">
      <c r="A214" s="15"/>
      <c r="B214" s="15"/>
      <c r="C214" s="15">
        <v>100</v>
      </c>
    </row>
    <row r="215" spans="1:3" x14ac:dyDescent="0.2">
      <c r="A215" s="15"/>
      <c r="B215" s="15"/>
      <c r="C215" s="15">
        <v>56.804733730000002</v>
      </c>
    </row>
    <row r="216" spans="1:3" x14ac:dyDescent="0.2">
      <c r="A216" s="15"/>
      <c r="B216" s="15"/>
      <c r="C216" s="15">
        <v>70.344827589999994</v>
      </c>
    </row>
    <row r="217" spans="1:3" x14ac:dyDescent="0.2">
      <c r="A217" s="15"/>
      <c r="B217" s="15"/>
      <c r="C217" s="15">
        <v>38.655462180000001</v>
      </c>
    </row>
    <row r="218" spans="1:3" x14ac:dyDescent="0.2">
      <c r="A218" s="15"/>
      <c r="B218" s="15"/>
      <c r="C218" s="15">
        <v>65.998999999999995</v>
      </c>
    </row>
    <row r="219" spans="1:3" x14ac:dyDescent="0.2">
      <c r="A219" s="15"/>
      <c r="B219" s="15"/>
      <c r="C219" s="15">
        <v>81.888888899999998</v>
      </c>
    </row>
    <row r="220" spans="1:3" x14ac:dyDescent="0.2">
      <c r="A220" s="15"/>
      <c r="B220" s="15"/>
      <c r="C220" s="15">
        <v>56.349206350000003</v>
      </c>
    </row>
    <row r="221" spans="1:3" x14ac:dyDescent="0.2">
      <c r="A221" s="15"/>
      <c r="B221" s="15"/>
      <c r="C221" s="15">
        <v>58.823529409999999</v>
      </c>
    </row>
    <row r="222" spans="1:3" x14ac:dyDescent="0.2">
      <c r="A222" s="15"/>
      <c r="B222" s="15"/>
      <c r="C222" s="15">
        <v>63.414634149999998</v>
      </c>
    </row>
    <row r="223" spans="1:3" x14ac:dyDescent="0.2">
      <c r="A223" s="15"/>
      <c r="B223" s="15"/>
      <c r="C223" s="15">
        <v>61.445783130000002</v>
      </c>
    </row>
    <row r="224" spans="1:3" x14ac:dyDescent="0.2">
      <c r="A224" s="15"/>
      <c r="B224" s="15"/>
      <c r="C224" s="15">
        <v>51.633986929999999</v>
      </c>
    </row>
    <row r="225" spans="1:3" x14ac:dyDescent="0.2">
      <c r="A225" s="15"/>
      <c r="B225" s="15"/>
      <c r="C225" s="15">
        <v>95.867768600000005</v>
      </c>
    </row>
    <row r="226" spans="1:3" x14ac:dyDescent="0.2">
      <c r="A226" s="15"/>
      <c r="B226" s="15"/>
      <c r="C226" s="15">
        <v>95.867768600000005</v>
      </c>
    </row>
    <row r="227" spans="1:3" x14ac:dyDescent="0.2">
      <c r="A227" s="15"/>
      <c r="B227" s="15"/>
      <c r="C227" s="15">
        <v>67.256419629999996</v>
      </c>
    </row>
    <row r="228" spans="1:3" x14ac:dyDescent="0.2">
      <c r="A228" s="15"/>
      <c r="B228" s="15"/>
      <c r="C228" s="15">
        <v>71.428571430000005</v>
      </c>
    </row>
    <row r="229" spans="1:3" x14ac:dyDescent="0.2">
      <c r="A229" s="15"/>
      <c r="B229" s="15"/>
      <c r="C229" s="15">
        <v>74.747474749999995</v>
      </c>
    </row>
    <row r="230" spans="1:3" x14ac:dyDescent="0.2">
      <c r="A230" s="15"/>
      <c r="B230" s="15"/>
      <c r="C230" s="15">
        <v>69.037656900000002</v>
      </c>
    </row>
    <row r="231" spans="1:3" x14ac:dyDescent="0.2">
      <c r="A231" s="15"/>
      <c r="B231" s="15"/>
      <c r="C231" s="15">
        <v>47.945205479999998</v>
      </c>
    </row>
    <row r="232" spans="1:3" x14ac:dyDescent="0.2">
      <c r="A232" s="15"/>
      <c r="B232" s="15"/>
      <c r="C232" s="15">
        <v>30.699088150000001</v>
      </c>
    </row>
    <row r="233" spans="1:3" x14ac:dyDescent="0.2">
      <c r="A233" s="15"/>
      <c r="B233" s="15"/>
      <c r="C233" s="15">
        <v>23.26388889</v>
      </c>
    </row>
    <row r="234" spans="1:3" x14ac:dyDescent="0.2">
      <c r="A234" s="15"/>
      <c r="B234" s="15"/>
      <c r="C234" s="15">
        <v>41.379310340000004</v>
      </c>
    </row>
    <row r="235" spans="1:3" x14ac:dyDescent="0.2">
      <c r="A235" s="15"/>
      <c r="B235" s="15"/>
      <c r="C235" s="15">
        <v>51.214456560000002</v>
      </c>
    </row>
    <row r="236" spans="1:3" x14ac:dyDescent="0.2">
      <c r="A236" s="15"/>
      <c r="B236" s="15"/>
      <c r="C236" s="15">
        <v>94.890510950000007</v>
      </c>
    </row>
    <row r="237" spans="1:3" x14ac:dyDescent="0.2">
      <c r="A237" s="15"/>
      <c r="B237" s="15"/>
      <c r="C237" s="15">
        <v>45.38461538</v>
      </c>
    </row>
    <row r="238" spans="1:3" x14ac:dyDescent="0.2">
      <c r="A238" s="15"/>
      <c r="B238" s="15"/>
      <c r="C238" s="15">
        <v>41.428571429999998</v>
      </c>
    </row>
    <row r="239" spans="1:3" x14ac:dyDescent="0.2">
      <c r="A239" s="15"/>
      <c r="B239" s="15"/>
      <c r="C239" s="15">
        <v>68.553459119999999</v>
      </c>
    </row>
    <row r="240" spans="1:3" x14ac:dyDescent="0.2">
      <c r="A240" s="15"/>
      <c r="B240" s="15"/>
      <c r="C240" s="15">
        <v>31.578947370000002</v>
      </c>
    </row>
    <row r="241" spans="1:3" x14ac:dyDescent="0.2">
      <c r="A241" s="15"/>
      <c r="B241" s="15"/>
      <c r="C241" s="15">
        <v>74.358974360000005</v>
      </c>
    </row>
    <row r="242" spans="1:3" x14ac:dyDescent="0.2">
      <c r="A242" s="15"/>
      <c r="B242" s="15"/>
      <c r="C242" s="15">
        <v>49.090909089999997</v>
      </c>
    </row>
    <row r="243" spans="1:3" x14ac:dyDescent="0.2">
      <c r="A243" s="15"/>
      <c r="B243" s="15"/>
      <c r="C243" s="15">
        <v>57.89799824</v>
      </c>
    </row>
    <row r="244" spans="1:3" x14ac:dyDescent="0.2">
      <c r="A244" s="15"/>
      <c r="B244" s="15"/>
      <c r="C244" s="15">
        <v>84.563758390000004</v>
      </c>
    </row>
    <row r="245" spans="1:3" x14ac:dyDescent="0.2">
      <c r="A245" s="15"/>
      <c r="B245" s="15"/>
      <c r="C245" s="15">
        <v>38.624338620000003</v>
      </c>
    </row>
    <row r="246" spans="1:3" x14ac:dyDescent="0.2">
      <c r="A246" s="15"/>
      <c r="B246" s="15"/>
      <c r="C246" s="15">
        <v>72.727272729999996</v>
      </c>
    </row>
    <row r="247" spans="1:3" x14ac:dyDescent="0.2">
      <c r="A247" s="15"/>
      <c r="B247" s="15"/>
      <c r="C247" s="15">
        <v>70.47619048</v>
      </c>
    </row>
    <row r="248" spans="1:3" x14ac:dyDescent="0.2">
      <c r="A248" s="15"/>
      <c r="B248" s="15"/>
      <c r="C248" s="15">
        <v>54.255319149999998</v>
      </c>
    </row>
    <row r="249" spans="1:3" x14ac:dyDescent="0.2">
      <c r="A249" s="15"/>
      <c r="B249" s="15"/>
      <c r="C249" s="15">
        <v>68.279569890000005</v>
      </c>
    </row>
    <row r="250" spans="1:3" x14ac:dyDescent="0.2">
      <c r="A250" s="15"/>
      <c r="B250" s="15"/>
      <c r="C250" s="15">
        <v>73.880597010000002</v>
      </c>
    </row>
    <row r="251" spans="1:3" x14ac:dyDescent="0.2">
      <c r="A251" s="15"/>
      <c r="B251" s="15"/>
      <c r="C251" s="15">
        <v>88.349514560000003</v>
      </c>
    </row>
    <row r="252" spans="1:3" x14ac:dyDescent="0.2">
      <c r="A252" s="15"/>
      <c r="B252" s="15"/>
      <c r="C252" s="15">
        <v>96.333332999999996</v>
      </c>
    </row>
    <row r="253" spans="1:3" x14ac:dyDescent="0.2">
      <c r="A253" s="15"/>
      <c r="B253" s="15"/>
      <c r="C253" s="15">
        <v>100</v>
      </c>
    </row>
    <row r="254" spans="1:3" x14ac:dyDescent="0.2">
      <c r="A254" s="15"/>
      <c r="B254" s="15"/>
      <c r="C254" s="15">
        <v>91.93</v>
      </c>
    </row>
    <row r="255" spans="1:3" x14ac:dyDescent="0.2">
      <c r="A255" s="15"/>
      <c r="B255" s="15"/>
      <c r="C255" s="15">
        <v>92</v>
      </c>
    </row>
    <row r="256" spans="1:3" x14ac:dyDescent="0.2">
      <c r="A256" s="15"/>
      <c r="B256" s="15"/>
      <c r="C256" s="15">
        <v>70.723684210000002</v>
      </c>
    </row>
    <row r="257" spans="1:3" x14ac:dyDescent="0.2">
      <c r="A257" s="15"/>
      <c r="B257" s="15"/>
      <c r="C257" s="15">
        <v>95.333330000000004</v>
      </c>
    </row>
    <row r="258" spans="1:3" x14ac:dyDescent="0.2">
      <c r="A258" s="15"/>
      <c r="B258" s="15"/>
      <c r="C258" s="15">
        <v>97.666666669999998</v>
      </c>
    </row>
    <row r="259" spans="1:3" x14ac:dyDescent="0.2">
      <c r="A259" s="15"/>
      <c r="B259" s="15"/>
      <c r="C259" s="15">
        <v>91.998144839999995</v>
      </c>
    </row>
    <row r="260" spans="1:3" x14ac:dyDescent="0.2">
      <c r="A260" s="15"/>
      <c r="B260" s="15"/>
      <c r="C260" s="15">
        <v>84.848484850000006</v>
      </c>
    </row>
    <row r="261" spans="1:3" x14ac:dyDescent="0.2">
      <c r="A261" s="15"/>
      <c r="B261" s="15"/>
      <c r="C261" s="15">
        <v>76.363636360000001</v>
      </c>
    </row>
    <row r="262" spans="1:3" x14ac:dyDescent="0.2">
      <c r="A262" s="15"/>
      <c r="B262" s="15"/>
      <c r="C262" s="15">
        <v>86.274509800000004</v>
      </c>
    </row>
    <row r="263" spans="1:3" x14ac:dyDescent="0.2">
      <c r="A263" s="15"/>
      <c r="B263" s="15"/>
      <c r="C263" s="15">
        <v>83.23699422</v>
      </c>
    </row>
    <row r="264" spans="1:3" x14ac:dyDescent="0.2">
      <c r="A264" s="15"/>
      <c r="B264" s="15"/>
      <c r="C264" s="15">
        <v>90.184049079999994</v>
      </c>
    </row>
    <row r="265" spans="1:3" x14ac:dyDescent="0.2">
      <c r="A265" s="15"/>
      <c r="B265" s="15"/>
      <c r="C265" s="15">
        <v>96.078431370000004</v>
      </c>
    </row>
    <row r="266" spans="1:3" x14ac:dyDescent="0.2">
      <c r="A266" s="15"/>
      <c r="B266" s="15"/>
      <c r="C266" s="15">
        <v>71.621621619999999</v>
      </c>
    </row>
    <row r="267" spans="1:3" x14ac:dyDescent="0.2">
      <c r="A267" s="15"/>
      <c r="B267" s="15"/>
      <c r="C267" s="15">
        <v>64.646464649999999</v>
      </c>
    </row>
    <row r="268" spans="1:3" x14ac:dyDescent="0.2">
      <c r="A268" s="15"/>
      <c r="B268" s="15"/>
      <c r="C268" s="15">
        <v>76.363636360000001</v>
      </c>
    </row>
    <row r="269" spans="1:3" x14ac:dyDescent="0.2">
      <c r="A269" s="15"/>
      <c r="B269" s="15"/>
      <c r="C269" s="15">
        <v>66.666666669999998</v>
      </c>
    </row>
    <row r="270" spans="1:3" x14ac:dyDescent="0.2">
      <c r="A270" s="15"/>
      <c r="B270" s="15"/>
      <c r="C270" s="15">
        <v>54.335260120000001</v>
      </c>
    </row>
    <row r="271" spans="1:3" x14ac:dyDescent="0.2">
      <c r="A271" s="15"/>
      <c r="B271" s="15"/>
      <c r="C271" s="15">
        <v>53.37423313</v>
      </c>
    </row>
    <row r="272" spans="1:3" x14ac:dyDescent="0.2">
      <c r="A272" s="15"/>
      <c r="B272" s="15"/>
      <c r="C272" s="15">
        <v>96.078431370000004</v>
      </c>
    </row>
    <row r="273" spans="1:3" x14ac:dyDescent="0.2">
      <c r="A273" s="15"/>
      <c r="B273" s="15"/>
      <c r="C273" s="15">
        <v>29.729729729999999</v>
      </c>
    </row>
    <row r="274" spans="1:3" x14ac:dyDescent="0.2">
      <c r="A274" s="15"/>
      <c r="B274" s="15"/>
      <c r="C274" s="15">
        <v>63.027774569999998</v>
      </c>
    </row>
    <row r="275" spans="1:3" x14ac:dyDescent="0.2">
      <c r="A275" s="15"/>
      <c r="B275" s="15"/>
      <c r="C275" s="15">
        <v>91.457286429999996</v>
      </c>
    </row>
    <row r="276" spans="1:3" x14ac:dyDescent="0.2">
      <c r="A276" s="15"/>
      <c r="B276" s="15"/>
      <c r="C276" s="15">
        <v>94.468085110000004</v>
      </c>
    </row>
    <row r="277" spans="1:3" x14ac:dyDescent="0.2">
      <c r="A277" s="15"/>
      <c r="B277" s="15"/>
      <c r="C277" s="15">
        <v>73.888888890000004</v>
      </c>
    </row>
    <row r="278" spans="1:3" x14ac:dyDescent="0.2">
      <c r="A278" s="15"/>
      <c r="B278" s="15"/>
      <c r="C278" s="15">
        <v>72.727272729999996</v>
      </c>
    </row>
    <row r="279" spans="1:3" x14ac:dyDescent="0.2">
      <c r="A279" s="15"/>
      <c r="B279" s="15"/>
      <c r="C279" s="15">
        <v>74.647887319999995</v>
      </c>
    </row>
    <row r="280" spans="1:3" x14ac:dyDescent="0.2">
      <c r="A280" s="15"/>
      <c r="B280" s="15"/>
      <c r="C280" s="15">
        <v>48.046875</v>
      </c>
    </row>
    <row r="281" spans="1:3" x14ac:dyDescent="0.2">
      <c r="A281" s="15"/>
      <c r="B281" s="15"/>
      <c r="C281" s="15">
        <v>95.495495500000004</v>
      </c>
    </row>
    <row r="282" spans="1:3" x14ac:dyDescent="0.2">
      <c r="A282" s="15"/>
      <c r="B282" s="15"/>
      <c r="C282" s="15">
        <v>25.229357799999999</v>
      </c>
    </row>
    <row r="283" spans="1:3" x14ac:dyDescent="0.2">
      <c r="A283" s="15"/>
      <c r="B283" s="15"/>
      <c r="C283" s="15">
        <v>8.0291970799999994</v>
      </c>
    </row>
    <row r="284" spans="1:3" x14ac:dyDescent="0.2">
      <c r="A284" s="15"/>
      <c r="B284" s="15"/>
      <c r="C284" s="15">
        <v>33.333333330000002</v>
      </c>
    </row>
    <row r="285" spans="1:3" x14ac:dyDescent="0.2">
      <c r="A285" s="15"/>
      <c r="B285" s="15"/>
      <c r="C285" s="15">
        <v>28.143712570000002</v>
      </c>
    </row>
    <row r="286" spans="1:3" x14ac:dyDescent="0.2">
      <c r="A286" s="15"/>
      <c r="B286" s="15"/>
      <c r="C286" s="15">
        <v>58.032733890000003</v>
      </c>
    </row>
    <row r="287" spans="1:3" x14ac:dyDescent="0.2">
      <c r="A287" s="15"/>
      <c r="B287" s="15"/>
      <c r="C287" s="15">
        <v>68.75</v>
      </c>
    </row>
    <row r="288" spans="1:3" x14ac:dyDescent="0.2">
      <c r="A288" s="15"/>
      <c r="B288" s="15"/>
      <c r="C288" s="15">
        <v>80.769230769999993</v>
      </c>
    </row>
    <row r="289" spans="1:3" x14ac:dyDescent="0.2">
      <c r="A289" s="15"/>
      <c r="B289" s="15"/>
      <c r="C289" s="15">
        <v>36.363636360000001</v>
      </c>
    </row>
    <row r="290" spans="1:3" x14ac:dyDescent="0.2">
      <c r="A290" s="15"/>
      <c r="B290" s="15"/>
      <c r="C290" s="15">
        <v>66.08187135</v>
      </c>
    </row>
    <row r="291" spans="1:3" x14ac:dyDescent="0.2">
      <c r="A291" s="15"/>
      <c r="B291" s="15"/>
      <c r="C291" s="15">
        <v>68.780487800000003</v>
      </c>
    </row>
    <row r="292" spans="1:3" x14ac:dyDescent="0.2">
      <c r="A292" s="15"/>
      <c r="B292" s="15"/>
      <c r="C292" s="15">
        <v>67.261904759999993</v>
      </c>
    </row>
    <row r="293" spans="1:3" x14ac:dyDescent="0.2">
      <c r="A293" s="15"/>
      <c r="B293" s="15"/>
      <c r="C293" s="15">
        <v>73.372781070000002</v>
      </c>
    </row>
    <row r="294" spans="1:3" x14ac:dyDescent="0.2">
      <c r="A294" s="15"/>
      <c r="B294" s="15"/>
      <c r="C294" s="15">
        <v>63.761467889999999</v>
      </c>
    </row>
    <row r="295" spans="1:3" x14ac:dyDescent="0.2">
      <c r="A295" s="15"/>
      <c r="B295" s="15"/>
      <c r="C295" s="15">
        <v>51.351351350000002</v>
      </c>
    </row>
    <row r="296" spans="1:3" x14ac:dyDescent="0.2">
      <c r="A296" s="15"/>
      <c r="B296" s="15"/>
      <c r="C296" s="15">
        <v>49.444444439999998</v>
      </c>
    </row>
    <row r="297" spans="1:3" x14ac:dyDescent="0.2">
      <c r="A297" s="15"/>
      <c r="B297" s="15"/>
      <c r="C297" s="15">
        <v>82.795698920000007</v>
      </c>
    </row>
    <row r="298" spans="1:3" x14ac:dyDescent="0.2">
      <c r="A298" s="15"/>
      <c r="B298" s="15"/>
      <c r="C298" s="15">
        <v>77.483443710000003</v>
      </c>
    </row>
    <row r="299" spans="1:3" x14ac:dyDescent="0.2">
      <c r="A299" s="15"/>
      <c r="B299" s="15"/>
      <c r="C299" s="15">
        <v>83.606557379999998</v>
      </c>
    </row>
    <row r="300" spans="1:3" x14ac:dyDescent="0.2">
      <c r="A300" s="15"/>
      <c r="B300" s="15"/>
      <c r="C300" s="15">
        <v>35.947712420000002</v>
      </c>
    </row>
    <row r="301" spans="1:3" x14ac:dyDescent="0.2">
      <c r="A301" s="15"/>
      <c r="B301" s="15"/>
      <c r="C301" s="15">
        <v>54.054054049999998</v>
      </c>
    </row>
    <row r="302" spans="1:3" x14ac:dyDescent="0.2">
      <c r="A302" s="15"/>
      <c r="B302" s="15"/>
      <c r="C302" s="15">
        <v>34.59459459</v>
      </c>
    </row>
    <row r="303" spans="1:3" x14ac:dyDescent="0.2">
      <c r="A303" s="15"/>
      <c r="B303" s="15"/>
      <c r="C303" s="15">
        <v>88.349514560000003</v>
      </c>
    </row>
    <row r="304" spans="1:3" x14ac:dyDescent="0.2">
      <c r="A304" s="15"/>
      <c r="B304" s="15"/>
      <c r="C304" s="15">
        <v>87.431693989999999</v>
      </c>
    </row>
    <row r="305" spans="1:3" x14ac:dyDescent="0.2">
      <c r="A305" s="15"/>
      <c r="B305" s="15"/>
      <c r="C305" s="15">
        <v>53.731343279999997</v>
      </c>
    </row>
    <row r="306" spans="1:3" x14ac:dyDescent="0.2">
      <c r="A306" s="15"/>
      <c r="B306" s="15"/>
      <c r="C306" s="15">
        <v>60.509554139999999</v>
      </c>
    </row>
    <row r="307" spans="1:3" x14ac:dyDescent="0.2">
      <c r="A307" s="15"/>
      <c r="B307" s="15"/>
      <c r="C307" s="15">
        <v>64.150943400000003</v>
      </c>
    </row>
    <row r="308" spans="1:3" x14ac:dyDescent="0.2">
      <c r="A308" s="15"/>
      <c r="B308" s="15"/>
      <c r="C308" s="15">
        <v>62.79069767</v>
      </c>
    </row>
    <row r="309" spans="1:3" x14ac:dyDescent="0.2">
      <c r="A309" s="15"/>
      <c r="B309" s="15"/>
      <c r="C309" s="15">
        <v>78.423236509999995</v>
      </c>
    </row>
    <row r="310" spans="1:3" x14ac:dyDescent="0.2">
      <c r="A310" s="15"/>
      <c r="B310" s="15"/>
      <c r="C310" s="15">
        <v>65</v>
      </c>
    </row>
    <row r="311" spans="1:3" x14ac:dyDescent="0.2">
      <c r="A311" s="15"/>
      <c r="B311" s="15"/>
      <c r="C311" s="15">
        <v>75.806451609999996</v>
      </c>
    </row>
    <row r="312" spans="1:3" x14ac:dyDescent="0.2">
      <c r="A312" s="15"/>
      <c r="B312" s="15"/>
      <c r="C312" s="15">
        <v>88.995215310000006</v>
      </c>
    </row>
    <row r="313" spans="1:3" x14ac:dyDescent="0.2">
      <c r="A313" s="15"/>
      <c r="B313" s="15"/>
      <c r="C313" s="15">
        <v>76.724137929999998</v>
      </c>
    </row>
    <row r="314" spans="1:3" x14ac:dyDescent="0.2">
      <c r="A314" s="15"/>
      <c r="B314" s="15"/>
      <c r="C314" s="15">
        <v>61.53846154</v>
      </c>
    </row>
    <row r="315" spans="1:3" x14ac:dyDescent="0.2">
      <c r="A315" s="15"/>
      <c r="B315" s="15"/>
      <c r="C315" s="15">
        <v>59.41176471</v>
      </c>
    </row>
    <row r="316" spans="1:3" x14ac:dyDescent="0.2">
      <c r="A316" s="15"/>
      <c r="B316" s="15"/>
      <c r="C316" s="15">
        <v>10.71428571</v>
      </c>
    </row>
    <row r="317" spans="1:3" x14ac:dyDescent="0.2">
      <c r="A317" s="15"/>
      <c r="B317" s="15"/>
      <c r="C317" s="15">
        <v>67.326732669999998</v>
      </c>
    </row>
    <row r="318" spans="1:3" x14ac:dyDescent="0.2">
      <c r="A318" s="15"/>
      <c r="B318" s="15"/>
      <c r="C318" s="15">
        <v>66.070999999999998</v>
      </c>
    </row>
    <row r="319" spans="1:3" x14ac:dyDescent="0.2">
      <c r="A319" s="15"/>
      <c r="B319" s="15"/>
      <c r="C319" s="15">
        <v>59.589041100000003</v>
      </c>
    </row>
    <row r="320" spans="1:3" x14ac:dyDescent="0.2">
      <c r="A320" s="15"/>
      <c r="B320" s="15"/>
      <c r="C320" s="15">
        <v>45.283018869999999</v>
      </c>
    </row>
    <row r="321" spans="1:3" x14ac:dyDescent="0.2">
      <c r="A321" s="15"/>
      <c r="B321" s="15"/>
      <c r="C321" s="15">
        <v>63.945578230000002</v>
      </c>
    </row>
    <row r="322" spans="1:3" x14ac:dyDescent="0.2">
      <c r="A322" s="15"/>
      <c r="B322" s="15"/>
      <c r="C322" s="15">
        <v>44.549763030000001</v>
      </c>
    </row>
    <row r="323" spans="1:3" x14ac:dyDescent="0.2">
      <c r="A323" s="15"/>
      <c r="B323" s="15"/>
      <c r="C323" s="15">
        <v>57.936507939999998</v>
      </c>
    </row>
    <row r="324" spans="1:3" x14ac:dyDescent="0.2">
      <c r="A324" s="15"/>
      <c r="B324" s="15"/>
      <c r="C324" s="15">
        <v>70.769230769999993</v>
      </c>
    </row>
    <row r="325" spans="1:3" x14ac:dyDescent="0.2">
      <c r="A325" s="15"/>
      <c r="B325" s="15"/>
      <c r="C325" s="15">
        <v>81.300813009999999</v>
      </c>
    </row>
    <row r="326" spans="1:3" x14ac:dyDescent="0.2">
      <c r="A326" s="15"/>
      <c r="B326" s="15"/>
      <c r="C326" s="15">
        <v>63.041821710000001</v>
      </c>
    </row>
    <row r="327" spans="1:3" x14ac:dyDescent="0.2">
      <c r="A327" s="15"/>
      <c r="B327" s="15"/>
      <c r="C327" s="15">
        <v>90.604026849999997</v>
      </c>
    </row>
    <row r="328" spans="1:3" x14ac:dyDescent="0.2">
      <c r="A328" s="15"/>
      <c r="B328" s="15"/>
      <c r="C328" s="15">
        <v>84.931506850000005</v>
      </c>
    </row>
    <row r="329" spans="1:3" x14ac:dyDescent="0.2">
      <c r="A329" s="15"/>
      <c r="B329" s="15"/>
      <c r="C329" s="15">
        <v>97</v>
      </c>
    </row>
    <row r="330" spans="1:3" x14ac:dyDescent="0.2">
      <c r="A330" s="15"/>
      <c r="B330" s="15"/>
      <c r="C330" s="15">
        <v>65.306122450000004</v>
      </c>
    </row>
    <row r="331" spans="1:3" x14ac:dyDescent="0.2">
      <c r="A331" s="15"/>
      <c r="B331" s="15"/>
      <c r="C331" s="15">
        <v>76.984126979999999</v>
      </c>
    </row>
    <row r="332" spans="1:3" x14ac:dyDescent="0.2">
      <c r="A332" s="15"/>
      <c r="B332" s="15"/>
      <c r="C332" s="15">
        <v>95</v>
      </c>
    </row>
    <row r="333" spans="1:3" x14ac:dyDescent="0.2">
      <c r="A333" s="15"/>
      <c r="B333" s="15"/>
      <c r="C333" s="15">
        <v>86.178861789999999</v>
      </c>
    </row>
    <row r="334" spans="1:3" x14ac:dyDescent="0.2">
      <c r="A334" s="15"/>
      <c r="B334" s="15"/>
      <c r="C334" s="15">
        <v>43.010752689999997</v>
      </c>
    </row>
    <row r="335" spans="1:3" x14ac:dyDescent="0.2">
      <c r="A335" s="15"/>
      <c r="B335" s="15"/>
      <c r="C335" s="15">
        <v>93.193717280000001</v>
      </c>
    </row>
    <row r="336" spans="1:3" x14ac:dyDescent="0.2">
      <c r="A336" s="15"/>
      <c r="B336" s="15"/>
      <c r="C336" s="15">
        <v>82.959641259999998</v>
      </c>
    </row>
    <row r="337" spans="1:3" x14ac:dyDescent="0.2">
      <c r="A337" s="15"/>
      <c r="B337" s="15"/>
      <c r="C337" s="15">
        <v>84.8</v>
      </c>
    </row>
    <row r="338" spans="1:3" x14ac:dyDescent="0.2">
      <c r="A338" s="15"/>
      <c r="B338" s="15"/>
      <c r="C338" s="15">
        <v>67.90123457</v>
      </c>
    </row>
    <row r="339" spans="1:3" x14ac:dyDescent="0.2">
      <c r="A339" s="15"/>
      <c r="B339" s="15"/>
      <c r="C339" s="15">
        <v>67.261904759999993</v>
      </c>
    </row>
    <row r="340" spans="1:3" x14ac:dyDescent="0.2">
      <c r="A340" s="15"/>
      <c r="B340" s="15"/>
      <c r="C340" s="15">
        <v>71.074380169999998</v>
      </c>
    </row>
    <row r="341" spans="1:3" x14ac:dyDescent="0.2">
      <c r="A341" s="15"/>
      <c r="B341" s="15"/>
      <c r="C341" s="15">
        <v>52.5</v>
      </c>
    </row>
    <row r="342" spans="1:3" x14ac:dyDescent="0.2">
      <c r="A342" s="15"/>
      <c r="B342" s="15"/>
      <c r="C342" s="15">
        <v>70.689655169999995</v>
      </c>
    </row>
    <row r="343" spans="1:3" x14ac:dyDescent="0.2">
      <c r="A343" s="15"/>
      <c r="B343" s="15"/>
      <c r="C343" s="15">
        <v>45.783132530000003</v>
      </c>
    </row>
    <row r="344" spans="1:3" x14ac:dyDescent="0.2">
      <c r="A344" s="15"/>
      <c r="B344" s="15"/>
      <c r="C344" s="15">
        <v>56.716417909999997</v>
      </c>
    </row>
    <row r="345" spans="1:3" x14ac:dyDescent="0.2">
      <c r="A345" s="15"/>
      <c r="B345" s="15"/>
      <c r="C345" s="15">
        <v>85</v>
      </c>
    </row>
    <row r="346" spans="1:3" x14ac:dyDescent="0.2">
      <c r="A346" s="15"/>
      <c r="B346" s="15"/>
      <c r="C346" s="15">
        <v>60.377358489999999</v>
      </c>
    </row>
    <row r="347" spans="1:3" x14ac:dyDescent="0.2">
      <c r="A347" s="15"/>
      <c r="B347" s="15"/>
      <c r="C347" s="15">
        <v>67.857142859999996</v>
      </c>
    </row>
    <row r="348" spans="1:3" x14ac:dyDescent="0.2">
      <c r="A348" s="15"/>
      <c r="B348" s="15"/>
      <c r="C348" s="15">
        <v>27.777777780000001</v>
      </c>
    </row>
    <row r="349" spans="1:3" x14ac:dyDescent="0.2">
      <c r="A349" s="15"/>
      <c r="B349" s="15"/>
      <c r="C349" s="15">
        <v>80.769230769999993</v>
      </c>
    </row>
    <row r="350" spans="1:3" x14ac:dyDescent="0.2">
      <c r="A350" s="15"/>
      <c r="B350" s="15"/>
      <c r="C350" s="15">
        <v>67.479674799999998</v>
      </c>
    </row>
    <row r="351" spans="1:3" x14ac:dyDescent="0.2">
      <c r="A351" s="15"/>
      <c r="B351" s="15"/>
      <c r="C351" s="15">
        <v>63.758389260000001</v>
      </c>
    </row>
    <row r="352" spans="1:3" x14ac:dyDescent="0.2">
      <c r="A352" s="15"/>
      <c r="B352" s="15"/>
      <c r="C352" s="15">
        <v>78.082191780000002</v>
      </c>
    </row>
    <row r="353" spans="1:3" x14ac:dyDescent="0.2">
      <c r="A353" s="15"/>
      <c r="B353" s="15"/>
      <c r="C353" s="15">
        <v>69.950738920000006</v>
      </c>
    </row>
    <row r="354" spans="1:3" x14ac:dyDescent="0.2">
      <c r="A354" s="15"/>
      <c r="B354" s="15"/>
      <c r="C354" s="15">
        <v>51.700680269999999</v>
      </c>
    </row>
    <row r="355" spans="1:3" x14ac:dyDescent="0.2">
      <c r="A355" s="15"/>
      <c r="B355" s="15"/>
      <c r="C355" s="15">
        <v>69.047619049999994</v>
      </c>
    </row>
    <row r="356" spans="1:3" x14ac:dyDescent="0.2">
      <c r="A356" s="15"/>
      <c r="B356" s="15"/>
      <c r="C356" s="15">
        <v>60</v>
      </c>
    </row>
    <row r="357" spans="1:3" x14ac:dyDescent="0.2">
      <c r="A357" s="15"/>
      <c r="B357" s="15"/>
      <c r="C357" s="15">
        <v>37.398373980000002</v>
      </c>
    </row>
    <row r="358" spans="1:3" x14ac:dyDescent="0.2">
      <c r="A358" s="15"/>
      <c r="B358" s="15"/>
      <c r="C358" s="15">
        <v>32.258064519999998</v>
      </c>
    </row>
    <row r="359" spans="1:3" x14ac:dyDescent="0.2">
      <c r="A359" s="15"/>
      <c r="B359" s="15"/>
      <c r="C359" s="15">
        <v>77.486910989999998</v>
      </c>
    </row>
    <row r="360" spans="1:3" x14ac:dyDescent="0.2">
      <c r="A360" s="15"/>
      <c r="B360" s="15"/>
      <c r="C360" s="15">
        <v>60.538116590000001</v>
      </c>
    </row>
    <row r="361" spans="1:3" x14ac:dyDescent="0.2">
      <c r="A361" s="15"/>
      <c r="B361" s="15"/>
      <c r="C361" s="15">
        <v>36.799999999999997</v>
      </c>
    </row>
    <row r="362" spans="1:3" x14ac:dyDescent="0.2">
      <c r="A362" s="15"/>
      <c r="B362" s="15"/>
      <c r="C362" s="15">
        <v>55.555555560000002</v>
      </c>
    </row>
    <row r="363" spans="1:3" x14ac:dyDescent="0.2">
      <c r="A363" s="15"/>
      <c r="B363" s="15"/>
      <c r="C363" s="15">
        <v>55.357142860000003</v>
      </c>
    </row>
    <row r="364" spans="1:3" x14ac:dyDescent="0.2">
      <c r="A364" s="15"/>
      <c r="B364" s="15"/>
      <c r="C364" s="15">
        <v>29.752066119999999</v>
      </c>
    </row>
    <row r="365" spans="1:3" x14ac:dyDescent="0.2">
      <c r="A365" s="15"/>
      <c r="B365" s="15"/>
      <c r="C365" s="15">
        <v>40</v>
      </c>
    </row>
    <row r="366" spans="1:3" x14ac:dyDescent="0.2">
      <c r="A366" s="15"/>
      <c r="B366" s="15"/>
      <c r="C366" s="15">
        <v>44.82758621</v>
      </c>
    </row>
    <row r="367" spans="1:3" x14ac:dyDescent="0.2">
      <c r="A367" s="15"/>
      <c r="B367" s="15"/>
      <c r="C367" s="15">
        <v>9.6385542169999994</v>
      </c>
    </row>
    <row r="368" spans="1:3" x14ac:dyDescent="0.2">
      <c r="A368" s="15"/>
      <c r="B368" s="15"/>
      <c r="C368" s="15">
        <v>49.253731340000002</v>
      </c>
    </row>
    <row r="369" spans="1:3" x14ac:dyDescent="0.2">
      <c r="A369" s="15"/>
      <c r="B369" s="15"/>
      <c r="C369" s="15">
        <v>85</v>
      </c>
    </row>
    <row r="370" spans="1:3" x14ac:dyDescent="0.2">
      <c r="A370" s="15"/>
      <c r="B370" s="15"/>
      <c r="C370" s="15">
        <v>60.377358489999999</v>
      </c>
    </row>
    <row r="371" spans="1:3" x14ac:dyDescent="0.2">
      <c r="A371" s="15"/>
      <c r="B371" s="15"/>
      <c r="C371" s="15">
        <v>67.857142859999996</v>
      </c>
    </row>
    <row r="372" spans="1:3" x14ac:dyDescent="0.2">
      <c r="A372" s="15"/>
      <c r="B372" s="15"/>
      <c r="C372" s="15">
        <v>73.611111109999996</v>
      </c>
    </row>
    <row r="373" spans="1:3" x14ac:dyDescent="0.2">
      <c r="A373" s="15"/>
      <c r="B373" s="15"/>
      <c r="C373" s="15">
        <v>51.92307692</v>
      </c>
    </row>
    <row r="374" spans="1:3" x14ac:dyDescent="0.2">
      <c r="A374" s="15"/>
      <c r="B374" s="15"/>
      <c r="C374" s="15">
        <v>51.219512199999997</v>
      </c>
    </row>
    <row r="375" spans="1:3" x14ac:dyDescent="0.2">
      <c r="A375" s="15"/>
      <c r="B375" s="15"/>
      <c r="C375" s="15">
        <v>54.641413470000003</v>
      </c>
    </row>
    <row r="376" spans="1:3" x14ac:dyDescent="0.2">
      <c r="A376" s="15"/>
      <c r="B376" s="15"/>
      <c r="C376" s="15">
        <v>17.475728159999999</v>
      </c>
    </row>
    <row r="377" spans="1:3" x14ac:dyDescent="0.2">
      <c r="A377" s="15"/>
      <c r="B377" s="15"/>
      <c r="C377" s="15">
        <v>25.352112680000001</v>
      </c>
    </row>
    <row r="378" spans="1:3" x14ac:dyDescent="0.2">
      <c r="A378" s="15"/>
      <c r="B378" s="15"/>
      <c r="C378" s="15">
        <v>21.787709499999998</v>
      </c>
    </row>
    <row r="379" spans="1:3" x14ac:dyDescent="0.2">
      <c r="A379" s="15"/>
      <c r="B379" s="15"/>
      <c r="C379" s="15">
        <v>72.556390980000003</v>
      </c>
    </row>
    <row r="380" spans="1:3" x14ac:dyDescent="0.2">
      <c r="A380" s="15"/>
      <c r="B380" s="15"/>
      <c r="C380" s="15">
        <v>95.804195800000002</v>
      </c>
    </row>
    <row r="381" spans="1:3" x14ac:dyDescent="0.2">
      <c r="A381" s="15"/>
      <c r="B381" s="15"/>
      <c r="C381" s="15">
        <v>58.71886121</v>
      </c>
    </row>
    <row r="382" spans="1:3" x14ac:dyDescent="0.2">
      <c r="A382" s="15"/>
      <c r="B382" s="15"/>
      <c r="C382" s="15">
        <v>91.477272729999996</v>
      </c>
    </row>
    <row r="383" spans="1:3" x14ac:dyDescent="0.2">
      <c r="A383" s="15"/>
      <c r="B383" s="15"/>
      <c r="C383" s="15">
        <v>78.606965169999995</v>
      </c>
    </row>
    <row r="384" spans="1:3" x14ac:dyDescent="0.2">
      <c r="A384" s="15"/>
      <c r="B384" s="15"/>
      <c r="C384" s="15">
        <v>72</v>
      </c>
    </row>
    <row r="385" spans="1:3" x14ac:dyDescent="0.2">
      <c r="A385" s="15"/>
      <c r="B385" s="15"/>
      <c r="C385" s="15">
        <v>39.215686269999999</v>
      </c>
    </row>
    <row r="386" spans="1:3" x14ac:dyDescent="0.2">
      <c r="A386" s="15"/>
      <c r="B386" s="15"/>
      <c r="C386" s="15">
        <v>53.521126760000001</v>
      </c>
    </row>
    <row r="387" spans="1:3" x14ac:dyDescent="0.2">
      <c r="A387" s="15"/>
      <c r="B387" s="15"/>
      <c r="C387" s="15">
        <v>63.703703699999998</v>
      </c>
    </row>
    <row r="388" spans="1:3" x14ac:dyDescent="0.2">
      <c r="A388" s="15"/>
      <c r="B388" s="15"/>
      <c r="C388" s="15">
        <v>56.88622754</v>
      </c>
    </row>
    <row r="389" spans="1:3" x14ac:dyDescent="0.2">
      <c r="A389" s="15"/>
      <c r="B389" s="15"/>
      <c r="C389" s="15">
        <v>57.469690810000003</v>
      </c>
    </row>
    <row r="390" spans="1:3" x14ac:dyDescent="0.2">
      <c r="A390" s="15"/>
      <c r="B390" s="15"/>
      <c r="C390" s="15">
        <v>7.9646020000000002</v>
      </c>
    </row>
    <row r="391" spans="1:3" x14ac:dyDescent="0.2">
      <c r="A391" s="15"/>
      <c r="B391" s="15"/>
      <c r="C391" s="15">
        <v>23.47418</v>
      </c>
    </row>
    <row r="392" spans="1:3" x14ac:dyDescent="0.2">
      <c r="A392" s="15"/>
      <c r="B392" s="15"/>
      <c r="C392" s="15">
        <v>38.547490000000003</v>
      </c>
    </row>
    <row r="393" spans="1:3" x14ac:dyDescent="0.2">
      <c r="A393" s="15"/>
      <c r="B393" s="15"/>
      <c r="C393" s="15">
        <v>34.962409999999998</v>
      </c>
    </row>
    <row r="394" spans="1:3" x14ac:dyDescent="0.2">
      <c r="A394" s="15"/>
      <c r="B394" s="15"/>
      <c r="C394" s="15">
        <v>93.006990000000002</v>
      </c>
    </row>
    <row r="395" spans="1:3" x14ac:dyDescent="0.2">
      <c r="A395" s="15"/>
      <c r="B395" s="15"/>
      <c r="C395" s="15">
        <v>65.124560000000002</v>
      </c>
    </row>
    <row r="396" spans="1:3" x14ac:dyDescent="0.2">
      <c r="A396" s="15"/>
      <c r="B396" s="15"/>
      <c r="C396" s="15">
        <v>81.25</v>
      </c>
    </row>
    <row r="397" spans="1:3" x14ac:dyDescent="0.2">
      <c r="A397" s="15"/>
      <c r="B397" s="15"/>
      <c r="C397" s="15">
        <v>79.104479999999995</v>
      </c>
    </row>
    <row r="398" spans="1:3" x14ac:dyDescent="0.2">
      <c r="A398" s="15"/>
      <c r="B398" s="15"/>
      <c r="C398" s="15">
        <v>76</v>
      </c>
    </row>
    <row r="399" spans="1:3" x14ac:dyDescent="0.2">
      <c r="A399" s="15"/>
      <c r="B399" s="15"/>
      <c r="C399" s="15">
        <v>49.01961</v>
      </c>
    </row>
    <row r="400" spans="1:3" x14ac:dyDescent="0.2">
      <c r="A400" s="15"/>
      <c r="B400" s="15"/>
      <c r="C400" s="15">
        <v>18.30986</v>
      </c>
    </row>
    <row r="401" spans="1:3" x14ac:dyDescent="0.2">
      <c r="A401" s="15"/>
      <c r="B401" s="15"/>
      <c r="C401" s="15">
        <v>75.55556</v>
      </c>
    </row>
    <row r="402" spans="1:3" x14ac:dyDescent="0.2">
      <c r="A402" s="15"/>
      <c r="B402" s="15"/>
      <c r="C402" s="15">
        <v>62.275449999999999</v>
      </c>
    </row>
    <row r="403" spans="1:3" x14ac:dyDescent="0.2">
      <c r="A403" s="15"/>
      <c r="B403" s="15"/>
      <c r="C403" s="15">
        <v>54.199629999999999</v>
      </c>
    </row>
    <row r="404" spans="1:3" x14ac:dyDescent="0.2">
      <c r="A404" s="15"/>
      <c r="B404" s="15"/>
      <c r="C404" s="15">
        <v>63.387978140000001</v>
      </c>
    </row>
    <row r="405" spans="1:3" x14ac:dyDescent="0.2">
      <c r="A405" s="15"/>
      <c r="B405" s="15"/>
      <c r="C405" s="15">
        <v>66</v>
      </c>
    </row>
    <row r="406" spans="1:3" x14ac:dyDescent="0.2">
      <c r="A406" s="15"/>
      <c r="B406" s="15"/>
      <c r="C406" s="15">
        <v>67.857142859999996</v>
      </c>
    </row>
    <row r="407" spans="1:3" x14ac:dyDescent="0.2">
      <c r="A407" s="15"/>
      <c r="B407" s="15"/>
      <c r="C407" s="15">
        <v>75.496688739999996</v>
      </c>
    </row>
    <row r="408" spans="1:3" x14ac:dyDescent="0.2">
      <c r="A408" s="15"/>
      <c r="B408" s="15"/>
      <c r="C408" s="15">
        <v>52.873563220000001</v>
      </c>
    </row>
    <row r="409" spans="1:3" x14ac:dyDescent="0.2">
      <c r="A409" s="15"/>
      <c r="B409" s="15"/>
      <c r="C409" s="15">
        <v>59.756097560000001</v>
      </c>
    </row>
    <row r="410" spans="1:3" x14ac:dyDescent="0.2">
      <c r="A410" s="15"/>
      <c r="B410" s="15"/>
      <c r="C410" s="15">
        <v>62.31884058</v>
      </c>
    </row>
    <row r="411" spans="1:3" x14ac:dyDescent="0.2">
      <c r="A411" s="15"/>
      <c r="B411" s="15"/>
      <c r="C411" s="15">
        <v>33.333333330000002</v>
      </c>
    </row>
    <row r="412" spans="1:3" x14ac:dyDescent="0.2">
      <c r="A412" s="15"/>
      <c r="B412" s="15"/>
      <c r="C412" s="15">
        <v>34.375</v>
      </c>
    </row>
    <row r="413" spans="1:3" x14ac:dyDescent="0.2">
      <c r="A413" s="15"/>
      <c r="B413" s="15"/>
      <c r="C413" s="15">
        <v>49.082568809999998</v>
      </c>
    </row>
    <row r="414" spans="1:3" x14ac:dyDescent="0.2">
      <c r="A414" s="15"/>
      <c r="B414" s="15"/>
      <c r="C414" s="15">
        <v>83.734939760000003</v>
      </c>
    </row>
    <row r="415" spans="1:3" x14ac:dyDescent="0.2">
      <c r="A415" s="15"/>
      <c r="B415" s="15"/>
      <c r="C415" s="15">
        <v>75.206611570000007</v>
      </c>
    </row>
    <row r="416" spans="1:3" x14ac:dyDescent="0.2">
      <c r="A416" s="15"/>
      <c r="B416" s="15"/>
      <c r="C416" s="15">
        <v>28.865979379999999</v>
      </c>
    </row>
    <row r="417" spans="1:3" x14ac:dyDescent="0.2">
      <c r="A417" s="15"/>
      <c r="B417" s="15"/>
      <c r="C417" s="15">
        <v>55.445544550000001</v>
      </c>
    </row>
    <row r="418" spans="1:3" x14ac:dyDescent="0.2">
      <c r="A418" s="15"/>
      <c r="B418" s="15"/>
      <c r="C418" s="15">
        <v>66.847826089999998</v>
      </c>
    </row>
    <row r="419" spans="1:3" x14ac:dyDescent="0.2">
      <c r="A419" s="15"/>
      <c r="B419" s="15"/>
      <c r="C419" s="15">
        <v>67.193675889999994</v>
      </c>
    </row>
    <row r="420" spans="1:3" x14ac:dyDescent="0.2">
      <c r="A420" s="15"/>
      <c r="B420" s="15"/>
      <c r="C420" s="15">
        <v>71.597633139999999</v>
      </c>
    </row>
    <row r="421" spans="1:3" x14ac:dyDescent="0.2">
      <c r="A421" s="15"/>
      <c r="B421" s="15"/>
      <c r="C421" s="15">
        <v>47.826086959999998</v>
      </c>
    </row>
    <row r="422" spans="1:3" x14ac:dyDescent="0.2">
      <c r="A422" s="15"/>
      <c r="B422" s="15"/>
      <c r="C422" s="15">
        <v>56.557377049999999</v>
      </c>
    </row>
    <row r="423" spans="1:3" x14ac:dyDescent="0.2">
      <c r="A423" s="15"/>
      <c r="B423" s="15"/>
      <c r="C423" s="15">
        <v>77.777777779999994</v>
      </c>
    </row>
    <row r="424" spans="1:3" x14ac:dyDescent="0.2">
      <c r="A424" s="15"/>
      <c r="B424" s="15"/>
      <c r="C424" s="15">
        <v>67.5</v>
      </c>
    </row>
    <row r="425" spans="1:3" x14ac:dyDescent="0.2">
      <c r="A425" s="15"/>
      <c r="B425" s="15"/>
      <c r="C425" s="15">
        <v>67.045454550000002</v>
      </c>
    </row>
    <row r="426" spans="1:3" x14ac:dyDescent="0.2">
      <c r="A426" s="15"/>
      <c r="B426" s="15"/>
      <c r="C426" s="15">
        <v>51.612903230000001</v>
      </c>
    </row>
    <row r="427" spans="1:3" x14ac:dyDescent="0.2">
      <c r="A427" s="15"/>
      <c r="B427" s="15"/>
      <c r="C427" s="15">
        <v>46.052631580000003</v>
      </c>
    </row>
    <row r="428" spans="1:3" x14ac:dyDescent="0.2">
      <c r="A428" s="15"/>
      <c r="B428" s="15"/>
      <c r="C428" s="15">
        <v>57.954545449999998</v>
      </c>
    </row>
    <row r="429" spans="1:3" x14ac:dyDescent="0.2">
      <c r="A429" s="15"/>
      <c r="B429" s="15"/>
      <c r="C429" s="15">
        <v>74.814814810000001</v>
      </c>
    </row>
    <row r="430" spans="1:3" x14ac:dyDescent="0.2">
      <c r="A430" s="15"/>
      <c r="B430" s="15"/>
      <c r="C430" s="15">
        <v>20.60606061</v>
      </c>
    </row>
    <row r="431" spans="1:3" x14ac:dyDescent="0.2">
      <c r="A431" s="15"/>
      <c r="B431" s="15"/>
      <c r="C431" s="15">
        <v>30.386740329999999</v>
      </c>
    </row>
    <row r="432" spans="1:3" x14ac:dyDescent="0.2">
      <c r="A432" s="15"/>
      <c r="B432" s="15"/>
      <c r="C432" s="15">
        <v>59.25925926</v>
      </c>
    </row>
    <row r="433" spans="1:3" x14ac:dyDescent="0.2">
      <c r="A433" s="15"/>
      <c r="B433" s="15"/>
      <c r="C433" s="15">
        <v>75.38461538</v>
      </c>
    </row>
    <row r="434" spans="1:3" x14ac:dyDescent="0.2">
      <c r="A434" s="15"/>
      <c r="B434" s="15"/>
      <c r="C434" s="15">
        <v>73</v>
      </c>
    </row>
    <row r="435" spans="1:3" x14ac:dyDescent="0.2">
      <c r="A435" s="15"/>
      <c r="B435" s="15"/>
      <c r="C435" s="15">
        <v>88.275862070000002</v>
      </c>
    </row>
    <row r="436" spans="1:3" x14ac:dyDescent="0.2">
      <c r="A436" s="15"/>
      <c r="B436" s="15"/>
      <c r="C436" s="15">
        <v>52.272727269999997</v>
      </c>
    </row>
    <row r="437" spans="1:3" x14ac:dyDescent="0.2">
      <c r="A437" s="15"/>
      <c r="B437" s="15"/>
      <c r="C437" s="15">
        <v>54.385964909999998</v>
      </c>
    </row>
    <row r="438" spans="1:3" x14ac:dyDescent="0.2">
      <c r="A438" s="15"/>
      <c r="B438" s="15"/>
      <c r="C438" s="15">
        <v>59.555420890000001</v>
      </c>
    </row>
    <row r="439" spans="1:3" x14ac:dyDescent="0.2">
      <c r="A439" s="15"/>
      <c r="B439" s="15"/>
      <c r="C439" s="15">
        <v>11.764705879999999</v>
      </c>
    </row>
    <row r="440" spans="1:3" x14ac:dyDescent="0.2">
      <c r="A440" s="15"/>
      <c r="B440" s="15"/>
      <c r="C440" s="15">
        <v>33.210332100000002</v>
      </c>
    </row>
    <row r="441" spans="1:3" x14ac:dyDescent="0.2">
      <c r="A441" s="15"/>
      <c r="B441" s="15"/>
      <c r="C441" s="15">
        <v>41.322314050000003</v>
      </c>
    </row>
    <row r="442" spans="1:3" x14ac:dyDescent="0.2">
      <c r="A442" s="15"/>
      <c r="B442" s="15"/>
      <c r="C442" s="15">
        <v>80.508474579999998</v>
      </c>
    </row>
    <row r="443" spans="1:3" x14ac:dyDescent="0.2">
      <c r="A443" s="15"/>
      <c r="B443" s="15"/>
      <c r="C443" s="15">
        <v>73.770491800000002</v>
      </c>
    </row>
    <row r="444" spans="1:3" x14ac:dyDescent="0.2">
      <c r="A444" s="15"/>
      <c r="B444" s="15"/>
      <c r="C444" s="15">
        <v>92.771084340000002</v>
      </c>
    </row>
    <row r="445" spans="1:3" x14ac:dyDescent="0.2">
      <c r="A445" s="15"/>
      <c r="B445" s="15"/>
      <c r="C445" s="15">
        <v>35</v>
      </c>
    </row>
    <row r="446" spans="1:3" x14ac:dyDescent="0.2">
      <c r="A446" s="15"/>
      <c r="B446" s="15"/>
      <c r="C446" s="15">
        <v>65.217391300000003</v>
      </c>
    </row>
    <row r="447" spans="1:3" x14ac:dyDescent="0.2">
      <c r="A447" s="15"/>
      <c r="B447" s="15"/>
      <c r="C447" s="15">
        <v>34.545454550000002</v>
      </c>
    </row>
    <row r="448" spans="1:3" x14ac:dyDescent="0.2">
      <c r="A448" s="15"/>
      <c r="B448" s="15"/>
      <c r="C448" s="15">
        <v>64.220183489999997</v>
      </c>
    </row>
    <row r="449" spans="1:3" x14ac:dyDescent="0.2">
      <c r="A449" s="15"/>
      <c r="B449" s="15"/>
      <c r="C449" s="15">
        <v>49.367088610000003</v>
      </c>
    </row>
    <row r="450" spans="1:3" x14ac:dyDescent="0.2">
      <c r="A450" s="15"/>
      <c r="B450" s="15"/>
      <c r="C450" s="15">
        <v>55.056179780000001</v>
      </c>
    </row>
    <row r="451" spans="1:3" x14ac:dyDescent="0.2">
      <c r="A451" s="15"/>
      <c r="B451" s="15"/>
      <c r="C451" s="15">
        <v>57.627118639999999</v>
      </c>
    </row>
    <row r="452" spans="1:3" x14ac:dyDescent="0.2">
      <c r="A452" s="15"/>
      <c r="B452" s="15"/>
      <c r="C452" s="15">
        <v>36.898395720000003</v>
      </c>
    </row>
    <row r="453" spans="1:3" x14ac:dyDescent="0.2">
      <c r="A453" s="15"/>
      <c r="B453" s="15"/>
      <c r="C453" s="15">
        <v>52.631578949999998</v>
      </c>
    </row>
    <row r="454" spans="1:3" x14ac:dyDescent="0.2">
      <c r="A454" s="15"/>
      <c r="B454" s="15"/>
      <c r="C454" s="15">
        <v>63.157894740000003</v>
      </c>
    </row>
    <row r="455" spans="1:3" x14ac:dyDescent="0.2">
      <c r="A455" s="15"/>
      <c r="B455" s="15"/>
      <c r="C455" s="15">
        <v>50.943396229999998</v>
      </c>
    </row>
    <row r="456" spans="1:3" x14ac:dyDescent="0.2">
      <c r="A456" s="15"/>
      <c r="B456" s="15"/>
      <c r="C456" s="15">
        <v>64.814814810000001</v>
      </c>
    </row>
    <row r="457" spans="1:3" x14ac:dyDescent="0.2">
      <c r="A457" s="15"/>
      <c r="B457" s="15"/>
      <c r="C457" s="15">
        <v>45.454545449999998</v>
      </c>
    </row>
    <row r="458" spans="1:3" x14ac:dyDescent="0.2">
      <c r="A458" s="15"/>
      <c r="B458" s="15"/>
      <c r="C458" s="15">
        <v>32.456140349999998</v>
      </c>
    </row>
    <row r="459" spans="1:3" x14ac:dyDescent="0.2">
      <c r="A459" s="15"/>
      <c r="B459" s="15"/>
      <c r="C459" s="15">
        <v>52.03687927</v>
      </c>
    </row>
    <row r="460" spans="1:3" x14ac:dyDescent="0.2">
      <c r="A460" s="15"/>
      <c r="B460" s="15"/>
      <c r="C460" s="15">
        <v>20.168067229999998</v>
      </c>
    </row>
    <row r="461" spans="1:3" x14ac:dyDescent="0.2">
      <c r="A461" s="15"/>
      <c r="B461" s="15"/>
      <c r="C461" s="15">
        <v>33.210332100000002</v>
      </c>
    </row>
    <row r="462" spans="1:3" x14ac:dyDescent="0.2">
      <c r="A462" s="15"/>
      <c r="B462" s="15"/>
      <c r="C462" s="15">
        <v>33.057851239999998</v>
      </c>
    </row>
    <row r="463" spans="1:3" x14ac:dyDescent="0.2">
      <c r="A463" s="15"/>
      <c r="B463" s="15"/>
      <c r="C463" s="15">
        <v>12.71186441</v>
      </c>
    </row>
    <row r="464" spans="1:3" x14ac:dyDescent="0.2">
      <c r="A464" s="15"/>
      <c r="B464" s="15"/>
      <c r="C464" s="15">
        <v>73.770491800000002</v>
      </c>
    </row>
    <row r="465" spans="1:3" x14ac:dyDescent="0.2">
      <c r="A465" s="15"/>
      <c r="B465" s="15"/>
      <c r="C465" s="15">
        <v>92.771084340000002</v>
      </c>
    </row>
    <row r="466" spans="1:3" x14ac:dyDescent="0.2">
      <c r="A466" s="15"/>
      <c r="B466" s="15"/>
      <c r="C466" s="15">
        <v>42.142857139999997</v>
      </c>
    </row>
    <row r="467" spans="1:3" x14ac:dyDescent="0.2">
      <c r="A467" s="15"/>
      <c r="B467" s="15"/>
      <c r="C467" s="15">
        <v>70.652173910000002</v>
      </c>
    </row>
    <row r="468" spans="1:3" x14ac:dyDescent="0.2">
      <c r="A468" s="15"/>
      <c r="B468" s="15"/>
      <c r="C468" s="15">
        <v>43.636363639999999</v>
      </c>
    </row>
    <row r="469" spans="1:3" x14ac:dyDescent="0.2">
      <c r="A469" s="15"/>
      <c r="B469" s="15"/>
      <c r="C469" s="15">
        <v>55.045871560000002</v>
      </c>
    </row>
    <row r="470" spans="1:3" x14ac:dyDescent="0.2">
      <c r="A470" s="15"/>
      <c r="B470" s="15"/>
      <c r="C470" s="15">
        <v>36.70886076</v>
      </c>
    </row>
    <row r="471" spans="1:3" x14ac:dyDescent="0.2">
      <c r="A471" s="15"/>
      <c r="B471" s="15"/>
      <c r="C471" s="15">
        <v>43.820224719999999</v>
      </c>
    </row>
    <row r="472" spans="1:3" x14ac:dyDescent="0.2">
      <c r="A472" s="15"/>
      <c r="B472" s="15"/>
      <c r="C472" s="15">
        <v>23.728813559999999</v>
      </c>
    </row>
    <row r="473" spans="1:3" x14ac:dyDescent="0.2">
      <c r="A473" s="15"/>
      <c r="B473" s="15"/>
      <c r="C473" s="15">
        <v>26.20320856</v>
      </c>
    </row>
    <row r="474" spans="1:3" x14ac:dyDescent="0.2">
      <c r="A474" s="15"/>
      <c r="B474" s="15"/>
      <c r="C474" s="15">
        <v>52.631578949999998</v>
      </c>
    </row>
    <row r="475" spans="1:3" x14ac:dyDescent="0.2">
      <c r="A475" s="15"/>
      <c r="B475" s="15"/>
      <c r="C475" s="15">
        <v>63.157894740000003</v>
      </c>
    </row>
    <row r="476" spans="1:3" x14ac:dyDescent="0.2">
      <c r="A476" s="15"/>
      <c r="B476" s="15"/>
      <c r="C476" s="15">
        <v>50.943396229999998</v>
      </c>
    </row>
    <row r="477" spans="1:3" x14ac:dyDescent="0.2">
      <c r="A477" s="15"/>
      <c r="B477" s="15"/>
      <c r="C477" s="15">
        <v>46.296296300000002</v>
      </c>
    </row>
    <row r="478" spans="1:3" x14ac:dyDescent="0.2">
      <c r="A478" s="15"/>
      <c r="B478" s="15"/>
      <c r="C478" s="15">
        <v>45.454545449999998</v>
      </c>
    </row>
    <row r="479" spans="1:3" x14ac:dyDescent="0.2">
      <c r="A479" s="15"/>
      <c r="B479" s="15"/>
      <c r="C479" s="15">
        <v>32.456140349999998</v>
      </c>
    </row>
    <row r="480" spans="1:3" x14ac:dyDescent="0.2">
      <c r="A480" s="15"/>
      <c r="B480" s="15"/>
      <c r="C480" s="15">
        <v>44.928395850000001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237B-5913-456B-A9DD-3AE3F87E1336}">
  <dimension ref="A1:P57"/>
  <sheetViews>
    <sheetView workbookViewId="0">
      <selection activeCell="H1" sqref="H1"/>
    </sheetView>
  </sheetViews>
  <sheetFormatPr baseColWidth="10" defaultColWidth="8.83203125" defaultRowHeight="15" x14ac:dyDescent="0.2"/>
  <cols>
    <col min="2" max="2" width="20" style="4" customWidth="1"/>
    <col min="3" max="3" width="22.6640625" style="4" customWidth="1"/>
    <col min="4" max="4" width="25.5" style="4" customWidth="1"/>
    <col min="8" max="8" width="33.5" customWidth="1"/>
    <col min="9" max="9" width="26.83203125" customWidth="1"/>
    <col min="10" max="10" width="21.1640625" customWidth="1"/>
    <col min="11" max="11" width="15.5" customWidth="1"/>
    <col min="13" max="13" width="18.33203125" customWidth="1"/>
  </cols>
  <sheetData>
    <row r="1" spans="1:16" ht="24" x14ac:dyDescent="0.3">
      <c r="A1" s="1" t="s">
        <v>11</v>
      </c>
      <c r="B1" s="4" t="s">
        <v>54</v>
      </c>
      <c r="C1" s="4" t="s">
        <v>54</v>
      </c>
      <c r="D1" s="4" t="s">
        <v>54</v>
      </c>
      <c r="H1" t="s">
        <v>84</v>
      </c>
    </row>
    <row r="2" spans="1:16" x14ac:dyDescent="0.2">
      <c r="A2" s="8"/>
      <c r="B2" s="12" t="s">
        <v>51</v>
      </c>
      <c r="C2" s="12" t="s">
        <v>52</v>
      </c>
      <c r="D2" s="12" t="s">
        <v>53</v>
      </c>
    </row>
    <row r="3" spans="1:16" x14ac:dyDescent="0.2">
      <c r="B3" s="13">
        <v>0.66666666669999997</v>
      </c>
      <c r="C3" s="13">
        <v>0.66666666669999997</v>
      </c>
      <c r="D3" s="13">
        <v>5.0000000000000001E-3</v>
      </c>
      <c r="H3" s="15" t="s">
        <v>55</v>
      </c>
      <c r="I3" s="13">
        <v>1</v>
      </c>
      <c r="J3" s="13"/>
      <c r="K3" s="13"/>
      <c r="L3" s="13"/>
      <c r="M3" s="13"/>
      <c r="N3" s="13"/>
      <c r="O3" s="13"/>
      <c r="P3" s="13"/>
    </row>
    <row r="4" spans="1:16" x14ac:dyDescent="0.2">
      <c r="B4" s="13">
        <v>0.58823529409999997</v>
      </c>
      <c r="C4" s="13">
        <v>0.78823522509999999</v>
      </c>
      <c r="D4" s="13">
        <v>4.0000000000000001E-3</v>
      </c>
      <c r="H4" s="15" t="s">
        <v>56</v>
      </c>
      <c r="I4" s="13">
        <v>3</v>
      </c>
      <c r="J4" s="13"/>
      <c r="K4" s="13"/>
      <c r="L4" s="13"/>
      <c r="M4" s="13"/>
      <c r="N4" s="13"/>
      <c r="O4" s="13"/>
      <c r="P4" s="13"/>
    </row>
    <row r="5" spans="1:16" x14ac:dyDescent="0.2">
      <c r="B5" s="13">
        <v>0</v>
      </c>
      <c r="C5" s="13">
        <v>0</v>
      </c>
      <c r="D5" s="13">
        <v>0</v>
      </c>
      <c r="H5" s="15" t="s">
        <v>57</v>
      </c>
      <c r="I5" s="13">
        <v>0.05</v>
      </c>
      <c r="J5" s="13"/>
      <c r="K5" s="13"/>
      <c r="L5" s="13"/>
      <c r="M5" s="13"/>
      <c r="N5" s="13"/>
      <c r="O5" s="13"/>
      <c r="P5" s="13"/>
    </row>
    <row r="6" spans="1:16" x14ac:dyDescent="0.2">
      <c r="B6" s="13">
        <v>0</v>
      </c>
      <c r="C6" s="13">
        <v>0</v>
      </c>
      <c r="D6" s="13">
        <v>0</v>
      </c>
      <c r="H6" s="15"/>
      <c r="I6" s="13"/>
      <c r="J6" s="13"/>
      <c r="K6" s="13"/>
      <c r="L6" s="13"/>
      <c r="M6" s="13"/>
      <c r="N6" s="13"/>
      <c r="O6" s="13"/>
      <c r="P6" s="13"/>
    </row>
    <row r="7" spans="1:16" x14ac:dyDescent="0.2">
      <c r="B7" s="13">
        <v>0</v>
      </c>
      <c r="C7" s="13">
        <v>0</v>
      </c>
      <c r="D7" s="13">
        <v>0</v>
      </c>
      <c r="H7" s="15" t="s">
        <v>58</v>
      </c>
      <c r="I7" s="13" t="s">
        <v>59</v>
      </c>
      <c r="J7" s="13" t="s">
        <v>60</v>
      </c>
      <c r="K7" s="13" t="s">
        <v>61</v>
      </c>
      <c r="L7" s="13" t="s">
        <v>62</v>
      </c>
      <c r="M7" s="13" t="s">
        <v>63</v>
      </c>
      <c r="N7" s="13"/>
      <c r="O7" s="13"/>
      <c r="P7" s="13"/>
    </row>
    <row r="8" spans="1:16" x14ac:dyDescent="0.2">
      <c r="B8" s="13">
        <v>0</v>
      </c>
      <c r="C8" s="13">
        <v>0</v>
      </c>
      <c r="D8" s="13">
        <v>0</v>
      </c>
      <c r="H8" s="15" t="s">
        <v>64</v>
      </c>
      <c r="I8" s="13">
        <v>-0.42220000000000002</v>
      </c>
      <c r="J8" s="13" t="s">
        <v>65</v>
      </c>
      <c r="K8" s="13" t="s">
        <v>66</v>
      </c>
      <c r="L8" s="13" t="s">
        <v>67</v>
      </c>
      <c r="M8" s="13">
        <v>0.81569999999999998</v>
      </c>
      <c r="N8" s="13" t="s">
        <v>68</v>
      </c>
      <c r="O8" s="13"/>
      <c r="P8" s="13"/>
    </row>
    <row r="9" spans="1:16" x14ac:dyDescent="0.2">
      <c r="B9" s="13">
        <v>0</v>
      </c>
      <c r="C9" s="13">
        <v>0</v>
      </c>
      <c r="D9" s="13">
        <v>0</v>
      </c>
      <c r="H9" s="15" t="s">
        <v>69</v>
      </c>
      <c r="I9" s="13">
        <v>1.482</v>
      </c>
      <c r="J9" s="13" t="s">
        <v>70</v>
      </c>
      <c r="K9" s="13" t="s">
        <v>66</v>
      </c>
      <c r="L9" s="13" t="s">
        <v>67</v>
      </c>
      <c r="M9" s="13">
        <v>0.10970000000000001</v>
      </c>
      <c r="N9" s="13" t="s">
        <v>71</v>
      </c>
      <c r="O9" s="13"/>
      <c r="P9" s="13"/>
    </row>
    <row r="10" spans="1:16" x14ac:dyDescent="0.2">
      <c r="B10" s="13">
        <v>0.82644628099999995</v>
      </c>
      <c r="C10" s="13">
        <v>0.71744568099999995</v>
      </c>
      <c r="D10" s="13">
        <v>0.87314626100000003</v>
      </c>
      <c r="H10" s="15" t="s">
        <v>72</v>
      </c>
      <c r="I10" s="13">
        <v>1.9039999999999999</v>
      </c>
      <c r="J10" s="13" t="s">
        <v>73</v>
      </c>
      <c r="K10" s="13" t="s">
        <v>40</v>
      </c>
      <c r="L10" s="13" t="s">
        <v>74</v>
      </c>
      <c r="M10" s="13">
        <v>1.8700000000000001E-2</v>
      </c>
      <c r="N10" s="13" t="s">
        <v>75</v>
      </c>
      <c r="O10" s="13"/>
      <c r="P10" s="13"/>
    </row>
    <row r="11" spans="1:16" x14ac:dyDescent="0.2">
      <c r="B11" s="13">
        <v>0</v>
      </c>
      <c r="C11" s="13">
        <v>0</v>
      </c>
      <c r="D11" s="13">
        <v>0</v>
      </c>
      <c r="H11" s="15"/>
      <c r="I11" s="13"/>
      <c r="J11" s="13"/>
      <c r="K11" s="13"/>
      <c r="L11" s="13"/>
      <c r="M11" s="13"/>
      <c r="N11" s="13"/>
      <c r="O11" s="13"/>
      <c r="P11" s="13"/>
    </row>
    <row r="12" spans="1:16" x14ac:dyDescent="0.2">
      <c r="B12" s="13">
        <v>2.358490566</v>
      </c>
      <c r="C12" s="13">
        <v>2.4758498146600001</v>
      </c>
      <c r="D12" s="13">
        <v>0</v>
      </c>
      <c r="H12" s="15" t="s">
        <v>76</v>
      </c>
      <c r="I12" s="13" t="s">
        <v>77</v>
      </c>
      <c r="J12" s="13" t="s">
        <v>78</v>
      </c>
      <c r="K12" s="13" t="s">
        <v>59</v>
      </c>
      <c r="L12" s="13" t="s">
        <v>79</v>
      </c>
      <c r="M12" s="13" t="s">
        <v>80</v>
      </c>
      <c r="N12" s="13" t="s">
        <v>81</v>
      </c>
      <c r="O12" s="13" t="s">
        <v>82</v>
      </c>
      <c r="P12" s="13" t="s">
        <v>83</v>
      </c>
    </row>
    <row r="13" spans="1:16" x14ac:dyDescent="0.2">
      <c r="B13" s="13">
        <v>3.8022813690000001</v>
      </c>
      <c r="C13" s="13">
        <v>2.3022813690000001</v>
      </c>
      <c r="D13" s="13">
        <v>0</v>
      </c>
      <c r="H13" s="15" t="s">
        <v>64</v>
      </c>
      <c r="I13" s="13">
        <v>1.825</v>
      </c>
      <c r="J13" s="13">
        <v>2.2469999999999999</v>
      </c>
      <c r="K13" s="13">
        <v>-0.42220000000000002</v>
      </c>
      <c r="L13" s="13">
        <v>0.69379999999999997</v>
      </c>
      <c r="M13" s="13">
        <v>44</v>
      </c>
      <c r="N13" s="13">
        <v>55</v>
      </c>
      <c r="O13" s="13">
        <v>0.86050000000000004</v>
      </c>
      <c r="P13" s="13">
        <v>140</v>
      </c>
    </row>
    <row r="14" spans="1:16" x14ac:dyDescent="0.2">
      <c r="B14" s="13">
        <v>0.33112582779999999</v>
      </c>
      <c r="C14" s="13">
        <v>0.23217758265999999</v>
      </c>
      <c r="D14" s="13">
        <v>0.33112582779999999</v>
      </c>
      <c r="H14" s="15" t="s">
        <v>69</v>
      </c>
      <c r="I14" s="13">
        <v>1.825</v>
      </c>
      <c r="J14" s="13">
        <v>0.34279999999999999</v>
      </c>
      <c r="K14" s="13">
        <v>1.482</v>
      </c>
      <c r="L14" s="13">
        <v>0.73129999999999995</v>
      </c>
      <c r="M14" s="13">
        <v>44</v>
      </c>
      <c r="N14" s="13">
        <v>44</v>
      </c>
      <c r="O14" s="13">
        <v>2.8660000000000001</v>
      </c>
      <c r="P14" s="13">
        <v>140</v>
      </c>
    </row>
    <row r="15" spans="1:16" x14ac:dyDescent="0.2">
      <c r="B15" s="13">
        <v>0.41152263369999997</v>
      </c>
      <c r="C15" s="13">
        <v>0.51112563330000005</v>
      </c>
      <c r="D15" s="13">
        <v>0.51156826322000004</v>
      </c>
      <c r="H15" s="15" t="s">
        <v>72</v>
      </c>
      <c r="I15" s="13">
        <v>2.2469999999999999</v>
      </c>
      <c r="J15" s="13">
        <v>0.34279999999999999</v>
      </c>
      <c r="K15" s="13">
        <v>1.9039999999999999</v>
      </c>
      <c r="L15" s="13">
        <v>0.69379999999999997</v>
      </c>
      <c r="M15" s="13">
        <v>55</v>
      </c>
      <c r="N15" s="13">
        <v>44</v>
      </c>
      <c r="O15" s="13">
        <v>3.8809999999999998</v>
      </c>
      <c r="P15" s="13">
        <v>140</v>
      </c>
    </row>
    <row r="16" spans="1:16" x14ac:dyDescent="0.2">
      <c r="B16" s="13">
        <v>0</v>
      </c>
      <c r="C16" s="13">
        <v>0</v>
      </c>
      <c r="D16" s="13">
        <v>0</v>
      </c>
    </row>
    <row r="17" spans="2:4" x14ac:dyDescent="0.2">
      <c r="B17" s="13">
        <v>0</v>
      </c>
      <c r="C17" s="13">
        <v>0</v>
      </c>
      <c r="D17" s="13">
        <v>0</v>
      </c>
    </row>
    <row r="18" spans="2:4" x14ac:dyDescent="0.2">
      <c r="B18" s="13">
        <v>0</v>
      </c>
      <c r="C18" s="13">
        <v>0</v>
      </c>
      <c r="D18" s="13">
        <v>0</v>
      </c>
    </row>
    <row r="19" spans="2:4" x14ac:dyDescent="0.2">
      <c r="B19" s="13">
        <v>0.7380073801</v>
      </c>
      <c r="C19" s="13">
        <v>0.76805738010000002</v>
      </c>
      <c r="D19" s="13">
        <v>0.64264401240000002</v>
      </c>
    </row>
    <row r="20" spans="2:4" x14ac:dyDescent="0.2">
      <c r="B20" s="13">
        <v>0.54347826089999995</v>
      </c>
      <c r="C20" s="13">
        <v>0.63321782649000002</v>
      </c>
      <c r="D20" s="13">
        <v>0.34218933330000001</v>
      </c>
    </row>
    <row r="21" spans="2:4" x14ac:dyDescent="0.2">
      <c r="B21" s="13">
        <v>0</v>
      </c>
      <c r="C21" s="13">
        <v>0</v>
      </c>
      <c r="D21" s="13">
        <v>0</v>
      </c>
    </row>
    <row r="22" spans="2:4" x14ac:dyDescent="0.2">
      <c r="B22" s="13">
        <v>1.6</v>
      </c>
      <c r="C22" s="13">
        <v>1.3002323333300001</v>
      </c>
      <c r="D22" s="13">
        <v>0</v>
      </c>
    </row>
    <row r="23" spans="2:4" x14ac:dyDescent="0.2">
      <c r="B23" s="13">
        <v>8.846153846</v>
      </c>
      <c r="C23" s="13">
        <v>5.846153846</v>
      </c>
      <c r="D23" s="13">
        <v>0</v>
      </c>
    </row>
    <row r="24" spans="2:4" x14ac:dyDescent="0.2">
      <c r="B24" s="13">
        <v>21.11111111</v>
      </c>
      <c r="C24" s="13">
        <v>1.6732983450000001</v>
      </c>
      <c r="D24" s="13">
        <v>0</v>
      </c>
    </row>
    <row r="25" spans="2:4" x14ac:dyDescent="0.2">
      <c r="B25" s="13">
        <v>1.9607843140000001</v>
      </c>
      <c r="C25" s="13">
        <v>1.8607533144999999</v>
      </c>
      <c r="D25" s="13">
        <v>0</v>
      </c>
    </row>
    <row r="26" spans="2:4" x14ac:dyDescent="0.2">
      <c r="B26" s="13">
        <v>2.0547945209999998</v>
      </c>
      <c r="C26" s="13">
        <v>2.3564744320000002</v>
      </c>
      <c r="D26" s="13">
        <v>0</v>
      </c>
    </row>
    <row r="27" spans="2:4" x14ac:dyDescent="0.2">
      <c r="B27" s="13">
        <v>0.42194092830000002</v>
      </c>
      <c r="C27" s="13">
        <v>0.3215804283</v>
      </c>
      <c r="D27" s="13">
        <v>0.52194092830000005</v>
      </c>
    </row>
    <row r="28" spans="2:4" x14ac:dyDescent="0.2">
      <c r="B28" s="13">
        <v>0</v>
      </c>
      <c r="C28" s="13">
        <v>0</v>
      </c>
      <c r="D28" s="13">
        <v>0</v>
      </c>
    </row>
    <row r="29" spans="2:4" x14ac:dyDescent="0.2">
      <c r="B29" s="13">
        <v>0</v>
      </c>
      <c r="C29" s="13">
        <v>0</v>
      </c>
      <c r="D29" s="13">
        <v>0</v>
      </c>
    </row>
    <row r="30" spans="2:4" x14ac:dyDescent="0.2">
      <c r="B30" s="13">
        <v>0</v>
      </c>
      <c r="C30" s="13">
        <v>0</v>
      </c>
      <c r="D30" s="13">
        <v>0</v>
      </c>
    </row>
    <row r="31" spans="2:4" x14ac:dyDescent="0.2">
      <c r="B31" s="13">
        <v>0</v>
      </c>
      <c r="C31" s="13">
        <v>0</v>
      </c>
      <c r="D31" s="13">
        <v>0</v>
      </c>
    </row>
    <row r="32" spans="2:4" x14ac:dyDescent="0.2">
      <c r="B32" s="13">
        <v>0.95238095239999998</v>
      </c>
      <c r="C32" s="13">
        <v>0.87520980952399996</v>
      </c>
      <c r="D32" s="13">
        <v>0.89456123967099999</v>
      </c>
    </row>
    <row r="33" spans="2:4" x14ac:dyDescent="0.2">
      <c r="B33" s="13">
        <v>9.9137931029999997</v>
      </c>
      <c r="C33" s="13">
        <v>14.917393003100001</v>
      </c>
      <c r="D33" s="13">
        <v>0</v>
      </c>
    </row>
    <row r="34" spans="2:4" x14ac:dyDescent="0.2">
      <c r="B34" s="13">
        <v>2.358490566</v>
      </c>
      <c r="C34" s="13">
        <v>1.9584907659999999</v>
      </c>
      <c r="D34" s="13">
        <v>0</v>
      </c>
    </row>
    <row r="35" spans="2:4" x14ac:dyDescent="0.2">
      <c r="B35" s="13">
        <v>10.04366812</v>
      </c>
      <c r="C35" s="13">
        <v>13.143008119999999</v>
      </c>
      <c r="D35" s="13">
        <v>0</v>
      </c>
    </row>
    <row r="36" spans="2:4" x14ac:dyDescent="0.2">
      <c r="B36" s="13">
        <v>0.84745762710000005</v>
      </c>
      <c r="C36" s="13">
        <v>1.8607533144999999</v>
      </c>
      <c r="D36" s="13">
        <v>0.80712357627099995</v>
      </c>
    </row>
    <row r="37" spans="2:4" x14ac:dyDescent="0.2">
      <c r="B37" s="13">
        <v>0</v>
      </c>
      <c r="C37" s="13">
        <v>2.3564744320000002</v>
      </c>
      <c r="D37" s="13">
        <v>0</v>
      </c>
    </row>
    <row r="38" spans="2:4" x14ac:dyDescent="0.2">
      <c r="B38" s="13">
        <v>0.66225165559999999</v>
      </c>
      <c r="C38" s="13">
        <v>0.3215804283</v>
      </c>
      <c r="D38" s="13">
        <v>0.69225165460000004</v>
      </c>
    </row>
    <row r="39" spans="2:4" x14ac:dyDescent="0.2">
      <c r="B39" s="13">
        <v>0</v>
      </c>
      <c r="C39" s="13">
        <v>0</v>
      </c>
      <c r="D39" s="13">
        <v>0</v>
      </c>
    </row>
    <row r="40" spans="2:4" x14ac:dyDescent="0.2">
      <c r="B40" s="13">
        <v>0.41666666670000002</v>
      </c>
      <c r="C40" s="13">
        <v>0</v>
      </c>
      <c r="D40" s="13">
        <v>4.1176470600000004</v>
      </c>
    </row>
    <row r="41" spans="2:4" x14ac:dyDescent="0.2">
      <c r="B41" s="13">
        <v>0.44052863440000001</v>
      </c>
      <c r="C41" s="13">
        <v>0</v>
      </c>
      <c r="D41" s="13">
        <v>0.86956522000000003</v>
      </c>
    </row>
    <row r="42" spans="2:4" x14ac:dyDescent="0.2">
      <c r="B42" s="13">
        <v>0</v>
      </c>
      <c r="C42" s="13">
        <v>0</v>
      </c>
      <c r="D42" s="13">
        <v>0</v>
      </c>
    </row>
    <row r="43" spans="2:4" x14ac:dyDescent="0.2">
      <c r="B43" s="13">
        <v>0.36101083029999997</v>
      </c>
      <c r="C43" s="13">
        <v>0.87520980952399996</v>
      </c>
      <c r="D43" s="13">
        <v>0.37037037037037002</v>
      </c>
    </row>
    <row r="44" spans="2:4" x14ac:dyDescent="0.2">
      <c r="B44" s="13">
        <v>2.1739130430000002</v>
      </c>
      <c r="C44" s="13">
        <v>14.917393003100001</v>
      </c>
      <c r="D44" s="13">
        <v>1.6184210526315801</v>
      </c>
    </row>
    <row r="45" spans="2:4" x14ac:dyDescent="0.2">
      <c r="B45" s="13">
        <v>1.4814814810000001</v>
      </c>
      <c r="C45" s="13">
        <v>1.9584907659999999</v>
      </c>
      <c r="D45" s="13">
        <v>2.4814814809999999</v>
      </c>
    </row>
    <row r="46" spans="2:4" x14ac:dyDescent="0.2">
      <c r="B46" s="13">
        <v>4.375</v>
      </c>
      <c r="C46" s="13">
        <v>13.143008119999999</v>
      </c>
      <c r="D46" s="13">
        <v>0</v>
      </c>
    </row>
    <row r="47" spans="2:4" x14ac:dyDescent="0.2">
      <c r="B47" s="13"/>
      <c r="C47" s="13">
        <v>11.5</v>
      </c>
      <c r="D47" s="13"/>
    </row>
    <row r="48" spans="2:4" x14ac:dyDescent="0.2">
      <c r="B48" s="13"/>
      <c r="C48" s="13">
        <v>1.3157890000000001</v>
      </c>
      <c r="D48" s="13"/>
    </row>
    <row r="49" spans="2:4" x14ac:dyDescent="0.2">
      <c r="B49" s="13"/>
      <c r="C49" s="13">
        <v>0</v>
      </c>
      <c r="D49" s="13"/>
    </row>
    <row r="50" spans="2:4" x14ac:dyDescent="0.2">
      <c r="B50" s="13"/>
      <c r="C50" s="13">
        <v>0</v>
      </c>
      <c r="D50" s="13"/>
    </row>
    <row r="51" spans="2:4" x14ac:dyDescent="0.2">
      <c r="B51" s="13"/>
      <c r="C51" s="13">
        <v>1.7647060000000001</v>
      </c>
      <c r="D51" s="13"/>
    </row>
    <row r="52" spans="2:4" x14ac:dyDescent="0.2">
      <c r="B52" s="13"/>
      <c r="C52" s="13">
        <v>0</v>
      </c>
      <c r="D52" s="13"/>
    </row>
    <row r="53" spans="2:4" x14ac:dyDescent="0.2">
      <c r="B53" s="13"/>
      <c r="C53" s="13">
        <v>0</v>
      </c>
      <c r="D53" s="13"/>
    </row>
    <row r="54" spans="2:4" x14ac:dyDescent="0.2">
      <c r="B54" s="13"/>
      <c r="C54" s="13">
        <v>0</v>
      </c>
      <c r="D54" s="13"/>
    </row>
    <row r="55" spans="2:4" x14ac:dyDescent="0.2">
      <c r="B55" s="13"/>
      <c r="C55" s="13">
        <v>0</v>
      </c>
      <c r="D55" s="13"/>
    </row>
    <row r="56" spans="2:4" x14ac:dyDescent="0.2">
      <c r="B56" s="13"/>
      <c r="C56" s="13">
        <v>14.75248</v>
      </c>
      <c r="D56" s="13"/>
    </row>
    <row r="57" spans="2:4" x14ac:dyDescent="0.2">
      <c r="B57" s="13"/>
      <c r="C57" s="13">
        <v>5.4644810000000001</v>
      </c>
      <c r="D5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4856-79B6-4082-B6DE-CE31453C06D9}">
  <dimension ref="A1:S60"/>
  <sheetViews>
    <sheetView zoomScale="170" workbookViewId="0">
      <selection activeCell="K17" sqref="K17"/>
    </sheetView>
  </sheetViews>
  <sheetFormatPr baseColWidth="10" defaultColWidth="8.83203125" defaultRowHeight="15" x14ac:dyDescent="0.2"/>
  <cols>
    <col min="1" max="1" width="27.5" customWidth="1"/>
    <col min="11" max="11" width="41.6640625" customWidth="1"/>
    <col min="12" max="12" width="27.6640625" customWidth="1"/>
    <col min="13" max="13" width="20.33203125" customWidth="1"/>
    <col min="16" max="16" width="17.33203125" customWidth="1"/>
    <col min="17" max="17" width="19" customWidth="1"/>
  </cols>
  <sheetData>
    <row r="1" spans="1:19" s="8" customFormat="1" x14ac:dyDescent="0.2">
      <c r="A1" s="25" t="s">
        <v>6</v>
      </c>
      <c r="K1" s="8" t="s">
        <v>84</v>
      </c>
    </row>
    <row r="2" spans="1:19" x14ac:dyDescent="0.2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K2" s="14" t="s">
        <v>123</v>
      </c>
      <c r="L2" s="5" t="s">
        <v>66</v>
      </c>
      <c r="M2" s="5"/>
      <c r="N2" s="5"/>
      <c r="O2" s="5"/>
      <c r="P2" s="5"/>
      <c r="Q2" s="5"/>
      <c r="R2" s="5"/>
      <c r="S2" s="5"/>
    </row>
    <row r="3" spans="1:19" x14ac:dyDescent="0.2">
      <c r="B3" s="5">
        <v>48.627704309999999</v>
      </c>
      <c r="C3" s="5">
        <v>51.214456560000002</v>
      </c>
      <c r="D3" s="5">
        <v>57.469690810000003</v>
      </c>
      <c r="E3" s="5">
        <v>46.109656059999999</v>
      </c>
      <c r="F3" s="5">
        <v>59.500892020000002</v>
      </c>
      <c r="K3" s="14" t="s">
        <v>124</v>
      </c>
      <c r="L3" s="5">
        <v>0.22770000000000001</v>
      </c>
      <c r="M3" s="5"/>
      <c r="N3" s="5"/>
      <c r="O3" s="5"/>
      <c r="P3" s="5"/>
      <c r="Q3" s="5"/>
      <c r="R3" s="5"/>
      <c r="S3" s="5"/>
    </row>
    <row r="4" spans="1:19" ht="21" x14ac:dyDescent="0.25">
      <c r="B4" s="5">
        <v>59.93025497</v>
      </c>
      <c r="C4" s="5">
        <v>57.89799824</v>
      </c>
      <c r="D4" s="5">
        <v>54.199629999999999</v>
      </c>
      <c r="E4" s="5">
        <v>51.237978179999999</v>
      </c>
      <c r="F4" s="5">
        <v>58.032733890000003</v>
      </c>
      <c r="G4" s="21"/>
      <c r="H4" s="22"/>
      <c r="K4" s="14"/>
      <c r="L4" s="5"/>
      <c r="M4" s="5"/>
      <c r="N4" s="5"/>
      <c r="O4" s="5"/>
      <c r="P4" s="5"/>
      <c r="Q4" s="5"/>
      <c r="R4" s="5"/>
      <c r="S4" s="5"/>
    </row>
    <row r="5" spans="1:19" ht="21" x14ac:dyDescent="0.25">
      <c r="B5" s="5">
        <v>71.871590119999993</v>
      </c>
      <c r="C5" s="5">
        <v>68.894570099999996</v>
      </c>
      <c r="D5" s="5">
        <v>58.955528370000003</v>
      </c>
      <c r="E5" s="5">
        <v>74.829931970000004</v>
      </c>
      <c r="F5" s="5">
        <v>64.417462560000004</v>
      </c>
      <c r="G5" s="23"/>
      <c r="H5" s="22"/>
      <c r="K5" s="14" t="s">
        <v>125</v>
      </c>
      <c r="L5" s="5"/>
      <c r="M5" s="5"/>
      <c r="N5" s="5"/>
      <c r="O5" s="5"/>
      <c r="P5" s="5"/>
      <c r="Q5" s="5"/>
      <c r="R5" s="5"/>
      <c r="S5" s="5"/>
    </row>
    <row r="6" spans="1:19" ht="21" x14ac:dyDescent="0.25">
      <c r="B6" s="5">
        <v>76.523485789999995</v>
      </c>
      <c r="C6" s="5">
        <v>91.998144839999995</v>
      </c>
      <c r="D6" s="5">
        <v>59.555420890000001</v>
      </c>
      <c r="E6" s="5">
        <v>56.602112769999998</v>
      </c>
      <c r="F6" s="5">
        <v>63.041821710000001</v>
      </c>
      <c r="G6" s="23"/>
      <c r="H6" s="22"/>
      <c r="K6" s="14" t="s">
        <v>126</v>
      </c>
      <c r="L6" s="5" t="s">
        <v>127</v>
      </c>
      <c r="M6" s="5"/>
      <c r="N6" s="5"/>
      <c r="O6" s="5"/>
      <c r="P6" s="5"/>
      <c r="Q6" s="5"/>
      <c r="R6" s="5"/>
      <c r="S6" s="5"/>
    </row>
    <row r="7" spans="1:19" ht="21" x14ac:dyDescent="0.25">
      <c r="B7" s="5">
        <v>74.261144590000001</v>
      </c>
      <c r="C7" s="5">
        <v>84.086818190000002</v>
      </c>
      <c r="D7" s="5">
        <v>52.03687927</v>
      </c>
      <c r="E7" s="5">
        <v>70.893766200000002</v>
      </c>
      <c r="F7" s="5">
        <v>71.714861080000006</v>
      </c>
      <c r="G7" s="23"/>
      <c r="H7" s="22"/>
      <c r="K7" s="14" t="s">
        <v>35</v>
      </c>
      <c r="L7" s="5">
        <v>0.1787</v>
      </c>
      <c r="M7" s="5"/>
      <c r="N7" s="5"/>
      <c r="O7" s="5"/>
      <c r="P7" s="5"/>
      <c r="Q7" s="5"/>
      <c r="R7" s="5"/>
      <c r="S7" s="5"/>
    </row>
    <row r="8" spans="1:19" ht="21" x14ac:dyDescent="0.25">
      <c r="B8" s="5">
        <v>67.256419629999996</v>
      </c>
      <c r="C8" s="5">
        <v>63.027774569999998</v>
      </c>
      <c r="D8" s="5">
        <v>44.928395850000001</v>
      </c>
      <c r="E8" s="5">
        <v>60.944861029999998</v>
      </c>
      <c r="F8" s="5">
        <v>54.641413470000003</v>
      </c>
      <c r="G8" s="23"/>
      <c r="H8" s="22"/>
      <c r="K8" s="14" t="s">
        <v>37</v>
      </c>
      <c r="L8" s="5" t="s">
        <v>67</v>
      </c>
      <c r="M8" s="5"/>
      <c r="N8" s="5"/>
      <c r="O8" s="5"/>
      <c r="P8" s="5"/>
      <c r="Q8" s="5"/>
      <c r="R8" s="5"/>
      <c r="S8" s="5"/>
    </row>
    <row r="9" spans="1:19" ht="21" x14ac:dyDescent="0.25">
      <c r="C9" s="23"/>
      <c r="D9" s="23"/>
      <c r="E9" s="23"/>
      <c r="F9" s="23"/>
      <c r="G9" s="23"/>
      <c r="H9" s="22"/>
      <c r="K9" s="14" t="s">
        <v>128</v>
      </c>
      <c r="L9" s="5" t="s">
        <v>66</v>
      </c>
      <c r="M9" s="5"/>
      <c r="N9" s="5"/>
      <c r="O9" s="5"/>
      <c r="P9" s="5"/>
      <c r="Q9" s="5"/>
      <c r="R9" s="5"/>
      <c r="S9" s="5"/>
    </row>
    <row r="10" spans="1:19" ht="21" x14ac:dyDescent="0.25">
      <c r="C10" s="23"/>
      <c r="D10" s="23"/>
      <c r="E10" s="23"/>
      <c r="F10" s="23"/>
      <c r="G10" s="23"/>
      <c r="H10" s="22"/>
      <c r="K10" s="14"/>
      <c r="L10" s="5"/>
      <c r="M10" s="5"/>
      <c r="N10" s="5"/>
      <c r="O10" s="5"/>
      <c r="P10" s="5"/>
      <c r="Q10" s="5"/>
      <c r="R10" s="5"/>
      <c r="S10" s="5"/>
    </row>
    <row r="11" spans="1:19" ht="21" x14ac:dyDescent="0.25">
      <c r="C11" s="22"/>
      <c r="D11" s="22"/>
      <c r="E11" s="22"/>
      <c r="F11" s="22"/>
      <c r="G11" s="22"/>
      <c r="H11" s="22"/>
      <c r="K11" s="14" t="s">
        <v>129</v>
      </c>
      <c r="L11" s="5"/>
      <c r="M11" s="5"/>
      <c r="N11" s="5"/>
      <c r="O11" s="5"/>
      <c r="P11" s="5"/>
      <c r="Q11" s="5"/>
      <c r="R11" s="5"/>
      <c r="S11" s="5"/>
    </row>
    <row r="12" spans="1:19" ht="21" x14ac:dyDescent="0.25">
      <c r="C12" s="22"/>
      <c r="D12" s="22"/>
      <c r="E12" s="22"/>
      <c r="F12" s="22"/>
      <c r="G12" s="22"/>
      <c r="H12" s="22"/>
      <c r="K12" s="14" t="s">
        <v>130</v>
      </c>
      <c r="L12" s="5">
        <v>6.74</v>
      </c>
      <c r="M12" s="5"/>
      <c r="N12" s="5"/>
      <c r="O12" s="5"/>
      <c r="P12" s="5"/>
      <c r="Q12" s="5"/>
      <c r="R12" s="5"/>
      <c r="S12" s="5"/>
    </row>
    <row r="13" spans="1:19" ht="21" x14ac:dyDescent="0.25">
      <c r="C13" s="22"/>
      <c r="D13" s="22"/>
      <c r="E13" s="22"/>
      <c r="F13" s="22"/>
      <c r="G13" s="22"/>
      <c r="H13" s="22"/>
      <c r="K13" s="14" t="s">
        <v>35</v>
      </c>
      <c r="L13" s="5">
        <v>0.15029999999999999</v>
      </c>
      <c r="M13" s="5"/>
      <c r="N13" s="5"/>
      <c r="O13" s="5"/>
      <c r="P13" s="5"/>
      <c r="Q13" s="5"/>
      <c r="R13" s="5"/>
      <c r="S13" s="5"/>
    </row>
    <row r="14" spans="1:19" ht="21" x14ac:dyDescent="0.25">
      <c r="C14" s="22"/>
      <c r="D14" s="22"/>
      <c r="E14" s="22"/>
      <c r="F14" s="22"/>
      <c r="G14" s="22"/>
      <c r="H14" s="22"/>
      <c r="K14" s="14" t="s">
        <v>37</v>
      </c>
      <c r="L14" s="5" t="s">
        <v>67</v>
      </c>
      <c r="M14" s="5"/>
      <c r="N14" s="5"/>
      <c r="O14" s="5"/>
      <c r="P14" s="5"/>
      <c r="Q14" s="5"/>
      <c r="R14" s="5"/>
      <c r="S14" s="5"/>
    </row>
    <row r="15" spans="1:19" ht="21" x14ac:dyDescent="0.25">
      <c r="C15" s="24"/>
      <c r="D15" s="24"/>
      <c r="E15" s="24"/>
      <c r="F15" s="24"/>
      <c r="G15" s="24"/>
      <c r="H15" s="24"/>
      <c r="K15" s="14" t="s">
        <v>128</v>
      </c>
      <c r="L15" s="5" t="s">
        <v>66</v>
      </c>
      <c r="M15" s="5"/>
      <c r="N15" s="5"/>
      <c r="O15" s="5"/>
      <c r="P15" s="5"/>
      <c r="Q15" s="5"/>
      <c r="R15" s="5"/>
      <c r="S15" s="5"/>
    </row>
    <row r="16" spans="1:19" x14ac:dyDescent="0.2">
      <c r="K16" s="14"/>
      <c r="L16" s="5"/>
      <c r="M16" s="5"/>
      <c r="N16" s="5"/>
      <c r="O16" s="5"/>
      <c r="P16" s="5"/>
      <c r="Q16" s="5"/>
      <c r="R16" s="5"/>
      <c r="S16" s="5"/>
    </row>
    <row r="17" spans="11:19" x14ac:dyDescent="0.2">
      <c r="K17" s="14" t="s">
        <v>131</v>
      </c>
      <c r="L17" s="5" t="s">
        <v>132</v>
      </c>
      <c r="M17" s="5" t="s">
        <v>83</v>
      </c>
      <c r="N17" s="5" t="s">
        <v>133</v>
      </c>
      <c r="O17" s="5" t="s">
        <v>126</v>
      </c>
      <c r="P17" s="5" t="s">
        <v>35</v>
      </c>
      <c r="Q17" s="5"/>
      <c r="R17" s="5"/>
      <c r="S17" s="5"/>
    </row>
    <row r="18" spans="11:19" x14ac:dyDescent="0.2">
      <c r="K18" s="14" t="s">
        <v>134</v>
      </c>
      <c r="L18" s="5">
        <v>805.9</v>
      </c>
      <c r="M18" s="5">
        <v>4</v>
      </c>
      <c r="N18" s="5">
        <v>201.5</v>
      </c>
      <c r="O18" s="5" t="s">
        <v>135</v>
      </c>
      <c r="P18" s="5" t="s">
        <v>136</v>
      </c>
      <c r="Q18" s="5"/>
      <c r="R18" s="5"/>
      <c r="S18" s="5"/>
    </row>
    <row r="19" spans="11:19" x14ac:dyDescent="0.2">
      <c r="K19" s="14" t="s">
        <v>137</v>
      </c>
      <c r="L19" s="5">
        <v>2733</v>
      </c>
      <c r="M19" s="5">
        <v>25</v>
      </c>
      <c r="N19" s="5">
        <v>109.3</v>
      </c>
      <c r="O19" s="5"/>
      <c r="P19" s="5"/>
      <c r="Q19" s="5"/>
      <c r="R19" s="5"/>
      <c r="S19" s="5"/>
    </row>
    <row r="20" spans="11:19" x14ac:dyDescent="0.2">
      <c r="K20" s="14" t="s">
        <v>138</v>
      </c>
      <c r="L20" s="5">
        <v>3539</v>
      </c>
      <c r="M20" s="5">
        <v>29</v>
      </c>
      <c r="N20" s="5"/>
      <c r="O20" s="5"/>
      <c r="P20" s="5"/>
      <c r="Q20" s="5"/>
      <c r="R20" s="5"/>
      <c r="S20" s="5"/>
    </row>
    <row r="21" spans="11:19" x14ac:dyDescent="0.2">
      <c r="K21" s="14"/>
      <c r="L21" s="5"/>
      <c r="M21" s="5"/>
      <c r="N21" s="5"/>
      <c r="O21" s="5"/>
      <c r="P21" s="5"/>
      <c r="Q21" s="5"/>
      <c r="R21" s="5"/>
      <c r="S21" s="5"/>
    </row>
    <row r="22" spans="11:19" x14ac:dyDescent="0.2">
      <c r="K22" s="14" t="s">
        <v>139</v>
      </c>
      <c r="L22" s="5"/>
      <c r="M22" s="5"/>
      <c r="N22" s="5"/>
      <c r="O22" s="5"/>
      <c r="P22" s="5"/>
      <c r="Q22" s="5"/>
      <c r="R22" s="5"/>
      <c r="S22" s="5"/>
    </row>
    <row r="23" spans="11:19" x14ac:dyDescent="0.2">
      <c r="K23" s="14" t="s">
        <v>140</v>
      </c>
      <c r="L23" s="5">
        <v>5</v>
      </c>
      <c r="M23" s="5"/>
      <c r="N23" s="5"/>
      <c r="O23" s="5"/>
      <c r="P23" s="5"/>
      <c r="Q23" s="5"/>
      <c r="R23" s="5"/>
      <c r="S23" s="5"/>
    </row>
    <row r="24" spans="11:19" x14ac:dyDescent="0.2">
      <c r="K24" s="14" t="s">
        <v>141</v>
      </c>
      <c r="L24" s="5">
        <v>30</v>
      </c>
      <c r="M24" s="5"/>
      <c r="N24" s="5"/>
      <c r="O24" s="5"/>
      <c r="P24" s="5"/>
      <c r="Q24" s="5"/>
      <c r="R24" s="5"/>
      <c r="S24" s="5"/>
    </row>
    <row r="25" spans="11:19" x14ac:dyDescent="0.2">
      <c r="K25" s="14"/>
      <c r="L25" s="5"/>
      <c r="M25" s="5"/>
      <c r="N25" s="5"/>
      <c r="O25" s="5"/>
      <c r="P25" s="5"/>
      <c r="Q25" s="5"/>
      <c r="R25" s="5"/>
      <c r="S25" s="5"/>
    </row>
    <row r="26" spans="11:19" x14ac:dyDescent="0.2">
      <c r="K26" s="14"/>
      <c r="L26" s="5"/>
      <c r="M26" s="5"/>
      <c r="N26" s="5"/>
      <c r="O26" s="5"/>
      <c r="P26" s="5"/>
      <c r="Q26" s="5"/>
      <c r="R26" s="5"/>
      <c r="S26" s="5"/>
    </row>
    <row r="27" spans="11:19" x14ac:dyDescent="0.2">
      <c r="K27" s="14"/>
      <c r="L27" s="5"/>
      <c r="M27" s="5"/>
      <c r="N27" s="5"/>
      <c r="O27" s="5"/>
      <c r="P27" s="5"/>
      <c r="Q27" s="5"/>
      <c r="R27" s="5"/>
      <c r="S27" s="5"/>
    </row>
    <row r="28" spans="11:19" x14ac:dyDescent="0.2">
      <c r="K28" s="14"/>
      <c r="L28" s="5"/>
      <c r="M28" s="5"/>
      <c r="N28" s="5"/>
      <c r="O28" s="5"/>
      <c r="P28" s="5"/>
      <c r="Q28" s="5"/>
      <c r="R28" s="5"/>
      <c r="S28" s="5"/>
    </row>
    <row r="29" spans="11:19" x14ac:dyDescent="0.2">
      <c r="K29" s="14"/>
      <c r="L29" s="5"/>
      <c r="M29" s="5"/>
      <c r="N29" s="5"/>
      <c r="O29" s="5"/>
      <c r="P29" s="5"/>
      <c r="Q29" s="5"/>
      <c r="R29" s="5"/>
      <c r="S29" s="5"/>
    </row>
    <row r="30" spans="11:19" x14ac:dyDescent="0.2">
      <c r="K30" s="14"/>
      <c r="L30" s="5"/>
      <c r="M30" s="5"/>
      <c r="N30" s="5"/>
      <c r="O30" s="5"/>
      <c r="P30" s="5"/>
    </row>
    <row r="31" spans="11:19" x14ac:dyDescent="0.2">
      <c r="K31" s="14"/>
      <c r="L31" s="5"/>
      <c r="M31" s="5"/>
      <c r="N31" s="5"/>
      <c r="O31" s="5"/>
      <c r="P31" s="5"/>
    </row>
    <row r="33" spans="11:19" x14ac:dyDescent="0.2">
      <c r="K33" s="14" t="s">
        <v>55</v>
      </c>
      <c r="L33" s="5">
        <v>1</v>
      </c>
      <c r="M33" s="5"/>
      <c r="N33" s="5"/>
      <c r="O33" s="5"/>
      <c r="P33" s="5"/>
      <c r="Q33" s="5"/>
      <c r="R33" s="5"/>
      <c r="S33" s="5"/>
    </row>
    <row r="34" spans="11:19" x14ac:dyDescent="0.2">
      <c r="K34" s="14" t="s">
        <v>56</v>
      </c>
      <c r="L34" s="5">
        <v>10</v>
      </c>
      <c r="M34" s="5"/>
      <c r="N34" s="5"/>
      <c r="O34" s="5"/>
      <c r="P34" s="5"/>
      <c r="Q34" s="5"/>
      <c r="R34" s="5"/>
      <c r="S34" s="5"/>
    </row>
    <row r="35" spans="11:19" x14ac:dyDescent="0.2">
      <c r="K35" s="14" t="s">
        <v>57</v>
      </c>
      <c r="L35" s="5">
        <v>0.05</v>
      </c>
      <c r="M35" s="5"/>
      <c r="N35" s="5"/>
      <c r="O35" s="5"/>
      <c r="P35" s="5"/>
      <c r="Q35" s="5"/>
      <c r="R35" s="5"/>
      <c r="S35" s="5"/>
    </row>
    <row r="36" spans="11:19" x14ac:dyDescent="0.2">
      <c r="K36" s="14"/>
      <c r="L36" s="5"/>
      <c r="M36" s="5"/>
      <c r="N36" s="5"/>
      <c r="O36" s="5"/>
      <c r="P36" s="5"/>
      <c r="Q36" s="5"/>
      <c r="R36" s="5"/>
      <c r="S36" s="5"/>
    </row>
    <row r="37" spans="11:19" x14ac:dyDescent="0.2">
      <c r="K37" s="14" t="s">
        <v>58</v>
      </c>
      <c r="L37" s="5" t="s">
        <v>59</v>
      </c>
      <c r="M37" s="5" t="s">
        <v>60</v>
      </c>
      <c r="N37" s="5" t="s">
        <v>61</v>
      </c>
      <c r="O37" s="5" t="s">
        <v>62</v>
      </c>
      <c r="P37" s="5" t="s">
        <v>63</v>
      </c>
      <c r="Q37" s="5"/>
      <c r="R37" s="5"/>
      <c r="S37" s="5"/>
    </row>
    <row r="38" spans="11:19" x14ac:dyDescent="0.2">
      <c r="K38" s="14" t="s">
        <v>94</v>
      </c>
      <c r="L38" s="5">
        <v>-3.1080000000000001</v>
      </c>
      <c r="M38" s="5" t="s">
        <v>95</v>
      </c>
      <c r="N38" s="5" t="s">
        <v>66</v>
      </c>
      <c r="O38" s="5" t="s">
        <v>67</v>
      </c>
      <c r="P38" s="5">
        <v>0.98509999999999998</v>
      </c>
      <c r="Q38" s="5" t="s">
        <v>68</v>
      </c>
      <c r="R38" s="5"/>
      <c r="S38" s="5"/>
    </row>
    <row r="39" spans="11:19" x14ac:dyDescent="0.2">
      <c r="K39" s="14" t="s">
        <v>96</v>
      </c>
      <c r="L39" s="5">
        <v>11.89</v>
      </c>
      <c r="M39" s="5" t="s">
        <v>97</v>
      </c>
      <c r="N39" s="5" t="s">
        <v>66</v>
      </c>
      <c r="O39" s="5" t="s">
        <v>67</v>
      </c>
      <c r="P39" s="5">
        <v>0.30930000000000002</v>
      </c>
      <c r="Q39" s="5" t="s">
        <v>71</v>
      </c>
      <c r="R39" s="5"/>
      <c r="S39" s="5"/>
    </row>
    <row r="40" spans="11:19" x14ac:dyDescent="0.2">
      <c r="K40" s="14" t="s">
        <v>98</v>
      </c>
      <c r="L40" s="5">
        <v>6.3090000000000002</v>
      </c>
      <c r="M40" s="5" t="s">
        <v>99</v>
      </c>
      <c r="N40" s="5" t="s">
        <v>66</v>
      </c>
      <c r="O40" s="5" t="s">
        <v>67</v>
      </c>
      <c r="P40" s="5">
        <v>0.83199999999999996</v>
      </c>
      <c r="Q40" s="5" t="s">
        <v>100</v>
      </c>
      <c r="R40" s="5"/>
      <c r="S40" s="5"/>
    </row>
    <row r="41" spans="11:19" x14ac:dyDescent="0.2">
      <c r="K41" s="14" t="s">
        <v>101</v>
      </c>
      <c r="L41" s="5">
        <v>4.5199999999999996</v>
      </c>
      <c r="M41" s="5" t="s">
        <v>102</v>
      </c>
      <c r="N41" s="5" t="s">
        <v>66</v>
      </c>
      <c r="O41" s="5" t="s">
        <v>67</v>
      </c>
      <c r="P41" s="5">
        <v>0.94259999999999999</v>
      </c>
      <c r="Q41" s="5" t="s">
        <v>103</v>
      </c>
      <c r="R41" s="5"/>
      <c r="S41" s="5"/>
    </row>
    <row r="42" spans="11:19" x14ac:dyDescent="0.2">
      <c r="K42" s="14" t="s">
        <v>104</v>
      </c>
      <c r="L42" s="5">
        <v>15</v>
      </c>
      <c r="M42" s="5" t="s">
        <v>105</v>
      </c>
      <c r="N42" s="5" t="s">
        <v>66</v>
      </c>
      <c r="O42" s="5" t="s">
        <v>67</v>
      </c>
      <c r="P42" s="5">
        <v>0.1265</v>
      </c>
      <c r="Q42" s="5" t="s">
        <v>75</v>
      </c>
      <c r="R42" s="5"/>
      <c r="S42" s="5"/>
    </row>
    <row r="43" spans="11:19" x14ac:dyDescent="0.2">
      <c r="K43" s="14" t="s">
        <v>106</v>
      </c>
      <c r="L43" s="5">
        <v>9.4169999999999998</v>
      </c>
      <c r="M43" s="5" t="s">
        <v>107</v>
      </c>
      <c r="N43" s="5" t="s">
        <v>66</v>
      </c>
      <c r="O43" s="5" t="s">
        <v>67</v>
      </c>
      <c r="P43" s="5">
        <v>0.5353</v>
      </c>
      <c r="Q43" s="5" t="s">
        <v>108</v>
      </c>
      <c r="R43" s="5"/>
      <c r="S43" s="5"/>
    </row>
    <row r="44" spans="11:19" x14ac:dyDescent="0.2">
      <c r="K44" s="14" t="s">
        <v>109</v>
      </c>
      <c r="L44" s="5">
        <v>7.6280000000000001</v>
      </c>
      <c r="M44" s="5" t="s">
        <v>110</v>
      </c>
      <c r="N44" s="5" t="s">
        <v>66</v>
      </c>
      <c r="O44" s="5" t="s">
        <v>67</v>
      </c>
      <c r="P44" s="5">
        <v>0.71489999999999998</v>
      </c>
      <c r="Q44" s="5" t="s">
        <v>111</v>
      </c>
      <c r="R44" s="5"/>
      <c r="S44" s="5"/>
    </row>
    <row r="45" spans="11:19" x14ac:dyDescent="0.2">
      <c r="K45" s="14" t="s">
        <v>112</v>
      </c>
      <c r="L45" s="5">
        <v>-5.5789999999999997</v>
      </c>
      <c r="M45" s="5" t="s">
        <v>113</v>
      </c>
      <c r="N45" s="5" t="s">
        <v>66</v>
      </c>
      <c r="O45" s="5" t="s">
        <v>67</v>
      </c>
      <c r="P45" s="5">
        <v>0.88480000000000003</v>
      </c>
      <c r="Q45" s="5" t="s">
        <v>114</v>
      </c>
      <c r="R45" s="5"/>
      <c r="S45" s="5"/>
    </row>
    <row r="46" spans="11:19" x14ac:dyDescent="0.2">
      <c r="K46" s="14" t="s">
        <v>115</v>
      </c>
      <c r="L46" s="5">
        <v>-7.367</v>
      </c>
      <c r="M46" s="5" t="s">
        <v>116</v>
      </c>
      <c r="N46" s="5" t="s">
        <v>66</v>
      </c>
      <c r="O46" s="5" t="s">
        <v>67</v>
      </c>
      <c r="P46" s="5">
        <v>0.73980000000000001</v>
      </c>
      <c r="Q46" s="5" t="s">
        <v>117</v>
      </c>
      <c r="R46" s="5"/>
      <c r="S46" s="5"/>
    </row>
    <row r="47" spans="11:19" x14ac:dyDescent="0.2">
      <c r="K47" s="14" t="s">
        <v>118</v>
      </c>
      <c r="L47" s="5">
        <v>-1.788</v>
      </c>
      <c r="M47" s="5" t="s">
        <v>119</v>
      </c>
      <c r="N47" s="5" t="s">
        <v>66</v>
      </c>
      <c r="O47" s="5" t="s">
        <v>67</v>
      </c>
      <c r="P47" s="5">
        <v>0.99819999999999998</v>
      </c>
      <c r="Q47" s="5" t="s">
        <v>120</v>
      </c>
      <c r="R47" s="5"/>
      <c r="S47" s="5"/>
    </row>
    <row r="48" spans="11:19" x14ac:dyDescent="0.2">
      <c r="K48" s="14"/>
      <c r="L48" s="5"/>
      <c r="M48" s="5"/>
      <c r="N48" s="5"/>
      <c r="O48" s="5"/>
      <c r="P48" s="5"/>
      <c r="Q48" s="5"/>
      <c r="R48" s="5"/>
      <c r="S48" s="5"/>
    </row>
    <row r="49" spans="11:19" x14ac:dyDescent="0.2">
      <c r="K49" s="14" t="s">
        <v>76</v>
      </c>
      <c r="L49" s="5" t="s">
        <v>77</v>
      </c>
      <c r="M49" s="5" t="s">
        <v>78</v>
      </c>
      <c r="N49" s="5" t="s">
        <v>59</v>
      </c>
      <c r="O49" s="5" t="s">
        <v>79</v>
      </c>
      <c r="P49" s="5" t="s">
        <v>80</v>
      </c>
      <c r="Q49" s="5" t="s">
        <v>81</v>
      </c>
      <c r="R49" s="5" t="s">
        <v>82</v>
      </c>
      <c r="S49" s="5" t="s">
        <v>83</v>
      </c>
    </row>
    <row r="50" spans="11:19" x14ac:dyDescent="0.2">
      <c r="K50" s="14" t="s">
        <v>94</v>
      </c>
      <c r="L50" s="5">
        <v>66.41</v>
      </c>
      <c r="M50" s="5">
        <v>69.52</v>
      </c>
      <c r="N50" s="5">
        <v>-3.1080000000000001</v>
      </c>
      <c r="O50" s="5">
        <v>6.0359999999999996</v>
      </c>
      <c r="P50" s="5">
        <v>6</v>
      </c>
      <c r="Q50" s="5">
        <v>6</v>
      </c>
      <c r="R50" s="5">
        <v>0.72819999999999996</v>
      </c>
      <c r="S50" s="5">
        <v>25</v>
      </c>
    </row>
    <row r="51" spans="11:19" x14ac:dyDescent="0.2">
      <c r="K51" s="14" t="s">
        <v>96</v>
      </c>
      <c r="L51" s="5">
        <v>66.41</v>
      </c>
      <c r="M51" s="5">
        <v>54.52</v>
      </c>
      <c r="N51" s="5">
        <v>11.89</v>
      </c>
      <c r="O51" s="5">
        <v>6.0359999999999996</v>
      </c>
      <c r="P51" s="5">
        <v>6</v>
      </c>
      <c r="Q51" s="5">
        <v>6</v>
      </c>
      <c r="R51" s="5">
        <v>2.7850000000000001</v>
      </c>
      <c r="S51" s="5">
        <v>25</v>
      </c>
    </row>
    <row r="52" spans="11:19" x14ac:dyDescent="0.2">
      <c r="K52" s="14" t="s">
        <v>98</v>
      </c>
      <c r="L52" s="5">
        <v>66.41</v>
      </c>
      <c r="M52" s="5">
        <v>60.1</v>
      </c>
      <c r="N52" s="5">
        <v>6.3090000000000002</v>
      </c>
      <c r="O52" s="5">
        <v>6.0359999999999996</v>
      </c>
      <c r="P52" s="5">
        <v>6</v>
      </c>
      <c r="Q52" s="5">
        <v>6</v>
      </c>
      <c r="R52" s="5">
        <v>1.478</v>
      </c>
      <c r="S52" s="5">
        <v>25</v>
      </c>
    </row>
    <row r="53" spans="11:19" x14ac:dyDescent="0.2">
      <c r="K53" s="14" t="s">
        <v>101</v>
      </c>
      <c r="L53" s="5">
        <v>66.41</v>
      </c>
      <c r="M53" s="5">
        <v>61.89</v>
      </c>
      <c r="N53" s="5">
        <v>4.5199999999999996</v>
      </c>
      <c r="O53" s="5">
        <v>6.0359999999999996</v>
      </c>
      <c r="P53" s="5">
        <v>6</v>
      </c>
      <c r="Q53" s="5">
        <v>6</v>
      </c>
      <c r="R53" s="5">
        <v>1.0589999999999999</v>
      </c>
      <c r="S53" s="5">
        <v>25</v>
      </c>
    </row>
    <row r="54" spans="11:19" x14ac:dyDescent="0.2">
      <c r="K54" s="14" t="s">
        <v>104</v>
      </c>
      <c r="L54" s="5">
        <v>69.52</v>
      </c>
      <c r="M54" s="5">
        <v>54.52</v>
      </c>
      <c r="N54" s="5">
        <v>15</v>
      </c>
      <c r="O54" s="5">
        <v>6.0359999999999996</v>
      </c>
      <c r="P54" s="5">
        <v>6</v>
      </c>
      <c r="Q54" s="5">
        <v>6</v>
      </c>
      <c r="R54" s="5">
        <v>3.5129999999999999</v>
      </c>
      <c r="S54" s="5">
        <v>25</v>
      </c>
    </row>
    <row r="55" spans="11:19" x14ac:dyDescent="0.2">
      <c r="K55" s="14" t="s">
        <v>106</v>
      </c>
      <c r="L55" s="5">
        <v>69.52</v>
      </c>
      <c r="M55" s="5">
        <v>60.1</v>
      </c>
      <c r="N55" s="5">
        <v>9.4169999999999998</v>
      </c>
      <c r="O55" s="5">
        <v>6.0359999999999996</v>
      </c>
      <c r="P55" s="5">
        <v>6</v>
      </c>
      <c r="Q55" s="5">
        <v>6</v>
      </c>
      <c r="R55" s="5">
        <v>2.206</v>
      </c>
      <c r="S55" s="5">
        <v>25</v>
      </c>
    </row>
    <row r="56" spans="11:19" x14ac:dyDescent="0.2">
      <c r="K56" s="14" t="s">
        <v>109</v>
      </c>
      <c r="L56" s="5">
        <v>69.52</v>
      </c>
      <c r="M56" s="5">
        <v>61.89</v>
      </c>
      <c r="N56" s="5">
        <v>7.6280000000000001</v>
      </c>
      <c r="O56" s="5">
        <v>6.0359999999999996</v>
      </c>
      <c r="P56" s="5">
        <v>6</v>
      </c>
      <c r="Q56" s="5">
        <v>6</v>
      </c>
      <c r="R56" s="5">
        <v>1.7869999999999999</v>
      </c>
      <c r="S56" s="5">
        <v>25</v>
      </c>
    </row>
    <row r="57" spans="11:19" x14ac:dyDescent="0.2">
      <c r="K57" s="14" t="s">
        <v>112</v>
      </c>
      <c r="L57" s="5">
        <v>54.52</v>
      </c>
      <c r="M57" s="5">
        <v>60.1</v>
      </c>
      <c r="N57" s="5">
        <v>-5.5789999999999997</v>
      </c>
      <c r="O57" s="5">
        <v>6.0359999999999996</v>
      </c>
      <c r="P57" s="5">
        <v>6</v>
      </c>
      <c r="Q57" s="5">
        <v>6</v>
      </c>
      <c r="R57" s="5">
        <v>1.3069999999999999</v>
      </c>
      <c r="S57" s="5">
        <v>25</v>
      </c>
    </row>
    <row r="58" spans="11:19" x14ac:dyDescent="0.2">
      <c r="K58" s="14" t="s">
        <v>115</v>
      </c>
      <c r="L58" s="5">
        <v>54.52</v>
      </c>
      <c r="M58" s="5">
        <v>61.89</v>
      </c>
      <c r="N58" s="5">
        <v>-7.367</v>
      </c>
      <c r="O58" s="5">
        <v>6.0359999999999996</v>
      </c>
      <c r="P58" s="5">
        <v>6</v>
      </c>
      <c r="Q58" s="5">
        <v>6</v>
      </c>
      <c r="R58" s="5">
        <v>1.726</v>
      </c>
      <c r="S58" s="5">
        <v>25</v>
      </c>
    </row>
    <row r="59" spans="11:19" x14ac:dyDescent="0.2">
      <c r="K59" s="14" t="s">
        <v>118</v>
      </c>
      <c r="L59" s="5">
        <v>60.1</v>
      </c>
      <c r="M59" s="5">
        <v>61.89</v>
      </c>
      <c r="N59" s="5">
        <v>-1.788</v>
      </c>
      <c r="O59" s="5">
        <v>6.0359999999999996</v>
      </c>
      <c r="P59" s="5">
        <v>6</v>
      </c>
      <c r="Q59" s="5">
        <v>6</v>
      </c>
      <c r="R59" s="5">
        <v>0.41899999999999998</v>
      </c>
      <c r="S59" s="5">
        <v>25</v>
      </c>
    </row>
    <row r="60" spans="11:19" x14ac:dyDescent="0.2">
      <c r="K60" s="14"/>
      <c r="L60" s="5"/>
      <c r="M60" s="5"/>
      <c r="N60" s="5"/>
      <c r="O60" s="5"/>
      <c r="P60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69C8-A409-4124-8F09-E03C25030533}">
  <dimension ref="A1:U72"/>
  <sheetViews>
    <sheetView workbookViewId="0">
      <selection activeCell="C54" sqref="C54"/>
    </sheetView>
  </sheetViews>
  <sheetFormatPr baseColWidth="10" defaultColWidth="8.83203125" defaultRowHeight="15" x14ac:dyDescent="0.2"/>
  <cols>
    <col min="1" max="1" width="19.33203125" customWidth="1"/>
    <col min="2" max="2" width="23.5" customWidth="1"/>
  </cols>
  <sheetData>
    <row r="1" spans="1:21" x14ac:dyDescent="0.2">
      <c r="A1" s="6" t="s">
        <v>179</v>
      </c>
      <c r="B1" s="34" t="s">
        <v>177</v>
      </c>
      <c r="C1" s="34"/>
      <c r="D1" s="34"/>
      <c r="E1" s="34"/>
      <c r="F1" s="34"/>
      <c r="G1" s="34"/>
      <c r="H1" s="34" t="s">
        <v>178</v>
      </c>
      <c r="I1" s="34"/>
      <c r="J1" s="34"/>
      <c r="K1" s="34"/>
      <c r="L1" s="34"/>
      <c r="M1" s="34"/>
      <c r="N1" s="34" t="s">
        <v>92</v>
      </c>
      <c r="O1" s="34"/>
      <c r="P1" s="34"/>
      <c r="Q1" s="34"/>
      <c r="R1" s="34"/>
      <c r="S1" s="34"/>
    </row>
    <row r="2" spans="1:21" x14ac:dyDescent="0.2">
      <c r="A2" s="14">
        <v>1</v>
      </c>
      <c r="B2" s="5">
        <v>1</v>
      </c>
      <c r="C2" s="5">
        <v>1</v>
      </c>
      <c r="D2" s="5">
        <v>1</v>
      </c>
      <c r="E2" s="5">
        <v>0.96153999999999995</v>
      </c>
      <c r="F2" s="5"/>
      <c r="G2" s="5"/>
      <c r="H2" s="5">
        <v>1</v>
      </c>
      <c r="I2" s="5">
        <v>1.1200000000000001</v>
      </c>
      <c r="J2" s="5">
        <v>1</v>
      </c>
      <c r="K2" s="5">
        <v>0.96667000000000003</v>
      </c>
      <c r="L2" s="5">
        <v>1</v>
      </c>
      <c r="M2" s="5"/>
      <c r="N2" s="5">
        <v>1</v>
      </c>
      <c r="O2" s="5">
        <v>0.89285999999999999</v>
      </c>
      <c r="P2" s="5">
        <v>0.93103000000000002</v>
      </c>
      <c r="Q2" s="5">
        <v>0.93103000000000002</v>
      </c>
      <c r="R2" s="5">
        <v>0.93103000000000002</v>
      </c>
      <c r="S2" s="5">
        <v>1</v>
      </c>
    </row>
    <row r="3" spans="1:21" x14ac:dyDescent="0.2">
      <c r="A3" s="14">
        <v>4</v>
      </c>
      <c r="B3" s="5">
        <v>1</v>
      </c>
      <c r="C3" s="5">
        <v>0.96667000000000003</v>
      </c>
      <c r="D3" s="5">
        <v>0.96552000000000004</v>
      </c>
      <c r="E3" s="5">
        <v>0.96153999999999995</v>
      </c>
      <c r="F3" s="5"/>
      <c r="G3" s="5"/>
      <c r="H3" s="5">
        <v>0.96296000000000004</v>
      </c>
      <c r="I3" s="5">
        <v>1</v>
      </c>
      <c r="J3" s="5">
        <v>1</v>
      </c>
      <c r="K3" s="5">
        <v>1</v>
      </c>
      <c r="L3" s="5">
        <v>0.96667000000000003</v>
      </c>
      <c r="M3" s="5"/>
      <c r="N3" s="5">
        <v>0.93103000000000002</v>
      </c>
      <c r="O3" s="5">
        <v>1</v>
      </c>
      <c r="P3" s="5">
        <v>1</v>
      </c>
      <c r="Q3" s="5">
        <v>1</v>
      </c>
      <c r="R3" s="5">
        <v>0.96428999999999998</v>
      </c>
      <c r="S3" s="5">
        <v>1.03125</v>
      </c>
    </row>
    <row r="4" spans="1:21" x14ac:dyDescent="0.2">
      <c r="A4" s="14">
        <v>7</v>
      </c>
      <c r="B4" s="5">
        <v>1</v>
      </c>
      <c r="C4" s="5">
        <v>0.93332999999999999</v>
      </c>
      <c r="D4" s="5">
        <v>0.89285999999999999</v>
      </c>
      <c r="E4" s="5">
        <v>1.04</v>
      </c>
      <c r="F4" s="5"/>
      <c r="G4" s="5"/>
      <c r="H4" s="5">
        <v>0.96296000000000004</v>
      </c>
      <c r="I4" s="5">
        <v>1</v>
      </c>
      <c r="J4" s="5">
        <v>1</v>
      </c>
      <c r="K4" s="5">
        <v>1</v>
      </c>
      <c r="L4" s="5">
        <v>1</v>
      </c>
      <c r="M4" s="5"/>
      <c r="N4" s="5">
        <v>0.89654999999999996</v>
      </c>
      <c r="O4" s="5">
        <v>0.96</v>
      </c>
      <c r="P4" s="5">
        <v>1.03704</v>
      </c>
      <c r="Q4" s="5">
        <v>1.03704</v>
      </c>
      <c r="R4" s="5">
        <v>1</v>
      </c>
      <c r="S4" s="5">
        <v>0.96970000000000001</v>
      </c>
    </row>
    <row r="5" spans="1:21" x14ac:dyDescent="0.2">
      <c r="A5" s="14">
        <v>10</v>
      </c>
      <c r="B5" s="5">
        <v>1</v>
      </c>
      <c r="C5" s="5">
        <v>0.93332999999999999</v>
      </c>
      <c r="D5" s="5">
        <v>1.04</v>
      </c>
      <c r="E5" s="5">
        <v>0.96153999999999995</v>
      </c>
      <c r="F5" s="5"/>
      <c r="G5" s="5"/>
      <c r="H5" s="5">
        <v>1</v>
      </c>
      <c r="I5" s="5">
        <v>0.96296000000000004</v>
      </c>
      <c r="J5" s="5">
        <v>1.04</v>
      </c>
      <c r="K5" s="5">
        <v>0.96428999999999998</v>
      </c>
      <c r="L5" s="5">
        <v>0.96552000000000004</v>
      </c>
      <c r="M5" s="5"/>
      <c r="N5" s="5">
        <v>0.86207</v>
      </c>
      <c r="O5" s="5">
        <v>1.0416700000000001</v>
      </c>
      <c r="P5" s="5">
        <v>0.89285999999999999</v>
      </c>
      <c r="Q5" s="5">
        <v>0.89285999999999999</v>
      </c>
      <c r="R5" s="5">
        <v>1.03704</v>
      </c>
      <c r="S5" s="5">
        <v>1.03125</v>
      </c>
    </row>
    <row r="6" spans="1:21" x14ac:dyDescent="0.2">
      <c r="A6" s="14">
        <v>13</v>
      </c>
      <c r="B6" s="5">
        <v>1</v>
      </c>
      <c r="C6" s="5">
        <v>0.73333000000000004</v>
      </c>
      <c r="D6" s="5">
        <v>1.0384599999999999</v>
      </c>
      <c r="E6" s="5">
        <v>1</v>
      </c>
      <c r="F6" s="5"/>
      <c r="G6" s="5"/>
      <c r="H6" s="5">
        <v>1</v>
      </c>
      <c r="I6" s="5">
        <v>1.0384599999999999</v>
      </c>
      <c r="J6" s="5">
        <v>1.0384599999999999</v>
      </c>
      <c r="K6" s="5">
        <v>1.03704</v>
      </c>
      <c r="L6" s="5">
        <v>1.0357099999999999</v>
      </c>
      <c r="M6" s="5"/>
      <c r="N6" s="5">
        <v>0.89654999999999996</v>
      </c>
      <c r="O6" s="5">
        <v>1</v>
      </c>
      <c r="P6" s="5">
        <v>1.04</v>
      </c>
      <c r="Q6" s="5">
        <v>1.04</v>
      </c>
      <c r="R6" s="5">
        <v>1.0357099999999999</v>
      </c>
      <c r="S6" s="5">
        <v>1</v>
      </c>
    </row>
    <row r="7" spans="1:21" x14ac:dyDescent="0.2">
      <c r="A7" s="14">
        <v>16</v>
      </c>
      <c r="B7" s="5">
        <v>1</v>
      </c>
      <c r="C7" s="5"/>
      <c r="D7" s="5">
        <v>1</v>
      </c>
      <c r="E7" s="5">
        <v>1.04</v>
      </c>
      <c r="F7" s="5"/>
      <c r="G7" s="5"/>
      <c r="H7" s="5">
        <v>1</v>
      </c>
      <c r="I7" s="5">
        <v>0.96296000000000004</v>
      </c>
      <c r="J7" s="5">
        <v>1</v>
      </c>
      <c r="K7" s="5">
        <v>1.0357099999999999</v>
      </c>
      <c r="L7" s="5">
        <v>1</v>
      </c>
      <c r="M7" s="5"/>
      <c r="N7" s="5">
        <v>0.93103000000000002</v>
      </c>
      <c r="O7" s="5">
        <v>1.04</v>
      </c>
      <c r="P7" s="5">
        <v>1.0384599999999999</v>
      </c>
      <c r="Q7" s="5">
        <v>1.0384599999999999</v>
      </c>
      <c r="R7" s="5">
        <v>1</v>
      </c>
      <c r="S7" s="5">
        <v>1</v>
      </c>
    </row>
    <row r="8" spans="1:21" x14ac:dyDescent="0.2">
      <c r="A8" s="14">
        <v>19</v>
      </c>
      <c r="B8" s="5">
        <v>1</v>
      </c>
      <c r="C8" s="5"/>
      <c r="D8" s="5">
        <v>1</v>
      </c>
      <c r="E8" s="5">
        <v>0.96153999999999995</v>
      </c>
      <c r="F8" s="5"/>
      <c r="G8" s="5"/>
      <c r="H8" s="5">
        <v>1.03704</v>
      </c>
      <c r="I8" s="5">
        <v>1.0384599999999999</v>
      </c>
      <c r="J8" s="5">
        <v>1</v>
      </c>
      <c r="K8" s="5">
        <v>1.0344800000000001</v>
      </c>
      <c r="L8" s="5">
        <v>1</v>
      </c>
      <c r="M8" s="5"/>
      <c r="N8" s="5">
        <v>0.96552000000000004</v>
      </c>
      <c r="O8" s="5">
        <v>1.0384599999999999</v>
      </c>
      <c r="P8" s="5">
        <v>1.03704</v>
      </c>
      <c r="Q8" s="5">
        <v>1.03704</v>
      </c>
      <c r="R8" s="5">
        <v>1</v>
      </c>
      <c r="S8" s="5">
        <v>1</v>
      </c>
    </row>
    <row r="12" spans="1:21" x14ac:dyDescent="0.2">
      <c r="A12" s="4"/>
      <c r="B12" s="4"/>
      <c r="C12" s="4"/>
      <c r="D12" s="4"/>
      <c r="E12" s="4"/>
      <c r="F12" s="4"/>
      <c r="G12" s="4"/>
      <c r="H12" s="4"/>
      <c r="M12" s="14" t="s">
        <v>206</v>
      </c>
      <c r="N12" s="5"/>
      <c r="O12" s="5"/>
      <c r="P12" s="5"/>
      <c r="Q12" s="5"/>
      <c r="R12" s="5"/>
      <c r="S12" s="5"/>
      <c r="T12" s="5"/>
      <c r="U12" s="5"/>
    </row>
    <row r="13" spans="1:21" x14ac:dyDescent="0.2">
      <c r="A13" s="15" t="s">
        <v>30</v>
      </c>
      <c r="B13" s="13" t="s">
        <v>180</v>
      </c>
      <c r="C13" s="13"/>
      <c r="D13" s="13"/>
      <c r="E13" s="13"/>
      <c r="F13" s="13"/>
      <c r="G13" s="4"/>
      <c r="H13" s="4"/>
      <c r="M13" s="14"/>
      <c r="N13" s="5"/>
      <c r="O13" s="5"/>
      <c r="P13" s="5"/>
      <c r="Q13" s="5"/>
      <c r="R13" s="5"/>
      <c r="S13" s="5"/>
      <c r="T13" s="5"/>
      <c r="U13" s="5"/>
    </row>
    <row r="14" spans="1:21" x14ac:dyDescent="0.2">
      <c r="A14" s="15"/>
      <c r="B14" s="13"/>
      <c r="C14" s="13"/>
      <c r="D14" s="13"/>
      <c r="E14" s="13"/>
      <c r="F14" s="13"/>
      <c r="G14" s="4"/>
      <c r="H14" s="4"/>
      <c r="M14" s="14" t="s">
        <v>55</v>
      </c>
      <c r="N14" s="5">
        <v>3</v>
      </c>
      <c r="O14" s="5"/>
      <c r="P14" s="5"/>
      <c r="Q14" s="5"/>
      <c r="R14" s="5"/>
      <c r="S14" s="5"/>
      <c r="T14" s="5"/>
      <c r="U14" s="5"/>
    </row>
    <row r="15" spans="1:21" x14ac:dyDescent="0.2">
      <c r="A15" s="15" t="s">
        <v>181</v>
      </c>
      <c r="B15" s="13" t="s">
        <v>182</v>
      </c>
      <c r="C15" s="13"/>
      <c r="D15" s="13"/>
      <c r="E15" s="13"/>
      <c r="F15" s="13"/>
      <c r="G15" s="4"/>
      <c r="H15" s="4"/>
      <c r="M15" s="14" t="s">
        <v>56</v>
      </c>
      <c r="N15" s="5">
        <v>6</v>
      </c>
      <c r="O15" s="5"/>
      <c r="P15" s="5"/>
      <c r="Q15" s="5"/>
      <c r="R15" s="5"/>
      <c r="S15" s="5"/>
      <c r="T15" s="5"/>
      <c r="U15" s="5"/>
    </row>
    <row r="16" spans="1:21" x14ac:dyDescent="0.2">
      <c r="A16" s="15" t="s">
        <v>183</v>
      </c>
      <c r="B16" s="13" t="s">
        <v>66</v>
      </c>
      <c r="C16" s="13"/>
      <c r="D16" s="13"/>
      <c r="E16" s="13"/>
      <c r="F16" s="13"/>
      <c r="G16" s="4"/>
      <c r="H16" s="4"/>
      <c r="M16" s="14" t="s">
        <v>57</v>
      </c>
      <c r="N16" s="5">
        <v>0.05</v>
      </c>
      <c r="O16" s="5"/>
      <c r="P16" s="5"/>
      <c r="Q16" s="5"/>
      <c r="R16" s="5"/>
      <c r="S16" s="5"/>
      <c r="T16" s="5"/>
      <c r="U16" s="5"/>
    </row>
    <row r="17" spans="1:21" x14ac:dyDescent="0.2">
      <c r="A17" s="15" t="s">
        <v>57</v>
      </c>
      <c r="B17" s="13">
        <v>0.05</v>
      </c>
      <c r="C17" s="13"/>
      <c r="D17" s="13"/>
      <c r="E17" s="13"/>
      <c r="F17" s="13"/>
      <c r="G17" s="4"/>
      <c r="H17" s="4"/>
      <c r="M17" s="14"/>
      <c r="N17" s="5"/>
      <c r="O17" s="5"/>
      <c r="P17" s="5"/>
      <c r="Q17" s="5"/>
      <c r="R17" s="5"/>
      <c r="S17" s="5"/>
      <c r="T17" s="5"/>
      <c r="U17" s="5"/>
    </row>
    <row r="18" spans="1:21" x14ac:dyDescent="0.2">
      <c r="A18" s="15"/>
      <c r="B18" s="13"/>
      <c r="C18" s="13"/>
      <c r="D18" s="13"/>
      <c r="E18" s="13"/>
      <c r="F18" s="13"/>
      <c r="G18" s="4"/>
      <c r="H18" s="4"/>
      <c r="M18" s="14" t="s">
        <v>207</v>
      </c>
      <c r="N18" s="5" t="s">
        <v>59</v>
      </c>
      <c r="O18" s="5" t="s">
        <v>60</v>
      </c>
      <c r="P18" s="5" t="s">
        <v>61</v>
      </c>
      <c r="Q18" s="5" t="s">
        <v>62</v>
      </c>
      <c r="R18" s="5" t="s">
        <v>63</v>
      </c>
      <c r="S18" s="5"/>
      <c r="T18" s="5"/>
      <c r="U18" s="5"/>
    </row>
    <row r="19" spans="1:21" x14ac:dyDescent="0.2">
      <c r="A19" s="15" t="s">
        <v>184</v>
      </c>
      <c r="B19" s="13" t="s">
        <v>35</v>
      </c>
      <c r="C19" s="13" t="s">
        <v>37</v>
      </c>
      <c r="D19" s="13" t="s">
        <v>185</v>
      </c>
      <c r="E19" s="13" t="s">
        <v>126</v>
      </c>
      <c r="F19" s="13" t="s">
        <v>186</v>
      </c>
      <c r="G19" s="4"/>
      <c r="H19" s="4"/>
      <c r="M19" s="14"/>
      <c r="N19" s="5"/>
      <c r="O19" s="5"/>
      <c r="P19" s="5"/>
      <c r="Q19" s="5"/>
      <c r="R19" s="5"/>
      <c r="S19" s="5"/>
      <c r="T19" s="5"/>
      <c r="U19" s="5"/>
    </row>
    <row r="20" spans="1:21" x14ac:dyDescent="0.2">
      <c r="A20" s="15" t="s">
        <v>187</v>
      </c>
      <c r="B20" s="13">
        <v>0.52480000000000004</v>
      </c>
      <c r="C20" s="13" t="s">
        <v>67</v>
      </c>
      <c r="D20" s="13" t="s">
        <v>66</v>
      </c>
      <c r="E20" s="13" t="s">
        <v>188</v>
      </c>
      <c r="F20" s="13">
        <v>0.55000000000000004</v>
      </c>
      <c r="G20" s="4"/>
      <c r="H20" s="4"/>
      <c r="M20" s="14" t="s">
        <v>177</v>
      </c>
      <c r="N20" s="5"/>
      <c r="O20" s="5"/>
      <c r="P20" s="5"/>
      <c r="Q20" s="5"/>
      <c r="R20" s="5"/>
      <c r="S20" s="5"/>
      <c r="T20" s="5"/>
      <c r="U20" s="5"/>
    </row>
    <row r="21" spans="1:21" x14ac:dyDescent="0.2">
      <c r="A21" s="15" t="s">
        <v>189</v>
      </c>
      <c r="B21" s="13">
        <v>0.2944</v>
      </c>
      <c r="C21" s="13" t="s">
        <v>67</v>
      </c>
      <c r="D21" s="13" t="s">
        <v>66</v>
      </c>
      <c r="E21" s="13" t="s">
        <v>190</v>
      </c>
      <c r="F21" s="13"/>
      <c r="G21" s="4"/>
      <c r="H21" s="4"/>
      <c r="M21" s="14" t="s">
        <v>208</v>
      </c>
      <c r="N21" s="5">
        <v>1.695E-2</v>
      </c>
      <c r="O21" s="5" t="s">
        <v>209</v>
      </c>
      <c r="P21" s="5" t="s">
        <v>66</v>
      </c>
      <c r="Q21" s="5" t="s">
        <v>67</v>
      </c>
      <c r="R21" s="5">
        <v>0.47599999999999998</v>
      </c>
      <c r="S21" s="5"/>
      <c r="T21" s="5"/>
      <c r="U21" s="5"/>
    </row>
    <row r="22" spans="1:21" x14ac:dyDescent="0.2">
      <c r="A22" s="15" t="s">
        <v>191</v>
      </c>
      <c r="B22" s="13">
        <v>0.42599999999999999</v>
      </c>
      <c r="C22" s="13" t="s">
        <v>67</v>
      </c>
      <c r="D22" s="13" t="s">
        <v>66</v>
      </c>
      <c r="E22" s="13" t="s">
        <v>192</v>
      </c>
      <c r="F22" s="13"/>
      <c r="G22" s="4"/>
      <c r="H22" s="4"/>
      <c r="M22" s="14" t="s">
        <v>210</v>
      </c>
      <c r="N22" s="5">
        <v>2.384E-2</v>
      </c>
      <c r="O22" s="5" t="s">
        <v>211</v>
      </c>
      <c r="P22" s="5" t="s">
        <v>66</v>
      </c>
      <c r="Q22" s="5" t="s">
        <v>67</v>
      </c>
      <c r="R22" s="5">
        <v>0.96879999999999999</v>
      </c>
      <c r="S22" s="5"/>
      <c r="T22" s="5"/>
      <c r="U22" s="5"/>
    </row>
    <row r="23" spans="1:21" x14ac:dyDescent="0.2">
      <c r="A23" s="15"/>
      <c r="B23" s="13"/>
      <c r="C23" s="13"/>
      <c r="D23" s="13"/>
      <c r="E23" s="13"/>
      <c r="F23" s="13"/>
      <c r="G23" s="4"/>
      <c r="H23" s="4"/>
      <c r="M23" s="14" t="s">
        <v>212</v>
      </c>
      <c r="N23" s="5">
        <v>6.6670000000000002E-3</v>
      </c>
      <c r="O23" s="5" t="s">
        <v>213</v>
      </c>
      <c r="P23" s="5" t="s">
        <v>66</v>
      </c>
      <c r="Q23" s="5" t="s">
        <v>67</v>
      </c>
      <c r="R23" s="5">
        <v>0.99850000000000005</v>
      </c>
      <c r="S23" s="5"/>
      <c r="T23" s="5"/>
      <c r="U23" s="5"/>
    </row>
    <row r="24" spans="1:21" x14ac:dyDescent="0.2">
      <c r="A24" s="15" t="s">
        <v>193</v>
      </c>
      <c r="B24" s="13" t="s">
        <v>194</v>
      </c>
      <c r="C24" s="13" t="s">
        <v>195</v>
      </c>
      <c r="D24" s="13"/>
      <c r="E24" s="13"/>
      <c r="F24" s="13"/>
      <c r="G24" s="4"/>
      <c r="H24" s="4"/>
      <c r="M24" s="14" t="s">
        <v>214</v>
      </c>
      <c r="N24" s="5">
        <v>4.7440000000000003E-2</v>
      </c>
      <c r="O24" s="5" t="s">
        <v>215</v>
      </c>
      <c r="P24" s="5" t="s">
        <v>66</v>
      </c>
      <c r="Q24" s="5" t="s">
        <v>67</v>
      </c>
      <c r="R24" s="5">
        <v>0.95509999999999995</v>
      </c>
      <c r="S24" s="5"/>
      <c r="T24" s="5"/>
      <c r="U24" s="5"/>
    </row>
    <row r="25" spans="1:21" x14ac:dyDescent="0.2">
      <c r="A25" s="15" t="s">
        <v>196</v>
      </c>
      <c r="B25" s="13">
        <v>1.932E-2</v>
      </c>
      <c r="C25" s="13">
        <v>3.7340000000000002E-4</v>
      </c>
      <c r="D25" s="13"/>
      <c r="E25" s="13"/>
      <c r="F25" s="13"/>
      <c r="G25" s="4"/>
      <c r="H25" s="4"/>
      <c r="M25" s="14" t="s">
        <v>216</v>
      </c>
      <c r="N25" s="5">
        <v>-2.2950000000000002E-2</v>
      </c>
      <c r="O25" s="5" t="s">
        <v>217</v>
      </c>
      <c r="P25" s="5" t="s">
        <v>66</v>
      </c>
      <c r="Q25" s="5" t="s">
        <v>67</v>
      </c>
      <c r="R25" s="5">
        <v>0.84499999999999997</v>
      </c>
      <c r="S25" s="5"/>
      <c r="T25" s="5"/>
      <c r="U25" s="5"/>
    </row>
    <row r="26" spans="1:21" x14ac:dyDescent="0.2">
      <c r="A26" s="15" t="s">
        <v>197</v>
      </c>
      <c r="B26" s="13">
        <v>4.6219999999999997E-2</v>
      </c>
      <c r="C26" s="13">
        <v>2.137E-3</v>
      </c>
      <c r="D26" s="13"/>
      <c r="E26" s="13"/>
      <c r="F26" s="13"/>
      <c r="G26" s="4"/>
      <c r="H26" s="4"/>
      <c r="M26" s="14" t="s">
        <v>218</v>
      </c>
      <c r="N26" s="5">
        <v>3.2049999999999999E-3</v>
      </c>
      <c r="O26" s="5" t="s">
        <v>219</v>
      </c>
      <c r="P26" s="5" t="s">
        <v>66</v>
      </c>
      <c r="Q26" s="5" t="s">
        <v>67</v>
      </c>
      <c r="R26" s="5">
        <v>0.59799999999999998</v>
      </c>
      <c r="S26" s="5"/>
      <c r="T26" s="5"/>
      <c r="U26" s="5"/>
    </row>
    <row r="27" spans="1:21" x14ac:dyDescent="0.2">
      <c r="A27" s="15"/>
      <c r="B27" s="13"/>
      <c r="C27" s="13"/>
      <c r="D27" s="13"/>
      <c r="E27" s="13"/>
      <c r="F27" s="13"/>
      <c r="G27" s="4"/>
      <c r="H27" s="4"/>
      <c r="M27" s="14"/>
      <c r="N27" s="5"/>
      <c r="O27" s="5"/>
      <c r="P27" s="5"/>
      <c r="Q27" s="5"/>
      <c r="R27" s="5"/>
      <c r="S27" s="5"/>
      <c r="T27" s="5"/>
      <c r="U27" s="5"/>
    </row>
    <row r="28" spans="1:21" x14ac:dyDescent="0.2">
      <c r="A28" s="15" t="s">
        <v>198</v>
      </c>
      <c r="B28" s="13"/>
      <c r="C28" s="13"/>
      <c r="D28" s="13"/>
      <c r="E28" s="13"/>
      <c r="F28" s="13"/>
      <c r="G28" s="4"/>
      <c r="H28" s="4"/>
      <c r="M28" s="14" t="s">
        <v>178</v>
      </c>
      <c r="N28" s="5"/>
      <c r="O28" s="5"/>
      <c r="P28" s="5"/>
      <c r="Q28" s="5"/>
      <c r="R28" s="5"/>
      <c r="S28" s="5"/>
      <c r="T28" s="5"/>
      <c r="U28" s="5"/>
    </row>
    <row r="29" spans="1:21" x14ac:dyDescent="0.2">
      <c r="A29" s="15" t="s">
        <v>199</v>
      </c>
      <c r="B29" s="13" t="s">
        <v>200</v>
      </c>
      <c r="C29" s="13"/>
      <c r="D29" s="13"/>
      <c r="E29" s="13"/>
      <c r="F29" s="13"/>
      <c r="G29" s="4"/>
      <c r="H29" s="4"/>
      <c r="M29" s="14" t="s">
        <v>208</v>
      </c>
      <c r="N29" s="5">
        <v>3.141E-2</v>
      </c>
      <c r="O29" s="5" t="s">
        <v>220</v>
      </c>
      <c r="P29" s="5" t="s">
        <v>66</v>
      </c>
      <c r="Q29" s="5" t="s">
        <v>67</v>
      </c>
      <c r="R29" s="5">
        <v>0.69110000000000005</v>
      </c>
      <c r="S29" s="5"/>
      <c r="T29" s="5"/>
      <c r="U29" s="5"/>
    </row>
    <row r="30" spans="1:21" x14ac:dyDescent="0.2">
      <c r="A30" s="15" t="s">
        <v>35</v>
      </c>
      <c r="B30" s="13">
        <v>7.6100000000000001E-2</v>
      </c>
      <c r="C30" s="13"/>
      <c r="D30" s="13"/>
      <c r="E30" s="13"/>
      <c r="F30" s="13"/>
      <c r="G30" s="4"/>
      <c r="H30" s="4"/>
      <c r="M30" s="14" t="s">
        <v>210</v>
      </c>
      <c r="N30" s="5">
        <v>2.4740000000000002E-2</v>
      </c>
      <c r="O30" s="5" t="s">
        <v>221</v>
      </c>
      <c r="P30" s="5" t="s">
        <v>66</v>
      </c>
      <c r="Q30" s="5" t="s">
        <v>67</v>
      </c>
      <c r="R30" s="5">
        <v>0.84189999999999998</v>
      </c>
      <c r="S30" s="5"/>
      <c r="T30" s="5"/>
      <c r="U30" s="5"/>
    </row>
    <row r="31" spans="1:21" x14ac:dyDescent="0.2">
      <c r="A31" s="15" t="s">
        <v>37</v>
      </c>
      <c r="B31" s="13" t="s">
        <v>67</v>
      </c>
      <c r="C31" s="13"/>
      <c r="D31" s="13"/>
      <c r="E31" s="13"/>
      <c r="F31" s="13"/>
      <c r="G31" s="4"/>
      <c r="H31" s="4"/>
      <c r="M31" s="14" t="s">
        <v>212</v>
      </c>
      <c r="N31" s="5">
        <v>3.0779999999999998E-2</v>
      </c>
      <c r="O31" s="5" t="s">
        <v>222</v>
      </c>
      <c r="P31" s="5" t="s">
        <v>66</v>
      </c>
      <c r="Q31" s="5" t="s">
        <v>67</v>
      </c>
      <c r="R31" s="5">
        <v>0.85519999999999996</v>
      </c>
      <c r="S31" s="5"/>
      <c r="T31" s="5"/>
      <c r="U31" s="5"/>
    </row>
    <row r="32" spans="1:21" x14ac:dyDescent="0.2">
      <c r="A32" s="15" t="s">
        <v>201</v>
      </c>
      <c r="B32" s="13" t="s">
        <v>66</v>
      </c>
      <c r="C32" s="13"/>
      <c r="D32" s="13"/>
      <c r="E32" s="13"/>
      <c r="F32" s="13"/>
      <c r="G32" s="4"/>
      <c r="H32" s="4"/>
      <c r="M32" s="14" t="s">
        <v>214</v>
      </c>
      <c r="N32" s="5">
        <v>-1.26E-2</v>
      </c>
      <c r="O32" s="5" t="s">
        <v>223</v>
      </c>
      <c r="P32" s="5" t="s">
        <v>66</v>
      </c>
      <c r="Q32" s="5" t="s">
        <v>67</v>
      </c>
      <c r="R32" s="5">
        <v>0.98709999999999998</v>
      </c>
      <c r="S32" s="5"/>
      <c r="T32" s="5"/>
      <c r="U32" s="5"/>
    </row>
    <row r="33" spans="1:21" x14ac:dyDescent="0.2">
      <c r="A33" s="15"/>
      <c r="B33" s="13"/>
      <c r="C33" s="13"/>
      <c r="D33" s="13"/>
      <c r="E33" s="13"/>
      <c r="F33" s="13"/>
      <c r="G33" s="4"/>
      <c r="H33" s="4"/>
      <c r="M33" s="14" t="s">
        <v>216</v>
      </c>
      <c r="N33" s="5">
        <v>1.7600000000000001E-2</v>
      </c>
      <c r="O33" s="5" t="s">
        <v>224</v>
      </c>
      <c r="P33" s="5" t="s">
        <v>66</v>
      </c>
      <c r="Q33" s="5" t="s">
        <v>67</v>
      </c>
      <c r="R33" s="5">
        <v>0.98850000000000005</v>
      </c>
      <c r="S33" s="5"/>
      <c r="T33" s="5"/>
      <c r="U33" s="5"/>
    </row>
    <row r="34" spans="1:21" x14ac:dyDescent="0.2">
      <c r="A34" s="15" t="s">
        <v>139</v>
      </c>
      <c r="B34" s="13"/>
      <c r="C34" s="13"/>
      <c r="D34" s="13"/>
      <c r="E34" s="13"/>
      <c r="F34" s="13"/>
      <c r="G34" s="4"/>
      <c r="H34" s="4"/>
      <c r="M34" s="14" t="s">
        <v>218</v>
      </c>
      <c r="N34" s="5">
        <v>-4.6620000000000003E-3</v>
      </c>
      <c r="O34" s="5" t="s">
        <v>225</v>
      </c>
      <c r="P34" s="5" t="s">
        <v>66</v>
      </c>
      <c r="Q34" s="5" t="s">
        <v>67</v>
      </c>
      <c r="R34" s="5">
        <v>0.99970000000000003</v>
      </c>
      <c r="S34" s="5"/>
      <c r="T34" s="5"/>
      <c r="U34" s="5"/>
    </row>
    <row r="35" spans="1:21" x14ac:dyDescent="0.2">
      <c r="A35" s="15" t="s">
        <v>202</v>
      </c>
      <c r="B35" s="13">
        <v>3</v>
      </c>
      <c r="C35" s="13"/>
      <c r="D35" s="13"/>
      <c r="E35" s="13"/>
      <c r="F35" s="13"/>
      <c r="G35" s="4"/>
      <c r="H35" s="4"/>
      <c r="M35" s="14"/>
      <c r="N35" s="5"/>
      <c r="O35" s="5"/>
      <c r="P35" s="5"/>
      <c r="Q35" s="5"/>
      <c r="R35" s="5"/>
      <c r="S35" s="5"/>
      <c r="T35" s="5"/>
      <c r="U35" s="5"/>
    </row>
    <row r="36" spans="1:21" x14ac:dyDescent="0.2">
      <c r="A36" s="15" t="s">
        <v>203</v>
      </c>
      <c r="B36" s="13">
        <v>7</v>
      </c>
      <c r="C36" s="13"/>
      <c r="D36" s="13"/>
      <c r="E36" s="13"/>
      <c r="F36" s="13"/>
      <c r="G36" s="4"/>
      <c r="H36" s="4"/>
      <c r="M36" s="14" t="s">
        <v>92</v>
      </c>
      <c r="N36" s="5"/>
      <c r="O36" s="5"/>
      <c r="P36" s="5"/>
      <c r="Q36" s="5"/>
      <c r="R36" s="5"/>
      <c r="S36" s="5"/>
      <c r="T36" s="5"/>
      <c r="U36" s="5"/>
    </row>
    <row r="37" spans="1:21" x14ac:dyDescent="0.2">
      <c r="A37" s="15" t="s">
        <v>204</v>
      </c>
      <c r="B37" s="13">
        <v>15</v>
      </c>
      <c r="C37" s="13"/>
      <c r="D37" s="13"/>
      <c r="E37" s="13"/>
      <c r="F37" s="13"/>
      <c r="G37" s="4"/>
      <c r="H37" s="4"/>
      <c r="M37" s="14" t="s">
        <v>208</v>
      </c>
      <c r="N37" s="5">
        <v>-4.0099999999999997E-2</v>
      </c>
      <c r="O37" s="5" t="s">
        <v>226</v>
      </c>
      <c r="P37" s="5" t="s">
        <v>66</v>
      </c>
      <c r="Q37" s="5" t="s">
        <v>67</v>
      </c>
      <c r="R37" s="5">
        <v>0.47239999999999999</v>
      </c>
      <c r="S37" s="5"/>
      <c r="T37" s="5"/>
      <c r="U37" s="5"/>
    </row>
    <row r="38" spans="1:21" x14ac:dyDescent="0.2">
      <c r="A38" s="15" t="s">
        <v>205</v>
      </c>
      <c r="B38" s="13">
        <v>2</v>
      </c>
      <c r="C38" s="13"/>
      <c r="D38" s="13"/>
      <c r="E38" s="13"/>
      <c r="F38" s="13"/>
      <c r="G38" s="4"/>
      <c r="H38" s="4"/>
      <c r="M38" s="14" t="s">
        <v>210</v>
      </c>
      <c r="N38" s="5">
        <v>-3.5729999999999998E-2</v>
      </c>
      <c r="O38" s="5" t="s">
        <v>227</v>
      </c>
      <c r="P38" s="5" t="s">
        <v>66</v>
      </c>
      <c r="Q38" s="5" t="s">
        <v>67</v>
      </c>
      <c r="R38" s="5">
        <v>0.79449999999999998</v>
      </c>
      <c r="S38" s="5"/>
      <c r="T38" s="5"/>
      <c r="U38" s="5"/>
    </row>
    <row r="39" spans="1:21" x14ac:dyDescent="0.2">
      <c r="A39" s="4"/>
      <c r="B39" s="4"/>
      <c r="C39" s="4"/>
      <c r="D39" s="4"/>
      <c r="E39" s="4"/>
      <c r="F39" s="4"/>
      <c r="G39" s="4"/>
      <c r="H39" s="4"/>
      <c r="M39" s="14" t="s">
        <v>212</v>
      </c>
      <c r="N39" s="5">
        <v>-1.197E-2</v>
      </c>
      <c r="O39" s="5" t="s">
        <v>228</v>
      </c>
      <c r="P39" s="5" t="s">
        <v>66</v>
      </c>
      <c r="Q39" s="5" t="s">
        <v>67</v>
      </c>
      <c r="R39" s="5">
        <v>0.99860000000000004</v>
      </c>
      <c r="S39" s="5"/>
      <c r="T39" s="5"/>
      <c r="U39" s="5"/>
    </row>
    <row r="40" spans="1:21" x14ac:dyDescent="0.2">
      <c r="M40" s="14" t="s">
        <v>214</v>
      </c>
      <c r="N40" s="5">
        <v>-5.4379999999999998E-2</v>
      </c>
      <c r="O40" s="5" t="s">
        <v>229</v>
      </c>
      <c r="P40" s="5" t="s">
        <v>66</v>
      </c>
      <c r="Q40" s="5" t="s">
        <v>67</v>
      </c>
      <c r="R40" s="5">
        <v>0.5343</v>
      </c>
      <c r="S40" s="5"/>
      <c r="T40" s="5"/>
      <c r="U40" s="5"/>
    </row>
    <row r="41" spans="1:21" x14ac:dyDescent="0.2">
      <c r="M41" s="14" t="s">
        <v>216</v>
      </c>
      <c r="N41" s="5">
        <v>-6.0330000000000002E-2</v>
      </c>
      <c r="O41" s="5" t="s">
        <v>230</v>
      </c>
      <c r="P41" s="5" t="s">
        <v>66</v>
      </c>
      <c r="Q41" s="5" t="s">
        <v>67</v>
      </c>
      <c r="R41" s="5">
        <v>0.38059999999999999</v>
      </c>
      <c r="S41" s="5"/>
      <c r="T41" s="5"/>
      <c r="U41" s="5"/>
    </row>
    <row r="42" spans="1:21" x14ac:dyDescent="0.2">
      <c r="M42" s="14" t="s">
        <v>218</v>
      </c>
      <c r="N42" s="5">
        <v>-6.5350000000000005E-2</v>
      </c>
      <c r="O42" s="5" t="s">
        <v>231</v>
      </c>
      <c r="P42" s="5" t="s">
        <v>66</v>
      </c>
      <c r="Q42" s="5" t="s">
        <v>67</v>
      </c>
      <c r="R42" s="5">
        <v>0.2261</v>
      </c>
      <c r="S42" s="5"/>
      <c r="T42" s="5"/>
      <c r="U42" s="5"/>
    </row>
    <row r="43" spans="1:21" x14ac:dyDescent="0.2">
      <c r="M43" s="14"/>
      <c r="N43" s="5"/>
      <c r="O43" s="5"/>
      <c r="P43" s="5"/>
      <c r="Q43" s="5"/>
      <c r="R43" s="5"/>
      <c r="S43" s="5"/>
      <c r="T43" s="5"/>
      <c r="U43" s="5"/>
    </row>
    <row r="44" spans="1:21" x14ac:dyDescent="0.2">
      <c r="M44" s="14"/>
      <c r="N44" s="5"/>
      <c r="O44" s="5"/>
      <c r="P44" s="5"/>
      <c r="Q44" s="5"/>
      <c r="R44" s="5"/>
      <c r="S44" s="5"/>
      <c r="T44" s="5"/>
      <c r="U44" s="5"/>
    </row>
    <row r="45" spans="1:21" x14ac:dyDescent="0.2">
      <c r="M45" s="14" t="s">
        <v>76</v>
      </c>
      <c r="N45" s="5" t="s">
        <v>77</v>
      </c>
      <c r="O45" s="5" t="s">
        <v>78</v>
      </c>
      <c r="P45" s="5" t="s">
        <v>59</v>
      </c>
      <c r="Q45" s="5" t="s">
        <v>79</v>
      </c>
      <c r="R45" s="5" t="s">
        <v>232</v>
      </c>
      <c r="S45" s="5" t="s">
        <v>233</v>
      </c>
      <c r="T45" s="5" t="s">
        <v>82</v>
      </c>
      <c r="U45" s="5" t="s">
        <v>83</v>
      </c>
    </row>
    <row r="46" spans="1:21" x14ac:dyDescent="0.2">
      <c r="M46" s="14"/>
      <c r="N46" s="5"/>
      <c r="O46" s="5"/>
      <c r="P46" s="5"/>
      <c r="Q46" s="5"/>
      <c r="R46" s="5"/>
      <c r="S46" s="5"/>
      <c r="T46" s="5"/>
      <c r="U46" s="5"/>
    </row>
    <row r="47" spans="1:21" x14ac:dyDescent="0.2">
      <c r="M47" s="14" t="s">
        <v>177</v>
      </c>
      <c r="N47" s="5"/>
      <c r="O47" s="5"/>
      <c r="P47" s="5"/>
      <c r="Q47" s="5"/>
      <c r="R47" s="5"/>
      <c r="S47" s="5"/>
      <c r="T47" s="5"/>
      <c r="U47" s="5"/>
    </row>
    <row r="48" spans="1:21" x14ac:dyDescent="0.2">
      <c r="M48" s="14" t="s">
        <v>208</v>
      </c>
      <c r="N48" s="5">
        <v>0.99039999999999995</v>
      </c>
      <c r="O48" s="5">
        <v>0.97340000000000004</v>
      </c>
      <c r="P48" s="5">
        <v>1.695E-2</v>
      </c>
      <c r="Q48" s="5">
        <v>9.7900000000000001E-3</v>
      </c>
      <c r="R48" s="5">
        <v>4</v>
      </c>
      <c r="S48" s="5">
        <v>4</v>
      </c>
      <c r="T48" s="5">
        <v>1.732</v>
      </c>
      <c r="U48" s="5">
        <v>3</v>
      </c>
    </row>
    <row r="49" spans="13:21" x14ac:dyDescent="0.2">
      <c r="M49" s="14" t="s">
        <v>210</v>
      </c>
      <c r="N49" s="5">
        <v>0.99039999999999995</v>
      </c>
      <c r="O49" s="5">
        <v>0.96650000000000003</v>
      </c>
      <c r="P49" s="5">
        <v>2.384E-2</v>
      </c>
      <c r="Q49" s="5">
        <v>4.0629999999999999E-2</v>
      </c>
      <c r="R49" s="5">
        <v>4</v>
      </c>
      <c r="S49" s="5">
        <v>4</v>
      </c>
      <c r="T49" s="5">
        <v>0.5867</v>
      </c>
      <c r="U49" s="5">
        <v>3</v>
      </c>
    </row>
    <row r="50" spans="13:21" x14ac:dyDescent="0.2">
      <c r="M50" s="14" t="s">
        <v>212</v>
      </c>
      <c r="N50" s="5">
        <v>0.99039999999999995</v>
      </c>
      <c r="O50" s="5">
        <v>0.98370000000000002</v>
      </c>
      <c r="P50" s="5">
        <v>6.6670000000000002E-3</v>
      </c>
      <c r="Q50" s="5">
        <v>2.2110000000000001E-2</v>
      </c>
      <c r="R50" s="5">
        <v>4</v>
      </c>
      <c r="S50" s="5">
        <v>4</v>
      </c>
      <c r="T50" s="5">
        <v>0.30149999999999999</v>
      </c>
      <c r="U50" s="5">
        <v>3</v>
      </c>
    </row>
    <row r="51" spans="13:21" x14ac:dyDescent="0.2">
      <c r="M51" s="14" t="s">
        <v>214</v>
      </c>
      <c r="N51" s="5">
        <v>0.99039999999999995</v>
      </c>
      <c r="O51" s="5">
        <v>0.94289999999999996</v>
      </c>
      <c r="P51" s="5">
        <v>4.7440000000000003E-2</v>
      </c>
      <c r="Q51" s="5">
        <v>7.3639999999999997E-2</v>
      </c>
      <c r="R51" s="5">
        <v>4</v>
      </c>
      <c r="S51" s="5">
        <v>4</v>
      </c>
      <c r="T51" s="5">
        <v>0.64419999999999999</v>
      </c>
      <c r="U51" s="5">
        <v>3</v>
      </c>
    </row>
    <row r="52" spans="13:21" x14ac:dyDescent="0.2">
      <c r="M52" s="14" t="s">
        <v>216</v>
      </c>
      <c r="N52" s="5">
        <v>0.99039999999999995</v>
      </c>
      <c r="O52" s="5">
        <v>1.0129999999999999</v>
      </c>
      <c r="P52" s="5">
        <v>-2.2950000000000002E-2</v>
      </c>
      <c r="Q52" s="5">
        <v>2.4559999999999998E-2</v>
      </c>
      <c r="R52" s="5">
        <v>4</v>
      </c>
      <c r="S52" s="5">
        <v>3</v>
      </c>
      <c r="T52" s="5">
        <v>0.9345</v>
      </c>
      <c r="U52" s="5">
        <v>2</v>
      </c>
    </row>
    <row r="53" spans="13:21" x14ac:dyDescent="0.2">
      <c r="M53" s="14" t="s">
        <v>218</v>
      </c>
      <c r="N53" s="5">
        <v>0.99039999999999995</v>
      </c>
      <c r="O53" s="5">
        <v>0.98719999999999997</v>
      </c>
      <c r="P53" s="5">
        <v>3.2049999999999999E-3</v>
      </c>
      <c r="Q53" s="5">
        <v>2.1199999999999999E-3</v>
      </c>
      <c r="R53" s="5">
        <v>4</v>
      </c>
      <c r="S53" s="5">
        <v>3</v>
      </c>
      <c r="T53" s="5">
        <v>1.512</v>
      </c>
      <c r="U53" s="5">
        <v>2</v>
      </c>
    </row>
    <row r="54" spans="13:21" x14ac:dyDescent="0.2">
      <c r="M54" s="14"/>
      <c r="N54" s="5"/>
      <c r="O54" s="5"/>
      <c r="P54" s="5"/>
      <c r="Q54" s="5"/>
      <c r="R54" s="5"/>
      <c r="S54" s="5"/>
      <c r="T54" s="5"/>
      <c r="U54" s="5"/>
    </row>
    <row r="55" spans="13:21" x14ac:dyDescent="0.2">
      <c r="M55" s="14" t="s">
        <v>178</v>
      </c>
      <c r="N55" s="5"/>
      <c r="O55" s="5"/>
      <c r="P55" s="5"/>
      <c r="Q55" s="5"/>
      <c r="R55" s="5"/>
      <c r="S55" s="5"/>
      <c r="T55" s="5"/>
      <c r="U55" s="5"/>
    </row>
    <row r="56" spans="13:21" x14ac:dyDescent="0.2">
      <c r="M56" s="14" t="s">
        <v>208</v>
      </c>
      <c r="N56" s="5">
        <v>1.0169999999999999</v>
      </c>
      <c r="O56" s="5">
        <v>0.9859</v>
      </c>
      <c r="P56" s="5">
        <v>3.141E-2</v>
      </c>
      <c r="Q56" s="5">
        <v>2.5559999999999999E-2</v>
      </c>
      <c r="R56" s="5">
        <v>5</v>
      </c>
      <c r="S56" s="5">
        <v>5</v>
      </c>
      <c r="T56" s="5">
        <v>1.2290000000000001</v>
      </c>
      <c r="U56" s="5">
        <v>4</v>
      </c>
    </row>
    <row r="57" spans="13:21" x14ac:dyDescent="0.2">
      <c r="M57" s="14" t="s">
        <v>210</v>
      </c>
      <c r="N57" s="5">
        <v>1.0169999999999999</v>
      </c>
      <c r="O57" s="5">
        <v>0.99260000000000004</v>
      </c>
      <c r="P57" s="5">
        <v>2.4740000000000002E-2</v>
      </c>
      <c r="Q57" s="5">
        <v>2.6290000000000001E-2</v>
      </c>
      <c r="R57" s="5">
        <v>5</v>
      </c>
      <c r="S57" s="5">
        <v>5</v>
      </c>
      <c r="T57" s="5">
        <v>0.94120000000000004</v>
      </c>
      <c r="U57" s="5">
        <v>4</v>
      </c>
    </row>
    <row r="58" spans="13:21" x14ac:dyDescent="0.2">
      <c r="M58" s="14" t="s">
        <v>212</v>
      </c>
      <c r="N58" s="5">
        <v>1.0169999999999999</v>
      </c>
      <c r="O58" s="5">
        <v>0.98660000000000003</v>
      </c>
      <c r="P58" s="5">
        <v>3.0779999999999998E-2</v>
      </c>
      <c r="Q58" s="5">
        <v>3.3700000000000001E-2</v>
      </c>
      <c r="R58" s="5">
        <v>5</v>
      </c>
      <c r="S58" s="5">
        <v>5</v>
      </c>
      <c r="T58" s="5">
        <v>0.91320000000000001</v>
      </c>
      <c r="U58" s="5">
        <v>4</v>
      </c>
    </row>
    <row r="59" spans="13:21" x14ac:dyDescent="0.2">
      <c r="M59" s="14" t="s">
        <v>214</v>
      </c>
      <c r="N59" s="5">
        <v>1.0169999999999999</v>
      </c>
      <c r="O59" s="5">
        <v>1.03</v>
      </c>
      <c r="P59" s="5">
        <v>-1.26E-2</v>
      </c>
      <c r="Q59" s="5">
        <v>2.6040000000000001E-2</v>
      </c>
      <c r="R59" s="5">
        <v>5</v>
      </c>
      <c r="S59" s="5">
        <v>5</v>
      </c>
      <c r="T59" s="5">
        <v>0.4839</v>
      </c>
      <c r="U59" s="5">
        <v>4</v>
      </c>
    </row>
    <row r="60" spans="13:21" x14ac:dyDescent="0.2">
      <c r="M60" s="14" t="s">
        <v>216</v>
      </c>
      <c r="N60" s="5">
        <v>1.0169999999999999</v>
      </c>
      <c r="O60" s="5">
        <v>0.99970000000000003</v>
      </c>
      <c r="P60" s="5">
        <v>1.7600000000000001E-2</v>
      </c>
      <c r="Q60" s="5">
        <v>3.7339999999999998E-2</v>
      </c>
      <c r="R60" s="5">
        <v>5</v>
      </c>
      <c r="S60" s="5">
        <v>5</v>
      </c>
      <c r="T60" s="5">
        <v>0.47139999999999999</v>
      </c>
      <c r="U60" s="5">
        <v>4</v>
      </c>
    </row>
    <row r="61" spans="13:21" x14ac:dyDescent="0.2">
      <c r="M61" s="14" t="s">
        <v>218</v>
      </c>
      <c r="N61" s="5">
        <v>1.0169999999999999</v>
      </c>
      <c r="O61" s="5">
        <v>1.022</v>
      </c>
      <c r="P61" s="5">
        <v>-4.6620000000000003E-3</v>
      </c>
      <c r="Q61" s="5">
        <v>2.5010000000000001E-2</v>
      </c>
      <c r="R61" s="5">
        <v>5</v>
      </c>
      <c r="S61" s="5">
        <v>5</v>
      </c>
      <c r="T61" s="5">
        <v>0.18640000000000001</v>
      </c>
      <c r="U61" s="5">
        <v>4</v>
      </c>
    </row>
    <row r="62" spans="13:21" x14ac:dyDescent="0.2">
      <c r="M62" s="14"/>
      <c r="N62" s="5"/>
      <c r="O62" s="5"/>
      <c r="P62" s="5"/>
      <c r="Q62" s="5"/>
      <c r="R62" s="5"/>
      <c r="S62" s="5"/>
      <c r="T62" s="5"/>
      <c r="U62" s="5"/>
    </row>
    <row r="63" spans="13:21" x14ac:dyDescent="0.2">
      <c r="M63" s="14" t="s">
        <v>92</v>
      </c>
      <c r="N63" s="5"/>
      <c r="O63" s="5"/>
      <c r="P63" s="5"/>
      <c r="Q63" s="5"/>
      <c r="R63" s="5"/>
      <c r="S63" s="5"/>
      <c r="T63" s="5"/>
      <c r="U63" s="5"/>
    </row>
    <row r="64" spans="13:21" x14ac:dyDescent="0.2">
      <c r="M64" s="14" t="s">
        <v>208</v>
      </c>
      <c r="N64" s="5">
        <v>0.94769999999999999</v>
      </c>
      <c r="O64" s="5">
        <v>0.98780000000000001</v>
      </c>
      <c r="P64" s="5">
        <v>-4.0099999999999997E-2</v>
      </c>
      <c r="Q64" s="5">
        <v>2.462E-2</v>
      </c>
      <c r="R64" s="5">
        <v>6</v>
      </c>
      <c r="S64" s="5">
        <v>6</v>
      </c>
      <c r="T64" s="5">
        <v>1.629</v>
      </c>
      <c r="U64" s="5">
        <v>5</v>
      </c>
    </row>
    <row r="65" spans="13:21" x14ac:dyDescent="0.2">
      <c r="M65" s="14" t="s">
        <v>210</v>
      </c>
      <c r="N65" s="5">
        <v>0.94769999999999999</v>
      </c>
      <c r="O65" s="5">
        <v>0.98340000000000005</v>
      </c>
      <c r="P65" s="5">
        <v>-3.5729999999999998E-2</v>
      </c>
      <c r="Q65" s="5">
        <v>3.4500000000000003E-2</v>
      </c>
      <c r="R65" s="5">
        <v>6</v>
      </c>
      <c r="S65" s="5">
        <v>6</v>
      </c>
      <c r="T65" s="5">
        <v>1.036</v>
      </c>
      <c r="U65" s="5">
        <v>5</v>
      </c>
    </row>
    <row r="66" spans="13:21" x14ac:dyDescent="0.2">
      <c r="M66" s="14" t="s">
        <v>212</v>
      </c>
      <c r="N66" s="5">
        <v>0.94769999999999999</v>
      </c>
      <c r="O66" s="5">
        <v>0.95960000000000001</v>
      </c>
      <c r="P66" s="5">
        <v>-1.197E-2</v>
      </c>
      <c r="Q66" s="5">
        <v>4.299E-2</v>
      </c>
      <c r="R66" s="5">
        <v>6</v>
      </c>
      <c r="S66" s="5">
        <v>6</v>
      </c>
      <c r="T66" s="5">
        <v>0.27839999999999998</v>
      </c>
      <c r="U66" s="5">
        <v>5</v>
      </c>
    </row>
    <row r="67" spans="13:21" x14ac:dyDescent="0.2">
      <c r="M67" s="14" t="s">
        <v>214</v>
      </c>
      <c r="N67" s="5">
        <v>0.94769999999999999</v>
      </c>
      <c r="O67" s="5">
        <v>1.002</v>
      </c>
      <c r="P67" s="5">
        <v>-5.4379999999999998E-2</v>
      </c>
      <c r="Q67" s="5">
        <v>3.6119999999999999E-2</v>
      </c>
      <c r="R67" s="5">
        <v>6</v>
      </c>
      <c r="S67" s="5">
        <v>6</v>
      </c>
      <c r="T67" s="5">
        <v>1.506</v>
      </c>
      <c r="U67" s="5">
        <v>5</v>
      </c>
    </row>
    <row r="68" spans="13:21" x14ac:dyDescent="0.2">
      <c r="M68" s="14" t="s">
        <v>216</v>
      </c>
      <c r="N68" s="5">
        <v>0.94769999999999999</v>
      </c>
      <c r="O68" s="5">
        <v>1.008</v>
      </c>
      <c r="P68" s="5">
        <v>-6.0330000000000002E-2</v>
      </c>
      <c r="Q68" s="5">
        <v>3.2870000000000003E-2</v>
      </c>
      <c r="R68" s="5">
        <v>6</v>
      </c>
      <c r="S68" s="5">
        <v>6</v>
      </c>
      <c r="T68" s="5">
        <v>1.8360000000000001</v>
      </c>
      <c r="U68" s="5">
        <v>5</v>
      </c>
    </row>
    <row r="69" spans="13:21" x14ac:dyDescent="0.2">
      <c r="M69" s="14" t="s">
        <v>218</v>
      </c>
      <c r="N69" s="5">
        <v>0.94769999999999999</v>
      </c>
      <c r="O69" s="5">
        <v>1.0129999999999999</v>
      </c>
      <c r="P69" s="5">
        <v>-6.5350000000000005E-2</v>
      </c>
      <c r="Q69" s="5">
        <v>2.828E-2</v>
      </c>
      <c r="R69" s="5">
        <v>6</v>
      </c>
      <c r="S69" s="5">
        <v>6</v>
      </c>
      <c r="T69" s="5">
        <v>2.3109999999999999</v>
      </c>
      <c r="U69" s="5">
        <v>5</v>
      </c>
    </row>
    <row r="70" spans="13:21" x14ac:dyDescent="0.2">
      <c r="M70" s="14"/>
      <c r="N70" s="5"/>
      <c r="O70" s="5"/>
      <c r="P70" s="5"/>
      <c r="Q70" s="5"/>
      <c r="R70" s="5"/>
      <c r="S70" s="5"/>
      <c r="T70" s="5"/>
      <c r="U70" s="5"/>
    </row>
    <row r="71" spans="13:21" x14ac:dyDescent="0.2">
      <c r="M71" s="14"/>
      <c r="N71" s="5"/>
      <c r="O71" s="5"/>
      <c r="P71" s="5"/>
      <c r="Q71" s="5"/>
      <c r="R71" s="5"/>
      <c r="S71" s="5"/>
      <c r="T71" s="5"/>
      <c r="U71" s="5"/>
    </row>
    <row r="72" spans="13:21" x14ac:dyDescent="0.2">
      <c r="M72" s="14"/>
      <c r="N72" s="5"/>
      <c r="O72" s="5"/>
      <c r="P72" s="5"/>
      <c r="Q72" s="5"/>
      <c r="R72" s="5"/>
      <c r="S72" s="5"/>
      <c r="T72" s="5"/>
      <c r="U72" s="5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2CAD-89A8-F74D-B90B-E67DD50F2368}">
  <dimension ref="A1:E45"/>
  <sheetViews>
    <sheetView workbookViewId="0">
      <selection activeCell="D30" sqref="D30"/>
    </sheetView>
  </sheetViews>
  <sheetFormatPr baseColWidth="10" defaultRowHeight="15" x14ac:dyDescent="0.2"/>
  <cols>
    <col min="4" max="4" width="36.33203125" bestFit="1" customWidth="1"/>
    <col min="5" max="5" width="15.33203125" bestFit="1" customWidth="1"/>
  </cols>
  <sheetData>
    <row r="1" spans="1:5" ht="16" x14ac:dyDescent="0.2">
      <c r="A1" s="2" t="s">
        <v>171</v>
      </c>
      <c r="B1" s="2" t="s">
        <v>257</v>
      </c>
      <c r="D1" s="28" t="s">
        <v>30</v>
      </c>
      <c r="E1" s="27" t="s">
        <v>258</v>
      </c>
    </row>
    <row r="2" spans="1:5" ht="16" x14ac:dyDescent="0.2">
      <c r="A2" s="27">
        <v>161</v>
      </c>
      <c r="B2" s="27">
        <v>145</v>
      </c>
      <c r="D2" s="28"/>
      <c r="E2" s="27"/>
    </row>
    <row r="3" spans="1:5" ht="16" x14ac:dyDescent="0.2">
      <c r="A3" s="27">
        <v>243</v>
      </c>
      <c r="B3" s="27">
        <v>230</v>
      </c>
      <c r="D3" s="28" t="s">
        <v>32</v>
      </c>
      <c r="E3" s="27" t="s">
        <v>257</v>
      </c>
    </row>
    <row r="4" spans="1:5" ht="16" x14ac:dyDescent="0.2">
      <c r="A4" s="27">
        <v>181</v>
      </c>
      <c r="B4" s="27">
        <v>156</v>
      </c>
      <c r="D4" s="28" t="s">
        <v>33</v>
      </c>
      <c r="E4" s="27" t="s">
        <v>33</v>
      </c>
    </row>
    <row r="5" spans="1:5" ht="16" x14ac:dyDescent="0.2">
      <c r="A5" s="27">
        <v>226</v>
      </c>
      <c r="B5" s="27">
        <v>223</v>
      </c>
      <c r="D5" s="28" t="s">
        <v>34</v>
      </c>
      <c r="E5" s="27" t="s">
        <v>171</v>
      </c>
    </row>
    <row r="6" spans="1:5" ht="16" x14ac:dyDescent="0.2">
      <c r="A6" s="27">
        <v>114</v>
      </c>
      <c r="B6" s="27">
        <v>191</v>
      </c>
      <c r="D6" s="28"/>
      <c r="E6" s="27"/>
    </row>
    <row r="7" spans="1:5" ht="16" x14ac:dyDescent="0.2">
      <c r="A7" s="27">
        <v>169</v>
      </c>
      <c r="B7" s="27">
        <v>110</v>
      </c>
      <c r="D7" s="28" t="s">
        <v>145</v>
      </c>
      <c r="E7" s="27"/>
    </row>
    <row r="8" spans="1:5" ht="16" x14ac:dyDescent="0.2">
      <c r="A8" s="27">
        <v>55</v>
      </c>
      <c r="B8" s="27">
        <v>182</v>
      </c>
      <c r="D8" s="28" t="s">
        <v>35</v>
      </c>
      <c r="E8" s="27">
        <v>0.91830000000000001</v>
      </c>
    </row>
    <row r="9" spans="1:5" ht="16" x14ac:dyDescent="0.2">
      <c r="A9" s="27">
        <v>58</v>
      </c>
      <c r="B9" s="27">
        <v>47</v>
      </c>
      <c r="D9" s="28" t="s">
        <v>37</v>
      </c>
      <c r="E9" s="27" t="s">
        <v>67</v>
      </c>
    </row>
    <row r="10" spans="1:5" ht="16" x14ac:dyDescent="0.2">
      <c r="A10" s="27">
        <v>111</v>
      </c>
      <c r="B10" s="27">
        <v>163</v>
      </c>
      <c r="D10" s="28" t="s">
        <v>39</v>
      </c>
      <c r="E10" s="27" t="s">
        <v>66</v>
      </c>
    </row>
    <row r="11" spans="1:5" ht="16" x14ac:dyDescent="0.2">
      <c r="A11" s="27">
        <v>111</v>
      </c>
      <c r="B11" s="27">
        <v>47</v>
      </c>
      <c r="D11" s="28" t="s">
        <v>41</v>
      </c>
      <c r="E11" s="27" t="s">
        <v>42</v>
      </c>
    </row>
    <row r="12" spans="1:5" ht="16" x14ac:dyDescent="0.2">
      <c r="A12" s="27">
        <v>17</v>
      </c>
      <c r="B12" s="27">
        <v>137</v>
      </c>
      <c r="D12" s="28" t="s">
        <v>43</v>
      </c>
      <c r="E12" s="27" t="s">
        <v>259</v>
      </c>
    </row>
    <row r="13" spans="1:5" ht="16" x14ac:dyDescent="0.2">
      <c r="A13" s="27">
        <v>224</v>
      </c>
      <c r="B13" s="27">
        <v>182</v>
      </c>
      <c r="D13" s="28" t="s">
        <v>147</v>
      </c>
      <c r="E13" s="27">
        <v>44</v>
      </c>
    </row>
    <row r="14" spans="1:5" ht="16" x14ac:dyDescent="0.2">
      <c r="A14" s="27">
        <v>242</v>
      </c>
      <c r="B14" s="27">
        <v>278</v>
      </c>
      <c r="D14" s="28"/>
      <c r="E14" s="27"/>
    </row>
    <row r="15" spans="1:5" ht="16" x14ac:dyDescent="0.2">
      <c r="A15" s="27">
        <v>156</v>
      </c>
      <c r="B15" s="27">
        <v>100</v>
      </c>
      <c r="D15" s="28" t="s">
        <v>44</v>
      </c>
      <c r="E15" s="27"/>
    </row>
    <row r="16" spans="1:5" ht="16" x14ac:dyDescent="0.2">
      <c r="A16" s="27">
        <v>84</v>
      </c>
      <c r="B16" s="27">
        <v>228</v>
      </c>
      <c r="D16" s="28" t="s">
        <v>148</v>
      </c>
      <c r="E16" s="27">
        <v>-1.2729999999999999</v>
      </c>
    </row>
    <row r="17" spans="1:5" ht="16" x14ac:dyDescent="0.2">
      <c r="A17" s="27">
        <v>154</v>
      </c>
      <c r="B17" s="27">
        <v>275</v>
      </c>
      <c r="D17" s="28" t="s">
        <v>149</v>
      </c>
      <c r="E17" s="27">
        <v>81.77</v>
      </c>
    </row>
    <row r="18" spans="1:5" ht="16" x14ac:dyDescent="0.2">
      <c r="A18" s="27">
        <v>205</v>
      </c>
      <c r="B18" s="27">
        <v>135</v>
      </c>
      <c r="D18" s="28" t="s">
        <v>150</v>
      </c>
      <c r="E18" s="27">
        <v>12.33</v>
      </c>
    </row>
    <row r="19" spans="1:5" ht="16" x14ac:dyDescent="0.2">
      <c r="A19" s="27">
        <v>131</v>
      </c>
      <c r="B19" s="27">
        <v>76</v>
      </c>
      <c r="D19" s="28" t="s">
        <v>45</v>
      </c>
      <c r="E19" s="27" t="s">
        <v>260</v>
      </c>
    </row>
    <row r="20" spans="1:5" ht="16" x14ac:dyDescent="0.2">
      <c r="A20" s="27">
        <v>114</v>
      </c>
      <c r="B20" s="27">
        <v>228</v>
      </c>
      <c r="D20" s="28" t="s">
        <v>152</v>
      </c>
      <c r="E20" s="27">
        <v>2.4780000000000001E-4</v>
      </c>
    </row>
    <row r="21" spans="1:5" ht="16" x14ac:dyDescent="0.2">
      <c r="A21" s="27">
        <v>225</v>
      </c>
      <c r="B21" s="27">
        <v>66</v>
      </c>
      <c r="D21" s="28"/>
      <c r="E21" s="27"/>
    </row>
    <row r="22" spans="1:5" ht="16" x14ac:dyDescent="0.2">
      <c r="A22" s="27">
        <v>38</v>
      </c>
      <c r="B22" s="27">
        <v>74</v>
      </c>
      <c r="D22" s="28" t="s">
        <v>153</v>
      </c>
      <c r="E22" s="27"/>
    </row>
    <row r="23" spans="1:5" ht="16" x14ac:dyDescent="0.2">
      <c r="A23" s="27">
        <v>100</v>
      </c>
      <c r="B23" s="27">
        <v>219</v>
      </c>
      <c r="D23" s="28" t="s">
        <v>154</v>
      </c>
      <c r="E23" s="27">
        <v>0.26769999999999999</v>
      </c>
    </row>
    <row r="24" spans="1:5" ht="16" x14ac:dyDescent="0.2">
      <c r="A24" s="27">
        <v>239</v>
      </c>
      <c r="B24" s="27">
        <v>176</v>
      </c>
      <c r="D24" s="28" t="s">
        <v>155</v>
      </c>
      <c r="E24" s="27">
        <v>3.95E-2</v>
      </c>
    </row>
    <row r="25" spans="1:5" ht="16" x14ac:dyDescent="0.2">
      <c r="A25" s="27">
        <v>258</v>
      </c>
      <c r="B25" s="27">
        <v>277</v>
      </c>
      <c r="D25" s="28" t="s">
        <v>37</v>
      </c>
      <c r="E25" s="27" t="s">
        <v>74</v>
      </c>
    </row>
    <row r="26" spans="1:5" ht="16" x14ac:dyDescent="0.2">
      <c r="A26" s="27">
        <v>79</v>
      </c>
      <c r="B26" s="27">
        <v>120</v>
      </c>
      <c r="D26" s="28" t="s">
        <v>156</v>
      </c>
      <c r="E26" s="27" t="s">
        <v>40</v>
      </c>
    </row>
    <row r="27" spans="1:5" ht="16" x14ac:dyDescent="0.2">
      <c r="A27" s="27">
        <v>213</v>
      </c>
      <c r="B27" s="27">
        <v>167</v>
      </c>
    </row>
    <row r="28" spans="1:5" ht="16" x14ac:dyDescent="0.2">
      <c r="A28" s="27">
        <v>225</v>
      </c>
      <c r="B28" s="27">
        <v>128</v>
      </c>
    </row>
    <row r="29" spans="1:5" ht="16" x14ac:dyDescent="0.2">
      <c r="A29" s="27">
        <v>182</v>
      </c>
      <c r="B29" s="27">
        <v>266</v>
      </c>
    </row>
    <row r="30" spans="1:5" ht="16" x14ac:dyDescent="0.2">
      <c r="A30" s="27">
        <v>101</v>
      </c>
      <c r="B30" s="27">
        <v>80</v>
      </c>
    </row>
    <row r="31" spans="1:5" ht="16" x14ac:dyDescent="0.2">
      <c r="A31" s="27">
        <v>220</v>
      </c>
      <c r="B31" s="27">
        <v>152</v>
      </c>
    </row>
    <row r="32" spans="1:5" ht="16" x14ac:dyDescent="0.2">
      <c r="A32" s="27">
        <v>77</v>
      </c>
      <c r="B32" s="27">
        <v>95</v>
      </c>
    </row>
    <row r="33" spans="1:2" ht="16" x14ac:dyDescent="0.2">
      <c r="A33" s="27">
        <v>141</v>
      </c>
      <c r="B33" s="27">
        <v>86</v>
      </c>
    </row>
    <row r="34" spans="1:2" ht="16" x14ac:dyDescent="0.2">
      <c r="A34" s="27">
        <v>249</v>
      </c>
      <c r="B34" s="27">
        <v>118</v>
      </c>
    </row>
    <row r="35" spans="1:2" ht="16" x14ac:dyDescent="0.2">
      <c r="A35" s="27">
        <v>221</v>
      </c>
      <c r="B35" s="27">
        <v>79</v>
      </c>
    </row>
    <row r="36" spans="1:2" ht="16" x14ac:dyDescent="0.2">
      <c r="A36" s="27">
        <v>219</v>
      </c>
      <c r="B36" s="27">
        <v>242</v>
      </c>
    </row>
    <row r="37" spans="1:2" ht="16" x14ac:dyDescent="0.2">
      <c r="A37" s="27">
        <v>210</v>
      </c>
      <c r="B37" s="27">
        <v>156</v>
      </c>
    </row>
    <row r="38" spans="1:2" ht="16" x14ac:dyDescent="0.2">
      <c r="A38" s="27">
        <v>231</v>
      </c>
      <c r="B38" s="27">
        <v>187</v>
      </c>
    </row>
    <row r="39" spans="1:2" ht="16" x14ac:dyDescent="0.2">
      <c r="A39" s="27">
        <v>207</v>
      </c>
      <c r="B39" s="27">
        <v>257</v>
      </c>
    </row>
    <row r="40" spans="1:2" ht="16" x14ac:dyDescent="0.2">
      <c r="A40" s="27">
        <v>201</v>
      </c>
      <c r="B40" s="27">
        <v>135</v>
      </c>
    </row>
    <row r="41" spans="1:2" ht="16" x14ac:dyDescent="0.2">
      <c r="A41" s="27">
        <v>210</v>
      </c>
      <c r="B41" s="27">
        <v>75</v>
      </c>
    </row>
    <row r="42" spans="1:2" ht="16" x14ac:dyDescent="0.2">
      <c r="A42" s="27">
        <v>67</v>
      </c>
      <c r="B42" s="27">
        <v>237</v>
      </c>
    </row>
    <row r="43" spans="1:2" ht="16" x14ac:dyDescent="0.2">
      <c r="A43" s="27">
        <v>115</v>
      </c>
      <c r="B43" s="27">
        <v>115</v>
      </c>
    </row>
    <row r="44" spans="1:2" ht="16" x14ac:dyDescent="0.2">
      <c r="A44" s="27">
        <v>96</v>
      </c>
      <c r="B44" s="27">
        <v>102</v>
      </c>
    </row>
    <row r="45" spans="1:2" ht="16" x14ac:dyDescent="0.2">
      <c r="A45" s="27">
        <v>93</v>
      </c>
      <c r="B45" s="27">
        <v>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939C4-6020-4DDA-A0BC-029DC39B4B4D}">
  <dimension ref="A2:G112"/>
  <sheetViews>
    <sheetView workbookViewId="0">
      <selection activeCell="F1" sqref="F1:H28"/>
    </sheetView>
  </sheetViews>
  <sheetFormatPr baseColWidth="10" defaultColWidth="8.83203125" defaultRowHeight="15" x14ac:dyDescent="0.2"/>
  <cols>
    <col min="6" max="6" width="55" customWidth="1"/>
    <col min="7" max="7" width="35.1640625" customWidth="1"/>
  </cols>
  <sheetData>
    <row r="2" spans="1:7" x14ac:dyDescent="0.2">
      <c r="A2" s="12" t="s">
        <v>142</v>
      </c>
      <c r="B2" s="12" t="s">
        <v>143</v>
      </c>
      <c r="F2" s="14" t="s">
        <v>30</v>
      </c>
      <c r="G2" s="5" t="s">
        <v>144</v>
      </c>
    </row>
    <row r="3" spans="1:7" x14ac:dyDescent="0.2">
      <c r="A3" s="13">
        <v>147</v>
      </c>
      <c r="B3" s="13">
        <v>131</v>
      </c>
      <c r="F3" s="14"/>
      <c r="G3" s="5"/>
    </row>
    <row r="4" spans="1:7" x14ac:dyDescent="0.2">
      <c r="A4" s="13">
        <v>133</v>
      </c>
      <c r="B4" s="13">
        <v>100</v>
      </c>
      <c r="F4" s="14" t="s">
        <v>32</v>
      </c>
      <c r="G4" s="5" t="s">
        <v>143</v>
      </c>
    </row>
    <row r="5" spans="1:7" x14ac:dyDescent="0.2">
      <c r="A5" s="13">
        <v>115</v>
      </c>
      <c r="B5" s="13">
        <v>142</v>
      </c>
      <c r="F5" s="14" t="s">
        <v>33</v>
      </c>
      <c r="G5" s="5" t="s">
        <v>33</v>
      </c>
    </row>
    <row r="6" spans="1:7" x14ac:dyDescent="0.2">
      <c r="A6" s="13">
        <v>141</v>
      </c>
      <c r="B6" s="13">
        <v>87</v>
      </c>
      <c r="F6" s="14" t="s">
        <v>34</v>
      </c>
      <c r="G6" s="5" t="s">
        <v>142</v>
      </c>
    </row>
    <row r="7" spans="1:7" x14ac:dyDescent="0.2">
      <c r="A7" s="13">
        <v>141</v>
      </c>
      <c r="B7" s="13">
        <v>150</v>
      </c>
      <c r="F7" s="14"/>
      <c r="G7" s="5"/>
    </row>
    <row r="8" spans="1:7" x14ac:dyDescent="0.2">
      <c r="A8" s="13">
        <v>130</v>
      </c>
      <c r="B8" s="13">
        <v>143</v>
      </c>
      <c r="F8" s="14" t="s">
        <v>145</v>
      </c>
      <c r="G8" s="5"/>
    </row>
    <row r="9" spans="1:7" x14ac:dyDescent="0.2">
      <c r="A9" s="13">
        <v>66</v>
      </c>
      <c r="B9" s="13">
        <v>86</v>
      </c>
      <c r="F9" s="14" t="s">
        <v>35</v>
      </c>
      <c r="G9" s="5">
        <v>0.7802</v>
      </c>
    </row>
    <row r="10" spans="1:7" x14ac:dyDescent="0.2">
      <c r="A10" s="13">
        <v>119</v>
      </c>
      <c r="B10" s="13">
        <v>180</v>
      </c>
      <c r="F10" s="14" t="s">
        <v>37</v>
      </c>
      <c r="G10" s="5" t="s">
        <v>67</v>
      </c>
    </row>
    <row r="11" spans="1:7" x14ac:dyDescent="0.2">
      <c r="A11" s="13">
        <v>98</v>
      </c>
      <c r="B11" s="13">
        <v>98</v>
      </c>
      <c r="F11" s="14" t="s">
        <v>39</v>
      </c>
      <c r="G11" s="5" t="s">
        <v>66</v>
      </c>
    </row>
    <row r="12" spans="1:7" x14ac:dyDescent="0.2">
      <c r="A12" s="13">
        <v>133</v>
      </c>
      <c r="B12" s="13">
        <v>133</v>
      </c>
      <c r="F12" s="14" t="s">
        <v>41</v>
      </c>
      <c r="G12" s="5" t="s">
        <v>42</v>
      </c>
    </row>
    <row r="13" spans="1:7" x14ac:dyDescent="0.2">
      <c r="A13" s="13">
        <v>88</v>
      </c>
      <c r="B13" s="13">
        <v>113</v>
      </c>
      <c r="F13" s="14" t="s">
        <v>43</v>
      </c>
      <c r="G13" s="5" t="s">
        <v>146</v>
      </c>
    </row>
    <row r="14" spans="1:7" x14ac:dyDescent="0.2">
      <c r="A14" s="13">
        <v>94</v>
      </c>
      <c r="B14" s="13">
        <v>115</v>
      </c>
      <c r="F14" s="14" t="s">
        <v>147</v>
      </c>
      <c r="G14" s="5">
        <v>110</v>
      </c>
    </row>
    <row r="15" spans="1:7" x14ac:dyDescent="0.2">
      <c r="A15" s="13">
        <v>118</v>
      </c>
      <c r="B15" s="13">
        <v>128</v>
      </c>
      <c r="F15" s="14"/>
      <c r="G15" s="5"/>
    </row>
    <row r="16" spans="1:7" x14ac:dyDescent="0.2">
      <c r="A16" s="13">
        <v>87</v>
      </c>
      <c r="B16" s="13">
        <v>63</v>
      </c>
      <c r="F16" s="14" t="s">
        <v>44</v>
      </c>
      <c r="G16" s="5"/>
    </row>
    <row r="17" spans="1:7" x14ac:dyDescent="0.2">
      <c r="A17" s="13">
        <v>81</v>
      </c>
      <c r="B17" s="13">
        <v>115</v>
      </c>
      <c r="F17" s="14" t="s">
        <v>148</v>
      </c>
      <c r="G17" s="5">
        <v>-1.4550000000000001</v>
      </c>
    </row>
    <row r="18" spans="1:7" x14ac:dyDescent="0.2">
      <c r="A18" s="13">
        <v>190</v>
      </c>
      <c r="B18" s="13">
        <v>160</v>
      </c>
      <c r="F18" s="14" t="s">
        <v>149</v>
      </c>
      <c r="G18" s="5">
        <v>54.54</v>
      </c>
    </row>
    <row r="19" spans="1:7" x14ac:dyDescent="0.2">
      <c r="A19" s="13">
        <v>114</v>
      </c>
      <c r="B19" s="13">
        <v>119</v>
      </c>
      <c r="F19" s="14" t="s">
        <v>150</v>
      </c>
      <c r="G19" s="5">
        <v>5.2</v>
      </c>
    </row>
    <row r="20" spans="1:7" x14ac:dyDescent="0.2">
      <c r="A20" s="13">
        <v>77</v>
      </c>
      <c r="B20" s="13">
        <v>89</v>
      </c>
      <c r="F20" s="14" t="s">
        <v>45</v>
      </c>
      <c r="G20" s="5" t="s">
        <v>151</v>
      </c>
    </row>
    <row r="21" spans="1:7" x14ac:dyDescent="0.2">
      <c r="A21" s="13">
        <v>121</v>
      </c>
      <c r="B21" s="13">
        <v>132</v>
      </c>
      <c r="F21" s="14" t="s">
        <v>152</v>
      </c>
      <c r="G21" s="5">
        <v>7.1730000000000003E-4</v>
      </c>
    </row>
    <row r="22" spans="1:7" x14ac:dyDescent="0.2">
      <c r="A22" s="13">
        <v>123</v>
      </c>
      <c r="B22" s="13">
        <v>116</v>
      </c>
      <c r="F22" s="14"/>
      <c r="G22" s="5"/>
    </row>
    <row r="23" spans="1:7" x14ac:dyDescent="0.2">
      <c r="A23" s="13">
        <v>173</v>
      </c>
      <c r="B23" s="13">
        <v>109</v>
      </c>
      <c r="F23" s="14" t="s">
        <v>153</v>
      </c>
      <c r="G23" s="5"/>
    </row>
    <row r="24" spans="1:7" x14ac:dyDescent="0.2">
      <c r="A24" s="13">
        <v>89</v>
      </c>
      <c r="B24" s="13">
        <v>93</v>
      </c>
      <c r="F24" s="14" t="s">
        <v>154</v>
      </c>
      <c r="G24" s="5">
        <v>0.25540000000000002</v>
      </c>
    </row>
    <row r="25" spans="1:7" x14ac:dyDescent="0.2">
      <c r="A25" s="13">
        <v>105</v>
      </c>
      <c r="B25" s="13">
        <v>105</v>
      </c>
      <c r="F25" s="14" t="s">
        <v>155</v>
      </c>
      <c r="G25" s="5">
        <v>3.5000000000000001E-3</v>
      </c>
    </row>
    <row r="26" spans="1:7" x14ac:dyDescent="0.2">
      <c r="A26" s="13">
        <v>210</v>
      </c>
      <c r="B26" s="13">
        <v>187</v>
      </c>
      <c r="F26" s="14" t="s">
        <v>37</v>
      </c>
      <c r="G26" s="5" t="s">
        <v>87</v>
      </c>
    </row>
    <row r="27" spans="1:7" x14ac:dyDescent="0.2">
      <c r="A27" s="13">
        <v>149</v>
      </c>
      <c r="B27" s="13">
        <v>124</v>
      </c>
      <c r="F27" s="14" t="s">
        <v>156</v>
      </c>
      <c r="G27" s="5" t="s">
        <v>40</v>
      </c>
    </row>
    <row r="28" spans="1:7" x14ac:dyDescent="0.2">
      <c r="A28" s="13">
        <v>133</v>
      </c>
      <c r="B28" s="13">
        <v>111</v>
      </c>
    </row>
    <row r="29" spans="1:7" x14ac:dyDescent="0.2">
      <c r="A29" s="13">
        <v>174</v>
      </c>
      <c r="B29" s="13">
        <v>143</v>
      </c>
    </row>
    <row r="30" spans="1:7" x14ac:dyDescent="0.2">
      <c r="A30" s="13">
        <v>175</v>
      </c>
      <c r="B30" s="13">
        <v>230</v>
      </c>
    </row>
    <row r="31" spans="1:7" x14ac:dyDescent="0.2">
      <c r="A31" s="13">
        <v>84</v>
      </c>
      <c r="B31" s="13">
        <v>78</v>
      </c>
    </row>
    <row r="32" spans="1:7" x14ac:dyDescent="0.2">
      <c r="A32" s="13">
        <v>109</v>
      </c>
      <c r="B32" s="13">
        <v>109</v>
      </c>
    </row>
    <row r="33" spans="1:2" x14ac:dyDescent="0.2">
      <c r="A33" s="13">
        <v>177</v>
      </c>
      <c r="B33" s="13">
        <v>77</v>
      </c>
    </row>
    <row r="34" spans="1:2" x14ac:dyDescent="0.2">
      <c r="A34" s="13">
        <v>178</v>
      </c>
      <c r="B34" s="13">
        <v>211</v>
      </c>
    </row>
    <row r="35" spans="1:2" x14ac:dyDescent="0.2">
      <c r="A35" s="13">
        <v>181</v>
      </c>
      <c r="B35" s="13">
        <v>205</v>
      </c>
    </row>
    <row r="36" spans="1:2" x14ac:dyDescent="0.2">
      <c r="A36" s="13">
        <v>82</v>
      </c>
      <c r="B36" s="13">
        <v>120</v>
      </c>
    </row>
    <row r="37" spans="1:2" x14ac:dyDescent="0.2">
      <c r="A37" s="13">
        <v>95</v>
      </c>
      <c r="B37" s="13">
        <v>128</v>
      </c>
    </row>
    <row r="38" spans="1:2" x14ac:dyDescent="0.2">
      <c r="A38" s="13">
        <v>71</v>
      </c>
      <c r="B38" s="13">
        <v>132</v>
      </c>
    </row>
    <row r="39" spans="1:2" x14ac:dyDescent="0.2">
      <c r="A39" s="13">
        <v>102</v>
      </c>
      <c r="B39" s="13">
        <v>66</v>
      </c>
    </row>
    <row r="40" spans="1:2" x14ac:dyDescent="0.2">
      <c r="A40" s="13">
        <v>147</v>
      </c>
      <c r="B40" s="13">
        <v>71</v>
      </c>
    </row>
    <row r="41" spans="1:2" x14ac:dyDescent="0.2">
      <c r="A41" s="13">
        <v>115</v>
      </c>
      <c r="B41" s="13">
        <v>98</v>
      </c>
    </row>
    <row r="42" spans="1:2" x14ac:dyDescent="0.2">
      <c r="A42" s="13">
        <v>91</v>
      </c>
      <c r="B42" s="13">
        <v>124</v>
      </c>
    </row>
    <row r="43" spans="1:2" x14ac:dyDescent="0.2">
      <c r="A43" s="13">
        <v>80</v>
      </c>
      <c r="B43" s="13">
        <v>63</v>
      </c>
    </row>
    <row r="44" spans="1:2" x14ac:dyDescent="0.2">
      <c r="A44" s="13">
        <v>102</v>
      </c>
      <c r="B44" s="13">
        <v>101</v>
      </c>
    </row>
    <row r="45" spans="1:2" x14ac:dyDescent="0.2">
      <c r="A45" s="13">
        <v>142</v>
      </c>
      <c r="B45" s="13">
        <v>90</v>
      </c>
    </row>
    <row r="46" spans="1:2" x14ac:dyDescent="0.2">
      <c r="A46" s="13">
        <v>84</v>
      </c>
      <c r="B46" s="13">
        <v>112</v>
      </c>
    </row>
    <row r="47" spans="1:2" x14ac:dyDescent="0.2">
      <c r="A47" s="13">
        <v>122</v>
      </c>
      <c r="B47" s="13">
        <v>163</v>
      </c>
    </row>
    <row r="48" spans="1:2" x14ac:dyDescent="0.2">
      <c r="A48" s="13">
        <v>106</v>
      </c>
      <c r="B48" s="13">
        <v>149</v>
      </c>
    </row>
    <row r="49" spans="1:2" x14ac:dyDescent="0.2">
      <c r="A49" s="13">
        <v>88</v>
      </c>
      <c r="B49" s="13">
        <v>117</v>
      </c>
    </row>
    <row r="50" spans="1:2" x14ac:dyDescent="0.2">
      <c r="A50" s="13">
        <v>118</v>
      </c>
      <c r="B50" s="13">
        <v>127</v>
      </c>
    </row>
    <row r="51" spans="1:2" x14ac:dyDescent="0.2">
      <c r="A51" s="13">
        <v>185</v>
      </c>
      <c r="B51" s="13">
        <v>134</v>
      </c>
    </row>
    <row r="52" spans="1:2" x14ac:dyDescent="0.2">
      <c r="A52" s="13">
        <v>100</v>
      </c>
      <c r="B52" s="13">
        <v>111</v>
      </c>
    </row>
    <row r="53" spans="1:2" x14ac:dyDescent="0.2">
      <c r="A53" s="13">
        <v>70</v>
      </c>
      <c r="B53" s="13">
        <v>156</v>
      </c>
    </row>
    <row r="54" spans="1:2" x14ac:dyDescent="0.2">
      <c r="A54" s="13">
        <v>174</v>
      </c>
      <c r="B54" s="13">
        <v>145</v>
      </c>
    </row>
    <row r="55" spans="1:2" x14ac:dyDescent="0.2">
      <c r="A55" s="13">
        <v>146</v>
      </c>
      <c r="B55" s="13">
        <v>89</v>
      </c>
    </row>
    <row r="56" spans="1:2" x14ac:dyDescent="0.2">
      <c r="A56" s="13">
        <v>73</v>
      </c>
      <c r="B56" s="13">
        <v>93</v>
      </c>
    </row>
    <row r="57" spans="1:2" x14ac:dyDescent="0.2">
      <c r="A57" s="13">
        <v>108</v>
      </c>
      <c r="B57" s="13">
        <v>85</v>
      </c>
    </row>
    <row r="58" spans="1:2" x14ac:dyDescent="0.2">
      <c r="A58" s="13">
        <v>230</v>
      </c>
      <c r="B58" s="13">
        <v>156</v>
      </c>
    </row>
    <row r="59" spans="1:2" x14ac:dyDescent="0.2">
      <c r="A59" s="13">
        <v>155</v>
      </c>
      <c r="B59" s="13">
        <v>137</v>
      </c>
    </row>
    <row r="60" spans="1:2" x14ac:dyDescent="0.2">
      <c r="A60" s="13">
        <v>92</v>
      </c>
      <c r="B60" s="13">
        <v>210</v>
      </c>
    </row>
    <row r="61" spans="1:2" x14ac:dyDescent="0.2">
      <c r="A61" s="13">
        <v>30</v>
      </c>
      <c r="B61" s="13">
        <v>209</v>
      </c>
    </row>
    <row r="62" spans="1:2" x14ac:dyDescent="0.2">
      <c r="A62" s="13">
        <v>96</v>
      </c>
      <c r="B62" s="13">
        <v>84</v>
      </c>
    </row>
    <row r="63" spans="1:2" x14ac:dyDescent="0.2">
      <c r="A63" s="13">
        <v>40</v>
      </c>
      <c r="B63" s="13">
        <v>173</v>
      </c>
    </row>
    <row r="64" spans="1:2" x14ac:dyDescent="0.2">
      <c r="A64" s="13">
        <v>114</v>
      </c>
      <c r="B64" s="13">
        <v>157</v>
      </c>
    </row>
    <row r="65" spans="1:2" x14ac:dyDescent="0.2">
      <c r="A65" s="13">
        <v>117</v>
      </c>
      <c r="B65" s="13">
        <v>16</v>
      </c>
    </row>
    <row r="66" spans="1:2" x14ac:dyDescent="0.2">
      <c r="A66" s="13">
        <v>126</v>
      </c>
      <c r="B66" s="13">
        <v>105</v>
      </c>
    </row>
    <row r="67" spans="1:2" x14ac:dyDescent="0.2">
      <c r="A67" s="13">
        <v>108</v>
      </c>
      <c r="B67" s="13">
        <v>21</v>
      </c>
    </row>
    <row r="68" spans="1:2" x14ac:dyDescent="0.2">
      <c r="A68" s="13">
        <v>101</v>
      </c>
      <c r="B68" s="13">
        <v>180</v>
      </c>
    </row>
    <row r="69" spans="1:2" x14ac:dyDescent="0.2">
      <c r="A69" s="13">
        <v>204</v>
      </c>
      <c r="B69" s="13">
        <v>143</v>
      </c>
    </row>
    <row r="70" spans="1:2" x14ac:dyDescent="0.2">
      <c r="A70" s="13">
        <v>200</v>
      </c>
      <c r="B70" s="13">
        <v>165</v>
      </c>
    </row>
    <row r="71" spans="1:2" x14ac:dyDescent="0.2">
      <c r="A71" s="13">
        <v>108</v>
      </c>
      <c r="B71" s="13">
        <v>73</v>
      </c>
    </row>
    <row r="72" spans="1:2" x14ac:dyDescent="0.2">
      <c r="A72" s="13">
        <v>161</v>
      </c>
      <c r="B72" s="13">
        <v>124</v>
      </c>
    </row>
    <row r="73" spans="1:2" x14ac:dyDescent="0.2">
      <c r="A73" s="13">
        <v>55</v>
      </c>
      <c r="B73" s="13">
        <v>117</v>
      </c>
    </row>
    <row r="74" spans="1:2" x14ac:dyDescent="0.2">
      <c r="A74" s="13">
        <v>88</v>
      </c>
      <c r="B74" s="13">
        <v>187</v>
      </c>
    </row>
    <row r="75" spans="1:2" x14ac:dyDescent="0.2">
      <c r="A75" s="13">
        <v>49</v>
      </c>
      <c r="B75" s="13">
        <v>155</v>
      </c>
    </row>
    <row r="76" spans="1:2" x14ac:dyDescent="0.2">
      <c r="A76" s="13">
        <v>38</v>
      </c>
      <c r="B76" s="13">
        <v>156</v>
      </c>
    </row>
    <row r="77" spans="1:2" x14ac:dyDescent="0.2">
      <c r="A77" s="13">
        <v>37</v>
      </c>
      <c r="B77" s="13">
        <v>86</v>
      </c>
    </row>
    <row r="78" spans="1:2" x14ac:dyDescent="0.2">
      <c r="A78" s="13">
        <v>102</v>
      </c>
      <c r="B78" s="13">
        <v>102</v>
      </c>
    </row>
    <row r="79" spans="1:2" x14ac:dyDescent="0.2">
      <c r="A79" s="13">
        <v>74</v>
      </c>
      <c r="B79" s="13">
        <v>99</v>
      </c>
    </row>
    <row r="80" spans="1:2" x14ac:dyDescent="0.2">
      <c r="A80" s="13">
        <v>113</v>
      </c>
      <c r="B80" s="13">
        <v>165</v>
      </c>
    </row>
    <row r="81" spans="1:2" x14ac:dyDescent="0.2">
      <c r="A81" s="13">
        <v>194</v>
      </c>
      <c r="B81" s="13">
        <v>194</v>
      </c>
    </row>
    <row r="82" spans="1:2" x14ac:dyDescent="0.2">
      <c r="A82" s="13">
        <v>28</v>
      </c>
      <c r="B82" s="13">
        <v>93</v>
      </c>
    </row>
    <row r="83" spans="1:2" x14ac:dyDescent="0.2">
      <c r="A83" s="13">
        <v>83</v>
      </c>
      <c r="B83" s="13">
        <v>116</v>
      </c>
    </row>
    <row r="84" spans="1:2" x14ac:dyDescent="0.2">
      <c r="A84" s="13">
        <v>81</v>
      </c>
      <c r="B84" s="13">
        <v>64</v>
      </c>
    </row>
    <row r="85" spans="1:2" x14ac:dyDescent="0.2">
      <c r="A85" s="13">
        <v>247</v>
      </c>
      <c r="B85" s="13">
        <v>111</v>
      </c>
    </row>
    <row r="86" spans="1:2" x14ac:dyDescent="0.2">
      <c r="A86" s="13">
        <v>152</v>
      </c>
      <c r="B86" s="13">
        <v>208</v>
      </c>
    </row>
    <row r="87" spans="1:2" x14ac:dyDescent="0.2">
      <c r="A87" s="13">
        <v>137</v>
      </c>
      <c r="B87" s="13">
        <v>172</v>
      </c>
    </row>
    <row r="88" spans="1:2" x14ac:dyDescent="0.2">
      <c r="A88" s="13">
        <v>159</v>
      </c>
      <c r="B88" s="13">
        <v>42</v>
      </c>
    </row>
    <row r="89" spans="1:2" x14ac:dyDescent="0.2">
      <c r="A89" s="13">
        <v>101</v>
      </c>
      <c r="B89" s="13">
        <v>79</v>
      </c>
    </row>
    <row r="90" spans="1:2" x14ac:dyDescent="0.2">
      <c r="A90" s="13">
        <v>96</v>
      </c>
      <c r="B90" s="13">
        <v>195</v>
      </c>
    </row>
    <row r="91" spans="1:2" x14ac:dyDescent="0.2">
      <c r="A91" s="13">
        <v>161</v>
      </c>
      <c r="B91" s="13">
        <v>88</v>
      </c>
    </row>
    <row r="92" spans="1:2" x14ac:dyDescent="0.2">
      <c r="A92" s="13">
        <v>141</v>
      </c>
      <c r="B92" s="13">
        <v>45</v>
      </c>
    </row>
    <row r="93" spans="1:2" x14ac:dyDescent="0.2">
      <c r="A93" s="13">
        <v>181</v>
      </c>
      <c r="B93" s="13">
        <v>83</v>
      </c>
    </row>
    <row r="94" spans="1:2" x14ac:dyDescent="0.2">
      <c r="A94" s="13">
        <v>144</v>
      </c>
      <c r="B94" s="13">
        <v>113</v>
      </c>
    </row>
    <row r="95" spans="1:2" x14ac:dyDescent="0.2">
      <c r="A95" s="13">
        <v>129</v>
      </c>
      <c r="B95" s="13">
        <v>93</v>
      </c>
    </row>
    <row r="96" spans="1:2" x14ac:dyDescent="0.2">
      <c r="A96" s="13">
        <v>45</v>
      </c>
      <c r="B96" s="13">
        <v>45</v>
      </c>
    </row>
    <row r="97" spans="1:2" x14ac:dyDescent="0.2">
      <c r="A97" s="13">
        <v>130</v>
      </c>
      <c r="B97" s="13">
        <v>64</v>
      </c>
    </row>
    <row r="98" spans="1:2" x14ac:dyDescent="0.2">
      <c r="A98" s="13">
        <v>55</v>
      </c>
      <c r="B98" s="13">
        <v>54</v>
      </c>
    </row>
    <row r="99" spans="1:2" x14ac:dyDescent="0.2">
      <c r="A99" s="13">
        <v>66</v>
      </c>
      <c r="B99" s="13">
        <v>69</v>
      </c>
    </row>
    <row r="100" spans="1:2" x14ac:dyDescent="0.2">
      <c r="A100" s="13">
        <v>101</v>
      </c>
      <c r="B100" s="13">
        <v>58</v>
      </c>
    </row>
    <row r="101" spans="1:2" x14ac:dyDescent="0.2">
      <c r="A101" s="13">
        <v>106</v>
      </c>
      <c r="B101" s="13">
        <v>54</v>
      </c>
    </row>
    <row r="102" spans="1:2" x14ac:dyDescent="0.2">
      <c r="A102" s="13">
        <v>72</v>
      </c>
      <c r="B102" s="13">
        <v>70</v>
      </c>
    </row>
    <row r="103" spans="1:2" x14ac:dyDescent="0.2">
      <c r="A103" s="13">
        <v>95</v>
      </c>
      <c r="B103" s="13">
        <v>88</v>
      </c>
    </row>
    <row r="104" spans="1:2" x14ac:dyDescent="0.2">
      <c r="A104" s="13">
        <v>73</v>
      </c>
      <c r="B104" s="13">
        <v>73</v>
      </c>
    </row>
    <row r="105" spans="1:2" x14ac:dyDescent="0.2">
      <c r="A105" s="13">
        <v>133</v>
      </c>
      <c r="B105" s="13">
        <v>38</v>
      </c>
    </row>
    <row r="106" spans="1:2" x14ac:dyDescent="0.2">
      <c r="A106" s="13">
        <v>147</v>
      </c>
      <c r="B106" s="13">
        <v>83</v>
      </c>
    </row>
    <row r="107" spans="1:2" x14ac:dyDescent="0.2">
      <c r="A107" s="13">
        <v>74</v>
      </c>
      <c r="B107" s="13">
        <v>66</v>
      </c>
    </row>
    <row r="108" spans="1:2" x14ac:dyDescent="0.2">
      <c r="A108" s="13">
        <v>85</v>
      </c>
      <c r="B108" s="13">
        <v>69</v>
      </c>
    </row>
    <row r="109" spans="1:2" x14ac:dyDescent="0.2">
      <c r="A109" s="13">
        <v>61</v>
      </c>
      <c r="B109" s="13">
        <v>61</v>
      </c>
    </row>
    <row r="110" spans="1:2" x14ac:dyDescent="0.2">
      <c r="A110" s="13">
        <v>100</v>
      </c>
      <c r="B110" s="13">
        <v>59</v>
      </c>
    </row>
    <row r="111" spans="1:2" x14ac:dyDescent="0.2">
      <c r="A111" s="13">
        <v>116</v>
      </c>
      <c r="B111" s="13">
        <v>94</v>
      </c>
    </row>
    <row r="112" spans="1:2" x14ac:dyDescent="0.2">
      <c r="A112" s="13">
        <v>89</v>
      </c>
      <c r="B112" s="13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Fig2_C</vt:lpstr>
      <vt:lpstr>Fig2_d</vt:lpstr>
      <vt:lpstr>Fig2_e</vt:lpstr>
      <vt:lpstr>Fig2_f</vt:lpstr>
      <vt:lpstr>Fig2_g</vt:lpstr>
      <vt:lpstr>Fig_3</vt:lpstr>
      <vt:lpstr>Fig4_a</vt:lpstr>
      <vt:lpstr>Fig4_c</vt:lpstr>
      <vt:lpstr>Fig4_d</vt:lpstr>
      <vt:lpstr>Fig4_e</vt:lpstr>
      <vt:lpstr>Fig4_f</vt:lpstr>
      <vt:lpstr>Fig4_g</vt:lpstr>
      <vt:lpstr>Fig4_h</vt:lpstr>
      <vt:lpstr>Fig5_C</vt:lpstr>
      <vt:lpstr>Fig5_d</vt:lpstr>
      <vt:lpstr>Fig5_e</vt:lpstr>
      <vt:lpstr>SI5</vt:lpstr>
      <vt:lpstr>SI4a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shirin nouraein</dc:creator>
  <cp:lastModifiedBy>Microsoft Office User</cp:lastModifiedBy>
  <dcterms:created xsi:type="dcterms:W3CDTF">2023-01-11T16:00:55Z</dcterms:created>
  <dcterms:modified xsi:type="dcterms:W3CDTF">2023-06-19T10:07:48Z</dcterms:modified>
</cp:coreProperties>
</file>