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 hidePivotFieldList="1"/>
  <xr:revisionPtr revIDLastSave="83" documentId="6_{BE82A684-14AA-4B44-94FD-8483058C9D11}" xr6:coauthVersionLast="40" xr6:coauthVersionMax="40" xr10:uidLastSave="{07478E7F-40D3-4B25-BB0E-5239959AFFDA}"/>
  <bookViews>
    <workbookView xWindow="0" yWindow="0" windowWidth="22260" windowHeight="12645" xr2:uid="{00000000-000D-0000-FFFF-FFFF00000000}"/>
  </bookViews>
  <sheets>
    <sheet name="Fig.2b" sheetId="13" r:id="rId1"/>
    <sheet name="Fig.2c" sheetId="3" r:id="rId2"/>
    <sheet name="Fig.2d" sheetId="4" r:id="rId3"/>
    <sheet name="Fig.3a" sheetId="2" r:id="rId4"/>
    <sheet name="Fig.3b" sheetId="5" r:id="rId5"/>
    <sheet name="Fig.3c" sheetId="6" r:id="rId6"/>
    <sheet name="Fig.4b" sheetId="8" r:id="rId7"/>
    <sheet name="Fig.4c" sheetId="9" r:id="rId8"/>
    <sheet name="Fig.5b" sheetId="7" r:id="rId9"/>
    <sheet name="Fig.6b" sheetId="10" r:id="rId10"/>
    <sheet name="Supplementary Figure 2b" sheetId="12" r:id="rId11"/>
    <sheet name="Supplementary Figure 4" sheetId="11" r:id="rId12"/>
  </sheet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1" l="1"/>
  <c r="J3" i="3"/>
  <c r="K3" i="3"/>
  <c r="L3" i="3"/>
  <c r="D7" i="3"/>
  <c r="L7" i="3"/>
  <c r="D8" i="3"/>
  <c r="D9" i="3"/>
  <c r="D10" i="3"/>
  <c r="I10" i="3"/>
  <c r="J7" i="3" s="1"/>
  <c r="D11" i="3"/>
  <c r="D12" i="3"/>
  <c r="D13" i="3"/>
  <c r="I13" i="3"/>
  <c r="K13" i="3" s="1"/>
  <c r="L13" i="3"/>
  <c r="D14" i="3"/>
  <c r="D16" i="3"/>
  <c r="I16" i="3"/>
  <c r="D17" i="3"/>
  <c r="D18" i="3"/>
  <c r="L3" i="9"/>
  <c r="M3" i="9"/>
  <c r="D4" i="9"/>
  <c r="D5" i="9"/>
  <c r="J13" i="3" l="1"/>
  <c r="K7" i="3"/>
  <c r="D3" i="13"/>
  <c r="H3" i="13"/>
  <c r="D6" i="13"/>
  <c r="H6" i="13"/>
  <c r="I3" i="13" s="1"/>
  <c r="D7" i="13"/>
  <c r="H7" i="13"/>
  <c r="I7" i="13" s="1"/>
  <c r="D8" i="13"/>
  <c r="D9" i="13"/>
  <c r="H9" i="13"/>
  <c r="D10" i="13"/>
  <c r="H10" i="13"/>
  <c r="J10" i="13" s="1"/>
  <c r="I10" i="13"/>
  <c r="D11" i="13"/>
  <c r="H11" i="13"/>
  <c r="D12" i="13"/>
  <c r="H12" i="13"/>
  <c r="L3" i="7"/>
  <c r="K3" i="7"/>
  <c r="D18" i="12"/>
  <c r="E18" i="12" s="1"/>
  <c r="D17" i="12"/>
  <c r="E17" i="12" s="1"/>
  <c r="D16" i="12"/>
  <c r="E16" i="12" s="1"/>
  <c r="D15" i="12"/>
  <c r="E15" i="12" s="1"/>
  <c r="D14" i="12"/>
  <c r="E14" i="12" s="1"/>
  <c r="E13" i="12"/>
  <c r="D13" i="12"/>
  <c r="D12" i="12"/>
  <c r="E12" i="12" s="1"/>
  <c r="D11" i="12"/>
  <c r="E11" i="12" s="1"/>
  <c r="D10" i="12"/>
  <c r="E10" i="12" s="1"/>
  <c r="D9" i="12"/>
  <c r="E9" i="12" s="1"/>
  <c r="D8" i="12"/>
  <c r="E8" i="12" s="1"/>
  <c r="D7" i="12"/>
  <c r="E7" i="12" s="1"/>
  <c r="D6" i="12"/>
  <c r="E6" i="12" s="1"/>
  <c r="D5" i="12"/>
  <c r="E5" i="12" s="1"/>
  <c r="D4" i="12"/>
  <c r="E4" i="12" s="1"/>
  <c r="D3" i="12"/>
  <c r="E3" i="12" s="1"/>
  <c r="K6" i="11"/>
  <c r="J6" i="11"/>
  <c r="I5" i="11"/>
  <c r="D5" i="11"/>
  <c r="I4" i="11"/>
  <c r="D4" i="11"/>
  <c r="J3" i="11"/>
  <c r="I3" i="11"/>
  <c r="D3" i="11"/>
  <c r="I29" i="10"/>
  <c r="I28" i="10"/>
  <c r="I27" i="10"/>
  <c r="K27" i="10" s="1"/>
  <c r="I26" i="10"/>
  <c r="I25" i="10"/>
  <c r="K24" i="10"/>
  <c r="I24" i="10"/>
  <c r="J24" i="10" s="1"/>
  <c r="I23" i="10"/>
  <c r="I22" i="10"/>
  <c r="I21" i="10"/>
  <c r="J21" i="10" s="1"/>
  <c r="I20" i="10"/>
  <c r="K18" i="10" s="1"/>
  <c r="I19" i="10"/>
  <c r="I18" i="10"/>
  <c r="I15" i="10"/>
  <c r="I14" i="10"/>
  <c r="I13" i="10"/>
  <c r="I12" i="10"/>
  <c r="K10" i="10" s="1"/>
  <c r="I11" i="10"/>
  <c r="I10" i="10"/>
  <c r="I9" i="10"/>
  <c r="I8" i="10"/>
  <c r="I7" i="10"/>
  <c r="J7" i="10" s="1"/>
  <c r="I6" i="10"/>
  <c r="I5" i="10"/>
  <c r="I4" i="10"/>
  <c r="K16" i="8"/>
  <c r="J16" i="8"/>
  <c r="I16" i="8"/>
  <c r="D16" i="8"/>
  <c r="D15" i="8"/>
  <c r="D14" i="8"/>
  <c r="J13" i="8"/>
  <c r="D13" i="8"/>
  <c r="I11" i="8"/>
  <c r="J10" i="8" s="1"/>
  <c r="D11" i="8"/>
  <c r="K10" i="8"/>
  <c r="D10" i="8"/>
  <c r="I9" i="8"/>
  <c r="D9" i="8"/>
  <c r="I8" i="8"/>
  <c r="D8" i="8"/>
  <c r="K7" i="8"/>
  <c r="J7" i="8"/>
  <c r="D7" i="8"/>
  <c r="D6" i="8"/>
  <c r="D5" i="8"/>
  <c r="I4" i="8"/>
  <c r="D4" i="8"/>
  <c r="I3" i="8"/>
  <c r="K3" i="8" s="1"/>
  <c r="D3" i="8"/>
  <c r="J3" i="13" l="1"/>
  <c r="J7" i="13"/>
  <c r="G11" i="12"/>
  <c r="I11" i="12" s="1"/>
  <c r="F11" i="12"/>
  <c r="G3" i="12"/>
  <c r="I3" i="12" s="1"/>
  <c r="F3" i="12"/>
  <c r="H3" i="12" s="1"/>
  <c r="G7" i="12"/>
  <c r="I7" i="12" s="1"/>
  <c r="F7" i="12"/>
  <c r="H7" i="12" s="1"/>
  <c r="G15" i="12"/>
  <c r="I15" i="12" s="1"/>
  <c r="F15" i="12"/>
  <c r="H15" i="12" s="1"/>
  <c r="K21" i="10"/>
  <c r="K13" i="10"/>
  <c r="J27" i="10"/>
  <c r="J18" i="10"/>
  <c r="K4" i="10"/>
  <c r="J10" i="10"/>
  <c r="K7" i="10"/>
  <c r="J13" i="10"/>
  <c r="J4" i="10"/>
  <c r="J3" i="8"/>
  <c r="D11" i="6"/>
  <c r="D10" i="6"/>
  <c r="O9" i="6"/>
  <c r="N9" i="6"/>
  <c r="D8" i="6"/>
  <c r="D7" i="6"/>
  <c r="D6" i="6"/>
  <c r="M5" i="6"/>
  <c r="D5" i="6"/>
  <c r="D4" i="6"/>
  <c r="P3" i="6"/>
  <c r="O3" i="6"/>
  <c r="N3" i="6"/>
  <c r="D3" i="6"/>
  <c r="D11" i="5"/>
  <c r="D10" i="5"/>
  <c r="N9" i="5"/>
  <c r="M9" i="5"/>
  <c r="L9" i="5"/>
  <c r="D9" i="5"/>
  <c r="D8" i="5"/>
  <c r="D7" i="5"/>
  <c r="N6" i="5"/>
  <c r="M6" i="5"/>
  <c r="L6" i="5"/>
  <c r="D6" i="5"/>
  <c r="D5" i="5"/>
  <c r="D4" i="5"/>
  <c r="M3" i="5"/>
  <c r="L3" i="5"/>
  <c r="D3" i="5"/>
  <c r="D11" i="4"/>
  <c r="D10" i="4"/>
  <c r="L9" i="4"/>
  <c r="K9" i="4"/>
  <c r="D9" i="4"/>
  <c r="F8" i="4"/>
  <c r="D8" i="4"/>
  <c r="D7" i="4"/>
  <c r="M6" i="4"/>
  <c r="L6" i="4"/>
  <c r="K6" i="4"/>
  <c r="F6" i="4"/>
  <c r="D6" i="4"/>
  <c r="D5" i="4"/>
  <c r="M3" i="4"/>
  <c r="J3" i="4"/>
  <c r="L3" i="4" s="1"/>
  <c r="D3" i="4"/>
  <c r="D15" i="2"/>
  <c r="D14" i="2"/>
  <c r="D13" i="2"/>
  <c r="M12" i="2"/>
  <c r="O10" i="2" s="1"/>
  <c r="D12" i="2"/>
  <c r="D11" i="2"/>
  <c r="N10" i="2"/>
  <c r="D10" i="2"/>
  <c r="D9" i="2"/>
  <c r="D8" i="2"/>
  <c r="O6" i="2"/>
  <c r="N6" i="2"/>
  <c r="D6" i="2"/>
  <c r="D5" i="2"/>
  <c r="D4" i="2"/>
  <c r="O3" i="2"/>
  <c r="N3" i="2"/>
  <c r="D3" i="2"/>
  <c r="H11" i="12" l="1"/>
  <c r="M9" i="4"/>
  <c r="K3" i="4"/>
</calcChain>
</file>

<file path=xl/sharedStrings.xml><?xml version="1.0" encoding="utf-8"?>
<sst xmlns="http://schemas.openxmlformats.org/spreadsheetml/2006/main" count="348" uniqueCount="205">
  <si>
    <t>Red/all ratio</t>
    <phoneticPr fontId="2" type="noConversion"/>
  </si>
  <si>
    <t>99 / 99</t>
    <phoneticPr fontId="2" type="noConversion"/>
  </si>
  <si>
    <t>340 / 340</t>
    <phoneticPr fontId="2" type="noConversion"/>
  </si>
  <si>
    <t>204 / 208</t>
    <phoneticPr fontId="2" type="noConversion"/>
  </si>
  <si>
    <t>20 / 28</t>
    <phoneticPr fontId="2" type="noConversion"/>
  </si>
  <si>
    <t>108 / 164</t>
    <phoneticPr fontId="2" type="noConversion"/>
  </si>
  <si>
    <t>77 / 78</t>
    <phoneticPr fontId="2" type="noConversion"/>
  </si>
  <si>
    <t>93 / 122</t>
    <phoneticPr fontId="2" type="noConversion"/>
  </si>
  <si>
    <t>Red/all colonines</t>
    <phoneticPr fontId="2" type="noConversion"/>
  </si>
  <si>
    <t>139 / 148</t>
    <phoneticPr fontId="2" type="noConversion"/>
  </si>
  <si>
    <t>99 / 99</t>
    <phoneticPr fontId="2" type="noConversion"/>
  </si>
  <si>
    <t>151 / 159</t>
    <phoneticPr fontId="2" type="noConversion"/>
  </si>
  <si>
    <t>290 / 440</t>
    <phoneticPr fontId="2" type="noConversion"/>
  </si>
  <si>
    <t>Red/all colonines</t>
    <phoneticPr fontId="2" type="noConversion"/>
  </si>
  <si>
    <t>Red/all ratio</t>
    <phoneticPr fontId="2" type="noConversion"/>
  </si>
  <si>
    <t>33 / 33</t>
    <phoneticPr fontId="2" type="noConversion"/>
  </si>
  <si>
    <t>172 / 172</t>
  </si>
  <si>
    <t>10 /40</t>
    <phoneticPr fontId="2" type="noConversion"/>
  </si>
  <si>
    <t>114 / 135</t>
    <phoneticPr fontId="2" type="noConversion"/>
  </si>
  <si>
    <t>162 / 213</t>
    <phoneticPr fontId="2" type="noConversion"/>
  </si>
  <si>
    <t xml:space="preserve">5 / 17 </t>
    <phoneticPr fontId="2" type="noConversion"/>
  </si>
  <si>
    <t>136 / 336</t>
    <phoneticPr fontId="2" type="noConversion"/>
  </si>
  <si>
    <t>58 / 147</t>
    <phoneticPr fontId="2" type="noConversion"/>
  </si>
  <si>
    <t>160 / 178</t>
    <phoneticPr fontId="2" type="noConversion"/>
  </si>
  <si>
    <t>184 / 192</t>
    <phoneticPr fontId="2" type="noConversion"/>
  </si>
  <si>
    <t>196 / 196</t>
    <phoneticPr fontId="2" type="noConversion"/>
  </si>
  <si>
    <t>44 / 79</t>
    <phoneticPr fontId="2" type="noConversion"/>
  </si>
  <si>
    <t>230 / 292</t>
    <phoneticPr fontId="2" type="noConversion"/>
  </si>
  <si>
    <t>205 / 276</t>
    <phoneticPr fontId="2" type="noConversion"/>
  </si>
  <si>
    <t>Red/all colonines</t>
    <phoneticPr fontId="2" type="noConversion"/>
  </si>
  <si>
    <t>Red/all ratio</t>
    <phoneticPr fontId="2" type="noConversion"/>
  </si>
  <si>
    <t>a5</t>
    <phoneticPr fontId="2" type="noConversion"/>
  </si>
  <si>
    <t>456 / 472</t>
    <phoneticPr fontId="2" type="noConversion"/>
  </si>
  <si>
    <t>226 / 226</t>
    <phoneticPr fontId="2" type="noConversion"/>
  </si>
  <si>
    <t>b5</t>
    <phoneticPr fontId="2" type="noConversion"/>
  </si>
  <si>
    <t>36 / 180</t>
    <phoneticPr fontId="2" type="noConversion"/>
  </si>
  <si>
    <t>24 / 332</t>
    <phoneticPr fontId="2" type="noConversion"/>
  </si>
  <si>
    <t>c5</t>
    <phoneticPr fontId="2" type="noConversion"/>
  </si>
  <si>
    <t>80 / 162</t>
    <phoneticPr fontId="2" type="noConversion"/>
  </si>
  <si>
    <t>79 / 178</t>
    <phoneticPr fontId="2" type="noConversion"/>
  </si>
  <si>
    <t>86 / 179</t>
    <phoneticPr fontId="2" type="noConversion"/>
  </si>
  <si>
    <t>Red/all colonines</t>
    <phoneticPr fontId="2" type="noConversion"/>
  </si>
  <si>
    <t>342 / 492</t>
    <phoneticPr fontId="2" type="noConversion"/>
  </si>
  <si>
    <t>199 / 265</t>
    <phoneticPr fontId="2" type="noConversion"/>
  </si>
  <si>
    <t>97 / 126</t>
    <phoneticPr fontId="2" type="noConversion"/>
  </si>
  <si>
    <t>185 / 205</t>
    <phoneticPr fontId="2" type="noConversion"/>
  </si>
  <si>
    <t>39 / 100</t>
    <phoneticPr fontId="2" type="noConversion"/>
  </si>
  <si>
    <t>208 / 250</t>
    <phoneticPr fontId="2" type="noConversion"/>
  </si>
  <si>
    <t>166 / 170</t>
    <phoneticPr fontId="2" type="noConversion"/>
  </si>
  <si>
    <t>130 / 191</t>
    <phoneticPr fontId="2" type="noConversion"/>
  </si>
  <si>
    <t>35 / 132</t>
    <phoneticPr fontId="2" type="noConversion"/>
  </si>
  <si>
    <t>62 / 127</t>
    <phoneticPr fontId="2" type="noConversion"/>
  </si>
  <si>
    <t>402 / 405</t>
    <phoneticPr fontId="2" type="noConversion"/>
  </si>
  <si>
    <t>396 / 402</t>
    <phoneticPr fontId="2" type="noConversion"/>
  </si>
  <si>
    <t>163 / 274</t>
    <phoneticPr fontId="2" type="noConversion"/>
  </si>
  <si>
    <t>297 / 392</t>
    <phoneticPr fontId="2" type="noConversion"/>
  </si>
  <si>
    <t>287 / 347</t>
    <phoneticPr fontId="2" type="noConversion"/>
  </si>
  <si>
    <t>285 / 398</t>
    <phoneticPr fontId="2" type="noConversion"/>
  </si>
  <si>
    <t>185 / 187</t>
    <phoneticPr fontId="2" type="noConversion"/>
  </si>
  <si>
    <t>196 / 271</t>
    <phoneticPr fontId="2" type="noConversion"/>
  </si>
  <si>
    <t>302 / 374</t>
    <phoneticPr fontId="2" type="noConversion"/>
  </si>
  <si>
    <t>217 / 217</t>
    <phoneticPr fontId="2" type="noConversion"/>
  </si>
  <si>
    <t>207 / 239</t>
    <phoneticPr fontId="2" type="noConversion"/>
  </si>
  <si>
    <t>353 / 375</t>
    <phoneticPr fontId="2" type="noConversion"/>
  </si>
  <si>
    <t>57 / 517</t>
    <phoneticPr fontId="2" type="noConversion"/>
  </si>
  <si>
    <t>42 / 239</t>
    <phoneticPr fontId="2" type="noConversion"/>
  </si>
  <si>
    <t>5 / 37</t>
    <phoneticPr fontId="2" type="noConversion"/>
  </si>
  <si>
    <t>2 / 22</t>
    <phoneticPr fontId="2" type="noConversion"/>
  </si>
  <si>
    <t>28 / 85</t>
    <phoneticPr fontId="2" type="noConversion"/>
  </si>
  <si>
    <t>46 / 291</t>
    <phoneticPr fontId="2" type="noConversion"/>
  </si>
  <si>
    <t>54 / 399</t>
    <phoneticPr fontId="2" type="noConversion"/>
  </si>
  <si>
    <t>112 / 160</t>
    <phoneticPr fontId="2" type="noConversion"/>
  </si>
  <si>
    <t>253 / 336</t>
    <phoneticPr fontId="2" type="noConversion"/>
  </si>
  <si>
    <t>120 / 120</t>
    <phoneticPr fontId="2" type="noConversion"/>
  </si>
  <si>
    <t>186 / 231</t>
    <phoneticPr fontId="2" type="noConversion"/>
  </si>
  <si>
    <t>115 / 164</t>
    <phoneticPr fontId="2" type="noConversion"/>
  </si>
  <si>
    <t>137 / 195</t>
    <phoneticPr fontId="2" type="noConversion"/>
  </si>
  <si>
    <t>58 /60</t>
    <phoneticPr fontId="2" type="noConversion"/>
  </si>
  <si>
    <t>186 / 186</t>
    <phoneticPr fontId="2" type="noConversion"/>
  </si>
  <si>
    <t>251 / 251</t>
    <phoneticPr fontId="2" type="noConversion"/>
  </si>
  <si>
    <t>51 / 61</t>
    <phoneticPr fontId="2" type="noConversion"/>
  </si>
  <si>
    <t>99 / 113</t>
    <phoneticPr fontId="2" type="noConversion"/>
  </si>
  <si>
    <t>123 / 154</t>
    <phoneticPr fontId="2" type="noConversion"/>
  </si>
  <si>
    <t>SD</t>
    <phoneticPr fontId="2" type="noConversion"/>
  </si>
  <si>
    <t>Mean</t>
    <phoneticPr fontId="2" type="noConversion"/>
  </si>
  <si>
    <t>A3</t>
    <phoneticPr fontId="2" type="noConversion"/>
  </si>
  <si>
    <t>B3</t>
    <phoneticPr fontId="2" type="noConversion"/>
  </si>
  <si>
    <t>C3</t>
    <phoneticPr fontId="2" type="noConversion"/>
  </si>
  <si>
    <t>A4</t>
    <phoneticPr fontId="2" type="noConversion"/>
  </si>
  <si>
    <t>Biological Replicate</t>
    <phoneticPr fontId="1" type="noConversion"/>
  </si>
  <si>
    <t>Construct</t>
    <phoneticPr fontId="1" type="noConversion"/>
  </si>
  <si>
    <t>CAN1</t>
  </si>
  <si>
    <t>ADE2</t>
  </si>
  <si>
    <t>LYP1</t>
  </si>
  <si>
    <t>TRP2</t>
  </si>
  <si>
    <t>FAA1</t>
  </si>
  <si>
    <t>FAA4</t>
  </si>
  <si>
    <t>POX1</t>
  </si>
  <si>
    <t>TES1</t>
  </si>
  <si>
    <t>A6</t>
    <phoneticPr fontId="2" type="noConversion"/>
  </si>
  <si>
    <t>A7</t>
    <phoneticPr fontId="2" type="noConversion"/>
  </si>
  <si>
    <t>A8</t>
    <phoneticPr fontId="2" type="noConversion"/>
  </si>
  <si>
    <t>A'6</t>
    <phoneticPr fontId="2" type="noConversion"/>
  </si>
  <si>
    <t>NA</t>
  </si>
  <si>
    <t>A3A'3</t>
    <phoneticPr fontId="2" type="noConversion"/>
  </si>
  <si>
    <t>Over-all</t>
  </si>
  <si>
    <t>A4A'4</t>
  </si>
  <si>
    <t>A4-Kl300</t>
  </si>
  <si>
    <t>A4-ScU</t>
  </si>
  <si>
    <t>A2A2A2</t>
  </si>
  <si>
    <t>B4</t>
  </si>
  <si>
    <t>C4</t>
  </si>
  <si>
    <t>Fig.2b</t>
  </si>
  <si>
    <t>Fig.2c</t>
  </si>
  <si>
    <t>Fig.2d</t>
  </si>
  <si>
    <t>Fig.3a</t>
  </si>
  <si>
    <t>Fig.3b</t>
  </si>
  <si>
    <t>Fig.3c</t>
  </si>
  <si>
    <t>Fig.4b</t>
  </si>
  <si>
    <t>Fig.4c</t>
  </si>
  <si>
    <t>Construct</t>
  </si>
  <si>
    <t xml:space="preserve">A4 </t>
  </si>
  <si>
    <t>C12:0</t>
  </si>
  <si>
    <t>C14:0</t>
  </si>
  <si>
    <t>C16:0</t>
  </si>
  <si>
    <t>C16:1</t>
  </si>
  <si>
    <t>C18:0</t>
  </si>
  <si>
    <t>C18:1</t>
  </si>
  <si>
    <t>C10:0</t>
  </si>
  <si>
    <t>WT_1</t>
  </si>
  <si>
    <t>WT_2</t>
  </si>
  <si>
    <t>WT_3</t>
  </si>
  <si>
    <t>GTR1_1</t>
  </si>
  <si>
    <t>GTR1_2</t>
  </si>
  <si>
    <t>GTR1_3</t>
  </si>
  <si>
    <t>GTR2_1</t>
  </si>
  <si>
    <t>GTR2_2</t>
  </si>
  <si>
    <t>GTR2_3</t>
  </si>
  <si>
    <t>GTR3_1</t>
  </si>
  <si>
    <t>GTR3_2</t>
  </si>
  <si>
    <t>GTR3_3</t>
  </si>
  <si>
    <t>A2A2</t>
  </si>
  <si>
    <t>48 / 48</t>
  </si>
  <si>
    <t>47 / 47</t>
  </si>
  <si>
    <t>228 /229</t>
  </si>
  <si>
    <t>HIS1</t>
  </si>
  <si>
    <t>HIS2</t>
  </si>
  <si>
    <t>HIS3</t>
  </si>
  <si>
    <t>HIS5</t>
  </si>
  <si>
    <t>HIS6</t>
  </si>
  <si>
    <t>HIS7</t>
  </si>
  <si>
    <t>99 / 99</t>
  </si>
  <si>
    <t>A2A2-KlU300</t>
  </si>
  <si>
    <t>A2A2-KlU200</t>
  </si>
  <si>
    <t>A2A2-KlU100</t>
  </si>
  <si>
    <t>Biological Replicate</t>
    <phoneticPr fontId="1" type="noConversion"/>
  </si>
  <si>
    <t>2^(-ΔCT)</t>
    <phoneticPr fontId="1" type="noConversion"/>
  </si>
  <si>
    <t>2^(-ΔCT) Mean</t>
    <phoneticPr fontId="1" type="noConversion"/>
  </si>
  <si>
    <t>2^(-ΔCT) SD</t>
    <phoneticPr fontId="1" type="noConversion"/>
  </si>
  <si>
    <t>Relative Mean to KlU300</t>
    <phoneticPr fontId="1" type="noConversion"/>
  </si>
  <si>
    <t>Relative SD to KlU300</t>
    <phoneticPr fontId="1" type="noConversion"/>
  </si>
  <si>
    <t>100 / 108</t>
    <phoneticPr fontId="1" type="noConversion"/>
  </si>
  <si>
    <t>132 / 159</t>
    <phoneticPr fontId="1" type="noConversion"/>
  </si>
  <si>
    <t>85 / 100</t>
    <phoneticPr fontId="1" type="noConversion"/>
  </si>
  <si>
    <t>5D_1</t>
    <phoneticPr fontId="1" type="noConversion"/>
  </si>
  <si>
    <t>5D_2</t>
    <phoneticPr fontId="1" type="noConversion"/>
  </si>
  <si>
    <t>5D_3</t>
    <phoneticPr fontId="1" type="noConversion"/>
  </si>
  <si>
    <t>5D_4</t>
    <phoneticPr fontId="1" type="noConversion"/>
  </si>
  <si>
    <t>KlU100_1</t>
    <phoneticPr fontId="1" type="noConversion"/>
  </si>
  <si>
    <t>KlU100_2</t>
    <phoneticPr fontId="1" type="noConversion"/>
  </si>
  <si>
    <t>KlU100_3</t>
    <phoneticPr fontId="1" type="noConversion"/>
  </si>
  <si>
    <t>KlU100_4</t>
    <phoneticPr fontId="1" type="noConversion"/>
  </si>
  <si>
    <t>KlU200_1</t>
    <phoneticPr fontId="1" type="noConversion"/>
  </si>
  <si>
    <t>KlU200_2</t>
    <phoneticPr fontId="1" type="noConversion"/>
  </si>
  <si>
    <t>KlU200_3</t>
    <phoneticPr fontId="1" type="noConversion"/>
  </si>
  <si>
    <t>KlU200_4</t>
    <phoneticPr fontId="1" type="noConversion"/>
  </si>
  <si>
    <t>KlU300_1</t>
    <phoneticPr fontId="1" type="noConversion"/>
  </si>
  <si>
    <t>KlU300_2</t>
    <phoneticPr fontId="1" type="noConversion"/>
  </si>
  <si>
    <t>KlU300_3</t>
    <phoneticPr fontId="1" type="noConversion"/>
  </si>
  <si>
    <t>KlU300_4</t>
    <phoneticPr fontId="1" type="noConversion"/>
  </si>
  <si>
    <t>Total</t>
    <phoneticPr fontId="2" type="noConversion"/>
  </si>
  <si>
    <t>A6 vs A3A'3</t>
    <phoneticPr fontId="1" type="noConversion"/>
  </si>
  <si>
    <t>A6 vs A'6</t>
    <phoneticPr fontId="1" type="noConversion"/>
  </si>
  <si>
    <t>A8 vs A4A'4</t>
  </si>
  <si>
    <t>A4 vs B4</t>
    <phoneticPr fontId="1" type="noConversion"/>
  </si>
  <si>
    <t>B4 vs C4</t>
    <phoneticPr fontId="1" type="noConversion"/>
  </si>
  <si>
    <t>A4 vs C4</t>
    <phoneticPr fontId="1" type="noConversion"/>
  </si>
  <si>
    <t>A5 vs B5</t>
    <phoneticPr fontId="1" type="noConversion"/>
  </si>
  <si>
    <t>B5 vs C5</t>
    <phoneticPr fontId="1" type="noConversion"/>
  </si>
  <si>
    <t>A5 vs C5</t>
    <phoneticPr fontId="1" type="noConversion"/>
  </si>
  <si>
    <t>Red/all ratio</t>
    <phoneticPr fontId="2" type="noConversion"/>
  </si>
  <si>
    <t>The data of yeast production of free fatty acids (mg/L)</t>
    <phoneticPr fontId="1" type="noConversion"/>
  </si>
  <si>
    <t>5 / 50</t>
    <phoneticPr fontId="2" type="noConversion"/>
  </si>
  <si>
    <t>48 / 50</t>
    <phoneticPr fontId="2" type="noConversion"/>
  </si>
  <si>
    <t>Total coloines</t>
    <phoneticPr fontId="1" type="noConversion"/>
  </si>
  <si>
    <t>Fig.6b</t>
  </si>
  <si>
    <t>Fig.5b</t>
  </si>
  <si>
    <t>The data of yeast production of total fatty acids (mg/L)</t>
    <phoneticPr fontId="1" type="noConversion"/>
  </si>
  <si>
    <r>
      <t>T test:</t>
    </r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value</t>
    </r>
    <phoneticPr fontId="1" type="noConversion"/>
  </si>
  <si>
    <r>
      <t>A2A2A2-</t>
    </r>
    <r>
      <rPr>
        <i/>
        <sz val="11"/>
        <color theme="1"/>
        <rFont val="Times New Roman"/>
        <family val="1"/>
      </rPr>
      <t>HIS</t>
    </r>
    <phoneticPr fontId="1" type="noConversion"/>
  </si>
  <si>
    <r>
      <rPr>
        <i/>
        <sz val="11"/>
        <color theme="1"/>
        <rFont val="Times New Roman"/>
        <family val="1"/>
      </rPr>
      <t xml:space="preserve">KlURA3 </t>
    </r>
    <r>
      <rPr>
        <sz val="11"/>
        <color theme="1"/>
        <rFont val="Times New Roman"/>
        <family val="1"/>
      </rPr>
      <t>CT mean of 3 technical replicate</t>
    </r>
    <phoneticPr fontId="1" type="noConversion"/>
  </si>
  <si>
    <r>
      <rPr>
        <i/>
        <sz val="11"/>
        <color theme="1"/>
        <rFont val="Times New Roman"/>
        <family val="1"/>
      </rPr>
      <t xml:space="preserve">ACT1 </t>
    </r>
    <r>
      <rPr>
        <sz val="11"/>
        <color theme="1"/>
        <rFont val="Times New Roman"/>
        <family val="1"/>
      </rPr>
      <t>CT mean of 3 technical replicate</t>
    </r>
    <phoneticPr fontId="1" type="noConversion"/>
  </si>
  <si>
    <t>ΔCT</t>
    <phoneticPr fontId="1" type="noConversion"/>
  </si>
  <si>
    <t>Supplementary Figure 4</t>
    <phoneticPr fontId="1" type="noConversion"/>
  </si>
  <si>
    <t>Supplementary Figure 2b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</si>
</sst>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0" fillId="0" borderId="0" xfId="0" applyNumberForma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2" borderId="14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8" xfId="0" applyNumberFormat="1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left" vertical="center"/>
    </xf>
    <xf numFmtId="176" fontId="3" fillId="0" borderId="12" xfId="0" applyNumberFormat="1" applyFont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4" fontId="3" fillId="0" borderId="11" xfId="0" applyNumberFormat="1" applyFont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7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176" fontId="3" fillId="0" borderId="9" xfId="0" applyNumberFormat="1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76" fontId="6" fillId="0" borderId="6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176" fontId="3" fillId="0" borderId="10" xfId="0" applyNumberFormat="1" applyFont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0" borderId="6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left" vertical="center" wrapText="1"/>
    </xf>
    <xf numFmtId="176" fontId="3" fillId="0" borderId="6" xfId="0" applyNumberFormat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left" vertical="center" wrapText="1"/>
    </xf>
    <xf numFmtId="176" fontId="3" fillId="0" borderId="8" xfId="0" applyNumberFormat="1" applyFont="1" applyBorder="1" applyAlignment="1">
      <alignment horizontal="left" vertical="center" wrapText="1"/>
    </xf>
    <xf numFmtId="176" fontId="3" fillId="0" borderId="12" xfId="0" applyNumberFormat="1" applyFont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2" fontId="3" fillId="0" borderId="2" xfId="0" applyNumberFormat="1" applyFont="1" applyFill="1" applyBorder="1" applyAlignment="1">
      <alignment horizontal="left" vertical="center"/>
    </xf>
    <xf numFmtId="2" fontId="3" fillId="0" borderId="2" xfId="0" applyNumberFormat="1" applyFont="1" applyBorder="1" applyAlignment="1">
      <alignment horizontal="left" vertical="center"/>
    </xf>
    <xf numFmtId="177" fontId="3" fillId="0" borderId="10" xfId="0" applyNumberFormat="1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2" fontId="3" fillId="3" borderId="2" xfId="0" applyNumberFormat="1" applyFont="1" applyFill="1" applyBorder="1" applyAlignment="1">
      <alignment horizontal="left" vertical="center"/>
    </xf>
    <xf numFmtId="177" fontId="3" fillId="3" borderId="10" xfId="0" applyNumberFormat="1" applyFont="1" applyFill="1" applyBorder="1" applyAlignment="1">
      <alignment horizontal="left" vertical="center"/>
    </xf>
    <xf numFmtId="176" fontId="3" fillId="3" borderId="10" xfId="0" applyNumberFormat="1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2" fontId="3" fillId="3" borderId="10" xfId="0" applyNumberFormat="1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2" fontId="3" fillId="0" borderId="15" xfId="0" applyNumberFormat="1" applyFont="1" applyFill="1" applyBorder="1" applyAlignment="1">
      <alignment horizontal="left" vertical="center"/>
    </xf>
    <xf numFmtId="2" fontId="3" fillId="2" borderId="12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2" fontId="6" fillId="0" borderId="2" xfId="0" applyNumberFormat="1" applyFont="1" applyFill="1" applyBorder="1" applyAlignment="1">
      <alignment horizontal="left" vertical="center"/>
    </xf>
    <xf numFmtId="2" fontId="6" fillId="3" borderId="2" xfId="0" applyNumberFormat="1" applyFont="1" applyFill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/>
    </xf>
    <xf numFmtId="176" fontId="3" fillId="0" borderId="5" xfId="0" applyNumberFormat="1" applyFont="1" applyBorder="1" applyAlignment="1">
      <alignment horizontal="left"/>
    </xf>
    <xf numFmtId="176" fontId="3" fillId="0" borderId="11" xfId="0" applyNumberFormat="1" applyFont="1" applyBorder="1" applyAlignment="1">
      <alignment horizontal="left"/>
    </xf>
    <xf numFmtId="176" fontId="3" fillId="0" borderId="7" xfId="0" applyNumberFormat="1" applyFont="1" applyBorder="1" applyAlignment="1">
      <alignment horizontal="left"/>
    </xf>
    <xf numFmtId="176" fontId="3" fillId="0" borderId="12" xfId="0" applyNumberFormat="1" applyFont="1" applyBorder="1" applyAlignment="1">
      <alignment horizontal="left"/>
    </xf>
    <xf numFmtId="176" fontId="3" fillId="0" borderId="9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EC8B-68D3-4BEF-B171-3579491B286F}">
  <dimension ref="A1:J12"/>
  <sheetViews>
    <sheetView tabSelected="1" workbookViewId="0">
      <selection activeCell="G22" sqref="G22"/>
    </sheetView>
  </sheetViews>
  <sheetFormatPr defaultRowHeight="15" x14ac:dyDescent="0.25"/>
  <cols>
    <col min="1" max="1" width="9" style="9"/>
    <col min="2" max="2" width="17.25" style="9" customWidth="1"/>
    <col min="3" max="3" width="15.25" style="9" customWidth="1"/>
    <col min="4" max="4" width="12" style="9" customWidth="1"/>
    <col min="5" max="16384" width="9" style="9"/>
  </cols>
  <sheetData>
    <row r="1" spans="1:10" x14ac:dyDescent="0.25">
      <c r="A1" s="8" t="s">
        <v>112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23" t="s">
        <v>90</v>
      </c>
      <c r="B2" s="23" t="s">
        <v>89</v>
      </c>
      <c r="C2" s="23" t="s">
        <v>8</v>
      </c>
      <c r="D2" s="27" t="s">
        <v>0</v>
      </c>
      <c r="E2" s="28" t="s">
        <v>91</v>
      </c>
      <c r="F2" s="28" t="s">
        <v>92</v>
      </c>
      <c r="G2" s="28" t="s">
        <v>93</v>
      </c>
      <c r="H2" s="23" t="s">
        <v>105</v>
      </c>
      <c r="I2" s="23" t="s">
        <v>84</v>
      </c>
      <c r="J2" s="23" t="s">
        <v>83</v>
      </c>
    </row>
    <row r="3" spans="1:10" x14ac:dyDescent="0.25">
      <c r="A3" s="29" t="s">
        <v>85</v>
      </c>
      <c r="B3" s="29">
        <v>1</v>
      </c>
      <c r="C3" s="29" t="s">
        <v>9</v>
      </c>
      <c r="D3" s="30">
        <f>139/148</f>
        <v>0.93918918918918914</v>
      </c>
      <c r="E3" s="14">
        <v>1</v>
      </c>
      <c r="F3" s="24">
        <v>0.9</v>
      </c>
      <c r="G3" s="30">
        <v>1</v>
      </c>
      <c r="H3" s="30">
        <f>139/148</f>
        <v>0.93918918918918914</v>
      </c>
      <c r="I3" s="24">
        <f>AVERAGE(H3:H6)</f>
        <v>0.92998960498960503</v>
      </c>
      <c r="J3" s="24">
        <f>_xlfn.STDEV.S(H3:H6)</f>
        <v>9.0299419633847661E-2</v>
      </c>
    </row>
    <row r="4" spans="1:10" x14ac:dyDescent="0.25">
      <c r="A4" s="31"/>
      <c r="B4" s="31">
        <v>2</v>
      </c>
      <c r="C4" s="31" t="s">
        <v>10</v>
      </c>
      <c r="D4" s="32">
        <v>1</v>
      </c>
      <c r="E4" s="16">
        <v>1</v>
      </c>
      <c r="F4" s="25">
        <v>1</v>
      </c>
      <c r="G4" s="32">
        <v>1</v>
      </c>
      <c r="H4" s="33">
        <v>1</v>
      </c>
      <c r="I4" s="25"/>
      <c r="J4" s="25"/>
    </row>
    <row r="5" spans="1:10" x14ac:dyDescent="0.25">
      <c r="A5" s="31"/>
      <c r="B5" s="31">
        <v>3</v>
      </c>
      <c r="C5" s="31" t="s">
        <v>2</v>
      </c>
      <c r="D5" s="32">
        <v>1</v>
      </c>
      <c r="E5" s="16">
        <v>1</v>
      </c>
      <c r="F5" s="25">
        <v>1</v>
      </c>
      <c r="G5" s="32">
        <v>0.8</v>
      </c>
      <c r="H5" s="33">
        <v>0.8</v>
      </c>
      <c r="I5" s="25"/>
      <c r="J5" s="25"/>
    </row>
    <row r="6" spans="1:10" x14ac:dyDescent="0.25">
      <c r="A6" s="34"/>
      <c r="B6" s="34">
        <v>4</v>
      </c>
      <c r="C6" s="34" t="s">
        <v>3</v>
      </c>
      <c r="D6" s="35">
        <f>204/208</f>
        <v>0.98076923076923073</v>
      </c>
      <c r="E6" s="19">
        <v>1</v>
      </c>
      <c r="F6" s="26">
        <v>1</v>
      </c>
      <c r="G6" s="35">
        <v>1</v>
      </c>
      <c r="H6" s="35">
        <f>51/52</f>
        <v>0.98076923076923073</v>
      </c>
      <c r="I6" s="26"/>
      <c r="J6" s="26"/>
    </row>
    <row r="7" spans="1:10" x14ac:dyDescent="0.25">
      <c r="A7" s="29" t="s">
        <v>86</v>
      </c>
      <c r="B7" s="31">
        <v>1</v>
      </c>
      <c r="C7" s="31" t="s">
        <v>11</v>
      </c>
      <c r="D7" s="36">
        <f>151/159</f>
        <v>0.94968553459119498</v>
      </c>
      <c r="E7" s="14">
        <v>1</v>
      </c>
      <c r="F7" s="24">
        <v>1</v>
      </c>
      <c r="G7" s="30">
        <v>1</v>
      </c>
      <c r="H7" s="24">
        <f>151/159</f>
        <v>0.94968553459119498</v>
      </c>
      <c r="I7" s="24">
        <f>AVERAGE(H7:H9)</f>
        <v>0.76940737331901621</v>
      </c>
      <c r="J7" s="24">
        <f>_xlfn.STDEV.S(H7:H9)</f>
        <v>0.15749592141398178</v>
      </c>
    </row>
    <row r="8" spans="1:10" x14ac:dyDescent="0.25">
      <c r="A8" s="31"/>
      <c r="B8" s="31">
        <v>2</v>
      </c>
      <c r="C8" s="37" t="s">
        <v>4</v>
      </c>
      <c r="D8" s="36">
        <f>20/28</f>
        <v>0.7142857142857143</v>
      </c>
      <c r="E8" s="38">
        <v>1</v>
      </c>
      <c r="F8" s="33">
        <v>0.7</v>
      </c>
      <c r="G8" s="39">
        <v>1</v>
      </c>
      <c r="H8" s="33">
        <v>0.7</v>
      </c>
      <c r="I8" s="25"/>
      <c r="J8" s="25"/>
    </row>
    <row r="9" spans="1:10" x14ac:dyDescent="0.25">
      <c r="A9" s="34"/>
      <c r="B9" s="31">
        <v>3</v>
      </c>
      <c r="C9" s="40" t="s">
        <v>5</v>
      </c>
      <c r="D9" s="36">
        <f>108/164</f>
        <v>0.65853658536585369</v>
      </c>
      <c r="E9" s="20">
        <v>1</v>
      </c>
      <c r="F9" s="26">
        <v>0.7</v>
      </c>
      <c r="G9" s="41">
        <v>0.9</v>
      </c>
      <c r="H9" s="26">
        <f>108/164</f>
        <v>0.65853658536585369</v>
      </c>
      <c r="I9" s="26"/>
      <c r="J9" s="26"/>
    </row>
    <row r="10" spans="1:10" x14ac:dyDescent="0.25">
      <c r="A10" s="29" t="s">
        <v>87</v>
      </c>
      <c r="B10" s="29">
        <v>1</v>
      </c>
      <c r="C10" s="29" t="s">
        <v>12</v>
      </c>
      <c r="D10" s="30">
        <f>290/440</f>
        <v>0.65909090909090906</v>
      </c>
      <c r="E10" s="14">
        <v>0.7</v>
      </c>
      <c r="F10" s="14">
        <v>0.7</v>
      </c>
      <c r="G10" s="24">
        <v>0.7</v>
      </c>
      <c r="H10" s="24">
        <f>290/440</f>
        <v>0.65909090909090906</v>
      </c>
      <c r="I10" s="24">
        <f>AVERAGE(H10:H12)</f>
        <v>0.80285515941253649</v>
      </c>
      <c r="J10" s="24">
        <f>_xlfn.STDEV.S(H10:H12)</f>
        <v>0.16776283462025873</v>
      </c>
    </row>
    <row r="11" spans="1:10" x14ac:dyDescent="0.25">
      <c r="A11" s="31"/>
      <c r="B11" s="31">
        <v>2</v>
      </c>
      <c r="C11" s="40" t="s">
        <v>6</v>
      </c>
      <c r="D11" s="32">
        <f>77/78</f>
        <v>0.98717948717948723</v>
      </c>
      <c r="E11" s="16">
        <v>1</v>
      </c>
      <c r="F11" s="16">
        <v>1</v>
      </c>
      <c r="G11" s="25">
        <v>1</v>
      </c>
      <c r="H11" s="25">
        <f>77/78</f>
        <v>0.98717948717948723</v>
      </c>
      <c r="I11" s="25"/>
      <c r="J11" s="25"/>
    </row>
    <row r="12" spans="1:10" x14ac:dyDescent="0.25">
      <c r="A12" s="34"/>
      <c r="B12" s="34">
        <v>3</v>
      </c>
      <c r="C12" s="42" t="s">
        <v>7</v>
      </c>
      <c r="D12" s="35">
        <f>93/122</f>
        <v>0.76229508196721307</v>
      </c>
      <c r="E12" s="19">
        <v>0.8</v>
      </c>
      <c r="F12" s="19">
        <v>0.8</v>
      </c>
      <c r="G12" s="26">
        <v>0.9</v>
      </c>
      <c r="H12" s="26">
        <f>93/122</f>
        <v>0.76229508196721307</v>
      </c>
      <c r="I12" s="26"/>
      <c r="J12" s="26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F22D-0966-41B4-8780-0CCC0B110757}">
  <dimension ref="A1:L18"/>
  <sheetViews>
    <sheetView workbookViewId="0">
      <selection activeCell="M19" sqref="M19"/>
    </sheetView>
  </sheetViews>
  <sheetFormatPr defaultRowHeight="15" x14ac:dyDescent="0.25"/>
  <cols>
    <col min="1" max="1" width="9" style="9"/>
    <col min="2" max="2" width="17.25" style="9" customWidth="1"/>
    <col min="3" max="3" width="15.75" style="9" customWidth="1"/>
    <col min="4" max="4" width="11.25" style="9" customWidth="1"/>
    <col min="5" max="11" width="9" style="9"/>
    <col min="12" max="12" width="12.875" style="9" customWidth="1"/>
    <col min="13" max="16384" width="9" style="9"/>
  </cols>
  <sheetData>
    <row r="1" spans="1:12" x14ac:dyDescent="0.25">
      <c r="A1" s="43" t="s">
        <v>113</v>
      </c>
      <c r="B1" s="44"/>
      <c r="C1" s="44"/>
      <c r="D1" s="44"/>
      <c r="E1" s="44"/>
      <c r="F1" s="44"/>
      <c r="G1" s="44"/>
      <c r="H1" s="44"/>
      <c r="I1" s="44"/>
      <c r="J1" s="8"/>
      <c r="K1" s="8"/>
      <c r="L1" s="44"/>
    </row>
    <row r="2" spans="1:12" x14ac:dyDescent="0.25">
      <c r="A2" s="45" t="s">
        <v>90</v>
      </c>
      <c r="B2" s="23" t="s">
        <v>89</v>
      </c>
      <c r="C2" s="23" t="s">
        <v>13</v>
      </c>
      <c r="D2" s="23" t="s">
        <v>14</v>
      </c>
      <c r="E2" s="46" t="s">
        <v>91</v>
      </c>
      <c r="F2" s="28" t="s">
        <v>92</v>
      </c>
      <c r="G2" s="28" t="s">
        <v>93</v>
      </c>
      <c r="H2" s="11" t="s">
        <v>94</v>
      </c>
      <c r="I2" s="23" t="s">
        <v>105</v>
      </c>
      <c r="J2" s="23" t="s">
        <v>84</v>
      </c>
      <c r="K2" s="23" t="s">
        <v>83</v>
      </c>
      <c r="L2" s="23" t="s">
        <v>198</v>
      </c>
    </row>
    <row r="3" spans="1:12" x14ac:dyDescent="0.25">
      <c r="A3" s="29" t="s">
        <v>88</v>
      </c>
      <c r="B3" s="29">
        <v>1</v>
      </c>
      <c r="C3" s="40" t="s">
        <v>1</v>
      </c>
      <c r="D3" s="25">
        <v>1</v>
      </c>
      <c r="E3" s="24">
        <v>1</v>
      </c>
      <c r="F3" s="24">
        <v>1</v>
      </c>
      <c r="G3" s="36">
        <v>1</v>
      </c>
      <c r="H3" s="24">
        <v>1</v>
      </c>
      <c r="I3" s="33">
        <v>1</v>
      </c>
      <c r="J3" s="24">
        <f>AVERAGE(I3:I6)</f>
        <v>1</v>
      </c>
      <c r="K3" s="24">
        <f>_xlfn.STDEV.S(I3:I6)</f>
        <v>0</v>
      </c>
      <c r="L3" s="29">
        <f>_xlfn.T.TEST(I3:I6,I7:I12,2,2)</f>
        <v>4.2842452495794626E-6</v>
      </c>
    </row>
    <row r="4" spans="1:12" x14ac:dyDescent="0.25">
      <c r="A4" s="31"/>
      <c r="B4" s="31">
        <v>2</v>
      </c>
      <c r="C4" s="31" t="s">
        <v>15</v>
      </c>
      <c r="D4" s="25">
        <v>1</v>
      </c>
      <c r="E4" s="25">
        <v>1</v>
      </c>
      <c r="F4" s="25">
        <v>1</v>
      </c>
      <c r="G4" s="36">
        <v>1</v>
      </c>
      <c r="H4" s="25">
        <v>1</v>
      </c>
      <c r="I4" s="33">
        <v>1</v>
      </c>
      <c r="J4" s="32"/>
      <c r="K4" s="25"/>
      <c r="L4" s="31" t="s">
        <v>184</v>
      </c>
    </row>
    <row r="5" spans="1:12" x14ac:dyDescent="0.25">
      <c r="A5" s="31"/>
      <c r="B5" s="31">
        <v>3</v>
      </c>
      <c r="C5" s="31" t="s">
        <v>16</v>
      </c>
      <c r="D5" s="25">
        <v>1</v>
      </c>
      <c r="E5" s="25">
        <v>1</v>
      </c>
      <c r="F5" s="25">
        <v>1</v>
      </c>
      <c r="G5" s="36">
        <v>1</v>
      </c>
      <c r="H5" s="25">
        <v>1</v>
      </c>
      <c r="I5" s="33">
        <v>1</v>
      </c>
      <c r="J5" s="25"/>
      <c r="K5" s="25"/>
      <c r="L5" s="31"/>
    </row>
    <row r="6" spans="1:12" x14ac:dyDescent="0.25">
      <c r="A6" s="31"/>
      <c r="B6" s="31">
        <v>4</v>
      </c>
      <c r="C6" s="31" t="s">
        <v>151</v>
      </c>
      <c r="D6" s="25">
        <v>1</v>
      </c>
      <c r="E6" s="25">
        <v>1</v>
      </c>
      <c r="F6" s="25">
        <v>1</v>
      </c>
      <c r="G6" s="36">
        <v>1</v>
      </c>
      <c r="H6" s="25">
        <v>1</v>
      </c>
      <c r="I6" s="47">
        <v>1</v>
      </c>
      <c r="J6" s="26"/>
      <c r="K6" s="47"/>
      <c r="L6" s="34"/>
    </row>
    <row r="7" spans="1:12" x14ac:dyDescent="0.25">
      <c r="A7" s="29" t="s">
        <v>110</v>
      </c>
      <c r="B7" s="29">
        <v>1</v>
      </c>
      <c r="C7" s="48" t="s">
        <v>17</v>
      </c>
      <c r="D7" s="24">
        <f>10/40</f>
        <v>0.25</v>
      </c>
      <c r="E7" s="49">
        <v>0.4</v>
      </c>
      <c r="F7" s="24">
        <v>0.4</v>
      </c>
      <c r="G7" s="50">
        <v>1</v>
      </c>
      <c r="H7" s="49">
        <v>0</v>
      </c>
      <c r="I7" s="49">
        <v>0</v>
      </c>
      <c r="J7" s="24">
        <f>AVERAGE(I7:I12)</f>
        <v>0.18235294117647061</v>
      </c>
      <c r="K7" s="49">
        <f>_xlfn.STDEV.S(I7:I12)</f>
        <v>0.14628029216347815</v>
      </c>
      <c r="L7" s="29">
        <f>_xlfn.T.TEST(I7:I12,I13:I18,2,2)</f>
        <v>9.5429966642398244E-5</v>
      </c>
    </row>
    <row r="8" spans="1:12" x14ac:dyDescent="0.25">
      <c r="A8" s="31"/>
      <c r="B8" s="31">
        <v>2</v>
      </c>
      <c r="C8" s="31" t="s">
        <v>18</v>
      </c>
      <c r="D8" s="25">
        <f>114/135</f>
        <v>0.84444444444444444</v>
      </c>
      <c r="E8" s="33">
        <v>1</v>
      </c>
      <c r="F8" s="25">
        <v>0.8</v>
      </c>
      <c r="G8" s="51">
        <v>1</v>
      </c>
      <c r="H8" s="33">
        <v>0</v>
      </c>
      <c r="I8" s="33">
        <v>0</v>
      </c>
      <c r="J8" s="25"/>
      <c r="K8" s="32"/>
      <c r="L8" s="31" t="s">
        <v>185</v>
      </c>
    </row>
    <row r="9" spans="1:12" x14ac:dyDescent="0.25">
      <c r="A9" s="31"/>
      <c r="B9" s="31">
        <v>3</v>
      </c>
      <c r="C9" s="31" t="s">
        <v>19</v>
      </c>
      <c r="D9" s="25">
        <f>162/213</f>
        <v>0.76056338028169013</v>
      </c>
      <c r="E9" s="33">
        <v>0.8</v>
      </c>
      <c r="F9" s="25">
        <v>0.8</v>
      </c>
      <c r="G9" s="51">
        <v>0.9</v>
      </c>
      <c r="H9" s="33">
        <v>0.2</v>
      </c>
      <c r="I9" s="33">
        <v>0.2</v>
      </c>
      <c r="J9" s="32"/>
      <c r="K9" s="25"/>
      <c r="L9" s="31"/>
    </row>
    <row r="10" spans="1:12" x14ac:dyDescent="0.25">
      <c r="A10" s="31"/>
      <c r="B10" s="31">
        <v>4</v>
      </c>
      <c r="C10" s="52" t="s">
        <v>20</v>
      </c>
      <c r="D10" s="25">
        <f>5/17</f>
        <v>0.29411764705882354</v>
      </c>
      <c r="E10" s="33">
        <v>0.3</v>
      </c>
      <c r="F10" s="25">
        <v>0.3</v>
      </c>
      <c r="G10" s="51">
        <v>0.3</v>
      </c>
      <c r="H10" s="33">
        <v>0.5</v>
      </c>
      <c r="I10" s="25">
        <f>5/17</f>
        <v>0.29411764705882354</v>
      </c>
      <c r="J10" s="32"/>
      <c r="K10" s="25"/>
      <c r="L10" s="31"/>
    </row>
    <row r="11" spans="1:12" x14ac:dyDescent="0.25">
      <c r="A11" s="31"/>
      <c r="B11" s="31">
        <v>5</v>
      </c>
      <c r="C11" s="31" t="s">
        <v>21</v>
      </c>
      <c r="D11" s="25">
        <f>136/336</f>
        <v>0.40476190476190477</v>
      </c>
      <c r="E11" s="33">
        <v>0.3</v>
      </c>
      <c r="F11" s="25">
        <v>0.4</v>
      </c>
      <c r="G11" s="51">
        <v>0.4</v>
      </c>
      <c r="H11" s="33">
        <v>0.4</v>
      </c>
      <c r="I11" s="33">
        <v>0.3</v>
      </c>
      <c r="J11" s="32"/>
      <c r="K11" s="25"/>
      <c r="L11" s="31"/>
    </row>
    <row r="12" spans="1:12" x14ac:dyDescent="0.25">
      <c r="A12" s="34"/>
      <c r="B12" s="34">
        <v>6</v>
      </c>
      <c r="C12" s="34" t="s">
        <v>22</v>
      </c>
      <c r="D12" s="26">
        <f>58/147</f>
        <v>0.39455782312925169</v>
      </c>
      <c r="E12" s="26">
        <v>0.4</v>
      </c>
      <c r="F12" s="26">
        <v>0.4</v>
      </c>
      <c r="G12" s="53">
        <v>0.4</v>
      </c>
      <c r="H12" s="26">
        <v>0.3</v>
      </c>
      <c r="I12" s="26">
        <v>0.3</v>
      </c>
      <c r="J12" s="35"/>
      <c r="K12" s="26"/>
      <c r="L12" s="34"/>
    </row>
    <row r="13" spans="1:12" x14ac:dyDescent="0.25">
      <c r="A13" s="29" t="s">
        <v>111</v>
      </c>
      <c r="B13" s="29">
        <v>1</v>
      </c>
      <c r="C13" s="29" t="s">
        <v>23</v>
      </c>
      <c r="D13" s="24">
        <f>160/178</f>
        <v>0.898876404494382</v>
      </c>
      <c r="E13" s="24">
        <v>0.9</v>
      </c>
      <c r="F13" s="24">
        <v>0.9</v>
      </c>
      <c r="G13" s="54">
        <v>0.9</v>
      </c>
      <c r="H13" s="24">
        <v>0.9</v>
      </c>
      <c r="I13" s="24">
        <f>160/178</f>
        <v>0.898876404494382</v>
      </c>
      <c r="J13" s="24">
        <f>AVERAGE(I13:I18)</f>
        <v>0.7593064049684729</v>
      </c>
      <c r="K13" s="24">
        <f>_xlfn.STDEV.S(I13:I18)</f>
        <v>0.17257357181473468</v>
      </c>
      <c r="L13" s="29">
        <f>_xlfn.T.TEST(I3:I6,I13:I18,2,2)</f>
        <v>2.5722104523088471E-2</v>
      </c>
    </row>
    <row r="14" spans="1:12" x14ac:dyDescent="0.25">
      <c r="A14" s="31"/>
      <c r="B14" s="31">
        <v>2</v>
      </c>
      <c r="C14" s="31" t="s">
        <v>24</v>
      </c>
      <c r="D14" s="25">
        <f>184/192</f>
        <v>0.95833333333333337</v>
      </c>
      <c r="E14" s="25">
        <v>1</v>
      </c>
      <c r="F14" s="25">
        <v>1</v>
      </c>
      <c r="G14" s="36">
        <v>0.8</v>
      </c>
      <c r="H14" s="25">
        <v>0.8</v>
      </c>
      <c r="I14" s="33">
        <v>0.8</v>
      </c>
      <c r="J14" s="32"/>
      <c r="K14" s="25"/>
      <c r="L14" s="31" t="s">
        <v>186</v>
      </c>
    </row>
    <row r="15" spans="1:12" x14ac:dyDescent="0.25">
      <c r="A15" s="31"/>
      <c r="B15" s="31">
        <v>3</v>
      </c>
      <c r="C15" s="31" t="s">
        <v>25</v>
      </c>
      <c r="D15" s="25">
        <v>1</v>
      </c>
      <c r="E15" s="33">
        <v>1</v>
      </c>
      <c r="F15" s="33">
        <v>1</v>
      </c>
      <c r="G15" s="51">
        <v>1</v>
      </c>
      <c r="H15" s="33">
        <v>1</v>
      </c>
      <c r="I15" s="33">
        <v>1</v>
      </c>
      <c r="J15" s="32"/>
      <c r="K15" s="25"/>
      <c r="L15" s="31"/>
    </row>
    <row r="16" spans="1:12" x14ac:dyDescent="0.25">
      <c r="A16" s="31"/>
      <c r="B16" s="31">
        <v>4</v>
      </c>
      <c r="C16" s="31" t="s">
        <v>26</v>
      </c>
      <c r="D16" s="25">
        <f>44/79</f>
        <v>0.55696202531645567</v>
      </c>
      <c r="E16" s="33">
        <v>1</v>
      </c>
      <c r="F16" s="25">
        <v>0.6</v>
      </c>
      <c r="G16" s="51">
        <v>0.8</v>
      </c>
      <c r="H16" s="33">
        <v>0.8</v>
      </c>
      <c r="I16" s="25">
        <f>44/79</f>
        <v>0.55696202531645567</v>
      </c>
      <c r="J16" s="32"/>
      <c r="K16" s="25"/>
      <c r="L16" s="31"/>
    </row>
    <row r="17" spans="1:12" x14ac:dyDescent="0.25">
      <c r="A17" s="31"/>
      <c r="B17" s="31">
        <v>5</v>
      </c>
      <c r="C17" s="31" t="s">
        <v>27</v>
      </c>
      <c r="D17" s="25">
        <f>230/292</f>
        <v>0.78767123287671237</v>
      </c>
      <c r="E17" s="33">
        <v>0.9</v>
      </c>
      <c r="F17" s="25">
        <v>0.7</v>
      </c>
      <c r="G17" s="51">
        <v>0.8</v>
      </c>
      <c r="H17" s="33">
        <v>0.7</v>
      </c>
      <c r="I17" s="33">
        <v>0.7</v>
      </c>
      <c r="J17" s="32"/>
      <c r="K17" s="25"/>
      <c r="L17" s="31"/>
    </row>
    <row r="18" spans="1:12" x14ac:dyDescent="0.25">
      <c r="A18" s="34"/>
      <c r="B18" s="34">
        <v>6</v>
      </c>
      <c r="C18" s="34" t="s">
        <v>28</v>
      </c>
      <c r="D18" s="26">
        <f>205/276</f>
        <v>0.74275362318840576</v>
      </c>
      <c r="E18" s="47">
        <v>0.8</v>
      </c>
      <c r="F18" s="26">
        <v>0.6</v>
      </c>
      <c r="G18" s="55">
        <v>0.7</v>
      </c>
      <c r="H18" s="47">
        <v>0.8</v>
      </c>
      <c r="I18" s="47">
        <v>0.6</v>
      </c>
      <c r="J18" s="35"/>
      <c r="K18" s="26"/>
      <c r="L18" s="3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1A39-F746-4B27-AE0B-252487F70CF3}">
  <dimension ref="A1:M11"/>
  <sheetViews>
    <sheetView workbookViewId="0">
      <selection activeCell="R13" sqref="A1:XFD1048576"/>
    </sheetView>
  </sheetViews>
  <sheetFormatPr defaultRowHeight="15" x14ac:dyDescent="0.25"/>
  <cols>
    <col min="1" max="1" width="9" style="9"/>
    <col min="2" max="2" width="17" style="9" customWidth="1"/>
    <col min="3" max="3" width="15.5" style="9" customWidth="1"/>
    <col min="4" max="4" width="11.25" style="9" customWidth="1"/>
    <col min="5" max="12" width="9" style="9"/>
    <col min="13" max="13" width="14.25" style="9" customWidth="1"/>
    <col min="14" max="16384" width="9" style="9"/>
  </cols>
  <sheetData>
    <row r="1" spans="1:13" x14ac:dyDescent="0.25">
      <c r="A1" s="44" t="s">
        <v>114</v>
      </c>
      <c r="B1" s="44"/>
      <c r="C1" s="44"/>
      <c r="D1" s="44"/>
      <c r="E1" s="56"/>
      <c r="F1" s="56"/>
      <c r="G1" s="56"/>
      <c r="H1" s="56"/>
      <c r="I1" s="56"/>
      <c r="J1" s="8"/>
      <c r="K1" s="8"/>
      <c r="L1" s="8"/>
      <c r="M1" s="44"/>
    </row>
    <row r="2" spans="1:13" x14ac:dyDescent="0.25">
      <c r="A2" s="23" t="s">
        <v>90</v>
      </c>
      <c r="B2" s="23" t="s">
        <v>89</v>
      </c>
      <c r="C2" s="23" t="s">
        <v>29</v>
      </c>
      <c r="D2" s="23" t="s">
        <v>30</v>
      </c>
      <c r="E2" s="28" t="s">
        <v>91</v>
      </c>
      <c r="F2" s="28" t="s">
        <v>92</v>
      </c>
      <c r="G2" s="28" t="s">
        <v>93</v>
      </c>
      <c r="H2" s="28" t="s">
        <v>94</v>
      </c>
      <c r="I2" s="57" t="s">
        <v>95</v>
      </c>
      <c r="J2" s="23" t="s">
        <v>105</v>
      </c>
      <c r="K2" s="23" t="s">
        <v>84</v>
      </c>
      <c r="L2" s="23" t="s">
        <v>83</v>
      </c>
      <c r="M2" s="23" t="s">
        <v>198</v>
      </c>
    </row>
    <row r="3" spans="1:13" x14ac:dyDescent="0.25">
      <c r="A3" s="29" t="s">
        <v>31</v>
      </c>
      <c r="B3" s="29">
        <v>1</v>
      </c>
      <c r="C3" s="29" t="s">
        <v>32</v>
      </c>
      <c r="D3" s="24">
        <f>456/472</f>
        <v>0.96610169491525422</v>
      </c>
      <c r="E3" s="24">
        <v>1</v>
      </c>
      <c r="F3" s="24">
        <v>1</v>
      </c>
      <c r="G3" s="24">
        <v>1</v>
      </c>
      <c r="H3" s="24">
        <v>1</v>
      </c>
      <c r="I3" s="24">
        <v>1</v>
      </c>
      <c r="J3" s="24">
        <f>456/472</f>
        <v>0.96610169491525422</v>
      </c>
      <c r="K3" s="24">
        <f>AVERAGE(J3:J5)</f>
        <v>0.88870056497175154</v>
      </c>
      <c r="L3" s="24">
        <f>_xlfn.STDEV.S(J3:J5)</f>
        <v>0.16429607782110289</v>
      </c>
      <c r="M3" s="29">
        <f>_xlfn.T.TEST(J3:J5,J6:J8,2,2)</f>
        <v>1.2186473834032011E-3</v>
      </c>
    </row>
    <row r="4" spans="1:13" x14ac:dyDescent="0.25">
      <c r="A4" s="31"/>
      <c r="B4" s="31">
        <v>2</v>
      </c>
      <c r="C4" s="31" t="s">
        <v>33</v>
      </c>
      <c r="D4" s="25">
        <v>1</v>
      </c>
      <c r="E4" s="25">
        <v>1</v>
      </c>
      <c r="F4" s="25">
        <v>1</v>
      </c>
      <c r="G4" s="25">
        <v>1</v>
      </c>
      <c r="H4" s="25">
        <v>1</v>
      </c>
      <c r="I4" s="25">
        <v>1</v>
      </c>
      <c r="J4" s="25">
        <v>1</v>
      </c>
      <c r="K4" s="25"/>
      <c r="L4" s="25"/>
      <c r="M4" s="31" t="s">
        <v>187</v>
      </c>
    </row>
    <row r="5" spans="1:13" x14ac:dyDescent="0.25">
      <c r="A5" s="34"/>
      <c r="B5" s="34">
        <v>3</v>
      </c>
      <c r="C5" s="34" t="s">
        <v>193</v>
      </c>
      <c r="D5" s="26">
        <f>48/50</f>
        <v>0.96</v>
      </c>
      <c r="E5" s="26">
        <v>1</v>
      </c>
      <c r="F5" s="25">
        <v>1</v>
      </c>
      <c r="G5" s="26">
        <v>0.9</v>
      </c>
      <c r="H5" s="26">
        <v>1</v>
      </c>
      <c r="I5" s="26">
        <v>0.8</v>
      </c>
      <c r="J5" s="47">
        <v>0.7</v>
      </c>
      <c r="K5" s="26"/>
      <c r="L5" s="26"/>
      <c r="M5" s="34"/>
    </row>
    <row r="6" spans="1:13" x14ac:dyDescent="0.25">
      <c r="A6" s="29" t="s">
        <v>34</v>
      </c>
      <c r="B6" s="29">
        <v>1</v>
      </c>
      <c r="C6" s="48" t="s">
        <v>192</v>
      </c>
      <c r="D6" s="49">
        <f>5/50</f>
        <v>0.1</v>
      </c>
      <c r="E6" s="14">
        <v>0.1</v>
      </c>
      <c r="F6" s="49">
        <f>5/50</f>
        <v>0.1</v>
      </c>
      <c r="G6" s="30">
        <v>0.1</v>
      </c>
      <c r="H6" s="24">
        <v>0.1</v>
      </c>
      <c r="I6" s="49">
        <v>0.2</v>
      </c>
      <c r="J6" s="24">
        <v>0.1</v>
      </c>
      <c r="K6" s="24">
        <f>AVERAGE(J6:J8)</f>
        <v>6.6666666666666666E-2</v>
      </c>
      <c r="L6" s="24">
        <f>_xlfn.STDEV.S(J6:J8)</f>
        <v>5.7735026918962581E-2</v>
      </c>
      <c r="M6" s="29">
        <f>_xlfn.T.TEST(J6:J8,J9:J11,2,2)</f>
        <v>2.3215157991272203E-2</v>
      </c>
    </row>
    <row r="7" spans="1:13" x14ac:dyDescent="0.25">
      <c r="A7" s="31"/>
      <c r="B7" s="31">
        <v>2</v>
      </c>
      <c r="C7" s="40" t="s">
        <v>35</v>
      </c>
      <c r="D7" s="25">
        <f>36/180</f>
        <v>0.2</v>
      </c>
      <c r="E7" s="16">
        <v>0.5</v>
      </c>
      <c r="F7" s="25">
        <v>0.2</v>
      </c>
      <c r="G7" s="32">
        <v>0.3</v>
      </c>
      <c r="H7" s="25">
        <v>0.1</v>
      </c>
      <c r="I7" s="33">
        <v>0.3</v>
      </c>
      <c r="J7" s="33">
        <v>0.1</v>
      </c>
      <c r="K7" s="25"/>
      <c r="L7" s="25"/>
      <c r="M7" s="31" t="s">
        <v>188</v>
      </c>
    </row>
    <row r="8" spans="1:13" x14ac:dyDescent="0.25">
      <c r="A8" s="34"/>
      <c r="B8" s="34">
        <v>3</v>
      </c>
      <c r="C8" s="42" t="s">
        <v>36</v>
      </c>
      <c r="D8" s="26">
        <f>24/332</f>
        <v>7.2289156626506021E-2</v>
      </c>
      <c r="E8" s="19">
        <v>0.2</v>
      </c>
      <c r="F8" s="47">
        <f>5/50</f>
        <v>0.1</v>
      </c>
      <c r="G8" s="35">
        <v>0</v>
      </c>
      <c r="H8" s="26">
        <v>0</v>
      </c>
      <c r="I8" s="47">
        <v>0</v>
      </c>
      <c r="J8" s="47">
        <v>0</v>
      </c>
      <c r="K8" s="26"/>
      <c r="L8" s="26"/>
      <c r="M8" s="34"/>
    </row>
    <row r="9" spans="1:13" x14ac:dyDescent="0.25">
      <c r="A9" s="29" t="s">
        <v>37</v>
      </c>
      <c r="B9" s="29">
        <v>1</v>
      </c>
      <c r="C9" s="48" t="s">
        <v>38</v>
      </c>
      <c r="D9" s="24">
        <f>80/162</f>
        <v>0.49382716049382713</v>
      </c>
      <c r="E9" s="24">
        <v>0.8</v>
      </c>
      <c r="F9" s="25">
        <v>0.5</v>
      </c>
      <c r="G9" s="24">
        <v>0.6</v>
      </c>
      <c r="H9" s="24">
        <v>0.8</v>
      </c>
      <c r="I9" s="49">
        <v>0.6</v>
      </c>
      <c r="J9" s="49">
        <v>0.4</v>
      </c>
      <c r="K9" s="24">
        <f>AVERAGE(J9:J11)</f>
        <v>0.33333333333333331</v>
      </c>
      <c r="L9" s="24">
        <f>_xlfn.STDEV.S(J9:J11)</f>
        <v>0.1154700538379254</v>
      </c>
      <c r="M9" s="29">
        <f>_xlfn.T.TEST(J3:J5,J9:J11,2,2)</f>
        <v>8.7108653020427987E-3</v>
      </c>
    </row>
    <row r="10" spans="1:13" x14ac:dyDescent="0.25">
      <c r="A10" s="31"/>
      <c r="B10" s="31">
        <v>2</v>
      </c>
      <c r="C10" s="40" t="s">
        <v>39</v>
      </c>
      <c r="D10" s="25">
        <f>79/178</f>
        <v>0.4438202247191011</v>
      </c>
      <c r="E10" s="25">
        <v>0.5</v>
      </c>
      <c r="F10" s="25">
        <v>0.4</v>
      </c>
      <c r="G10" s="25">
        <v>0.4</v>
      </c>
      <c r="H10" s="25">
        <v>0.4</v>
      </c>
      <c r="I10" s="33">
        <v>0.4</v>
      </c>
      <c r="J10" s="33">
        <v>0.4</v>
      </c>
      <c r="K10" s="25"/>
      <c r="L10" s="25"/>
      <c r="M10" s="31" t="s">
        <v>189</v>
      </c>
    </row>
    <row r="11" spans="1:13" x14ac:dyDescent="0.25">
      <c r="A11" s="34"/>
      <c r="B11" s="34">
        <v>3</v>
      </c>
      <c r="C11" s="42" t="s">
        <v>40</v>
      </c>
      <c r="D11" s="26">
        <f>86/179</f>
        <v>0.48044692737430167</v>
      </c>
      <c r="E11" s="26">
        <v>0.6</v>
      </c>
      <c r="F11" s="26">
        <v>0.5</v>
      </c>
      <c r="G11" s="26">
        <v>0.4</v>
      </c>
      <c r="H11" s="26">
        <v>0.6</v>
      </c>
      <c r="I11" s="47">
        <v>0.6</v>
      </c>
      <c r="J11" s="47">
        <v>0.2</v>
      </c>
      <c r="K11" s="26"/>
      <c r="L11" s="26"/>
      <c r="M11" s="4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58DF-AAD2-46EB-9F23-1C3DF354840D}">
  <dimension ref="A1:P28"/>
  <sheetViews>
    <sheetView workbookViewId="0">
      <selection activeCell="E29" sqref="E29"/>
    </sheetView>
  </sheetViews>
  <sheetFormatPr defaultRowHeight="14.25" x14ac:dyDescent="0.2"/>
  <cols>
    <col min="2" max="2" width="17" customWidth="1"/>
    <col min="3" max="3" width="15.25" customWidth="1"/>
    <col min="4" max="4" width="12.25" customWidth="1"/>
  </cols>
  <sheetData>
    <row r="1" spans="1:16" ht="15" x14ac:dyDescent="0.2">
      <c r="A1" s="44" t="s">
        <v>115</v>
      </c>
      <c r="B1" s="44"/>
      <c r="C1" s="56"/>
      <c r="D1" s="44"/>
      <c r="E1" s="44"/>
      <c r="F1" s="44"/>
      <c r="G1" s="44"/>
      <c r="H1" s="44"/>
      <c r="I1" s="8"/>
      <c r="J1" s="44"/>
      <c r="K1" s="56"/>
      <c r="L1" s="8"/>
      <c r="M1" s="56"/>
      <c r="N1" s="56"/>
      <c r="O1" s="56"/>
      <c r="P1" s="3"/>
    </row>
    <row r="2" spans="1:16" ht="15" x14ac:dyDescent="0.2">
      <c r="A2" s="10" t="s">
        <v>90</v>
      </c>
      <c r="B2" s="10" t="s">
        <v>89</v>
      </c>
      <c r="C2" s="10" t="s">
        <v>41</v>
      </c>
      <c r="D2" s="10" t="s">
        <v>0</v>
      </c>
      <c r="E2" s="11" t="s">
        <v>91</v>
      </c>
      <c r="F2" s="11" t="s">
        <v>92</v>
      </c>
      <c r="G2" s="11" t="s">
        <v>93</v>
      </c>
      <c r="H2" s="11" t="s">
        <v>94</v>
      </c>
      <c r="I2" s="58" t="s">
        <v>95</v>
      </c>
      <c r="J2" s="11" t="s">
        <v>96</v>
      </c>
      <c r="K2" s="11" t="s">
        <v>97</v>
      </c>
      <c r="L2" s="11" t="s">
        <v>98</v>
      </c>
      <c r="M2" s="10" t="s">
        <v>105</v>
      </c>
      <c r="N2" s="10" t="s">
        <v>84</v>
      </c>
      <c r="O2" s="23" t="s">
        <v>83</v>
      </c>
      <c r="P2" s="5"/>
    </row>
    <row r="3" spans="1:16" ht="15" x14ac:dyDescent="0.2">
      <c r="A3" s="12" t="s">
        <v>99</v>
      </c>
      <c r="B3" s="12">
        <v>1</v>
      </c>
      <c r="C3" s="12" t="s">
        <v>42</v>
      </c>
      <c r="D3" s="14">
        <f>342/492</f>
        <v>0.69512195121951215</v>
      </c>
      <c r="E3" s="14">
        <v>0.8</v>
      </c>
      <c r="F3" s="14">
        <v>0.7</v>
      </c>
      <c r="G3" s="14">
        <v>0.8</v>
      </c>
      <c r="H3" s="14">
        <v>0.7</v>
      </c>
      <c r="I3" s="14">
        <v>0.8</v>
      </c>
      <c r="J3" s="14">
        <v>1</v>
      </c>
      <c r="K3" s="12" t="s">
        <v>103</v>
      </c>
      <c r="L3" s="12" t="s">
        <v>103</v>
      </c>
      <c r="M3" s="21">
        <v>0.6</v>
      </c>
      <c r="N3" s="14">
        <f>AVERAGE(M3:M5)</f>
        <v>0.6333333333333333</v>
      </c>
      <c r="O3" s="14">
        <f>_xlfn.STDEV.S(M3:M5)</f>
        <v>5.7735026918962561E-2</v>
      </c>
      <c r="P3" s="4"/>
    </row>
    <row r="4" spans="1:16" ht="15" x14ac:dyDescent="0.2">
      <c r="A4" s="15"/>
      <c r="B4" s="15">
        <v>2</v>
      </c>
      <c r="C4" s="15" t="s">
        <v>43</v>
      </c>
      <c r="D4" s="16">
        <f>199/265</f>
        <v>0.75094339622641515</v>
      </c>
      <c r="E4" s="16">
        <v>0.9</v>
      </c>
      <c r="F4" s="16">
        <v>0.7</v>
      </c>
      <c r="G4" s="16">
        <v>0.7</v>
      </c>
      <c r="H4" s="16">
        <v>0.7</v>
      </c>
      <c r="I4" s="16">
        <v>0.8</v>
      </c>
      <c r="J4" s="16">
        <v>0.9</v>
      </c>
      <c r="K4" s="15" t="s">
        <v>103</v>
      </c>
      <c r="L4" s="15" t="s">
        <v>103</v>
      </c>
      <c r="M4" s="38">
        <v>0.7</v>
      </c>
      <c r="N4" s="16"/>
      <c r="O4" s="16"/>
      <c r="P4" s="4"/>
    </row>
    <row r="5" spans="1:16" ht="15" x14ac:dyDescent="0.2">
      <c r="A5" s="17"/>
      <c r="B5" s="17">
        <v>3</v>
      </c>
      <c r="C5" s="17" t="s">
        <v>44</v>
      </c>
      <c r="D5" s="19">
        <f>97/126</f>
        <v>0.76984126984126988</v>
      </c>
      <c r="E5" s="19">
        <v>0.8</v>
      </c>
      <c r="F5" s="19">
        <v>0.8</v>
      </c>
      <c r="G5" s="19">
        <v>0.7</v>
      </c>
      <c r="H5" s="19">
        <v>0.8</v>
      </c>
      <c r="I5" s="19">
        <v>0.7</v>
      </c>
      <c r="J5" s="19">
        <v>1</v>
      </c>
      <c r="K5" s="17" t="s">
        <v>103</v>
      </c>
      <c r="L5" s="17" t="s">
        <v>103</v>
      </c>
      <c r="M5" s="20">
        <v>0.6</v>
      </c>
      <c r="N5" s="19"/>
      <c r="O5" s="19"/>
      <c r="P5" s="4"/>
    </row>
    <row r="6" spans="1:16" ht="15" x14ac:dyDescent="0.2">
      <c r="A6" s="12" t="s">
        <v>100</v>
      </c>
      <c r="B6" s="12">
        <v>1</v>
      </c>
      <c r="C6" s="13" t="s">
        <v>45</v>
      </c>
      <c r="D6" s="14">
        <f>185/205</f>
        <v>0.90243902439024393</v>
      </c>
      <c r="E6" s="14">
        <v>0.9</v>
      </c>
      <c r="F6" s="14">
        <v>0.9</v>
      </c>
      <c r="G6" s="14">
        <v>0.9</v>
      </c>
      <c r="H6" s="14">
        <v>0.9</v>
      </c>
      <c r="I6" s="21">
        <v>0.9</v>
      </c>
      <c r="J6" s="14">
        <v>0.9</v>
      </c>
      <c r="K6" s="14">
        <v>0.9</v>
      </c>
      <c r="L6" s="12" t="s">
        <v>103</v>
      </c>
      <c r="M6" s="21">
        <v>0.9</v>
      </c>
      <c r="N6" s="14">
        <f>AVERAGE(M6:M9)</f>
        <v>0.7</v>
      </c>
      <c r="O6" s="14">
        <f>_xlfn.STDEV.S(M6:M9)</f>
        <v>0.28284271247461928</v>
      </c>
      <c r="P6" s="4"/>
    </row>
    <row r="7" spans="1:16" ht="15" x14ac:dyDescent="0.2">
      <c r="A7" s="15"/>
      <c r="B7" s="15">
        <v>2</v>
      </c>
      <c r="C7" s="22" t="s">
        <v>46</v>
      </c>
      <c r="D7" s="16">
        <v>0.39</v>
      </c>
      <c r="E7" s="16">
        <v>0.4</v>
      </c>
      <c r="F7" s="16">
        <v>0.4</v>
      </c>
      <c r="G7" s="16">
        <v>0.4</v>
      </c>
      <c r="H7" s="16">
        <v>0.4</v>
      </c>
      <c r="I7" s="38">
        <v>0.3</v>
      </c>
      <c r="J7" s="16">
        <v>0.4</v>
      </c>
      <c r="K7" s="16">
        <v>0.4</v>
      </c>
      <c r="L7" s="15" t="s">
        <v>103</v>
      </c>
      <c r="M7" s="38">
        <v>0.3</v>
      </c>
      <c r="N7" s="16"/>
      <c r="O7" s="16"/>
      <c r="P7" s="4"/>
    </row>
    <row r="8" spans="1:16" ht="15" x14ac:dyDescent="0.2">
      <c r="A8" s="15"/>
      <c r="B8" s="15">
        <v>3</v>
      </c>
      <c r="C8" s="22" t="s">
        <v>47</v>
      </c>
      <c r="D8" s="16">
        <f>208/250</f>
        <v>0.83199999999999996</v>
      </c>
      <c r="E8" s="16">
        <v>1</v>
      </c>
      <c r="F8" s="16">
        <v>0.8</v>
      </c>
      <c r="G8" s="16">
        <v>1</v>
      </c>
      <c r="H8" s="16">
        <v>1</v>
      </c>
      <c r="I8" s="38">
        <v>0.7</v>
      </c>
      <c r="J8" s="16">
        <v>0.9</v>
      </c>
      <c r="K8" s="16">
        <v>1</v>
      </c>
      <c r="L8" s="15" t="s">
        <v>103</v>
      </c>
      <c r="M8" s="38">
        <v>0.7</v>
      </c>
      <c r="N8" s="16"/>
      <c r="O8" s="16"/>
      <c r="P8" s="4"/>
    </row>
    <row r="9" spans="1:16" ht="15" x14ac:dyDescent="0.2">
      <c r="A9" s="17"/>
      <c r="B9" s="17">
        <v>4</v>
      </c>
      <c r="C9" s="59" t="s">
        <v>48</v>
      </c>
      <c r="D9" s="19">
        <f>166/170</f>
        <v>0.97647058823529409</v>
      </c>
      <c r="E9" s="19">
        <v>1</v>
      </c>
      <c r="F9" s="19">
        <v>1</v>
      </c>
      <c r="G9" s="19">
        <v>1</v>
      </c>
      <c r="H9" s="19">
        <v>0.9</v>
      </c>
      <c r="I9" s="19">
        <v>1</v>
      </c>
      <c r="J9" s="19">
        <v>1</v>
      </c>
      <c r="K9" s="19">
        <v>1</v>
      </c>
      <c r="L9" s="17" t="s">
        <v>103</v>
      </c>
      <c r="M9" s="20">
        <v>0.9</v>
      </c>
      <c r="N9" s="19"/>
      <c r="O9" s="19"/>
      <c r="P9" s="4"/>
    </row>
    <row r="10" spans="1:16" ht="15" x14ac:dyDescent="0.2">
      <c r="A10" s="12" t="s">
        <v>101</v>
      </c>
      <c r="B10" s="12">
        <v>1</v>
      </c>
      <c r="C10" s="12" t="s">
        <v>49</v>
      </c>
      <c r="D10" s="14">
        <f>130/191</f>
        <v>0.68062827225130895</v>
      </c>
      <c r="E10" s="14">
        <v>0.9</v>
      </c>
      <c r="F10" s="14">
        <v>0.7</v>
      </c>
      <c r="G10" s="14">
        <v>0.5</v>
      </c>
      <c r="H10" s="14">
        <v>0.6</v>
      </c>
      <c r="I10" s="14">
        <v>0.6</v>
      </c>
      <c r="J10" s="14">
        <v>0.5</v>
      </c>
      <c r="K10" s="14">
        <v>0.8</v>
      </c>
      <c r="L10" s="14">
        <v>0.8</v>
      </c>
      <c r="M10" s="14">
        <v>0.1</v>
      </c>
      <c r="N10" s="14">
        <f>AVERAGE(M10:M15)</f>
        <v>0.36469816272965877</v>
      </c>
      <c r="O10" s="14">
        <f>_xlfn.STDEV.S(M10:M13)</f>
        <v>0.22758164524732041</v>
      </c>
      <c r="P10" s="4"/>
    </row>
    <row r="11" spans="1:16" ht="15" x14ac:dyDescent="0.2">
      <c r="A11" s="15"/>
      <c r="B11" s="15">
        <v>2</v>
      </c>
      <c r="C11" s="15" t="s">
        <v>50</v>
      </c>
      <c r="D11" s="16">
        <f>35/132</f>
        <v>0.26515151515151514</v>
      </c>
      <c r="E11" s="16">
        <v>0.3</v>
      </c>
      <c r="F11" s="16">
        <v>0.3</v>
      </c>
      <c r="G11" s="16">
        <v>0.1</v>
      </c>
      <c r="H11" s="16">
        <v>0.1</v>
      </c>
      <c r="I11" s="16">
        <v>0.1</v>
      </c>
      <c r="J11" s="16">
        <v>0.3</v>
      </c>
      <c r="K11" s="16">
        <v>0.3</v>
      </c>
      <c r="L11" s="16">
        <v>0.3</v>
      </c>
      <c r="M11" s="16">
        <v>0.1</v>
      </c>
      <c r="N11" s="15"/>
      <c r="O11" s="15"/>
      <c r="P11" s="4"/>
    </row>
    <row r="12" spans="1:16" ht="15" x14ac:dyDescent="0.2">
      <c r="A12" s="15"/>
      <c r="B12" s="15">
        <v>3</v>
      </c>
      <c r="C12" s="15" t="s">
        <v>51</v>
      </c>
      <c r="D12" s="16">
        <f>62/127</f>
        <v>0.48818897637795278</v>
      </c>
      <c r="E12" s="16">
        <v>0.5</v>
      </c>
      <c r="F12" s="16">
        <v>0.5</v>
      </c>
      <c r="G12" s="16">
        <v>0.5</v>
      </c>
      <c r="H12" s="16">
        <v>0.5</v>
      </c>
      <c r="I12" s="16">
        <v>0.5</v>
      </c>
      <c r="J12" s="16">
        <v>0.5</v>
      </c>
      <c r="K12" s="16">
        <v>0.5</v>
      </c>
      <c r="L12" s="16">
        <v>0.5</v>
      </c>
      <c r="M12" s="16">
        <f>62/127</f>
        <v>0.48818897637795278</v>
      </c>
      <c r="N12" s="15"/>
      <c r="O12" s="15"/>
      <c r="P12" s="4"/>
    </row>
    <row r="13" spans="1:16" ht="15" x14ac:dyDescent="0.2">
      <c r="A13" s="15"/>
      <c r="B13" s="15">
        <v>4</v>
      </c>
      <c r="C13" s="15" t="s">
        <v>52</v>
      </c>
      <c r="D13" s="16">
        <f>402/405</f>
        <v>0.99259259259259258</v>
      </c>
      <c r="E13" s="16">
        <v>1</v>
      </c>
      <c r="F13" s="16">
        <v>1</v>
      </c>
      <c r="G13" s="16">
        <v>1</v>
      </c>
      <c r="H13" s="16">
        <v>0.9</v>
      </c>
      <c r="I13" s="38">
        <v>0.5</v>
      </c>
      <c r="J13" s="16">
        <v>0.9</v>
      </c>
      <c r="K13" s="16">
        <v>0.9</v>
      </c>
      <c r="L13" s="16">
        <v>0.9</v>
      </c>
      <c r="M13" s="16">
        <v>0.5</v>
      </c>
      <c r="N13" s="15"/>
      <c r="O13" s="15"/>
      <c r="P13" s="4"/>
    </row>
    <row r="14" spans="1:16" ht="15" x14ac:dyDescent="0.2">
      <c r="A14" s="15"/>
      <c r="B14" s="15">
        <v>5</v>
      </c>
      <c r="C14" s="22" t="s">
        <v>53</v>
      </c>
      <c r="D14" s="16">
        <f>396/402</f>
        <v>0.9850746268656716</v>
      </c>
      <c r="E14" s="16">
        <v>1</v>
      </c>
      <c r="F14" s="16">
        <v>1</v>
      </c>
      <c r="G14" s="16">
        <v>1</v>
      </c>
      <c r="H14" s="16">
        <v>1</v>
      </c>
      <c r="I14" s="38">
        <v>1</v>
      </c>
      <c r="J14" s="16">
        <v>1</v>
      </c>
      <c r="K14" s="16">
        <v>0.6</v>
      </c>
      <c r="L14" s="16">
        <v>1</v>
      </c>
      <c r="M14" s="16">
        <v>0.6</v>
      </c>
      <c r="N14" s="15"/>
      <c r="O14" s="15"/>
      <c r="P14" s="4"/>
    </row>
    <row r="15" spans="1:16" ht="15" x14ac:dyDescent="0.2">
      <c r="A15" s="17"/>
      <c r="B15" s="17">
        <v>6</v>
      </c>
      <c r="C15" s="17" t="s">
        <v>54</v>
      </c>
      <c r="D15" s="19">
        <f>163/274</f>
        <v>0.5948905109489051</v>
      </c>
      <c r="E15" s="19">
        <v>1</v>
      </c>
      <c r="F15" s="19">
        <v>0.6</v>
      </c>
      <c r="G15" s="19">
        <v>0.7</v>
      </c>
      <c r="H15" s="19">
        <v>0.5</v>
      </c>
      <c r="I15" s="19">
        <v>0.4</v>
      </c>
      <c r="J15" s="19">
        <v>0.5</v>
      </c>
      <c r="K15" s="19">
        <v>0.5</v>
      </c>
      <c r="L15" s="19">
        <v>0.7</v>
      </c>
      <c r="M15" s="19">
        <v>0.4</v>
      </c>
      <c r="N15" s="17"/>
      <c r="O15" s="17"/>
      <c r="P15" s="4"/>
    </row>
    <row r="16" spans="1:16" x14ac:dyDescent="0.2">
      <c r="A16" s="2"/>
      <c r="B16" s="2"/>
      <c r="C16" s="2"/>
      <c r="D16" s="7"/>
      <c r="E16" s="7"/>
      <c r="F16" s="7"/>
      <c r="G16" s="7"/>
      <c r="H16" s="7"/>
      <c r="I16" s="7"/>
      <c r="J16" s="7"/>
      <c r="K16" s="7"/>
      <c r="L16" s="7"/>
      <c r="M16" s="7"/>
      <c r="N16" s="2"/>
      <c r="O16" s="2"/>
      <c r="P16" s="2"/>
    </row>
    <row r="17" spans="1:16" x14ac:dyDescent="0.2">
      <c r="O17" s="1"/>
      <c r="P17" s="2"/>
    </row>
    <row r="18" spans="1:16" x14ac:dyDescent="0.2">
      <c r="O18" s="1"/>
      <c r="P18" s="2"/>
    </row>
    <row r="19" spans="1:16" x14ac:dyDescent="0.2">
      <c r="O19" s="1"/>
      <c r="P19" s="2"/>
    </row>
    <row r="20" spans="1:16" x14ac:dyDescent="0.2">
      <c r="O20" s="1"/>
      <c r="P20" s="2"/>
    </row>
    <row r="21" spans="1:16" x14ac:dyDescent="0.2">
      <c r="O21" s="1"/>
      <c r="P21" s="2"/>
    </row>
    <row r="22" spans="1:16" x14ac:dyDescent="0.2">
      <c r="O22" s="1"/>
      <c r="P22" s="2"/>
    </row>
    <row r="23" spans="1:16" x14ac:dyDescent="0.2">
      <c r="O23" s="1"/>
      <c r="P23" s="2"/>
    </row>
    <row r="24" spans="1:16" x14ac:dyDescent="0.2">
      <c r="O24" s="1"/>
      <c r="P24" s="2"/>
    </row>
    <row r="25" spans="1:16" x14ac:dyDescent="0.2">
      <c r="O25" s="1"/>
      <c r="P25" s="2"/>
    </row>
    <row r="26" spans="1:16" x14ac:dyDescent="0.2">
      <c r="O26" s="1"/>
      <c r="P26" s="2"/>
    </row>
    <row r="27" spans="1:16" x14ac:dyDescent="0.2">
      <c r="O27" s="1"/>
      <c r="P27" s="2"/>
    </row>
    <row r="28" spans="1:16" x14ac:dyDescent="0.2">
      <c r="A28" s="2"/>
      <c r="B28" s="2"/>
      <c r="C28" s="3"/>
      <c r="D28" s="7"/>
      <c r="E28" s="6"/>
      <c r="F28" s="7"/>
      <c r="G28" s="7"/>
      <c r="H28" s="7"/>
      <c r="I28" s="7"/>
      <c r="J28" s="7"/>
      <c r="K28" s="6"/>
      <c r="L28" s="7"/>
      <c r="M28" s="7"/>
      <c r="N28" s="2"/>
      <c r="O28" s="1"/>
      <c r="P28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FD91-5B1A-48C3-A220-BAF60ABE0646}">
  <dimension ref="A1:N11"/>
  <sheetViews>
    <sheetView workbookViewId="0">
      <selection activeCell="D37" sqref="A1:XFD1048576"/>
    </sheetView>
  </sheetViews>
  <sheetFormatPr defaultRowHeight="15" x14ac:dyDescent="0.25"/>
  <cols>
    <col min="1" max="1" width="9" style="9"/>
    <col min="2" max="2" width="17.5" style="9" customWidth="1"/>
    <col min="3" max="3" width="14.75" style="9" customWidth="1"/>
    <col min="4" max="4" width="11.5" style="9" customWidth="1"/>
    <col min="5" max="13" width="9" style="9"/>
    <col min="14" max="14" width="13.75" style="9" customWidth="1"/>
    <col min="15" max="16384" width="9" style="9"/>
  </cols>
  <sheetData>
    <row r="1" spans="1:14" x14ac:dyDescent="0.25">
      <c r="A1" s="44" t="s">
        <v>116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8"/>
    </row>
    <row r="2" spans="1:14" x14ac:dyDescent="0.25">
      <c r="A2" s="60" t="s">
        <v>90</v>
      </c>
      <c r="B2" s="60" t="s">
        <v>89</v>
      </c>
      <c r="C2" s="10" t="s">
        <v>8</v>
      </c>
      <c r="D2" s="10" t="s">
        <v>0</v>
      </c>
      <c r="E2" s="11" t="s">
        <v>91</v>
      </c>
      <c r="F2" s="11" t="s">
        <v>92</v>
      </c>
      <c r="G2" s="11" t="s">
        <v>93</v>
      </c>
      <c r="H2" s="11" t="s">
        <v>94</v>
      </c>
      <c r="I2" s="58" t="s">
        <v>95</v>
      </c>
      <c r="J2" s="11" t="s">
        <v>96</v>
      </c>
      <c r="K2" s="10" t="s">
        <v>105</v>
      </c>
      <c r="L2" s="10" t="s">
        <v>84</v>
      </c>
      <c r="M2" s="10" t="s">
        <v>83</v>
      </c>
      <c r="N2" s="23" t="s">
        <v>198</v>
      </c>
    </row>
    <row r="3" spans="1:14" x14ac:dyDescent="0.25">
      <c r="A3" s="12" t="s">
        <v>99</v>
      </c>
      <c r="B3" s="12">
        <v>1</v>
      </c>
      <c r="C3" s="12" t="s">
        <v>42</v>
      </c>
      <c r="D3" s="14">
        <f>342/492</f>
        <v>0.69512195121951215</v>
      </c>
      <c r="E3" s="14">
        <v>0.8</v>
      </c>
      <c r="F3" s="14">
        <v>0.7</v>
      </c>
      <c r="G3" s="14">
        <v>0.8</v>
      </c>
      <c r="H3" s="14">
        <v>0.7</v>
      </c>
      <c r="I3" s="14">
        <v>0.8</v>
      </c>
      <c r="J3" s="14">
        <v>1</v>
      </c>
      <c r="K3" s="21">
        <v>0.6</v>
      </c>
      <c r="L3" s="14">
        <f>AVERAGE(K3:K5)</f>
        <v>0.6333333333333333</v>
      </c>
      <c r="M3" s="14">
        <f>_xlfn.STDEV.S(K3:K5)</f>
        <v>5.7735026918962561E-2</v>
      </c>
      <c r="N3" s="29"/>
    </row>
    <row r="4" spans="1:14" x14ac:dyDescent="0.25">
      <c r="A4" s="15"/>
      <c r="B4" s="15">
        <v>2</v>
      </c>
      <c r="C4" s="15" t="s">
        <v>43</v>
      </c>
      <c r="D4" s="16">
        <f>199/265</f>
        <v>0.75094339622641515</v>
      </c>
      <c r="E4" s="16">
        <v>0.9</v>
      </c>
      <c r="F4" s="16">
        <v>0.7</v>
      </c>
      <c r="G4" s="16">
        <v>0.7</v>
      </c>
      <c r="H4" s="16">
        <v>0.7</v>
      </c>
      <c r="I4" s="16">
        <v>0.8</v>
      </c>
      <c r="J4" s="16">
        <v>0.9</v>
      </c>
      <c r="K4" s="38">
        <v>0.7</v>
      </c>
      <c r="L4" s="16"/>
      <c r="M4" s="38"/>
      <c r="N4" s="31"/>
    </row>
    <row r="5" spans="1:14" x14ac:dyDescent="0.25">
      <c r="A5" s="17"/>
      <c r="B5" s="17">
        <v>3</v>
      </c>
      <c r="C5" s="17" t="s">
        <v>44</v>
      </c>
      <c r="D5" s="19">
        <f>97/126</f>
        <v>0.76984126984126988</v>
      </c>
      <c r="E5" s="19">
        <v>0.8</v>
      </c>
      <c r="F5" s="19">
        <v>0.8</v>
      </c>
      <c r="G5" s="19">
        <v>0.7</v>
      </c>
      <c r="H5" s="19">
        <v>0.8</v>
      </c>
      <c r="I5" s="19">
        <v>0.7</v>
      </c>
      <c r="J5" s="19">
        <v>1</v>
      </c>
      <c r="K5" s="20">
        <v>0.6</v>
      </c>
      <c r="L5" s="19"/>
      <c r="M5" s="20"/>
      <c r="N5" s="34"/>
    </row>
    <row r="6" spans="1:14" x14ac:dyDescent="0.25">
      <c r="A6" s="12" t="s">
        <v>102</v>
      </c>
      <c r="B6" s="12">
        <v>1</v>
      </c>
      <c r="C6" s="12" t="s">
        <v>55</v>
      </c>
      <c r="D6" s="14">
        <f>297/392</f>
        <v>0.75765306122448983</v>
      </c>
      <c r="E6" s="14">
        <v>0.9</v>
      </c>
      <c r="F6" s="14">
        <v>0.8</v>
      </c>
      <c r="G6" s="14">
        <v>0.9</v>
      </c>
      <c r="H6" s="14">
        <v>0.7</v>
      </c>
      <c r="I6" s="14">
        <v>0.7</v>
      </c>
      <c r="J6" s="14">
        <v>0.8</v>
      </c>
      <c r="K6" s="21">
        <v>0.7</v>
      </c>
      <c r="L6" s="14">
        <f>AVERAGE(K6:K8)</f>
        <v>0.66666666666666663</v>
      </c>
      <c r="M6" s="14">
        <f>_xlfn.STDEV.S(K6:K8)</f>
        <v>5.7735026918962568E-2</v>
      </c>
      <c r="N6" s="29">
        <f>_xlfn.T.TEST(K3:K5,K6:K8,2,2)</f>
        <v>0.5185185185185186</v>
      </c>
    </row>
    <row r="7" spans="1:14" x14ac:dyDescent="0.25">
      <c r="A7" s="15"/>
      <c r="B7" s="15">
        <v>2</v>
      </c>
      <c r="C7" s="15" t="s">
        <v>56</v>
      </c>
      <c r="D7" s="16">
        <f>287/347</f>
        <v>0.82708933717579247</v>
      </c>
      <c r="E7" s="16">
        <v>0.8</v>
      </c>
      <c r="F7" s="16">
        <v>0.8</v>
      </c>
      <c r="G7" s="16">
        <v>0.9</v>
      </c>
      <c r="H7" s="16">
        <v>0.8</v>
      </c>
      <c r="I7" s="16">
        <v>0.8</v>
      </c>
      <c r="J7" s="16">
        <v>0.8</v>
      </c>
      <c r="K7" s="38">
        <v>0.7</v>
      </c>
      <c r="L7" s="16"/>
      <c r="M7" s="16"/>
      <c r="N7" s="31" t="s">
        <v>182</v>
      </c>
    </row>
    <row r="8" spans="1:14" x14ac:dyDescent="0.25">
      <c r="A8" s="17"/>
      <c r="B8" s="17">
        <v>3</v>
      </c>
      <c r="C8" s="17" t="s">
        <v>57</v>
      </c>
      <c r="D8" s="19">
        <f>285/398</f>
        <v>0.7160804020100503</v>
      </c>
      <c r="E8" s="19">
        <v>0.9</v>
      </c>
      <c r="F8" s="19">
        <v>0.7</v>
      </c>
      <c r="G8" s="19">
        <v>1</v>
      </c>
      <c r="H8" s="19">
        <v>0.8</v>
      </c>
      <c r="I8" s="19">
        <v>0.6</v>
      </c>
      <c r="J8" s="19">
        <v>0.8</v>
      </c>
      <c r="K8" s="20">
        <v>0.6</v>
      </c>
      <c r="L8" s="19"/>
      <c r="M8" s="19"/>
      <c r="N8" s="34"/>
    </row>
    <row r="9" spans="1:14" x14ac:dyDescent="0.25">
      <c r="A9" s="12" t="s">
        <v>104</v>
      </c>
      <c r="B9" s="12">
        <v>1</v>
      </c>
      <c r="C9" s="13" t="s">
        <v>58</v>
      </c>
      <c r="D9" s="14">
        <f>185/187</f>
        <v>0.98930481283422456</v>
      </c>
      <c r="E9" s="21">
        <v>1</v>
      </c>
      <c r="F9" s="14">
        <v>1</v>
      </c>
      <c r="G9" s="21">
        <v>1</v>
      </c>
      <c r="H9" s="21">
        <v>1</v>
      </c>
      <c r="I9" s="21">
        <v>0.9</v>
      </c>
      <c r="J9" s="14">
        <v>1</v>
      </c>
      <c r="K9" s="21">
        <v>0.9</v>
      </c>
      <c r="L9" s="14">
        <f>AVERAGE(K9:K11)</f>
        <v>0.80766666666666664</v>
      </c>
      <c r="M9" s="14">
        <f>_xlfn.STDEV.S(K9:K11)</f>
        <v>8.8748708910796753E-2</v>
      </c>
      <c r="N9" s="29">
        <f>_xlfn.T.TEST(K3:K5,K9:K11,2,2)</f>
        <v>4.6303577594317608E-2</v>
      </c>
    </row>
    <row r="10" spans="1:14" x14ac:dyDescent="0.25">
      <c r="A10" s="15"/>
      <c r="B10" s="15">
        <v>2</v>
      </c>
      <c r="C10" s="22" t="s">
        <v>59</v>
      </c>
      <c r="D10" s="16">
        <f>196/271</f>
        <v>0.7232472324723247</v>
      </c>
      <c r="E10" s="38">
        <v>0.9</v>
      </c>
      <c r="F10" s="16">
        <v>0.7</v>
      </c>
      <c r="G10" s="38">
        <v>0.9</v>
      </c>
      <c r="H10" s="38">
        <v>0.9</v>
      </c>
      <c r="I10" s="38">
        <v>0.9</v>
      </c>
      <c r="J10" s="16">
        <v>0.9</v>
      </c>
      <c r="K10" s="16">
        <v>0.72299999999999998</v>
      </c>
      <c r="L10" s="16"/>
      <c r="M10" s="16"/>
      <c r="N10" s="31" t="s">
        <v>181</v>
      </c>
    </row>
    <row r="11" spans="1:14" x14ac:dyDescent="0.25">
      <c r="A11" s="17"/>
      <c r="B11" s="17">
        <v>3</v>
      </c>
      <c r="C11" s="59" t="s">
        <v>60</v>
      </c>
      <c r="D11" s="19">
        <f>302/374</f>
        <v>0.80748663101604279</v>
      </c>
      <c r="E11" s="20">
        <v>0.8</v>
      </c>
      <c r="F11" s="19">
        <v>0.8</v>
      </c>
      <c r="G11" s="19">
        <v>0.8</v>
      </c>
      <c r="H11" s="19">
        <v>0.8</v>
      </c>
      <c r="I11" s="19">
        <v>0.8</v>
      </c>
      <c r="J11" s="19">
        <v>0.8</v>
      </c>
      <c r="K11" s="20">
        <v>0.8</v>
      </c>
      <c r="L11" s="19"/>
      <c r="M11" s="19"/>
      <c r="N11" s="3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9B14-5B84-4854-8339-A1386DDD968A}">
  <dimension ref="A1:P11"/>
  <sheetViews>
    <sheetView workbookViewId="0">
      <selection activeCell="C24" sqref="C24"/>
    </sheetView>
  </sheetViews>
  <sheetFormatPr defaultRowHeight="15" x14ac:dyDescent="0.25"/>
  <cols>
    <col min="1" max="1" width="9" style="9"/>
    <col min="2" max="2" width="17" style="9" customWidth="1"/>
    <col min="3" max="3" width="14.5" style="9" customWidth="1"/>
    <col min="4" max="4" width="11.25" style="9" customWidth="1"/>
    <col min="5" max="15" width="9" style="9"/>
    <col min="16" max="16" width="15.125" style="9" customWidth="1"/>
    <col min="17" max="16384" width="9" style="9"/>
  </cols>
  <sheetData>
    <row r="1" spans="1:16" x14ac:dyDescent="0.25">
      <c r="A1" s="44" t="s">
        <v>117</v>
      </c>
      <c r="B1" s="44"/>
      <c r="C1" s="56"/>
      <c r="D1" s="44"/>
      <c r="E1" s="56"/>
      <c r="F1" s="44"/>
      <c r="G1" s="44"/>
      <c r="H1" s="44"/>
      <c r="I1" s="44"/>
      <c r="J1" s="56"/>
      <c r="K1" s="8"/>
      <c r="L1" s="8"/>
      <c r="M1" s="8"/>
      <c r="N1" s="8"/>
      <c r="O1" s="8"/>
      <c r="P1" s="44"/>
    </row>
    <row r="2" spans="1:16" x14ac:dyDescent="0.25">
      <c r="A2" s="10" t="s">
        <v>90</v>
      </c>
      <c r="B2" s="10" t="s">
        <v>89</v>
      </c>
      <c r="C2" s="10" t="s">
        <v>8</v>
      </c>
      <c r="D2" s="10" t="s">
        <v>190</v>
      </c>
      <c r="E2" s="11" t="s">
        <v>91</v>
      </c>
      <c r="F2" s="11" t="s">
        <v>92</v>
      </c>
      <c r="G2" s="11" t="s">
        <v>93</v>
      </c>
      <c r="H2" s="11" t="s">
        <v>94</v>
      </c>
      <c r="I2" s="58" t="s">
        <v>95</v>
      </c>
      <c r="J2" s="11" t="s">
        <v>96</v>
      </c>
      <c r="K2" s="11" t="s">
        <v>97</v>
      </c>
      <c r="L2" s="11" t="s">
        <v>98</v>
      </c>
      <c r="M2" s="10" t="s">
        <v>105</v>
      </c>
      <c r="N2" s="10" t="s">
        <v>84</v>
      </c>
      <c r="O2" s="10" t="s">
        <v>83</v>
      </c>
      <c r="P2" s="23" t="s">
        <v>198</v>
      </c>
    </row>
    <row r="3" spans="1:16" x14ac:dyDescent="0.25">
      <c r="A3" s="12" t="s">
        <v>101</v>
      </c>
      <c r="B3" s="12">
        <v>1</v>
      </c>
      <c r="C3" s="12" t="s">
        <v>49</v>
      </c>
      <c r="D3" s="14">
        <f>130/191</f>
        <v>0.68062827225130895</v>
      </c>
      <c r="E3" s="14">
        <v>0.9</v>
      </c>
      <c r="F3" s="14">
        <v>0.7</v>
      </c>
      <c r="G3" s="14">
        <v>0.5</v>
      </c>
      <c r="H3" s="14">
        <v>0.6</v>
      </c>
      <c r="I3" s="14">
        <v>0.6</v>
      </c>
      <c r="J3" s="14">
        <v>0.5</v>
      </c>
      <c r="K3" s="14">
        <v>0.8</v>
      </c>
      <c r="L3" s="14">
        <v>0.8</v>
      </c>
      <c r="M3" s="14">
        <v>0.1</v>
      </c>
      <c r="N3" s="14">
        <f>AVERAGE(M3:M8)</f>
        <v>0.36469816272965877</v>
      </c>
      <c r="O3" s="14">
        <f>_xlfn.STDEV.S(M3:M6)</f>
        <v>0.22758164524732041</v>
      </c>
      <c r="P3" s="29">
        <f>_xlfn.T.TEST(M3:M8,M9:M11,2,2)</f>
        <v>7.6035407880645492E-3</v>
      </c>
    </row>
    <row r="4" spans="1:16" x14ac:dyDescent="0.25">
      <c r="A4" s="15"/>
      <c r="B4" s="15">
        <v>2</v>
      </c>
      <c r="C4" s="15" t="s">
        <v>50</v>
      </c>
      <c r="D4" s="16">
        <f>35/132</f>
        <v>0.26515151515151514</v>
      </c>
      <c r="E4" s="16">
        <v>0.3</v>
      </c>
      <c r="F4" s="16">
        <v>0.3</v>
      </c>
      <c r="G4" s="16">
        <v>0.1</v>
      </c>
      <c r="H4" s="16">
        <v>0.1</v>
      </c>
      <c r="I4" s="16">
        <v>0.1</v>
      </c>
      <c r="J4" s="16">
        <v>0.3</v>
      </c>
      <c r="K4" s="16">
        <v>0.3</v>
      </c>
      <c r="L4" s="16">
        <v>0.3</v>
      </c>
      <c r="M4" s="16">
        <v>0.1</v>
      </c>
      <c r="N4" s="16"/>
      <c r="O4" s="16"/>
      <c r="P4" s="31" t="s">
        <v>183</v>
      </c>
    </row>
    <row r="5" spans="1:16" x14ac:dyDescent="0.25">
      <c r="A5" s="15"/>
      <c r="B5" s="15">
        <v>3</v>
      </c>
      <c r="C5" s="15" t="s">
        <v>51</v>
      </c>
      <c r="D5" s="16">
        <f>62/127</f>
        <v>0.48818897637795278</v>
      </c>
      <c r="E5" s="16">
        <v>0.5</v>
      </c>
      <c r="F5" s="16">
        <v>0.5</v>
      </c>
      <c r="G5" s="16">
        <v>0.5</v>
      </c>
      <c r="H5" s="16">
        <v>0.5</v>
      </c>
      <c r="I5" s="16">
        <v>0.5</v>
      </c>
      <c r="J5" s="16">
        <v>0.5</v>
      </c>
      <c r="K5" s="16">
        <v>0.5</v>
      </c>
      <c r="L5" s="16">
        <v>0.5</v>
      </c>
      <c r="M5" s="16">
        <f>62/127</f>
        <v>0.48818897637795278</v>
      </c>
      <c r="N5" s="16"/>
      <c r="O5" s="16"/>
      <c r="P5" s="31"/>
    </row>
    <row r="6" spans="1:16" x14ac:dyDescent="0.25">
      <c r="A6" s="15"/>
      <c r="B6" s="15">
        <v>4</v>
      </c>
      <c r="C6" s="15" t="s">
        <v>52</v>
      </c>
      <c r="D6" s="16">
        <f>402/405</f>
        <v>0.99259259259259258</v>
      </c>
      <c r="E6" s="16">
        <v>1</v>
      </c>
      <c r="F6" s="16">
        <v>1</v>
      </c>
      <c r="G6" s="16">
        <v>1</v>
      </c>
      <c r="H6" s="16">
        <v>0.9</v>
      </c>
      <c r="I6" s="38">
        <v>0.5</v>
      </c>
      <c r="J6" s="16">
        <v>0.9</v>
      </c>
      <c r="K6" s="16">
        <v>0.9</v>
      </c>
      <c r="L6" s="16">
        <v>0.9</v>
      </c>
      <c r="M6" s="16">
        <v>0.5</v>
      </c>
      <c r="N6" s="16"/>
      <c r="O6" s="16"/>
      <c r="P6" s="31"/>
    </row>
    <row r="7" spans="1:16" x14ac:dyDescent="0.25">
      <c r="A7" s="15"/>
      <c r="B7" s="15">
        <v>5</v>
      </c>
      <c r="C7" s="22" t="s">
        <v>53</v>
      </c>
      <c r="D7" s="16">
        <f>396/402</f>
        <v>0.9850746268656716</v>
      </c>
      <c r="E7" s="16">
        <v>1</v>
      </c>
      <c r="F7" s="16">
        <v>1</v>
      </c>
      <c r="G7" s="16">
        <v>1</v>
      </c>
      <c r="H7" s="16">
        <v>1</v>
      </c>
      <c r="I7" s="38">
        <v>1</v>
      </c>
      <c r="J7" s="16">
        <v>1</v>
      </c>
      <c r="K7" s="16">
        <v>0.6</v>
      </c>
      <c r="L7" s="16">
        <v>1</v>
      </c>
      <c r="M7" s="16">
        <v>0.6</v>
      </c>
      <c r="N7" s="16"/>
      <c r="O7" s="16"/>
      <c r="P7" s="31"/>
    </row>
    <row r="8" spans="1:16" x14ac:dyDescent="0.25">
      <c r="A8" s="17"/>
      <c r="B8" s="17">
        <v>6</v>
      </c>
      <c r="C8" s="17" t="s">
        <v>54</v>
      </c>
      <c r="D8" s="19">
        <f>163/274</f>
        <v>0.5948905109489051</v>
      </c>
      <c r="E8" s="19">
        <v>1</v>
      </c>
      <c r="F8" s="19">
        <v>0.6</v>
      </c>
      <c r="G8" s="19">
        <v>0.7</v>
      </c>
      <c r="H8" s="19">
        <v>0.5</v>
      </c>
      <c r="I8" s="19">
        <v>0.4</v>
      </c>
      <c r="J8" s="19">
        <v>0.5</v>
      </c>
      <c r="K8" s="19">
        <v>0.5</v>
      </c>
      <c r="L8" s="19">
        <v>0.7</v>
      </c>
      <c r="M8" s="19">
        <v>0.4</v>
      </c>
      <c r="N8" s="19"/>
      <c r="O8" s="19"/>
      <c r="P8" s="34"/>
    </row>
    <row r="9" spans="1:16" x14ac:dyDescent="0.25">
      <c r="A9" s="12" t="s">
        <v>106</v>
      </c>
      <c r="B9" s="12">
        <v>1</v>
      </c>
      <c r="C9" s="12" t="s">
        <v>61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21">
        <v>1</v>
      </c>
      <c r="N9" s="14">
        <f>AVERAGE(M9:M11)</f>
        <v>0.8666666666666667</v>
      </c>
      <c r="O9" s="14">
        <f>_xlfn.STDEV.S(M9:M11)</f>
        <v>0.11547005383792552</v>
      </c>
      <c r="P9" s="29"/>
    </row>
    <row r="10" spans="1:16" x14ac:dyDescent="0.25">
      <c r="A10" s="15"/>
      <c r="B10" s="15">
        <v>2</v>
      </c>
      <c r="C10" s="22" t="s">
        <v>62</v>
      </c>
      <c r="D10" s="16">
        <f>207/239</f>
        <v>0.86610878661087864</v>
      </c>
      <c r="E10" s="38">
        <v>0.9</v>
      </c>
      <c r="F10" s="61">
        <v>0.9</v>
      </c>
      <c r="G10" s="38">
        <v>0.8</v>
      </c>
      <c r="H10" s="38">
        <v>0.9</v>
      </c>
      <c r="I10" s="38">
        <v>0.9</v>
      </c>
      <c r="J10" s="38">
        <v>0.9</v>
      </c>
      <c r="K10" s="38">
        <v>0.9</v>
      </c>
      <c r="L10" s="16">
        <v>0.9</v>
      </c>
      <c r="M10" s="16">
        <v>0.8</v>
      </c>
      <c r="N10" s="16"/>
      <c r="O10" s="16"/>
      <c r="P10" s="31"/>
    </row>
    <row r="11" spans="1:16" x14ac:dyDescent="0.25">
      <c r="A11" s="17"/>
      <c r="B11" s="17">
        <v>3</v>
      </c>
      <c r="C11" s="17" t="s">
        <v>63</v>
      </c>
      <c r="D11" s="19">
        <f>353/375</f>
        <v>0.94133333333333336</v>
      </c>
      <c r="E11" s="19">
        <v>0.9</v>
      </c>
      <c r="F11" s="62">
        <v>0.9</v>
      </c>
      <c r="G11" s="19">
        <v>0.9</v>
      </c>
      <c r="H11" s="19">
        <v>0.9</v>
      </c>
      <c r="I11" s="19">
        <v>0.8</v>
      </c>
      <c r="J11" s="19">
        <v>0.9</v>
      </c>
      <c r="K11" s="19">
        <v>0.9</v>
      </c>
      <c r="L11" s="19">
        <v>0.8</v>
      </c>
      <c r="M11" s="20">
        <v>0.8</v>
      </c>
      <c r="N11" s="19"/>
      <c r="O11" s="19"/>
      <c r="P11" s="3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3D10-3F29-4DDD-A381-AA76D7BDD3B4}">
  <dimension ref="A1:K18"/>
  <sheetViews>
    <sheetView workbookViewId="0">
      <selection activeCell="C27" sqref="C27"/>
    </sheetView>
  </sheetViews>
  <sheetFormatPr defaultRowHeight="15" x14ac:dyDescent="0.25"/>
  <cols>
    <col min="1" max="1" width="13" style="9" customWidth="1"/>
    <col min="2" max="2" width="16.75" style="9" customWidth="1"/>
    <col min="3" max="3" width="14.75" style="9" customWidth="1"/>
    <col min="4" max="4" width="11.5" style="9" customWidth="1"/>
    <col min="5" max="16384" width="9" style="9"/>
  </cols>
  <sheetData>
    <row r="1" spans="1:11" x14ac:dyDescent="0.25">
      <c r="A1" s="8" t="s">
        <v>118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10" t="s">
        <v>120</v>
      </c>
      <c r="B2" s="10" t="s">
        <v>89</v>
      </c>
      <c r="C2" s="10" t="s">
        <v>8</v>
      </c>
      <c r="D2" s="10" t="s">
        <v>0</v>
      </c>
      <c r="E2" s="11" t="s">
        <v>91</v>
      </c>
      <c r="F2" s="11" t="s">
        <v>92</v>
      </c>
      <c r="G2" s="11" t="s">
        <v>93</v>
      </c>
      <c r="H2" s="11" t="s">
        <v>94</v>
      </c>
      <c r="I2" s="10" t="s">
        <v>105</v>
      </c>
      <c r="J2" s="10" t="s">
        <v>84</v>
      </c>
      <c r="K2" s="23" t="s">
        <v>83</v>
      </c>
    </row>
    <row r="3" spans="1:11" x14ac:dyDescent="0.25">
      <c r="A3" s="12" t="s">
        <v>108</v>
      </c>
      <c r="B3" s="12">
        <v>1</v>
      </c>
      <c r="C3" s="13" t="s">
        <v>64</v>
      </c>
      <c r="D3" s="14">
        <f>57/517</f>
        <v>0.1102514506769826</v>
      </c>
      <c r="E3" s="14">
        <v>1</v>
      </c>
      <c r="F3" s="14">
        <v>0.1</v>
      </c>
      <c r="G3" s="14">
        <v>0.4</v>
      </c>
      <c r="H3" s="14">
        <v>0.4</v>
      </c>
      <c r="I3" s="14">
        <f>57/517</f>
        <v>0.1102514506769826</v>
      </c>
      <c r="J3" s="14">
        <f>AVERAGE(I3:I6)</f>
        <v>7.1495917062551081E-2</v>
      </c>
      <c r="K3" s="24">
        <f>_xlfn.STDEV.S(I3:I6)</f>
        <v>8.6776590628119182E-2</v>
      </c>
    </row>
    <row r="4" spans="1:11" x14ac:dyDescent="0.25">
      <c r="A4" s="15"/>
      <c r="B4" s="15">
        <v>2</v>
      </c>
      <c r="C4" s="15" t="s">
        <v>65</v>
      </c>
      <c r="D4" s="16">
        <f>42/239</f>
        <v>0.17573221757322174</v>
      </c>
      <c r="E4" s="16">
        <v>0.9</v>
      </c>
      <c r="F4" s="16">
        <v>0.2</v>
      </c>
      <c r="G4" s="16">
        <v>0.2</v>
      </c>
      <c r="H4" s="16">
        <v>0.4</v>
      </c>
      <c r="I4" s="16">
        <f>42/239</f>
        <v>0.17573221757322174</v>
      </c>
      <c r="J4" s="16"/>
      <c r="K4" s="25"/>
    </row>
    <row r="5" spans="1:11" x14ac:dyDescent="0.25">
      <c r="A5" s="15"/>
      <c r="B5" s="15">
        <v>3</v>
      </c>
      <c r="C5" s="15" t="s">
        <v>66</v>
      </c>
      <c r="D5" s="16">
        <f>5/37</f>
        <v>0.13513513513513514</v>
      </c>
      <c r="E5" s="16">
        <v>1</v>
      </c>
      <c r="F5" s="16">
        <v>0.1</v>
      </c>
      <c r="G5" s="16">
        <v>0</v>
      </c>
      <c r="H5" s="16">
        <v>0.2</v>
      </c>
      <c r="I5" s="16">
        <v>0</v>
      </c>
      <c r="J5" s="16"/>
      <c r="K5" s="25"/>
    </row>
    <row r="6" spans="1:11" x14ac:dyDescent="0.25">
      <c r="A6" s="17"/>
      <c r="B6" s="17">
        <v>4</v>
      </c>
      <c r="C6" s="18" t="s">
        <v>67</v>
      </c>
      <c r="D6" s="19">
        <f>2/22</f>
        <v>9.0909090909090912E-2</v>
      </c>
      <c r="E6" s="19">
        <v>1</v>
      </c>
      <c r="F6" s="19">
        <v>0.1</v>
      </c>
      <c r="G6" s="19">
        <v>0.3</v>
      </c>
      <c r="H6" s="19">
        <v>0.5</v>
      </c>
      <c r="I6" s="20">
        <v>0</v>
      </c>
      <c r="J6" s="19"/>
      <c r="K6" s="26"/>
    </row>
    <row r="7" spans="1:11" x14ac:dyDescent="0.25">
      <c r="A7" s="12" t="s">
        <v>107</v>
      </c>
      <c r="B7" s="12">
        <v>1</v>
      </c>
      <c r="C7" s="12" t="s">
        <v>68</v>
      </c>
      <c r="D7" s="14">
        <f>28/85</f>
        <v>0.32941176470588235</v>
      </c>
      <c r="E7" s="14">
        <v>0.9</v>
      </c>
      <c r="F7" s="14">
        <v>0.3</v>
      </c>
      <c r="G7" s="14">
        <v>0.3</v>
      </c>
      <c r="H7" s="14">
        <v>0.7</v>
      </c>
      <c r="I7" s="21">
        <v>0.2</v>
      </c>
      <c r="J7" s="14">
        <f>AVERAGE(I7:I9)</f>
        <v>0.16447131574641069</v>
      </c>
      <c r="K7" s="24">
        <f>_xlfn.STDEV.S(I7:I9)</f>
        <v>3.2801848280609947E-2</v>
      </c>
    </row>
    <row r="8" spans="1:11" x14ac:dyDescent="0.25">
      <c r="A8" s="15"/>
      <c r="B8" s="15">
        <v>2</v>
      </c>
      <c r="C8" s="15" t="s">
        <v>69</v>
      </c>
      <c r="D8" s="16">
        <f>46/291</f>
        <v>0.15807560137457044</v>
      </c>
      <c r="E8" s="16">
        <v>1</v>
      </c>
      <c r="F8" s="16">
        <v>0.2</v>
      </c>
      <c r="G8" s="16">
        <v>0.4</v>
      </c>
      <c r="H8" s="16">
        <v>0.7</v>
      </c>
      <c r="I8" s="16">
        <f>46/291</f>
        <v>0.15807560137457044</v>
      </c>
      <c r="J8" s="16"/>
      <c r="K8" s="25"/>
    </row>
    <row r="9" spans="1:11" x14ac:dyDescent="0.25">
      <c r="A9" s="17"/>
      <c r="B9" s="17">
        <v>3</v>
      </c>
      <c r="C9" s="17" t="s">
        <v>70</v>
      </c>
      <c r="D9" s="19">
        <f>54/399</f>
        <v>0.13533834586466165</v>
      </c>
      <c r="E9" s="19">
        <v>1</v>
      </c>
      <c r="F9" s="19">
        <v>0.1</v>
      </c>
      <c r="G9" s="19">
        <v>0.2</v>
      </c>
      <c r="H9" s="19">
        <v>0.3</v>
      </c>
      <c r="I9" s="19">
        <f>54/399</f>
        <v>0.13533834586466165</v>
      </c>
      <c r="J9" s="19"/>
      <c r="K9" s="26"/>
    </row>
    <row r="10" spans="1:11" x14ac:dyDescent="0.25">
      <c r="A10" s="12" t="s">
        <v>152</v>
      </c>
      <c r="B10" s="12">
        <v>1</v>
      </c>
      <c r="C10" s="12" t="s">
        <v>71</v>
      </c>
      <c r="D10" s="14">
        <f>112/160</f>
        <v>0.7</v>
      </c>
      <c r="E10" s="14">
        <v>0.7</v>
      </c>
      <c r="F10" s="14">
        <v>0.7</v>
      </c>
      <c r="G10" s="14">
        <v>0.7</v>
      </c>
      <c r="H10" s="14">
        <v>0.7</v>
      </c>
      <c r="I10" s="14">
        <v>0.7</v>
      </c>
      <c r="J10" s="14">
        <f>AVERAGE(I10:I12)</f>
        <v>0.71765873015873005</v>
      </c>
      <c r="K10" s="24">
        <f>_xlfn.STDEV.S(I10:I12)</f>
        <v>3.0585817832069481E-2</v>
      </c>
    </row>
    <row r="11" spans="1:11" x14ac:dyDescent="0.25">
      <c r="A11" s="15"/>
      <c r="B11" s="15">
        <v>2</v>
      </c>
      <c r="C11" s="22" t="s">
        <v>72</v>
      </c>
      <c r="D11" s="16">
        <f>253/336</f>
        <v>0.75297619047619047</v>
      </c>
      <c r="E11" s="16">
        <v>1</v>
      </c>
      <c r="F11" s="16">
        <v>0.8</v>
      </c>
      <c r="G11" s="16">
        <v>1</v>
      </c>
      <c r="H11" s="16">
        <v>0.9</v>
      </c>
      <c r="I11" s="16">
        <f>253/336</f>
        <v>0.75297619047619047</v>
      </c>
      <c r="J11" s="16"/>
      <c r="K11" s="25"/>
    </row>
    <row r="12" spans="1:11" x14ac:dyDescent="0.25">
      <c r="A12" s="17"/>
      <c r="B12" s="17">
        <v>3</v>
      </c>
      <c r="C12" s="17" t="s">
        <v>73</v>
      </c>
      <c r="D12" s="19">
        <v>1</v>
      </c>
      <c r="E12" s="19">
        <v>0.7</v>
      </c>
      <c r="F12" s="19">
        <v>1</v>
      </c>
      <c r="G12" s="19">
        <v>1</v>
      </c>
      <c r="H12" s="19">
        <v>1</v>
      </c>
      <c r="I12" s="19">
        <v>0.7</v>
      </c>
      <c r="J12" s="19"/>
      <c r="K12" s="26"/>
    </row>
    <row r="13" spans="1:11" x14ac:dyDescent="0.25">
      <c r="A13" s="12" t="s">
        <v>153</v>
      </c>
      <c r="B13" s="12">
        <v>1</v>
      </c>
      <c r="C13" s="12" t="s">
        <v>74</v>
      </c>
      <c r="D13" s="14">
        <f>186/231</f>
        <v>0.80519480519480524</v>
      </c>
      <c r="E13" s="14">
        <v>0.9</v>
      </c>
      <c r="F13" s="14">
        <v>0.8</v>
      </c>
      <c r="G13" s="14">
        <v>0.8</v>
      </c>
      <c r="H13" s="14">
        <v>0.9</v>
      </c>
      <c r="I13" s="14">
        <v>0.7</v>
      </c>
      <c r="J13" s="14">
        <f>AVERAGE(I13:I15)</f>
        <v>0.69999999999999984</v>
      </c>
      <c r="K13" s="24">
        <v>0</v>
      </c>
    </row>
    <row r="14" spans="1:11" x14ac:dyDescent="0.25">
      <c r="A14" s="15"/>
      <c r="B14" s="15">
        <v>2</v>
      </c>
      <c r="C14" s="22" t="s">
        <v>75</v>
      </c>
      <c r="D14" s="16">
        <f>115/164</f>
        <v>0.70121951219512191</v>
      </c>
      <c r="E14" s="16">
        <v>0.7</v>
      </c>
      <c r="F14" s="16">
        <v>0.7</v>
      </c>
      <c r="G14" s="16">
        <v>1</v>
      </c>
      <c r="H14" s="16">
        <v>0.8</v>
      </c>
      <c r="I14" s="16">
        <v>0.7</v>
      </c>
      <c r="J14" s="16"/>
      <c r="K14" s="25"/>
    </row>
    <row r="15" spans="1:11" x14ac:dyDescent="0.25">
      <c r="A15" s="17"/>
      <c r="B15" s="17">
        <v>3</v>
      </c>
      <c r="C15" s="17" t="s">
        <v>76</v>
      </c>
      <c r="D15" s="19">
        <f>137/195</f>
        <v>0.70256410256410251</v>
      </c>
      <c r="E15" s="19">
        <v>0.8</v>
      </c>
      <c r="F15" s="19">
        <v>0.7</v>
      </c>
      <c r="G15" s="19">
        <v>0.7</v>
      </c>
      <c r="H15" s="19">
        <v>0.7</v>
      </c>
      <c r="I15" s="19">
        <v>0.7</v>
      </c>
      <c r="J15" s="19"/>
      <c r="K15" s="26"/>
    </row>
    <row r="16" spans="1:11" x14ac:dyDescent="0.25">
      <c r="A16" s="12" t="s">
        <v>154</v>
      </c>
      <c r="B16" s="12">
        <v>1</v>
      </c>
      <c r="C16" s="12" t="s">
        <v>77</v>
      </c>
      <c r="D16" s="14">
        <f>58/60</f>
        <v>0.96666666666666667</v>
      </c>
      <c r="E16" s="14">
        <v>1</v>
      </c>
      <c r="F16" s="14">
        <v>1</v>
      </c>
      <c r="G16" s="14">
        <v>1</v>
      </c>
      <c r="H16" s="14">
        <v>1</v>
      </c>
      <c r="I16" s="14">
        <f>58/60</f>
        <v>0.96666666666666667</v>
      </c>
      <c r="J16" s="14">
        <f>AVERAGE(I16:I18)</f>
        <v>0.9555555555555556</v>
      </c>
      <c r="K16" s="24">
        <f>_xlfn.STDEV.S(I16:I18)</f>
        <v>5.0917507721731543E-2</v>
      </c>
    </row>
    <row r="17" spans="1:11" x14ac:dyDescent="0.25">
      <c r="A17" s="15"/>
      <c r="B17" s="15">
        <v>2</v>
      </c>
      <c r="C17" s="22" t="s">
        <v>78</v>
      </c>
      <c r="D17" s="16">
        <v>1</v>
      </c>
      <c r="E17" s="16">
        <v>1</v>
      </c>
      <c r="F17" s="16">
        <v>1</v>
      </c>
      <c r="G17" s="16">
        <v>1</v>
      </c>
      <c r="H17" s="16">
        <v>0.9</v>
      </c>
      <c r="I17" s="16">
        <v>0.9</v>
      </c>
      <c r="J17" s="16"/>
      <c r="K17" s="25"/>
    </row>
    <row r="18" spans="1:11" x14ac:dyDescent="0.25">
      <c r="A18" s="17"/>
      <c r="B18" s="17">
        <v>3</v>
      </c>
      <c r="C18" s="17" t="s">
        <v>79</v>
      </c>
      <c r="D18" s="19">
        <v>1</v>
      </c>
      <c r="E18" s="19">
        <v>1</v>
      </c>
      <c r="F18" s="19">
        <v>1</v>
      </c>
      <c r="G18" s="19">
        <v>1</v>
      </c>
      <c r="H18" s="19">
        <v>1</v>
      </c>
      <c r="I18" s="19">
        <v>1</v>
      </c>
      <c r="J18" s="19"/>
      <c r="K18" s="26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E93E-1069-4689-9236-E1C2EE6F0F54}">
  <dimension ref="A1:M5"/>
  <sheetViews>
    <sheetView workbookViewId="0">
      <selection activeCell="D31" sqref="A1:XFD1048576"/>
    </sheetView>
  </sheetViews>
  <sheetFormatPr defaultRowHeight="15" x14ac:dyDescent="0.25"/>
  <cols>
    <col min="1" max="1" width="9" style="9"/>
    <col min="2" max="2" width="17.25" style="9" customWidth="1"/>
    <col min="3" max="3" width="16.75" style="9" customWidth="1"/>
    <col min="4" max="4" width="11.75" style="9" customWidth="1"/>
    <col min="5" max="16384" width="9" style="9"/>
  </cols>
  <sheetData>
    <row r="1" spans="1:13" x14ac:dyDescent="0.25">
      <c r="A1" s="63" t="s">
        <v>119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5">
      <c r="A2" s="64" t="s">
        <v>120</v>
      </c>
      <c r="B2" s="65" t="s">
        <v>89</v>
      </c>
      <c r="C2" s="65" t="s">
        <v>8</v>
      </c>
      <c r="D2" s="65" t="s">
        <v>0</v>
      </c>
      <c r="E2" s="66" t="s">
        <v>91</v>
      </c>
      <c r="F2" s="66" t="s">
        <v>92</v>
      </c>
      <c r="G2" s="66" t="s">
        <v>93</v>
      </c>
      <c r="H2" s="66" t="s">
        <v>94</v>
      </c>
      <c r="I2" s="67" t="s">
        <v>95</v>
      </c>
      <c r="J2" s="68" t="s">
        <v>96</v>
      </c>
      <c r="K2" s="65" t="s">
        <v>105</v>
      </c>
      <c r="L2" s="65" t="s">
        <v>84</v>
      </c>
      <c r="M2" s="64" t="s">
        <v>83</v>
      </c>
    </row>
    <row r="3" spans="1:13" x14ac:dyDescent="0.25">
      <c r="A3" s="69" t="s">
        <v>109</v>
      </c>
      <c r="B3" s="69">
        <v>1</v>
      </c>
      <c r="C3" s="69" t="s">
        <v>163</v>
      </c>
      <c r="D3" s="70">
        <v>0.85</v>
      </c>
      <c r="E3" s="70">
        <v>1</v>
      </c>
      <c r="F3" s="70">
        <v>0.8</v>
      </c>
      <c r="G3" s="70">
        <v>0.8</v>
      </c>
      <c r="H3" s="70">
        <v>0.8</v>
      </c>
      <c r="I3" s="70">
        <v>0.7</v>
      </c>
      <c r="J3" s="71">
        <v>0.8</v>
      </c>
      <c r="K3" s="72">
        <v>0.7</v>
      </c>
      <c r="L3" s="70">
        <f>AVERAGE(K3:K5)</f>
        <v>0.6</v>
      </c>
      <c r="M3" s="71">
        <f>_xlfn.STDEV.S(K3:K5)</f>
        <v>0.10000000000000005</v>
      </c>
    </row>
    <row r="4" spans="1:13" x14ac:dyDescent="0.25">
      <c r="A4" s="73"/>
      <c r="B4" s="73">
        <v>2</v>
      </c>
      <c r="C4" s="73" t="s">
        <v>162</v>
      </c>
      <c r="D4" s="74">
        <f>132/159</f>
        <v>0.83018867924528306</v>
      </c>
      <c r="E4" s="74">
        <v>0.8</v>
      </c>
      <c r="F4" s="74">
        <v>0.8</v>
      </c>
      <c r="G4" s="74">
        <v>0.8</v>
      </c>
      <c r="H4" s="74">
        <v>0.8</v>
      </c>
      <c r="I4" s="74">
        <v>0.8</v>
      </c>
      <c r="J4" s="75">
        <v>0.6</v>
      </c>
      <c r="K4" s="76">
        <v>0.6</v>
      </c>
      <c r="L4" s="73"/>
      <c r="M4" s="77"/>
    </row>
    <row r="5" spans="1:13" x14ac:dyDescent="0.25">
      <c r="A5" s="78"/>
      <c r="B5" s="78">
        <v>3</v>
      </c>
      <c r="C5" s="79" t="s">
        <v>161</v>
      </c>
      <c r="D5" s="80">
        <f>100/108</f>
        <v>0.92592592592592593</v>
      </c>
      <c r="E5" s="81">
        <v>0.8</v>
      </c>
      <c r="F5" s="80">
        <v>0.8</v>
      </c>
      <c r="G5" s="81">
        <v>0.8</v>
      </c>
      <c r="H5" s="81">
        <v>0.8</v>
      </c>
      <c r="I5" s="81">
        <v>0.6</v>
      </c>
      <c r="J5" s="82">
        <v>0.7</v>
      </c>
      <c r="K5" s="83">
        <v>0.5</v>
      </c>
      <c r="L5" s="78"/>
      <c r="M5" s="84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9A23-5FEE-41D0-B60B-053A4FF2754F}">
  <dimension ref="A1:M8"/>
  <sheetViews>
    <sheetView workbookViewId="0">
      <selection activeCell="C15" sqref="C15"/>
    </sheetView>
  </sheetViews>
  <sheetFormatPr defaultColWidth="11.75" defaultRowHeight="15" x14ac:dyDescent="0.25"/>
  <cols>
    <col min="1" max="1" width="11.75" style="9"/>
    <col min="2" max="2" width="15.25" style="9" customWidth="1"/>
    <col min="3" max="16384" width="11.75" style="9"/>
  </cols>
  <sheetData>
    <row r="1" spans="1:13" x14ac:dyDescent="0.25">
      <c r="A1" s="44" t="s">
        <v>196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5">
      <c r="A2" s="60" t="s">
        <v>90</v>
      </c>
      <c r="B2" s="60" t="s">
        <v>89</v>
      </c>
      <c r="C2" s="60" t="s">
        <v>194</v>
      </c>
      <c r="D2" s="11" t="s">
        <v>145</v>
      </c>
      <c r="E2" s="11" t="s">
        <v>146</v>
      </c>
      <c r="F2" s="11" t="s">
        <v>147</v>
      </c>
      <c r="G2" s="11" t="s">
        <v>148</v>
      </c>
      <c r="H2" s="58" t="s">
        <v>149</v>
      </c>
      <c r="I2" s="11" t="s">
        <v>150</v>
      </c>
      <c r="J2" s="10" t="s">
        <v>105</v>
      </c>
      <c r="K2" s="10" t="s">
        <v>84</v>
      </c>
      <c r="L2" s="23" t="s">
        <v>83</v>
      </c>
      <c r="M2" s="44"/>
    </row>
    <row r="3" spans="1:13" x14ac:dyDescent="0.25">
      <c r="A3" s="12" t="s">
        <v>199</v>
      </c>
      <c r="B3" s="12">
        <v>1</v>
      </c>
      <c r="C3" s="12">
        <v>239</v>
      </c>
      <c r="D3" s="14">
        <v>0.7</v>
      </c>
      <c r="E3" s="14">
        <v>0.6</v>
      </c>
      <c r="F3" s="14">
        <v>0.8</v>
      </c>
      <c r="G3" s="14">
        <v>0.8</v>
      </c>
      <c r="H3" s="14">
        <v>0.6</v>
      </c>
      <c r="I3" s="14">
        <v>0.6</v>
      </c>
      <c r="J3" s="21">
        <v>0.3</v>
      </c>
      <c r="K3" s="14">
        <f>AVERAGE(J3:J8)</f>
        <v>0.23333333333333331</v>
      </c>
      <c r="L3" s="24">
        <f>_xlfn.STDEV.S(J3:J8)</f>
        <v>0.19663841605003504</v>
      </c>
      <c r="M3" s="44"/>
    </row>
    <row r="4" spans="1:13" x14ac:dyDescent="0.25">
      <c r="A4" s="15"/>
      <c r="B4" s="15">
        <v>2</v>
      </c>
      <c r="C4" s="15">
        <v>228</v>
      </c>
      <c r="D4" s="16">
        <v>0.7</v>
      </c>
      <c r="E4" s="16">
        <v>0.6</v>
      </c>
      <c r="F4" s="16">
        <v>0.9</v>
      </c>
      <c r="G4" s="16">
        <v>0.9</v>
      </c>
      <c r="H4" s="16">
        <v>0.9</v>
      </c>
      <c r="I4" s="16">
        <v>0.8</v>
      </c>
      <c r="J4" s="38">
        <v>0.4</v>
      </c>
      <c r="K4" s="16"/>
      <c r="L4" s="33"/>
      <c r="M4" s="44"/>
    </row>
    <row r="5" spans="1:13" x14ac:dyDescent="0.25">
      <c r="A5" s="15"/>
      <c r="B5" s="15">
        <v>3</v>
      </c>
      <c r="C5" s="15">
        <v>565</v>
      </c>
      <c r="D5" s="16">
        <v>0.1</v>
      </c>
      <c r="E5" s="16">
        <v>0</v>
      </c>
      <c r="F5" s="16">
        <v>0.1</v>
      </c>
      <c r="G5" s="16">
        <v>0.1</v>
      </c>
      <c r="H5" s="16">
        <v>0.1</v>
      </c>
      <c r="I5" s="16">
        <v>0.1</v>
      </c>
      <c r="J5" s="38">
        <v>0</v>
      </c>
      <c r="K5" s="16"/>
      <c r="L5" s="33"/>
      <c r="M5" s="44"/>
    </row>
    <row r="6" spans="1:13" x14ac:dyDescent="0.25">
      <c r="A6" s="15"/>
      <c r="B6" s="15">
        <v>4</v>
      </c>
      <c r="C6" s="15">
        <v>493</v>
      </c>
      <c r="D6" s="16">
        <v>0.1</v>
      </c>
      <c r="E6" s="16">
        <v>0.1</v>
      </c>
      <c r="F6" s="16">
        <v>0.1</v>
      </c>
      <c r="G6" s="16">
        <v>0.1</v>
      </c>
      <c r="H6" s="16">
        <v>0.1</v>
      </c>
      <c r="I6" s="16">
        <v>0.1</v>
      </c>
      <c r="J6" s="38">
        <v>0.1</v>
      </c>
      <c r="K6" s="16"/>
      <c r="L6" s="33"/>
      <c r="M6" s="44"/>
    </row>
    <row r="7" spans="1:13" x14ac:dyDescent="0.25">
      <c r="A7" s="15"/>
      <c r="B7" s="15">
        <v>5</v>
      </c>
      <c r="C7" s="15">
        <v>332</v>
      </c>
      <c r="D7" s="16">
        <v>0.1</v>
      </c>
      <c r="E7" s="16">
        <v>0.1</v>
      </c>
      <c r="F7" s="16">
        <v>0.1</v>
      </c>
      <c r="G7" s="16">
        <v>0.1</v>
      </c>
      <c r="H7" s="16">
        <v>0.1</v>
      </c>
      <c r="I7" s="16">
        <v>0.1</v>
      </c>
      <c r="J7" s="38">
        <v>0.1</v>
      </c>
      <c r="K7" s="16"/>
      <c r="L7" s="33"/>
      <c r="M7" s="44"/>
    </row>
    <row r="8" spans="1:13" x14ac:dyDescent="0.25">
      <c r="A8" s="17"/>
      <c r="B8" s="17">
        <v>6</v>
      </c>
      <c r="C8" s="17">
        <v>41</v>
      </c>
      <c r="D8" s="19">
        <v>0.5</v>
      </c>
      <c r="E8" s="19">
        <v>0.5</v>
      </c>
      <c r="F8" s="19">
        <v>0.6</v>
      </c>
      <c r="G8" s="19">
        <v>0.5</v>
      </c>
      <c r="H8" s="19">
        <v>0.6</v>
      </c>
      <c r="I8" s="19">
        <v>0.6</v>
      </c>
      <c r="J8" s="20">
        <v>0.5</v>
      </c>
      <c r="K8" s="19"/>
      <c r="L8" s="47"/>
      <c r="M8" s="44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021C-CE83-4C69-A556-1B8AF023F133}">
  <dimension ref="A1:K29"/>
  <sheetViews>
    <sheetView topLeftCell="A7" workbookViewId="0">
      <selection activeCell="N10" sqref="N10"/>
    </sheetView>
  </sheetViews>
  <sheetFormatPr defaultRowHeight="15" x14ac:dyDescent="0.25"/>
  <cols>
    <col min="1" max="1" width="17" style="9" customWidth="1"/>
    <col min="2" max="16384" width="9" style="9"/>
  </cols>
  <sheetData>
    <row r="1" spans="1:11" x14ac:dyDescent="0.25">
      <c r="A1" s="8" t="s">
        <v>195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8" t="s">
        <v>191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23" t="s">
        <v>89</v>
      </c>
      <c r="B3" s="23" t="s">
        <v>128</v>
      </c>
      <c r="C3" s="23" t="s">
        <v>122</v>
      </c>
      <c r="D3" s="23" t="s">
        <v>123</v>
      </c>
      <c r="E3" s="23" t="s">
        <v>124</v>
      </c>
      <c r="F3" s="23" t="s">
        <v>125</v>
      </c>
      <c r="G3" s="23" t="s">
        <v>126</v>
      </c>
      <c r="H3" s="23" t="s">
        <v>127</v>
      </c>
      <c r="I3" s="10" t="s">
        <v>180</v>
      </c>
      <c r="J3" s="10" t="s">
        <v>84</v>
      </c>
      <c r="K3" s="23" t="s">
        <v>83</v>
      </c>
    </row>
    <row r="4" spans="1:11" x14ac:dyDescent="0.25">
      <c r="A4" s="85" t="s">
        <v>129</v>
      </c>
      <c r="B4" s="86">
        <v>2.5865499094459334</v>
      </c>
      <c r="C4" s="86">
        <v>0</v>
      </c>
      <c r="D4" s="86">
        <v>0.68665966019925773</v>
      </c>
      <c r="E4" s="86">
        <v>7.7757051388948142</v>
      </c>
      <c r="F4" s="86">
        <v>3.6391488305533688</v>
      </c>
      <c r="G4" s="86">
        <v>4.5417421283889912</v>
      </c>
      <c r="H4" s="86">
        <v>2.3245442241242245</v>
      </c>
      <c r="I4" s="87">
        <f t="shared" ref="I4:I15" si="0">SUM(B4:H4)</f>
        <v>21.554349891606591</v>
      </c>
      <c r="J4" s="88">
        <f>AVERAGE(I4:I6)</f>
        <v>19.925695249692662</v>
      </c>
      <c r="K4" s="24">
        <f>_xlfn.STDEV.S(I4:I6)</f>
        <v>1.4112289505544273</v>
      </c>
    </row>
    <row r="5" spans="1:11" x14ac:dyDescent="0.25">
      <c r="A5" s="85" t="s">
        <v>130</v>
      </c>
      <c r="B5" s="86">
        <v>2.6205222274361373</v>
      </c>
      <c r="C5" s="86">
        <v>0</v>
      </c>
      <c r="D5" s="86">
        <v>0.68278154170722538</v>
      </c>
      <c r="E5" s="86">
        <v>7.333134256584076</v>
      </c>
      <c r="F5" s="86">
        <v>1.707380447302187</v>
      </c>
      <c r="G5" s="86">
        <v>4.4281132565724421</v>
      </c>
      <c r="H5" s="86">
        <v>2.2927436524895581</v>
      </c>
      <c r="I5" s="87">
        <f t="shared" si="0"/>
        <v>19.064675382091629</v>
      </c>
      <c r="J5" s="31"/>
      <c r="K5" s="31"/>
    </row>
    <row r="6" spans="1:11" x14ac:dyDescent="0.25">
      <c r="A6" s="85" t="s">
        <v>131</v>
      </c>
      <c r="B6" s="86">
        <v>2.1752366621809762</v>
      </c>
      <c r="C6" s="86">
        <v>0</v>
      </c>
      <c r="D6" s="86">
        <v>0.8494630744947782</v>
      </c>
      <c r="E6" s="86">
        <v>7.6091011684771015</v>
      </c>
      <c r="F6" s="86">
        <v>1.7567876768906798</v>
      </c>
      <c r="G6" s="86">
        <v>4.4313708761057491</v>
      </c>
      <c r="H6" s="86">
        <v>2.3361010172304808</v>
      </c>
      <c r="I6" s="87">
        <f t="shared" si="0"/>
        <v>19.158060475379767</v>
      </c>
      <c r="J6" s="34"/>
      <c r="K6" s="34"/>
    </row>
    <row r="7" spans="1:11" x14ac:dyDescent="0.25">
      <c r="A7" s="89" t="s">
        <v>132</v>
      </c>
      <c r="B7" s="90">
        <v>18.033095863211006</v>
      </c>
      <c r="C7" s="90">
        <v>11.075130789546144</v>
      </c>
      <c r="D7" s="90">
        <v>14.591110576792566</v>
      </c>
      <c r="E7" s="90">
        <v>178.34776639765454</v>
      </c>
      <c r="F7" s="90">
        <v>183.62759203744713</v>
      </c>
      <c r="G7" s="90">
        <v>74.468562032444339</v>
      </c>
      <c r="H7" s="90">
        <v>89.480060653773236</v>
      </c>
      <c r="I7" s="90">
        <f t="shared" si="0"/>
        <v>569.62331835086889</v>
      </c>
      <c r="J7" s="91">
        <f>AVERAGE(I7:I9)</f>
        <v>491.23454742212954</v>
      </c>
      <c r="K7" s="92">
        <f>_xlfn.STDEV.S(I7:I9)</f>
        <v>67.886750540251086</v>
      </c>
    </row>
    <row r="8" spans="1:11" x14ac:dyDescent="0.25">
      <c r="A8" s="89" t="s">
        <v>133</v>
      </c>
      <c r="B8" s="90">
        <v>18.928630596893402</v>
      </c>
      <c r="C8" s="90">
        <v>11.82515494514675</v>
      </c>
      <c r="D8" s="90">
        <v>14.732945885900145</v>
      </c>
      <c r="E8" s="90">
        <v>127.7818500717201</v>
      </c>
      <c r="F8" s="90">
        <v>155.26704939411974</v>
      </c>
      <c r="G8" s="90">
        <v>56.803544516256324</v>
      </c>
      <c r="H8" s="90">
        <v>66.594482437662037</v>
      </c>
      <c r="I8" s="90">
        <f t="shared" si="0"/>
        <v>451.93365784769844</v>
      </c>
      <c r="J8" s="93"/>
      <c r="K8" s="93"/>
    </row>
    <row r="9" spans="1:11" x14ac:dyDescent="0.25">
      <c r="A9" s="89" t="s">
        <v>134</v>
      </c>
      <c r="B9" s="90">
        <v>17.719164877062067</v>
      </c>
      <c r="C9" s="90">
        <v>11.106582806155462</v>
      </c>
      <c r="D9" s="90">
        <v>13.846854205030191</v>
      </c>
      <c r="E9" s="90">
        <v>131.43793274191822</v>
      </c>
      <c r="F9" s="90">
        <v>152.88940049493448</v>
      </c>
      <c r="G9" s="90">
        <v>59.834674358500919</v>
      </c>
      <c r="H9" s="90">
        <v>65.312056584220102</v>
      </c>
      <c r="I9" s="90">
        <f t="shared" si="0"/>
        <v>452.14666606782146</v>
      </c>
      <c r="J9" s="94"/>
      <c r="K9" s="94"/>
    </row>
    <row r="10" spans="1:11" x14ac:dyDescent="0.25">
      <c r="A10" s="85" t="s">
        <v>135</v>
      </c>
      <c r="B10" s="86">
        <v>1.75302544761256</v>
      </c>
      <c r="C10" s="86">
        <v>0</v>
      </c>
      <c r="D10" s="86">
        <v>0.65204704474983333</v>
      </c>
      <c r="E10" s="86">
        <v>7.3227981781893634</v>
      </c>
      <c r="F10" s="86">
        <v>2.2488104855877165</v>
      </c>
      <c r="G10" s="86">
        <v>4.6349421286440888</v>
      </c>
      <c r="H10" s="86">
        <v>2.1814375523105967</v>
      </c>
      <c r="I10" s="87">
        <f t="shared" si="0"/>
        <v>18.79306083709416</v>
      </c>
      <c r="J10" s="88">
        <f>AVERAGE(I10:I12)</f>
        <v>15.774799401057459</v>
      </c>
      <c r="K10" s="24">
        <f>_xlfn.STDEV.S(I10:I12)</f>
        <v>2.6208971067370666</v>
      </c>
    </row>
    <row r="11" spans="1:11" x14ac:dyDescent="0.25">
      <c r="A11" s="85" t="s">
        <v>136</v>
      </c>
      <c r="B11" s="86">
        <v>1.8324903489244107</v>
      </c>
      <c r="C11" s="86">
        <v>0</v>
      </c>
      <c r="D11" s="86">
        <v>0.47085331861293306</v>
      </c>
      <c r="E11" s="86">
        <v>5.3390325011634836</v>
      </c>
      <c r="F11" s="86">
        <v>1.9360686294042098</v>
      </c>
      <c r="G11" s="86">
        <v>3.1482967462612992</v>
      </c>
      <c r="H11" s="86">
        <v>1.7304345064242947</v>
      </c>
      <c r="I11" s="87">
        <f t="shared" si="0"/>
        <v>14.457176050790633</v>
      </c>
      <c r="J11" s="31"/>
      <c r="K11" s="31"/>
    </row>
    <row r="12" spans="1:11" x14ac:dyDescent="0.25">
      <c r="A12" s="85" t="s">
        <v>137</v>
      </c>
      <c r="B12" s="86">
        <v>1.9309164893855049</v>
      </c>
      <c r="C12" s="86">
        <v>0</v>
      </c>
      <c r="D12" s="86">
        <v>0.48082110209994777</v>
      </c>
      <c r="E12" s="86">
        <v>5.5145354080514064</v>
      </c>
      <c r="F12" s="86">
        <v>1.0146824216977317</v>
      </c>
      <c r="G12" s="86">
        <v>3.2140395149620362</v>
      </c>
      <c r="H12" s="86">
        <v>1.9191663790909534</v>
      </c>
      <c r="I12" s="87">
        <f t="shared" si="0"/>
        <v>14.074161315287579</v>
      </c>
      <c r="J12" s="34"/>
      <c r="K12" s="34"/>
    </row>
    <row r="13" spans="1:11" x14ac:dyDescent="0.25">
      <c r="A13" s="89" t="s">
        <v>138</v>
      </c>
      <c r="B13" s="90">
        <v>24.960345708817975</v>
      </c>
      <c r="C13" s="90">
        <v>14.759892881686035</v>
      </c>
      <c r="D13" s="90">
        <v>25.944626188693231</v>
      </c>
      <c r="E13" s="90">
        <v>257.97450767265957</v>
      </c>
      <c r="F13" s="90">
        <v>121.60270692540239</v>
      </c>
      <c r="G13" s="90">
        <v>89.687022756258287</v>
      </c>
      <c r="H13" s="90">
        <v>36.887801798541666</v>
      </c>
      <c r="I13" s="90">
        <f t="shared" si="0"/>
        <v>571.81690393205918</v>
      </c>
      <c r="J13" s="91">
        <f>AVERAGE(I13:I15)</f>
        <v>559.51789749449745</v>
      </c>
      <c r="K13" s="92">
        <f>_xlfn.STDEV.S(I13:I15)</f>
        <v>112.04401054563515</v>
      </c>
    </row>
    <row r="14" spans="1:11" x14ac:dyDescent="0.25">
      <c r="A14" s="89" t="s">
        <v>139</v>
      </c>
      <c r="B14" s="90">
        <v>28.587094425105107</v>
      </c>
      <c r="C14" s="90">
        <v>16.63167947346605</v>
      </c>
      <c r="D14" s="90">
        <v>29.995854956225067</v>
      </c>
      <c r="E14" s="90">
        <v>310.91683580713072</v>
      </c>
      <c r="F14" s="90">
        <v>128.42293053334996</v>
      </c>
      <c r="G14" s="90">
        <v>108.96027435402202</v>
      </c>
      <c r="H14" s="90">
        <v>41.390315716267345</v>
      </c>
      <c r="I14" s="90">
        <f t="shared" si="0"/>
        <v>664.90498526556621</v>
      </c>
      <c r="J14" s="93"/>
      <c r="K14" s="93"/>
    </row>
    <row r="15" spans="1:11" x14ac:dyDescent="0.25">
      <c r="A15" s="95" t="s">
        <v>140</v>
      </c>
      <c r="B15" s="96">
        <v>20.056361179258914</v>
      </c>
      <c r="C15" s="96">
        <v>11.443537651630363</v>
      </c>
      <c r="D15" s="96">
        <v>19.956370971370223</v>
      </c>
      <c r="E15" s="96">
        <v>191.56742831007648</v>
      </c>
      <c r="F15" s="96">
        <v>105.05010697941756</v>
      </c>
      <c r="G15" s="96">
        <v>62.901635956247794</v>
      </c>
      <c r="H15" s="96">
        <v>30.856362237865543</v>
      </c>
      <c r="I15" s="96">
        <f t="shared" si="0"/>
        <v>441.8318032858669</v>
      </c>
      <c r="J15" s="93"/>
      <c r="K15" s="93"/>
    </row>
    <row r="16" spans="1:11" x14ac:dyDescent="0.25">
      <c r="A16" s="97" t="s">
        <v>197</v>
      </c>
      <c r="B16" s="98"/>
      <c r="C16" s="98"/>
      <c r="D16" s="98"/>
      <c r="E16" s="98"/>
      <c r="F16" s="98"/>
      <c r="G16" s="98"/>
      <c r="H16" s="98"/>
      <c r="I16" s="98"/>
      <c r="J16" s="97"/>
      <c r="K16" s="97"/>
    </row>
    <row r="17" spans="1:11" x14ac:dyDescent="0.25">
      <c r="A17" s="23" t="s">
        <v>89</v>
      </c>
      <c r="B17" s="99" t="s">
        <v>128</v>
      </c>
      <c r="C17" s="99" t="s">
        <v>122</v>
      </c>
      <c r="D17" s="99" t="s">
        <v>123</v>
      </c>
      <c r="E17" s="99" t="s">
        <v>124</v>
      </c>
      <c r="F17" s="99" t="s">
        <v>125</v>
      </c>
      <c r="G17" s="99" t="s">
        <v>126</v>
      </c>
      <c r="H17" s="99" t="s">
        <v>127</v>
      </c>
      <c r="I17" s="100" t="s">
        <v>180</v>
      </c>
      <c r="J17" s="100" t="s">
        <v>84</v>
      </c>
      <c r="K17" s="45" t="s">
        <v>83</v>
      </c>
    </row>
    <row r="18" spans="1:11" x14ac:dyDescent="0.25">
      <c r="A18" s="85" t="s">
        <v>129</v>
      </c>
      <c r="B18" s="101">
        <v>0.84206811364037415</v>
      </c>
      <c r="C18" s="101">
        <v>2.3375935869318614</v>
      </c>
      <c r="D18" s="101">
        <v>2.6907156721873506</v>
      </c>
      <c r="E18" s="101">
        <v>60.708361693009664</v>
      </c>
      <c r="F18" s="101">
        <v>145.37371751241525</v>
      </c>
      <c r="G18" s="101">
        <v>22.634450074365372</v>
      </c>
      <c r="H18" s="101">
        <v>79.788651087751148</v>
      </c>
      <c r="I18" s="87">
        <f t="shared" ref="I18:I29" si="1">SUM(B18:H18)</f>
        <v>314.37555774030102</v>
      </c>
      <c r="J18" s="88">
        <f>AVERAGE(I18:I20)</f>
        <v>336.02375533332503</v>
      </c>
      <c r="K18" s="24">
        <f>_xlfn.STDEV.S(I18:I20)</f>
        <v>25.827146885743471</v>
      </c>
    </row>
    <row r="19" spans="1:11" x14ac:dyDescent="0.25">
      <c r="A19" s="85" t="s">
        <v>130</v>
      </c>
      <c r="B19" s="101">
        <v>0.87943999493144964</v>
      </c>
      <c r="C19" s="101">
        <v>2.6527351281349305</v>
      </c>
      <c r="D19" s="101">
        <v>3.1110553105562442</v>
      </c>
      <c r="E19" s="101">
        <v>70.389319308793887</v>
      </c>
      <c r="F19" s="101">
        <v>168.01552882941479</v>
      </c>
      <c r="G19" s="101">
        <v>27.347735689046758</v>
      </c>
      <c r="H19" s="101">
        <v>92.215996972819909</v>
      </c>
      <c r="I19" s="87">
        <f t="shared" si="1"/>
        <v>364.61181123369795</v>
      </c>
      <c r="J19" s="31"/>
      <c r="K19" s="31"/>
    </row>
    <row r="20" spans="1:11" x14ac:dyDescent="0.25">
      <c r="A20" s="85" t="s">
        <v>131</v>
      </c>
      <c r="B20" s="101">
        <v>0.85570261347205601</v>
      </c>
      <c r="C20" s="101">
        <v>2.589153311182129</v>
      </c>
      <c r="D20" s="101">
        <v>2.8258381376070885</v>
      </c>
      <c r="E20" s="101">
        <v>61.189926752998211</v>
      </c>
      <c r="F20" s="101">
        <v>155.65376451525074</v>
      </c>
      <c r="G20" s="101">
        <v>21.882112241580295</v>
      </c>
      <c r="H20" s="101">
        <v>84.087399453885581</v>
      </c>
      <c r="I20" s="87">
        <f t="shared" si="1"/>
        <v>329.08389702597611</v>
      </c>
      <c r="J20" s="34"/>
      <c r="K20" s="34"/>
    </row>
    <row r="21" spans="1:11" x14ac:dyDescent="0.25">
      <c r="A21" s="89" t="s">
        <v>132</v>
      </c>
      <c r="B21" s="102">
        <v>8.5302538844096105</v>
      </c>
      <c r="C21" s="102">
        <v>6.7362452941979152</v>
      </c>
      <c r="D21" s="102">
        <v>13.967275440276406</v>
      </c>
      <c r="E21" s="102">
        <v>178.88587163593854</v>
      </c>
      <c r="F21" s="102">
        <v>197.8724133225665</v>
      </c>
      <c r="G21" s="102">
        <v>126.89725121495789</v>
      </c>
      <c r="H21" s="102">
        <v>185.02106202709382</v>
      </c>
      <c r="I21" s="90">
        <f t="shared" si="1"/>
        <v>717.91037281944068</v>
      </c>
      <c r="J21" s="91">
        <f>AVERAGE(I21:I23)</f>
        <v>681.00880821326564</v>
      </c>
      <c r="K21" s="92">
        <f>_xlfn.STDEV.S(I21:I23)</f>
        <v>35.151875947259782</v>
      </c>
    </row>
    <row r="22" spans="1:11" x14ac:dyDescent="0.25">
      <c r="A22" s="89" t="s">
        <v>133</v>
      </c>
      <c r="B22" s="102">
        <v>9.4663473243758958</v>
      </c>
      <c r="C22" s="102">
        <v>6.8134848510585284</v>
      </c>
      <c r="D22" s="102">
        <v>15.230758777666423</v>
      </c>
      <c r="E22" s="102">
        <v>179.64408056032116</v>
      </c>
      <c r="F22" s="102">
        <v>185.01067305351248</v>
      </c>
      <c r="G22" s="102">
        <v>117.64558667821734</v>
      </c>
      <c r="H22" s="102">
        <v>163.38814243572105</v>
      </c>
      <c r="I22" s="90">
        <f t="shared" si="1"/>
        <v>677.19907368087286</v>
      </c>
      <c r="J22" s="93"/>
      <c r="K22" s="93"/>
    </row>
    <row r="23" spans="1:11" x14ac:dyDescent="0.25">
      <c r="A23" s="89" t="s">
        <v>134</v>
      </c>
      <c r="B23" s="102">
        <v>8.3247204328334607</v>
      </c>
      <c r="C23" s="102">
        <v>6.3418032271833971</v>
      </c>
      <c r="D23" s="102">
        <v>13.423720036315023</v>
      </c>
      <c r="E23" s="102">
        <v>163.37166344901706</v>
      </c>
      <c r="F23" s="102">
        <v>179.20807900900726</v>
      </c>
      <c r="G23" s="102">
        <v>113.3502666207312</v>
      </c>
      <c r="H23" s="102">
        <v>163.89672536439613</v>
      </c>
      <c r="I23" s="90">
        <f t="shared" si="1"/>
        <v>647.9169781394836</v>
      </c>
      <c r="J23" s="94"/>
      <c r="K23" s="94"/>
    </row>
    <row r="24" spans="1:11" x14ac:dyDescent="0.25">
      <c r="A24" s="85" t="s">
        <v>135</v>
      </c>
      <c r="B24" s="101">
        <v>2.2377703006613507</v>
      </c>
      <c r="C24" s="101">
        <v>7.9509785140662332</v>
      </c>
      <c r="D24" s="101">
        <v>8.7153778849635692</v>
      </c>
      <c r="E24" s="101">
        <v>112.54247914250833</v>
      </c>
      <c r="F24" s="101">
        <v>241.64556346304323</v>
      </c>
      <c r="G24" s="101">
        <v>67.36671052449843</v>
      </c>
      <c r="H24" s="101">
        <v>170.11041724591632</v>
      </c>
      <c r="I24" s="87">
        <f t="shared" si="1"/>
        <v>610.56929707565746</v>
      </c>
      <c r="J24" s="88">
        <f>AVERAGE(I24:I26)</f>
        <v>612.54224743691429</v>
      </c>
      <c r="K24" s="24">
        <f>_xlfn.STDEV.S(I24:I26)</f>
        <v>26.138657656357331</v>
      </c>
    </row>
    <row r="25" spans="1:11" x14ac:dyDescent="0.25">
      <c r="A25" s="85" t="s">
        <v>136</v>
      </c>
      <c r="B25" s="101">
        <v>2.0492787256447627</v>
      </c>
      <c r="C25" s="101">
        <v>7.7916707539873729</v>
      </c>
      <c r="D25" s="101">
        <v>9.2530798526071507</v>
      </c>
      <c r="E25" s="101">
        <v>118.74180616398675</v>
      </c>
      <c r="F25" s="101">
        <v>257.6633063019168</v>
      </c>
      <c r="G25" s="101">
        <v>67.82011308645373</v>
      </c>
      <c r="H25" s="101">
        <v>176.29222111962414</v>
      </c>
      <c r="I25" s="87">
        <f t="shared" si="1"/>
        <v>639.61147600422066</v>
      </c>
      <c r="J25" s="31"/>
      <c r="K25" s="31"/>
    </row>
    <row r="26" spans="1:11" x14ac:dyDescent="0.25">
      <c r="A26" s="85" t="s">
        <v>137</v>
      </c>
      <c r="B26" s="101">
        <v>1.9862308559881698</v>
      </c>
      <c r="C26" s="101">
        <v>7.2357623003300731</v>
      </c>
      <c r="D26" s="101">
        <v>8.6084323972917201</v>
      </c>
      <c r="E26" s="101">
        <v>108.80191055801731</v>
      </c>
      <c r="F26" s="101">
        <v>232.44915504702118</v>
      </c>
      <c r="G26" s="101">
        <v>63.70685108341042</v>
      </c>
      <c r="H26" s="101">
        <v>164.6576269888059</v>
      </c>
      <c r="I26" s="87">
        <f t="shared" si="1"/>
        <v>587.44596923086476</v>
      </c>
      <c r="J26" s="34"/>
      <c r="K26" s="34"/>
    </row>
    <row r="27" spans="1:11" x14ac:dyDescent="0.25">
      <c r="A27" s="89" t="s">
        <v>138</v>
      </c>
      <c r="B27" s="102">
        <v>21.9244380792898</v>
      </c>
      <c r="C27" s="102">
        <v>16.220734045100393</v>
      </c>
      <c r="D27" s="102">
        <v>39.906247815696055</v>
      </c>
      <c r="E27" s="102">
        <v>302.24104007816652</v>
      </c>
      <c r="F27" s="102">
        <v>209.88457952056109</v>
      </c>
      <c r="G27" s="102">
        <v>194.63879482439557</v>
      </c>
      <c r="H27" s="102">
        <v>183.51638110223263</v>
      </c>
      <c r="I27" s="90">
        <f t="shared" si="1"/>
        <v>968.332215465442</v>
      </c>
      <c r="J27" s="91">
        <f>AVERAGE(I27:I29)</f>
        <v>943.91603600135784</v>
      </c>
      <c r="K27" s="92">
        <f>_xlfn.STDEV.S(I27:I29)</f>
        <v>25.308128487928961</v>
      </c>
    </row>
    <row r="28" spans="1:11" x14ac:dyDescent="0.25">
      <c r="A28" s="89" t="s">
        <v>139</v>
      </c>
      <c r="B28" s="102">
        <v>19.890004635259544</v>
      </c>
      <c r="C28" s="102">
        <v>14.677229073114534</v>
      </c>
      <c r="D28" s="102">
        <v>36.852482234447294</v>
      </c>
      <c r="E28" s="102">
        <v>295.33926922283496</v>
      </c>
      <c r="F28" s="102">
        <v>202.51948296933011</v>
      </c>
      <c r="G28" s="102">
        <v>196.85306731617464</v>
      </c>
      <c r="H28" s="102">
        <v>179.48284827872484</v>
      </c>
      <c r="I28" s="90">
        <f t="shared" si="1"/>
        <v>945.61438372988607</v>
      </c>
      <c r="J28" s="93"/>
      <c r="K28" s="93"/>
    </row>
    <row r="29" spans="1:11" x14ac:dyDescent="0.25">
      <c r="A29" s="89" t="s">
        <v>140</v>
      </c>
      <c r="B29" s="102">
        <v>17.173394881308038</v>
      </c>
      <c r="C29" s="102">
        <v>14.005605261982057</v>
      </c>
      <c r="D29" s="102">
        <v>35.707634794121923</v>
      </c>
      <c r="E29" s="102">
        <v>291.87514348268888</v>
      </c>
      <c r="F29" s="102">
        <v>191.92213647071873</v>
      </c>
      <c r="G29" s="102">
        <v>196.71911905866111</v>
      </c>
      <c r="H29" s="102">
        <v>170.39847485926498</v>
      </c>
      <c r="I29" s="90">
        <f t="shared" si="1"/>
        <v>917.80150880874567</v>
      </c>
      <c r="J29" s="94"/>
      <c r="K29" s="94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467F-1787-4F7C-B45E-69BAEE68DB6B}">
  <dimension ref="A1:J18"/>
  <sheetViews>
    <sheetView workbookViewId="0">
      <selection activeCell="I25" sqref="I25"/>
    </sheetView>
  </sheetViews>
  <sheetFormatPr defaultRowHeight="15" x14ac:dyDescent="0.25"/>
  <cols>
    <col min="1" max="1" width="9" style="9"/>
    <col min="2" max="2" width="9.25" style="9" customWidth="1"/>
    <col min="3" max="3" width="7.75" style="9" customWidth="1"/>
    <col min="4" max="4" width="8.25" style="9" customWidth="1"/>
    <col min="5" max="5" width="9" style="9"/>
    <col min="6" max="6" width="14" style="9" customWidth="1"/>
    <col min="7" max="7" width="12.25" style="9" customWidth="1"/>
    <col min="8" max="8" width="21.5" style="9" customWidth="1"/>
    <col min="9" max="9" width="20" style="9" customWidth="1"/>
    <col min="10" max="16384" width="9" style="9"/>
  </cols>
  <sheetData>
    <row r="1" spans="1:10" x14ac:dyDescent="0.25">
      <c r="A1" s="44" t="s">
        <v>204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23" t="s">
        <v>155</v>
      </c>
      <c r="B2" s="23" t="s">
        <v>200</v>
      </c>
      <c r="C2" s="23" t="s">
        <v>201</v>
      </c>
      <c r="D2" s="23" t="s">
        <v>202</v>
      </c>
      <c r="E2" s="23" t="s">
        <v>156</v>
      </c>
      <c r="F2" s="23" t="s">
        <v>157</v>
      </c>
      <c r="G2" s="23" t="s">
        <v>158</v>
      </c>
      <c r="H2" s="23" t="s">
        <v>159</v>
      </c>
      <c r="I2" s="23" t="s">
        <v>160</v>
      </c>
      <c r="J2" s="44"/>
    </row>
    <row r="3" spans="1:10" x14ac:dyDescent="0.25">
      <c r="A3" s="29" t="s">
        <v>164</v>
      </c>
      <c r="B3" s="103">
        <v>31.790000000000003</v>
      </c>
      <c r="C3" s="104">
        <v>14.126666666666667</v>
      </c>
      <c r="D3" s="24">
        <f t="shared" ref="D3:D18" si="0">B3-C3</f>
        <v>17.663333333333334</v>
      </c>
      <c r="E3" s="29">
        <f t="shared" ref="E3:E18" si="1">2^(-D3)</f>
        <v>4.8173349425950664E-6</v>
      </c>
      <c r="F3" s="29">
        <f>AVERAGE(E3:E6)</f>
        <v>3.8727830888095679E-6</v>
      </c>
      <c r="G3" s="29">
        <f>_xlfn.STDEV.S(E3:E6)</f>
        <v>1.0702202680121947E-6</v>
      </c>
      <c r="H3" s="29">
        <f>F3/$F$15</f>
        <v>9.8355969082147837E-5</v>
      </c>
      <c r="I3" s="29">
        <f>G3/$F$15</f>
        <v>2.7180079332574094E-5</v>
      </c>
      <c r="J3" s="8"/>
    </row>
    <row r="4" spans="1:10" x14ac:dyDescent="0.25">
      <c r="A4" s="31" t="s">
        <v>165</v>
      </c>
      <c r="B4" s="105">
        <v>32.49</v>
      </c>
      <c r="C4" s="106">
        <v>14.079999999999998</v>
      </c>
      <c r="D4" s="25">
        <f t="shared" si="0"/>
        <v>18.410000000000004</v>
      </c>
      <c r="E4" s="31">
        <f t="shared" si="1"/>
        <v>2.8710303257199538E-6</v>
      </c>
      <c r="F4" s="31"/>
      <c r="G4" s="31"/>
      <c r="H4" s="31"/>
      <c r="I4" s="31"/>
      <c r="J4" s="8"/>
    </row>
    <row r="5" spans="1:10" x14ac:dyDescent="0.25">
      <c r="A5" s="31" t="s">
        <v>166</v>
      </c>
      <c r="B5" s="105">
        <v>31.730000000000004</v>
      </c>
      <c r="C5" s="106">
        <v>14.055</v>
      </c>
      <c r="D5" s="25">
        <f t="shared" si="0"/>
        <v>17.675000000000004</v>
      </c>
      <c r="E5" s="31">
        <f t="shared" si="1"/>
        <v>4.7785356087651211E-6</v>
      </c>
      <c r="F5" s="31"/>
      <c r="G5" s="31"/>
      <c r="H5" s="31"/>
      <c r="I5" s="31"/>
      <c r="J5" s="44"/>
    </row>
    <row r="6" spans="1:10" x14ac:dyDescent="0.25">
      <c r="A6" s="34" t="s">
        <v>167</v>
      </c>
      <c r="B6" s="107">
        <v>32.520000000000003</v>
      </c>
      <c r="C6" s="108">
        <v>14.185</v>
      </c>
      <c r="D6" s="25">
        <f t="shared" si="0"/>
        <v>18.335000000000001</v>
      </c>
      <c r="E6" s="31">
        <f t="shared" si="1"/>
        <v>3.0242314781581303E-6</v>
      </c>
      <c r="F6" s="34"/>
      <c r="G6" s="34"/>
      <c r="H6" s="34"/>
      <c r="I6" s="34"/>
      <c r="J6" s="44"/>
    </row>
    <row r="7" spans="1:10" x14ac:dyDescent="0.25">
      <c r="A7" s="29" t="s">
        <v>168</v>
      </c>
      <c r="B7" s="103">
        <v>19.463333333333331</v>
      </c>
      <c r="C7" s="104">
        <v>14.08</v>
      </c>
      <c r="D7" s="24">
        <f t="shared" si="0"/>
        <v>5.3833333333333311</v>
      </c>
      <c r="E7" s="29">
        <f t="shared" si="1"/>
        <v>2.3958255385462549E-2</v>
      </c>
      <c r="F7" s="29">
        <f>AVERAGE(E7:E10)</f>
        <v>2.8832732586438373E-2</v>
      </c>
      <c r="G7" s="29">
        <f>_xlfn.STDEV.S(E7:E10)</f>
        <v>3.2826018989819167E-3</v>
      </c>
      <c r="H7" s="29">
        <f>F7/$F$15</f>
        <v>0.73225669752066369</v>
      </c>
      <c r="I7" s="29">
        <f>G7/$F$15</f>
        <v>8.3367305496189897E-2</v>
      </c>
      <c r="J7" s="44"/>
    </row>
    <row r="8" spans="1:10" x14ac:dyDescent="0.25">
      <c r="A8" s="31" t="s">
        <v>169</v>
      </c>
      <c r="B8" s="105">
        <v>19.256666666666664</v>
      </c>
      <c r="C8" s="106">
        <v>14.25</v>
      </c>
      <c r="D8" s="25">
        <f t="shared" si="0"/>
        <v>5.0066666666666642</v>
      </c>
      <c r="E8" s="31">
        <f t="shared" si="1"/>
        <v>3.110592747197596E-2</v>
      </c>
      <c r="F8" s="31"/>
      <c r="G8" s="31"/>
      <c r="H8" s="31"/>
      <c r="I8" s="31"/>
      <c r="J8" s="44"/>
    </row>
    <row r="9" spans="1:10" x14ac:dyDescent="0.25">
      <c r="A9" s="31" t="s">
        <v>170</v>
      </c>
      <c r="B9" s="105">
        <v>19.223333333333333</v>
      </c>
      <c r="C9" s="106">
        <v>14.175000000000001</v>
      </c>
      <c r="D9" s="25">
        <f t="shared" si="0"/>
        <v>5.048333333333332</v>
      </c>
      <c r="E9" s="31">
        <f t="shared" si="1"/>
        <v>3.0220402098232065E-2</v>
      </c>
      <c r="F9" s="31"/>
      <c r="G9" s="31"/>
      <c r="H9" s="31"/>
      <c r="I9" s="31"/>
      <c r="J9" s="44"/>
    </row>
    <row r="10" spans="1:10" x14ac:dyDescent="0.25">
      <c r="A10" s="34" t="s">
        <v>171</v>
      </c>
      <c r="B10" s="107">
        <v>19.366666666666667</v>
      </c>
      <c r="C10" s="108">
        <v>14.31</v>
      </c>
      <c r="D10" s="25">
        <f t="shared" si="0"/>
        <v>5.0566666666666666</v>
      </c>
      <c r="E10" s="31">
        <f t="shared" si="1"/>
        <v>3.0046345390082912E-2</v>
      </c>
      <c r="F10" s="34"/>
      <c r="G10" s="34"/>
      <c r="H10" s="34"/>
      <c r="I10" s="34"/>
      <c r="J10" s="44"/>
    </row>
    <row r="11" spans="1:10" x14ac:dyDescent="0.25">
      <c r="A11" s="29" t="s">
        <v>172</v>
      </c>
      <c r="B11" s="103">
        <v>19.22</v>
      </c>
      <c r="C11" s="104">
        <v>14.246666666666668</v>
      </c>
      <c r="D11" s="24">
        <f t="shared" si="0"/>
        <v>4.9733333333333309</v>
      </c>
      <c r="E11" s="29">
        <f t="shared" si="1"/>
        <v>3.1832994061165444E-2</v>
      </c>
      <c r="F11" s="29">
        <f>AVERAGE(E11:E14)</f>
        <v>3.0272891201265778E-2</v>
      </c>
      <c r="G11" s="29">
        <f>_xlfn.STDEV.S(E11:E14)</f>
        <v>1.1953625457348095E-3</v>
      </c>
      <c r="H11" s="29">
        <f>F11/$F$15</f>
        <v>0.76883199568353944</v>
      </c>
      <c r="I11" s="29">
        <f>G11/$F$15</f>
        <v>3.0358282117573989E-2</v>
      </c>
      <c r="J11" s="44"/>
    </row>
    <row r="12" spans="1:10" x14ac:dyDescent="0.25">
      <c r="A12" s="31" t="s">
        <v>173</v>
      </c>
      <c r="B12" s="105">
        <v>19.13</v>
      </c>
      <c r="C12" s="106">
        <v>14.093333333333334</v>
      </c>
      <c r="D12" s="25">
        <f t="shared" si="0"/>
        <v>5.0366666666666653</v>
      </c>
      <c r="E12" s="31">
        <f t="shared" si="1"/>
        <v>3.0465776741320033E-2</v>
      </c>
      <c r="F12" s="31"/>
      <c r="G12" s="31"/>
      <c r="H12" s="31"/>
      <c r="I12" s="31"/>
      <c r="J12" s="8"/>
    </row>
    <row r="13" spans="1:10" x14ac:dyDescent="0.25">
      <c r="A13" s="31" t="s">
        <v>174</v>
      </c>
      <c r="B13" s="105">
        <v>19.266666666666669</v>
      </c>
      <c r="C13" s="106">
        <v>14.160000000000002</v>
      </c>
      <c r="D13" s="25">
        <f t="shared" si="0"/>
        <v>5.1066666666666674</v>
      </c>
      <c r="E13" s="31">
        <f t="shared" si="1"/>
        <v>2.9022856563704631E-2</v>
      </c>
      <c r="F13" s="31"/>
      <c r="G13" s="31"/>
      <c r="H13" s="31"/>
      <c r="I13" s="31"/>
      <c r="J13" s="8"/>
    </row>
    <row r="14" spans="1:10" x14ac:dyDescent="0.25">
      <c r="A14" s="34" t="s">
        <v>175</v>
      </c>
      <c r="B14" s="107">
        <v>19.213333333333335</v>
      </c>
      <c r="C14" s="108">
        <v>14.143333333333333</v>
      </c>
      <c r="D14" s="25">
        <f t="shared" si="0"/>
        <v>5.0700000000000021</v>
      </c>
      <c r="E14" s="31">
        <f t="shared" si="1"/>
        <v>2.9769937438873004E-2</v>
      </c>
      <c r="F14" s="34"/>
      <c r="G14" s="34"/>
      <c r="H14" s="34"/>
      <c r="I14" s="34"/>
      <c r="J14" s="8"/>
    </row>
    <row r="15" spans="1:10" x14ac:dyDescent="0.25">
      <c r="A15" s="29" t="s">
        <v>176</v>
      </c>
      <c r="B15" s="103">
        <v>18.739999999999998</v>
      </c>
      <c r="C15" s="104">
        <v>13.925000000000001</v>
      </c>
      <c r="D15" s="24">
        <f t="shared" si="0"/>
        <v>4.8149999999999977</v>
      </c>
      <c r="E15" s="29">
        <f t="shared" si="1"/>
        <v>3.5525530413625502E-2</v>
      </c>
      <c r="F15" s="29">
        <f>AVERAGE(E15:E18)</f>
        <v>3.9375170871174911E-2</v>
      </c>
      <c r="G15" s="29">
        <f>_xlfn.STDEV.S(E15:E18)</f>
        <v>2.909500997570928E-3</v>
      </c>
      <c r="H15" s="29">
        <f>F15/$F$15</f>
        <v>1</v>
      </c>
      <c r="I15" s="29">
        <f>G15/$F$15</f>
        <v>7.3891768167560254E-2</v>
      </c>
      <c r="J15" s="8"/>
    </row>
    <row r="16" spans="1:10" x14ac:dyDescent="0.25">
      <c r="A16" s="31" t="s">
        <v>177</v>
      </c>
      <c r="B16" s="105">
        <v>18.79</v>
      </c>
      <c r="C16" s="106">
        <v>14.14</v>
      </c>
      <c r="D16" s="25">
        <f t="shared" si="0"/>
        <v>4.6499999999999986</v>
      </c>
      <c r="E16" s="31">
        <f t="shared" si="1"/>
        <v>3.9830019603726979E-2</v>
      </c>
      <c r="F16" s="31"/>
      <c r="G16" s="31"/>
      <c r="H16" s="31"/>
      <c r="I16" s="31"/>
      <c r="J16" s="8"/>
    </row>
    <row r="17" spans="1:10" x14ac:dyDescent="0.25">
      <c r="A17" s="31" t="s">
        <v>178</v>
      </c>
      <c r="B17" s="105">
        <v>18.739999999999998</v>
      </c>
      <c r="C17" s="106">
        <v>14.08</v>
      </c>
      <c r="D17" s="25">
        <f t="shared" si="0"/>
        <v>4.6599999999999984</v>
      </c>
      <c r="E17" s="31">
        <f t="shared" si="1"/>
        <v>3.955489356157129E-2</v>
      </c>
      <c r="F17" s="31"/>
      <c r="G17" s="31"/>
      <c r="H17" s="31"/>
      <c r="I17" s="31"/>
      <c r="J17" s="8"/>
    </row>
    <row r="18" spans="1:10" x14ac:dyDescent="0.25">
      <c r="A18" s="34" t="s">
        <v>179</v>
      </c>
      <c r="B18" s="107">
        <v>18.863333333333333</v>
      </c>
      <c r="C18" s="108">
        <v>14.31</v>
      </c>
      <c r="D18" s="26">
        <f t="shared" si="0"/>
        <v>4.5533333333333328</v>
      </c>
      <c r="E18" s="34">
        <f t="shared" si="1"/>
        <v>4.2590239905775866E-2</v>
      </c>
      <c r="F18" s="34"/>
      <c r="G18" s="34"/>
      <c r="H18" s="34"/>
      <c r="I18" s="34"/>
      <c r="J18" s="8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8AE5-51BF-4F2F-A226-4A6A958C1FAB}">
  <dimension ref="A1:L8"/>
  <sheetViews>
    <sheetView workbookViewId="0"/>
  </sheetViews>
  <sheetFormatPr defaultRowHeight="15" x14ac:dyDescent="0.25"/>
  <cols>
    <col min="1" max="1" width="9" style="9"/>
    <col min="2" max="2" width="17" style="9" customWidth="1"/>
    <col min="3" max="3" width="15.5" style="9" customWidth="1"/>
    <col min="4" max="4" width="11.75" style="9" customWidth="1"/>
    <col min="5" max="16384" width="9" style="9"/>
  </cols>
  <sheetData>
    <row r="1" spans="1:12" x14ac:dyDescent="0.25">
      <c r="A1" s="44" t="s">
        <v>203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23" t="s">
        <v>120</v>
      </c>
      <c r="B2" s="23" t="s">
        <v>89</v>
      </c>
      <c r="C2" s="23" t="s">
        <v>8</v>
      </c>
      <c r="D2" s="23" t="s">
        <v>0</v>
      </c>
      <c r="E2" s="28" t="s">
        <v>91</v>
      </c>
      <c r="F2" s="28" t="s">
        <v>92</v>
      </c>
      <c r="G2" s="28" t="s">
        <v>93</v>
      </c>
      <c r="H2" s="28" t="s">
        <v>94</v>
      </c>
      <c r="I2" s="23" t="s">
        <v>105</v>
      </c>
      <c r="J2" s="23" t="s">
        <v>84</v>
      </c>
      <c r="K2" s="10" t="s">
        <v>83</v>
      </c>
      <c r="L2" s="22"/>
    </row>
    <row r="3" spans="1:12" x14ac:dyDescent="0.25">
      <c r="A3" s="29" t="s">
        <v>121</v>
      </c>
      <c r="B3" s="29">
        <v>1</v>
      </c>
      <c r="C3" s="29" t="s">
        <v>80</v>
      </c>
      <c r="D3" s="24">
        <f>51/61</f>
        <v>0.83606557377049184</v>
      </c>
      <c r="E3" s="24">
        <v>0.9</v>
      </c>
      <c r="F3" s="24">
        <v>0.8</v>
      </c>
      <c r="G3" s="24">
        <v>0.8</v>
      </c>
      <c r="H3" s="49">
        <v>0.9</v>
      </c>
      <c r="I3" s="24">
        <f>51/61</f>
        <v>0.83606557377049184</v>
      </c>
      <c r="J3" s="24">
        <f>AVERAGE(I3:I5)</f>
        <v>0.83695768905401868</v>
      </c>
      <c r="K3" s="14">
        <f>_xlfn.STDEV.S(I3:I5)</f>
        <v>3.8710158654092594E-2</v>
      </c>
      <c r="L3" s="22"/>
    </row>
    <row r="4" spans="1:12" x14ac:dyDescent="0.25">
      <c r="A4" s="31"/>
      <c r="B4" s="31">
        <v>2</v>
      </c>
      <c r="C4" s="31" t="s">
        <v>81</v>
      </c>
      <c r="D4" s="25">
        <f>99/113</f>
        <v>0.87610619469026552</v>
      </c>
      <c r="E4" s="25">
        <v>0.9</v>
      </c>
      <c r="F4" s="25">
        <v>0.9</v>
      </c>
      <c r="G4" s="33">
        <v>0.9</v>
      </c>
      <c r="H4" s="33">
        <v>0.9</v>
      </c>
      <c r="I4" s="25">
        <f>99/113</f>
        <v>0.87610619469026552</v>
      </c>
      <c r="J4" s="25"/>
      <c r="K4" s="16"/>
      <c r="L4" s="22"/>
    </row>
    <row r="5" spans="1:12" x14ac:dyDescent="0.25">
      <c r="A5" s="34"/>
      <c r="B5" s="34">
        <v>3</v>
      </c>
      <c r="C5" s="34" t="s">
        <v>82</v>
      </c>
      <c r="D5" s="26">
        <f>123/154</f>
        <v>0.79870129870129869</v>
      </c>
      <c r="E5" s="26">
        <v>0.9</v>
      </c>
      <c r="F5" s="26">
        <v>0.8</v>
      </c>
      <c r="G5" s="26">
        <v>0.8</v>
      </c>
      <c r="H5" s="47">
        <v>0.9</v>
      </c>
      <c r="I5" s="26">
        <f>123/154</f>
        <v>0.79870129870129869</v>
      </c>
      <c r="J5" s="26"/>
      <c r="K5" s="19"/>
      <c r="L5" s="22"/>
    </row>
    <row r="6" spans="1:12" x14ac:dyDescent="0.25">
      <c r="A6" s="29" t="s">
        <v>141</v>
      </c>
      <c r="B6" s="29">
        <v>1</v>
      </c>
      <c r="C6" s="29" t="s">
        <v>142</v>
      </c>
      <c r="D6" s="24">
        <v>1</v>
      </c>
      <c r="E6" s="24">
        <v>0.8</v>
      </c>
      <c r="F6" s="24">
        <v>1</v>
      </c>
      <c r="G6" s="24">
        <v>1</v>
      </c>
      <c r="H6" s="49">
        <v>1</v>
      </c>
      <c r="I6" s="24">
        <v>0.8</v>
      </c>
      <c r="J6" s="24">
        <f>AVERAGE(I6:I8)</f>
        <v>0.83333333333333337</v>
      </c>
      <c r="K6" s="14">
        <f>_xlfn.STDEV.S(I6:I8)</f>
        <v>0.15275252316519425</v>
      </c>
      <c r="L6" s="22"/>
    </row>
    <row r="7" spans="1:12" x14ac:dyDescent="0.25">
      <c r="A7" s="31"/>
      <c r="B7" s="31">
        <v>2</v>
      </c>
      <c r="C7" s="31" t="s">
        <v>143</v>
      </c>
      <c r="D7" s="25">
        <v>1</v>
      </c>
      <c r="E7" s="25">
        <v>1</v>
      </c>
      <c r="F7" s="25">
        <v>1</v>
      </c>
      <c r="G7" s="33">
        <v>1</v>
      </c>
      <c r="H7" s="33">
        <v>1</v>
      </c>
      <c r="I7" s="25">
        <v>1</v>
      </c>
      <c r="J7" s="25"/>
      <c r="K7" s="16"/>
      <c r="L7" s="22"/>
    </row>
    <row r="8" spans="1:12" x14ac:dyDescent="0.25">
      <c r="A8" s="34"/>
      <c r="B8" s="34">
        <v>3</v>
      </c>
      <c r="C8" s="34" t="s">
        <v>144</v>
      </c>
      <c r="D8" s="26">
        <v>0.99563318777292575</v>
      </c>
      <c r="E8" s="26">
        <v>1</v>
      </c>
      <c r="F8" s="26">
        <v>1</v>
      </c>
      <c r="G8" s="26">
        <v>0.7</v>
      </c>
      <c r="H8" s="47">
        <v>1</v>
      </c>
      <c r="I8" s="26">
        <v>0.7</v>
      </c>
      <c r="J8" s="26"/>
      <c r="K8" s="19"/>
      <c r="L8" s="2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Fig.2b</vt:lpstr>
      <vt:lpstr>Fig.2c</vt:lpstr>
      <vt:lpstr>Fig.2d</vt:lpstr>
      <vt:lpstr>Fig.3a</vt:lpstr>
      <vt:lpstr>Fig.3b</vt:lpstr>
      <vt:lpstr>Fig.3c</vt:lpstr>
      <vt:lpstr>Fig.4b</vt:lpstr>
      <vt:lpstr>Fig.4c</vt:lpstr>
      <vt:lpstr>Fig.5b</vt:lpstr>
      <vt:lpstr>Fig.6b</vt:lpstr>
      <vt:lpstr>Supplementary Figure 2b</vt:lpstr>
      <vt:lpstr>Supplementary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2019-01-31T17:37:25Z</dcterms:modified>
</cp:coreProperties>
</file>