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i\Desktop\Editorial changes\"/>
    </mc:Choice>
  </mc:AlternateContent>
  <bookViews>
    <workbookView xWindow="0" yWindow="0" windowWidth="23040" windowHeight="8904" activeTab="6"/>
  </bookViews>
  <sheets>
    <sheet name="Figure 2" sheetId="1" r:id="rId1"/>
    <sheet name="Figure 3" sheetId="3" r:id="rId2"/>
    <sheet name="Figure 5" sheetId="4" r:id="rId3"/>
    <sheet name="Figure 6" sheetId="5" r:id="rId4"/>
    <sheet name="Figure 7" sheetId="6" r:id="rId5"/>
    <sheet name="Figure 8" sheetId="8" r:id="rId6"/>
    <sheet name="Figure 9" sheetId="9" r:id="rId7"/>
    <sheet name="Supplementary Figure 2" sheetId="10" r:id="rId8"/>
    <sheet name="Supplementary Figure 5" sheetId="2" r:id="rId9"/>
    <sheet name="Supplementary Figure 6" sheetId="11" r:id="rId10"/>
    <sheet name="Supplementary Figure 7" sheetId="12" r:id="rId11"/>
    <sheet name="Supplementary Figure 8" sheetId="13" r:id="rId12"/>
    <sheet name="Supplementary Figure 19" sheetId="7" r:id="rId13"/>
    <sheet name="Supplementary Figure 24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9" l="1"/>
  <c r="N10" i="9"/>
  <c r="J67" i="8" l="1"/>
  <c r="I67" i="8"/>
  <c r="H67" i="8"/>
  <c r="G67" i="8"/>
  <c r="F67" i="8"/>
  <c r="E67" i="8"/>
  <c r="I66" i="8"/>
  <c r="G66" i="8"/>
  <c r="E66" i="8"/>
  <c r="J65" i="8"/>
  <c r="I65" i="8"/>
  <c r="H65" i="8"/>
  <c r="G65" i="8"/>
  <c r="F65" i="8"/>
  <c r="E65" i="8"/>
  <c r="I64" i="8"/>
  <c r="G64" i="8"/>
  <c r="E64" i="8"/>
  <c r="J63" i="8"/>
  <c r="I63" i="8"/>
  <c r="H63" i="8"/>
  <c r="G63" i="8"/>
  <c r="F63" i="8"/>
  <c r="E63" i="8"/>
  <c r="I62" i="8"/>
  <c r="G62" i="8"/>
  <c r="E62" i="8"/>
  <c r="J61" i="8"/>
  <c r="I61" i="8"/>
  <c r="H61" i="8"/>
  <c r="G61" i="8"/>
  <c r="F61" i="8"/>
  <c r="E61" i="8"/>
  <c r="I60" i="8"/>
  <c r="G60" i="8"/>
  <c r="E60" i="8"/>
  <c r="J59" i="8"/>
  <c r="I59" i="8"/>
  <c r="H59" i="8"/>
  <c r="G59" i="8"/>
  <c r="F59" i="8"/>
  <c r="E59" i="8"/>
  <c r="J58" i="8"/>
  <c r="I58" i="8"/>
  <c r="H58" i="8"/>
  <c r="G58" i="8"/>
  <c r="F58" i="8"/>
  <c r="E58" i="8"/>
  <c r="I57" i="8"/>
  <c r="G57" i="8"/>
  <c r="E57" i="8"/>
  <c r="I56" i="8"/>
  <c r="G56" i="8"/>
  <c r="E56" i="8"/>
  <c r="J49" i="8"/>
  <c r="I49" i="8"/>
  <c r="H49" i="8"/>
  <c r="G49" i="8"/>
  <c r="F49" i="8"/>
  <c r="E49" i="8"/>
  <c r="I48" i="8"/>
  <c r="G48" i="8"/>
  <c r="E48" i="8"/>
  <c r="J47" i="8"/>
  <c r="I47" i="8"/>
  <c r="H47" i="8"/>
  <c r="G47" i="8"/>
  <c r="F47" i="8"/>
  <c r="E47" i="8"/>
  <c r="I46" i="8"/>
  <c r="G46" i="8"/>
  <c r="E46" i="8"/>
  <c r="J45" i="8"/>
  <c r="I45" i="8"/>
  <c r="H45" i="8"/>
  <c r="G45" i="8"/>
  <c r="F45" i="8"/>
  <c r="E45" i="8"/>
  <c r="I44" i="8"/>
  <c r="G44" i="8"/>
  <c r="E44" i="8"/>
  <c r="J43" i="8"/>
  <c r="I43" i="8"/>
  <c r="H43" i="8"/>
  <c r="G43" i="8"/>
  <c r="F43" i="8"/>
  <c r="E43" i="8"/>
  <c r="I42" i="8"/>
  <c r="G42" i="8"/>
  <c r="E42" i="8"/>
  <c r="J41" i="8"/>
  <c r="I41" i="8"/>
  <c r="H41" i="8"/>
  <c r="G41" i="8"/>
  <c r="F41" i="8"/>
  <c r="E41" i="8"/>
  <c r="J40" i="8"/>
  <c r="I40" i="8"/>
  <c r="H40" i="8"/>
  <c r="G40" i="8"/>
  <c r="F40" i="8"/>
  <c r="E40" i="8"/>
  <c r="I39" i="8"/>
  <c r="G39" i="8"/>
  <c r="E39" i="8"/>
  <c r="I38" i="8"/>
  <c r="G38" i="8"/>
  <c r="E38" i="8"/>
  <c r="J31" i="8"/>
  <c r="I31" i="8"/>
  <c r="H31" i="8"/>
  <c r="G31" i="8"/>
  <c r="F31" i="8"/>
  <c r="E31" i="8"/>
  <c r="I30" i="8"/>
  <c r="G30" i="8"/>
  <c r="E30" i="8"/>
  <c r="J29" i="8"/>
  <c r="I29" i="8"/>
  <c r="H29" i="8"/>
  <c r="G29" i="8"/>
  <c r="F29" i="8"/>
  <c r="E29" i="8"/>
  <c r="I28" i="8"/>
  <c r="G28" i="8"/>
  <c r="E28" i="8"/>
  <c r="J27" i="8"/>
  <c r="I27" i="8"/>
  <c r="H27" i="8"/>
  <c r="G27" i="8"/>
  <c r="F27" i="8"/>
  <c r="E27" i="8"/>
  <c r="G26" i="8"/>
  <c r="E26" i="8"/>
  <c r="J25" i="8"/>
  <c r="I25" i="8"/>
  <c r="H25" i="8"/>
  <c r="G25" i="8"/>
  <c r="F25" i="8"/>
  <c r="E25" i="8"/>
  <c r="I24" i="8"/>
  <c r="G24" i="8"/>
  <c r="E24" i="8"/>
  <c r="J23" i="8"/>
  <c r="I23" i="8"/>
  <c r="H23" i="8"/>
  <c r="G23" i="8"/>
  <c r="F23" i="8"/>
  <c r="E23" i="8"/>
  <c r="J22" i="8"/>
  <c r="I22" i="8"/>
  <c r="H22" i="8"/>
  <c r="G22" i="8"/>
  <c r="F22" i="8"/>
  <c r="E22" i="8"/>
  <c r="I21" i="8"/>
  <c r="G21" i="8"/>
  <c r="E21" i="8"/>
  <c r="I20" i="8"/>
  <c r="G20" i="8"/>
  <c r="E20" i="8"/>
  <c r="J14" i="8"/>
  <c r="I14" i="8"/>
  <c r="H14" i="8"/>
  <c r="G14" i="8"/>
  <c r="F14" i="8"/>
  <c r="E14" i="8"/>
  <c r="I13" i="8"/>
  <c r="G13" i="8"/>
  <c r="E13" i="8"/>
  <c r="J12" i="8"/>
  <c r="I12" i="8"/>
  <c r="H12" i="8"/>
  <c r="G12" i="8"/>
  <c r="F12" i="8"/>
  <c r="E12" i="8"/>
  <c r="I11" i="8"/>
  <c r="G11" i="8"/>
  <c r="E11" i="8"/>
  <c r="J10" i="8"/>
  <c r="I10" i="8"/>
  <c r="H10" i="8"/>
  <c r="G10" i="8"/>
  <c r="F10" i="8"/>
  <c r="E10" i="8"/>
  <c r="I9" i="8"/>
  <c r="G9" i="8"/>
  <c r="E9" i="8"/>
  <c r="J8" i="8"/>
  <c r="I8" i="8"/>
  <c r="H8" i="8"/>
  <c r="G8" i="8"/>
  <c r="F8" i="8"/>
  <c r="E8" i="8"/>
  <c r="I7" i="8"/>
  <c r="G7" i="8"/>
  <c r="E7" i="8"/>
  <c r="J6" i="8"/>
  <c r="I6" i="8"/>
  <c r="H6" i="8"/>
  <c r="G6" i="8"/>
  <c r="F6" i="8"/>
  <c r="E6" i="8"/>
  <c r="J5" i="8"/>
  <c r="I5" i="8"/>
  <c r="H5" i="8"/>
  <c r="G5" i="8"/>
  <c r="F5" i="8"/>
  <c r="E5" i="8"/>
  <c r="I4" i="8"/>
  <c r="G4" i="8"/>
  <c r="E4" i="8"/>
  <c r="I3" i="8"/>
  <c r="G3" i="8"/>
  <c r="E3" i="8"/>
  <c r="L10" i="9" l="1"/>
  <c r="L12" i="9"/>
  <c r="D13" i="12" l="1"/>
  <c r="D12" i="12"/>
  <c r="D11" i="12"/>
  <c r="D10" i="12"/>
  <c r="D9" i="12"/>
  <c r="D8" i="12"/>
  <c r="D7" i="12"/>
  <c r="D6" i="12"/>
  <c r="D5" i="12"/>
  <c r="E4" i="12"/>
  <c r="E3" i="12"/>
  <c r="E2" i="12"/>
  <c r="K4" i="12"/>
  <c r="K3" i="12"/>
  <c r="L4" i="12"/>
  <c r="L3" i="12"/>
  <c r="L2" i="12"/>
  <c r="K2" i="12"/>
  <c r="D4" i="12"/>
  <c r="D3" i="12"/>
  <c r="D2" i="12"/>
  <c r="E13" i="12"/>
  <c r="E12" i="12"/>
  <c r="E11" i="12"/>
  <c r="E10" i="12"/>
  <c r="E9" i="12"/>
  <c r="E8" i="12"/>
  <c r="E7" i="12"/>
  <c r="E6" i="12"/>
  <c r="E5" i="12"/>
  <c r="L13" i="12"/>
  <c r="K13" i="12"/>
  <c r="L12" i="12"/>
  <c r="K12" i="12"/>
  <c r="L11" i="12"/>
  <c r="K11" i="12"/>
  <c r="L10" i="12"/>
  <c r="K10" i="12"/>
  <c r="L9" i="12"/>
  <c r="K9" i="12"/>
  <c r="L8" i="12"/>
  <c r="K8" i="12"/>
  <c r="L7" i="12"/>
  <c r="K7" i="12"/>
  <c r="L6" i="12"/>
  <c r="K6" i="12"/>
  <c r="L5" i="12"/>
  <c r="K5" i="12"/>
  <c r="H5" i="11"/>
  <c r="D8" i="11"/>
  <c r="D7" i="11"/>
  <c r="D5" i="11"/>
  <c r="D4" i="11"/>
  <c r="C8" i="11"/>
  <c r="C7" i="11"/>
  <c r="C6" i="11"/>
  <c r="C5" i="11"/>
  <c r="C4" i="11"/>
  <c r="C3" i="11"/>
  <c r="H8" i="11"/>
  <c r="G8" i="11"/>
  <c r="F8" i="11"/>
  <c r="E8" i="11"/>
  <c r="H7" i="11"/>
  <c r="G7" i="11"/>
  <c r="F7" i="11"/>
  <c r="E7" i="11"/>
  <c r="H6" i="11"/>
  <c r="G6" i="11"/>
  <c r="F6" i="11"/>
  <c r="E6" i="11"/>
  <c r="D6" i="11"/>
  <c r="G5" i="11"/>
  <c r="F5" i="11"/>
  <c r="E5" i="11"/>
  <c r="H4" i="11"/>
  <c r="G4" i="11"/>
  <c r="F4" i="11"/>
  <c r="E4" i="11"/>
  <c r="H3" i="11"/>
  <c r="G3" i="11"/>
  <c r="F3" i="11"/>
  <c r="E3" i="11"/>
  <c r="D3" i="11"/>
  <c r="N11" i="9" l="1"/>
  <c r="L11" i="9"/>
  <c r="D5" i="9"/>
  <c r="D4" i="9"/>
  <c r="D3" i="9"/>
  <c r="N5" i="9"/>
  <c r="N4" i="9"/>
  <c r="N3" i="9"/>
  <c r="M5" i="9"/>
  <c r="M4" i="9"/>
  <c r="M3" i="9"/>
  <c r="I5" i="9"/>
  <c r="F36" i="7" l="1"/>
  <c r="F32" i="7"/>
  <c r="F12" i="7"/>
  <c r="E36" i="7"/>
  <c r="E32" i="7"/>
  <c r="D32" i="7"/>
  <c r="D36" i="7"/>
  <c r="D34" i="7"/>
  <c r="G19" i="7"/>
  <c r="G18" i="7"/>
  <c r="G17" i="7"/>
  <c r="G16" i="7"/>
  <c r="G15" i="7"/>
  <c r="G13" i="7"/>
  <c r="G11" i="7"/>
  <c r="F16" i="7"/>
  <c r="F14" i="7"/>
  <c r="F10" i="7"/>
  <c r="F7" i="7"/>
  <c r="F5" i="7"/>
  <c r="F3" i="7"/>
  <c r="E14" i="7"/>
  <c r="E12" i="7"/>
  <c r="E10" i="7"/>
  <c r="D20" i="7"/>
  <c r="D18" i="7"/>
  <c r="D16" i="7"/>
  <c r="D10" i="7"/>
  <c r="D9" i="7"/>
  <c r="F9" i="7"/>
  <c r="D13" i="7"/>
  <c r="D11" i="7"/>
  <c r="F42" i="6"/>
  <c r="F40" i="6"/>
  <c r="G36" i="6"/>
  <c r="G34" i="6"/>
  <c r="D42" i="6"/>
  <c r="D40" i="6"/>
  <c r="D38" i="6"/>
  <c r="E36" i="6"/>
  <c r="E34" i="6"/>
  <c r="E32" i="6"/>
  <c r="D13" i="6"/>
  <c r="D11" i="6"/>
  <c r="D9" i="6"/>
  <c r="E19" i="6"/>
  <c r="E17" i="6"/>
  <c r="E15" i="6"/>
  <c r="E14" i="6"/>
  <c r="E12" i="6"/>
  <c r="E10" i="6"/>
  <c r="F19" i="6"/>
  <c r="F17" i="6"/>
  <c r="F15" i="6"/>
  <c r="F14" i="6"/>
  <c r="F12" i="6"/>
  <c r="F10" i="6"/>
  <c r="G19" i="6"/>
  <c r="G17" i="6"/>
  <c r="G15" i="6"/>
  <c r="G13" i="6"/>
  <c r="G11" i="6"/>
  <c r="G9" i="6"/>
  <c r="D3" i="7"/>
  <c r="E3" i="7"/>
  <c r="G3" i="7"/>
  <c r="D5" i="7"/>
  <c r="E5" i="7"/>
  <c r="G5" i="7"/>
  <c r="D7" i="7"/>
  <c r="E7" i="7"/>
  <c r="G7" i="7"/>
  <c r="E9" i="7"/>
  <c r="G9" i="7"/>
  <c r="G10" i="7"/>
  <c r="E11" i="7"/>
  <c r="F11" i="7"/>
  <c r="D12" i="7"/>
  <c r="G12" i="7"/>
  <c r="E13" i="7"/>
  <c r="F13" i="7"/>
  <c r="D14" i="7"/>
  <c r="G14" i="7"/>
  <c r="E16" i="7"/>
  <c r="E18" i="7"/>
  <c r="F18" i="7"/>
  <c r="E20" i="7"/>
  <c r="F20" i="7"/>
  <c r="G20" i="7"/>
  <c r="G32" i="7"/>
  <c r="E34" i="7"/>
  <c r="G34" i="7"/>
  <c r="F34" i="7"/>
  <c r="G36" i="7"/>
  <c r="D38" i="7"/>
  <c r="E38" i="7"/>
  <c r="F38" i="7"/>
  <c r="G38" i="7"/>
  <c r="D40" i="7"/>
  <c r="E40" i="7"/>
  <c r="F40" i="7"/>
  <c r="G40" i="7"/>
  <c r="D42" i="7"/>
  <c r="E42" i="7"/>
  <c r="F42" i="7"/>
  <c r="G42" i="7"/>
  <c r="G42" i="6"/>
  <c r="E42" i="6"/>
  <c r="G40" i="6"/>
  <c r="E40" i="6"/>
  <c r="G38" i="6"/>
  <c r="F38" i="6"/>
  <c r="E38" i="6"/>
  <c r="F36" i="6"/>
  <c r="F34" i="6"/>
  <c r="G32" i="6"/>
  <c r="F32" i="6"/>
  <c r="G20" i="6"/>
  <c r="F20" i="6"/>
  <c r="E20" i="6"/>
  <c r="D20" i="6"/>
  <c r="G18" i="6"/>
  <c r="F18" i="6"/>
  <c r="E18" i="6"/>
  <c r="D18" i="6"/>
  <c r="G16" i="6"/>
  <c r="F16" i="6"/>
  <c r="E16" i="6"/>
  <c r="D16" i="6"/>
  <c r="G14" i="6"/>
  <c r="D14" i="6"/>
  <c r="F13" i="6"/>
  <c r="E13" i="6"/>
  <c r="G12" i="6"/>
  <c r="D12" i="6"/>
  <c r="F11" i="6"/>
  <c r="E11" i="6"/>
  <c r="G10" i="6"/>
  <c r="D10" i="6"/>
  <c r="F9" i="6"/>
  <c r="E9" i="6"/>
  <c r="G7" i="6"/>
  <c r="F7" i="6"/>
  <c r="E7" i="6"/>
  <c r="D7" i="6"/>
  <c r="G5" i="6"/>
  <c r="F5" i="6"/>
  <c r="E5" i="6"/>
  <c r="D5" i="6"/>
  <c r="G3" i="6"/>
  <c r="F3" i="6"/>
  <c r="E3" i="6"/>
  <c r="D3" i="6"/>
  <c r="E22" i="4" l="1"/>
  <c r="E20" i="4"/>
  <c r="E18" i="4"/>
  <c r="F39" i="2" l="1"/>
  <c r="F35" i="2"/>
  <c r="G42" i="1"/>
  <c r="G38" i="1"/>
  <c r="G40" i="1"/>
  <c r="D18" i="1"/>
  <c r="D42" i="1"/>
  <c r="G34" i="1"/>
  <c r="G32" i="1"/>
  <c r="G14" i="1"/>
  <c r="G36" i="1"/>
  <c r="G18" i="1"/>
  <c r="G16" i="1"/>
  <c r="F20" i="1"/>
  <c r="F18" i="1"/>
  <c r="F17" i="1"/>
  <c r="F16" i="1"/>
  <c r="F15" i="1"/>
  <c r="E19" i="1"/>
  <c r="E17" i="1"/>
  <c r="D16" i="1"/>
  <c r="D20" i="1"/>
  <c r="D10" i="1"/>
  <c r="D14" i="1"/>
  <c r="D12" i="1"/>
  <c r="D9" i="1"/>
  <c r="E12" i="1"/>
  <c r="E14" i="1"/>
  <c r="E13" i="1"/>
  <c r="F13" i="1"/>
  <c r="F14" i="1"/>
  <c r="G13" i="1"/>
  <c r="G12" i="1"/>
  <c r="G10" i="1"/>
  <c r="G7" i="2"/>
  <c r="G5" i="2"/>
  <c r="G3" i="2"/>
  <c r="D3" i="2"/>
  <c r="E3" i="2"/>
  <c r="F3" i="2"/>
  <c r="D5" i="2"/>
  <c r="E5" i="2"/>
  <c r="F5" i="2"/>
  <c r="D7" i="2"/>
  <c r="E7" i="2"/>
  <c r="F7" i="2"/>
  <c r="D9" i="2"/>
  <c r="E9" i="2"/>
  <c r="F9" i="2"/>
  <c r="G9" i="2"/>
  <c r="D10" i="2"/>
  <c r="E10" i="2"/>
  <c r="F10" i="2"/>
  <c r="G10" i="2"/>
  <c r="D11" i="2"/>
  <c r="E11" i="2"/>
  <c r="F11" i="2"/>
  <c r="G11" i="2"/>
  <c r="D12" i="2"/>
  <c r="E12" i="2"/>
  <c r="F12" i="2"/>
  <c r="G12" i="2"/>
  <c r="D13" i="2"/>
  <c r="E13" i="2"/>
  <c r="F13" i="2"/>
  <c r="G13" i="2"/>
  <c r="D14" i="2"/>
  <c r="E14" i="2"/>
  <c r="F14" i="2"/>
  <c r="G14" i="2"/>
  <c r="G15" i="2"/>
  <c r="D16" i="2"/>
  <c r="E16" i="2"/>
  <c r="F16" i="2"/>
  <c r="G16" i="2"/>
  <c r="G17" i="2"/>
  <c r="D18" i="2"/>
  <c r="E18" i="2"/>
  <c r="F18" i="2"/>
  <c r="G18" i="2"/>
  <c r="G19" i="2"/>
  <c r="D20" i="2"/>
  <c r="E20" i="2"/>
  <c r="F20" i="2"/>
  <c r="G20" i="2"/>
  <c r="D31" i="2"/>
  <c r="E31" i="2"/>
  <c r="F31" i="2"/>
  <c r="G31" i="2"/>
  <c r="D33" i="2"/>
  <c r="E33" i="2"/>
  <c r="F33" i="2"/>
  <c r="G33" i="2"/>
  <c r="D35" i="2"/>
  <c r="E35" i="2"/>
  <c r="G35" i="2"/>
  <c r="D37" i="2"/>
  <c r="E37" i="2"/>
  <c r="F37" i="2"/>
  <c r="G37" i="2"/>
  <c r="D39" i="2"/>
  <c r="E39" i="2"/>
  <c r="G39" i="2"/>
  <c r="D41" i="2"/>
  <c r="E41" i="2"/>
  <c r="F41" i="2"/>
  <c r="G41" i="2"/>
  <c r="F42" i="1"/>
  <c r="E42" i="1"/>
  <c r="F40" i="1"/>
  <c r="E40" i="1"/>
  <c r="D40" i="1"/>
  <c r="F38" i="1"/>
  <c r="E38" i="1"/>
  <c r="D38" i="1"/>
  <c r="F36" i="1"/>
  <c r="E36" i="1"/>
  <c r="F34" i="1"/>
  <c r="E34" i="1"/>
  <c r="F32" i="1"/>
  <c r="E32" i="1"/>
  <c r="G20" i="1"/>
  <c r="E20" i="1"/>
  <c r="G19" i="1"/>
  <c r="F19" i="1"/>
  <c r="E18" i="1"/>
  <c r="G17" i="1"/>
  <c r="E16" i="1"/>
  <c r="G15" i="1"/>
  <c r="E15" i="1"/>
  <c r="D13" i="1"/>
  <c r="F12" i="1"/>
  <c r="G11" i="1"/>
  <c r="F11" i="1"/>
  <c r="E11" i="1"/>
  <c r="D11" i="1"/>
  <c r="F10" i="1"/>
  <c r="E10" i="1"/>
  <c r="G9" i="1"/>
  <c r="F9" i="1"/>
  <c r="E9" i="1"/>
  <c r="G7" i="1"/>
  <c r="F7" i="1"/>
  <c r="E7" i="1"/>
  <c r="G5" i="1"/>
  <c r="F5" i="1"/>
  <c r="E5" i="1"/>
  <c r="G3" i="1"/>
  <c r="F3" i="1"/>
  <c r="E3" i="1"/>
</calcChain>
</file>

<file path=xl/sharedStrings.xml><?xml version="1.0" encoding="utf-8"?>
<sst xmlns="http://schemas.openxmlformats.org/spreadsheetml/2006/main" count="840" uniqueCount="117">
  <si>
    <t>24h</t>
  </si>
  <si>
    <t>48h</t>
  </si>
  <si>
    <t>72h</t>
  </si>
  <si>
    <t>96h</t>
  </si>
  <si>
    <t>-</t>
  </si>
  <si>
    <t>PA</t>
  </si>
  <si>
    <t>IA</t>
  </si>
  <si>
    <t>BA</t>
  </si>
  <si>
    <t>3610 vs PCL1606</t>
  </si>
  <si>
    <t>Replicate</t>
  </si>
  <si>
    <t>Strain</t>
  </si>
  <si>
    <t>CFU/ml</t>
  </si>
  <si>
    <t>Spores</t>
  </si>
  <si>
    <t>Δmatrix</t>
  </si>
  <si>
    <t>Δmatrix vs PCL1606</t>
  </si>
  <si>
    <t>PCL1606</t>
  </si>
  <si>
    <t>Minutes</t>
  </si>
  <si>
    <t>Figure 3e</t>
  </si>
  <si>
    <t>3610 (cfp)</t>
  </si>
  <si>
    <t>3610 (cfp) SD</t>
  </si>
  <si>
    <t>PCL1606 (DsRed)</t>
  </si>
  <si>
    <t>PCL1606 (DsRed) SD</t>
  </si>
  <si>
    <t>Time (min)</t>
  </si>
  <si>
    <t>Figure 3f</t>
  </si>
  <si>
    <t>Δmatrix (cfp)</t>
  </si>
  <si>
    <t>Δmatrix (cfp) SD</t>
  </si>
  <si>
    <t>CFU</t>
  </si>
  <si>
    <t>ΔmatrixΔsurf</t>
  </si>
  <si>
    <t>PCL1606 vs ΔmatrixΔsurf</t>
  </si>
  <si>
    <t>Figure 5e</t>
  </si>
  <si>
    <t>PCL1606 vs Δmatrix</t>
  </si>
  <si>
    <t>Figure 5f</t>
  </si>
  <si>
    <t>Negative control</t>
  </si>
  <si>
    <t>Surfactin (1 mg/ml)</t>
  </si>
  <si>
    <t>Surfactin SD</t>
  </si>
  <si>
    <t>Negative Control SD</t>
  </si>
  <si>
    <t>Area</t>
  </si>
  <si>
    <t>Mean</t>
  </si>
  <si>
    <t>Min</t>
  </si>
  <si>
    <t>Max</t>
  </si>
  <si>
    <t>IntDen</t>
  </si>
  <si>
    <t>RawIntDen</t>
  </si>
  <si>
    <t>Mean Intensity</t>
  </si>
  <si>
    <t>PCL1606 single colony</t>
  </si>
  <si>
    <t>PCL1606 vs 3610</t>
  </si>
  <si>
    <r>
      <t xml:space="preserve">PCL1606 vs </t>
    </r>
    <r>
      <rPr>
        <sz val="11"/>
        <color theme="1"/>
        <rFont val="Calibri"/>
        <family val="2"/>
      </rPr>
      <t>Δ</t>
    </r>
    <r>
      <rPr>
        <sz val="9.35"/>
        <color theme="1"/>
        <rFont val="Calibri"/>
        <family val="2"/>
      </rPr>
      <t>matrix</t>
    </r>
  </si>
  <si>
    <t>PCL1606 single colony_1</t>
  </si>
  <si>
    <t>PCL1606 single colony_2</t>
  </si>
  <si>
    <t>PCL1606 single colony_3</t>
  </si>
  <si>
    <r>
      <t xml:space="preserve">PCL1606 vs </t>
    </r>
    <r>
      <rPr>
        <sz val="11"/>
        <color theme="1"/>
        <rFont val="Calibri"/>
        <family val="2"/>
      </rPr>
      <t>Δ</t>
    </r>
    <r>
      <rPr>
        <sz val="9.35"/>
        <color theme="1"/>
        <rFont val="Calibri"/>
        <family val="2"/>
      </rPr>
      <t>matrix_1</t>
    </r>
  </si>
  <si>
    <r>
      <t xml:space="preserve">PCL1606 vs </t>
    </r>
    <r>
      <rPr>
        <sz val="11"/>
        <color theme="1"/>
        <rFont val="Calibri"/>
        <family val="2"/>
      </rPr>
      <t>Δ</t>
    </r>
    <r>
      <rPr>
        <sz val="9.35"/>
        <color theme="1"/>
        <rFont val="Calibri"/>
        <family val="2"/>
      </rPr>
      <t>matrix_2</t>
    </r>
    <r>
      <rPr>
        <sz val="11"/>
        <color theme="1"/>
        <rFont val="Calibri"/>
        <family val="2"/>
        <scheme val="minor"/>
      </rPr>
      <t/>
    </r>
  </si>
  <si>
    <r>
      <t xml:space="preserve">PCL1606 vs </t>
    </r>
    <r>
      <rPr>
        <sz val="11"/>
        <color theme="1"/>
        <rFont val="Calibri"/>
        <family val="2"/>
      </rPr>
      <t>Δ</t>
    </r>
    <r>
      <rPr>
        <sz val="9.35"/>
        <color theme="1"/>
        <rFont val="Calibri"/>
        <family val="2"/>
      </rPr>
      <t>matrix_3</t>
    </r>
    <r>
      <rPr>
        <sz val="11"/>
        <color theme="1"/>
        <rFont val="Calibri"/>
        <family val="2"/>
        <scheme val="minor"/>
      </rPr>
      <t/>
    </r>
  </si>
  <si>
    <t>PCL1606 vs 3610_1</t>
  </si>
  <si>
    <t>PCL1606 vs 3610_2</t>
  </si>
  <si>
    <t>PCL1606 vs 3610_3</t>
  </si>
  <si>
    <t>PCL1606 vs 3610_4</t>
  </si>
  <si>
    <t>PCL1606 single colony_4</t>
  </si>
  <si>
    <t>SD</t>
  </si>
  <si>
    <t>Figure 6e</t>
  </si>
  <si>
    <t>ΔT6SS vs Δmatrix</t>
  </si>
  <si>
    <t>ΔT6SS</t>
  </si>
  <si>
    <t>3610 vs ΔT6SS</t>
  </si>
  <si>
    <t>0h</t>
  </si>
  <si>
    <t>2d</t>
  </si>
  <si>
    <t>9d</t>
  </si>
  <si>
    <t xml:space="preserve">ΔT6SS </t>
  </si>
  <si>
    <t>PCL1606-3610</t>
  </si>
  <si>
    <t>PCL1606-Δmatrix</t>
  </si>
  <si>
    <t>ΔT6SS-Δmatrix</t>
  </si>
  <si>
    <t>ΔT6SS vs 3610</t>
  </si>
  <si>
    <t>Bacterized strains</t>
  </si>
  <si>
    <t>Strain CFU</t>
  </si>
  <si>
    <t>Replicate 1</t>
  </si>
  <si>
    <t>Replicate 2</t>
  </si>
  <si>
    <t>Replicate 3</t>
  </si>
  <si>
    <t>Replicate 4</t>
  </si>
  <si>
    <t>Leaf weight</t>
  </si>
  <si>
    <t>CFU counts</t>
  </si>
  <si>
    <t xml:space="preserve">PCL1606  </t>
  </si>
  <si>
    <t xml:space="preserve">ΔT6SS  </t>
  </si>
  <si>
    <t>1h</t>
  </si>
  <si>
    <t>2h</t>
  </si>
  <si>
    <t>3h</t>
  </si>
  <si>
    <t>4h</t>
  </si>
  <si>
    <t>5h</t>
  </si>
  <si>
    <t>6h</t>
  </si>
  <si>
    <t>7h</t>
  </si>
  <si>
    <t>8h</t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</si>
  <si>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matrix</t>
    </r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</si>
  <si>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matrix</t>
    </r>
  </si>
  <si>
    <t>KinB</t>
  </si>
  <si>
    <t>KinC</t>
  </si>
  <si>
    <t>KinD</t>
  </si>
  <si>
    <t xml:space="preserve">KinA  </t>
  </si>
  <si>
    <t>Interactions</t>
  </si>
  <si>
    <t>Single colonies</t>
  </si>
  <si>
    <t>PCL1606 vs KinA</t>
  </si>
  <si>
    <t>PCL1606 vs KinB</t>
  </si>
  <si>
    <t>PCL1606 vs KinC</t>
  </si>
  <si>
    <t>PCL1606 vs KinD</t>
  </si>
  <si>
    <r>
      <t xml:space="preserve">Interaction - </t>
    </r>
    <r>
      <rPr>
        <b/>
        <sz val="11"/>
        <color theme="1"/>
        <rFont val="Calibri"/>
        <family val="2"/>
      </rPr>
      <t>Δmatrix -</t>
    </r>
    <r>
      <rPr>
        <b/>
        <sz val="9.35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  <scheme val="minor"/>
      </rPr>
      <t>Leading edge</t>
    </r>
  </si>
  <si>
    <t>Interaction - Δmatrix - Inner</t>
  </si>
  <si>
    <t>Δmatrix single colony - Leading edge</t>
  </si>
  <si>
    <t>Δmatrix single colony - Inner</t>
  </si>
  <si>
    <t>Intracolony Distance</t>
  </si>
  <si>
    <t>Standard deviations</t>
  </si>
  <si>
    <t>Total</t>
  </si>
  <si>
    <t>2µm</t>
  </si>
  <si>
    <t>3µm</t>
  </si>
  <si>
    <t>4µm</t>
  </si>
  <si>
    <t>5µm</t>
  </si>
  <si>
    <t>6µm</t>
  </si>
  <si>
    <t>7µm</t>
  </si>
  <si>
    <t>8µm</t>
  </si>
  <si>
    <t>9µm</t>
  </si>
  <si>
    <r>
      <t>1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</si>
  <si>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t>Spots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</si>
</sst>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9.35"/>
      <color theme="1"/>
      <name val="Calibri"/>
      <family val="2"/>
    </font>
    <font>
      <b/>
      <sz val="11"/>
      <color theme="1"/>
      <name val="Calibri"/>
      <family val="2"/>
    </font>
    <font>
      <b/>
      <sz val="9.3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1" fillId="0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0" xfId="0" applyFont="1" applyFill="1" applyBorder="1"/>
    <xf numFmtId="0" fontId="2" fillId="0" borderId="5" xfId="0" applyFont="1" applyFill="1" applyBorder="1"/>
    <xf numFmtId="0" fontId="2" fillId="0" borderId="8" xfId="0" applyFont="1" applyBorder="1"/>
    <xf numFmtId="0" fontId="1" fillId="0" borderId="0" xfId="0" applyFont="1"/>
    <xf numFmtId="0" fontId="2" fillId="0" borderId="7" xfId="0" applyFont="1" applyBorder="1"/>
    <xf numFmtId="0" fontId="0" fillId="0" borderId="0" xfId="0" applyFont="1"/>
    <xf numFmtId="0" fontId="0" fillId="0" borderId="1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1" xfId="0" applyFont="1" applyFill="1" applyBorder="1"/>
    <xf numFmtId="0" fontId="0" fillId="0" borderId="4" xfId="0" applyFont="1" applyFill="1" applyBorder="1"/>
    <xf numFmtId="0" fontId="0" fillId="0" borderId="6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7" xfId="0" applyFont="1" applyBorder="1"/>
    <xf numFmtId="0" fontId="0" fillId="0" borderId="8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/>
    <xf numFmtId="0" fontId="0" fillId="0" borderId="0" xfId="0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Border="1"/>
    <xf numFmtId="0" fontId="2" fillId="0" borderId="5" xfId="0" applyFont="1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11" fontId="0" fillId="0" borderId="0" xfId="0" applyNumberFormat="1" applyBorder="1"/>
    <xf numFmtId="0" fontId="0" fillId="0" borderId="3" xfId="0" applyBorder="1" applyAlignment="1">
      <alignment horizontal="left"/>
    </xf>
    <xf numFmtId="11" fontId="0" fillId="0" borderId="5" xfId="0" applyNumberFormat="1" applyBorder="1"/>
    <xf numFmtId="11" fontId="0" fillId="0" borderId="7" xfId="0" applyNumberFormat="1" applyBorder="1"/>
    <xf numFmtId="11" fontId="0" fillId="0" borderId="8" xfId="0" applyNumberFormat="1" applyBorder="1"/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0" fillId="0" borderId="9" xfId="0" applyFill="1" applyBorder="1"/>
    <xf numFmtId="0" fontId="0" fillId="0" borderId="11" xfId="0" applyFill="1" applyBorder="1"/>
    <xf numFmtId="11" fontId="0" fillId="0" borderId="0" xfId="0" applyNumberFormat="1" applyFill="1" applyBorder="1"/>
    <xf numFmtId="11" fontId="0" fillId="0" borderId="7" xfId="0" applyNumberFormat="1" applyFill="1" applyBorder="1"/>
    <xf numFmtId="0" fontId="0" fillId="0" borderId="3" xfId="0" applyFill="1" applyBorder="1"/>
    <xf numFmtId="11" fontId="0" fillId="0" borderId="4" xfId="0" applyNumberFormat="1" applyFill="1" applyBorder="1"/>
    <xf numFmtId="11" fontId="0" fillId="0" borderId="5" xfId="0" applyNumberFormat="1" applyFill="1" applyBorder="1"/>
    <xf numFmtId="11" fontId="0" fillId="0" borderId="6" xfId="0" applyNumberFormat="1" applyFill="1" applyBorder="1"/>
    <xf numFmtId="11" fontId="0" fillId="0" borderId="8" xfId="0" applyNumberFormat="1" applyFill="1" applyBorder="1"/>
    <xf numFmtId="11" fontId="0" fillId="0" borderId="4" xfId="0" applyNumberFormat="1" applyBorder="1"/>
    <xf numFmtId="11" fontId="0" fillId="0" borderId="6" xfId="0" applyNumberFormat="1" applyBorder="1"/>
    <xf numFmtId="0" fontId="1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2" xfId="0" quotePrefix="1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/>
  </sheetViews>
  <sheetFormatPr baseColWidth="10" defaultRowHeight="14.4" x14ac:dyDescent="0.3"/>
  <cols>
    <col min="1" max="16384" width="11.5546875" style="26"/>
  </cols>
  <sheetData>
    <row r="1" spans="1:7" x14ac:dyDescent="0.3">
      <c r="A1" s="24" t="s">
        <v>14</v>
      </c>
    </row>
    <row r="2" spans="1:7" x14ac:dyDescent="0.3">
      <c r="A2" s="2" t="s">
        <v>11</v>
      </c>
      <c r="B2" s="26" t="s">
        <v>9</v>
      </c>
      <c r="C2" s="26" t="s">
        <v>10</v>
      </c>
      <c r="D2" s="26" t="s">
        <v>0</v>
      </c>
      <c r="E2" s="26" t="s">
        <v>1</v>
      </c>
      <c r="F2" s="26" t="s">
        <v>2</v>
      </c>
      <c r="G2" s="26" t="s">
        <v>3</v>
      </c>
    </row>
    <row r="3" spans="1:7" x14ac:dyDescent="0.3">
      <c r="A3" s="27" t="s">
        <v>5</v>
      </c>
      <c r="B3" s="33">
        <v>1</v>
      </c>
      <c r="C3" s="33" t="s">
        <v>15</v>
      </c>
      <c r="D3" s="33">
        <v>110000000</v>
      </c>
      <c r="E3" s="33">
        <f>97*10^7</f>
        <v>970000000</v>
      </c>
      <c r="F3" s="33">
        <f>116*10^7</f>
        <v>1160000000</v>
      </c>
      <c r="G3" s="34">
        <f>332*10^7</f>
        <v>3320000000</v>
      </c>
    </row>
    <row r="4" spans="1:7" x14ac:dyDescent="0.3">
      <c r="A4" s="28"/>
      <c r="B4" s="35"/>
      <c r="C4" s="35" t="s">
        <v>13</v>
      </c>
      <c r="D4" s="35">
        <v>0</v>
      </c>
      <c r="E4" s="35">
        <v>0</v>
      </c>
      <c r="F4" s="35">
        <v>0</v>
      </c>
      <c r="G4" s="36">
        <v>0</v>
      </c>
    </row>
    <row r="5" spans="1:7" x14ac:dyDescent="0.3">
      <c r="A5" s="28"/>
      <c r="B5" s="35">
        <v>2</v>
      </c>
      <c r="C5" s="35" t="s">
        <v>15</v>
      </c>
      <c r="D5" s="35">
        <v>320000000</v>
      </c>
      <c r="E5" s="35">
        <f>124*10^7</f>
        <v>1240000000</v>
      </c>
      <c r="F5" s="35">
        <f>92*10^7</f>
        <v>920000000</v>
      </c>
      <c r="G5" s="36">
        <f>378*10^7</f>
        <v>3780000000</v>
      </c>
    </row>
    <row r="6" spans="1:7" x14ac:dyDescent="0.3">
      <c r="A6" s="28"/>
      <c r="B6" s="35"/>
      <c r="C6" s="35" t="s">
        <v>13</v>
      </c>
      <c r="D6" s="35">
        <v>0</v>
      </c>
      <c r="E6" s="35">
        <v>0</v>
      </c>
      <c r="F6" s="35">
        <v>0</v>
      </c>
      <c r="G6" s="36">
        <v>0</v>
      </c>
    </row>
    <row r="7" spans="1:7" x14ac:dyDescent="0.3">
      <c r="A7" s="28"/>
      <c r="B7" s="35">
        <v>3</v>
      </c>
      <c r="C7" s="35" t="s">
        <v>15</v>
      </c>
      <c r="D7" s="35">
        <v>400000000</v>
      </c>
      <c r="E7" s="35">
        <f>113*10^7</f>
        <v>1130000000</v>
      </c>
      <c r="F7" s="35">
        <f>115*10^7</f>
        <v>1150000000</v>
      </c>
      <c r="G7" s="36">
        <f>388*10^7</f>
        <v>3880000000</v>
      </c>
    </row>
    <row r="8" spans="1:7" x14ac:dyDescent="0.3">
      <c r="A8" s="29"/>
      <c r="B8" s="37"/>
      <c r="C8" s="37" t="s">
        <v>13</v>
      </c>
      <c r="D8" s="37">
        <v>0</v>
      </c>
      <c r="E8" s="37">
        <v>0</v>
      </c>
      <c r="F8" s="37">
        <v>0</v>
      </c>
      <c r="G8" s="38">
        <v>0</v>
      </c>
    </row>
    <row r="9" spans="1:7" x14ac:dyDescent="0.3">
      <c r="A9" s="27" t="s">
        <v>6</v>
      </c>
      <c r="B9" s="33">
        <v>1</v>
      </c>
      <c r="C9" s="33" t="s">
        <v>15</v>
      </c>
      <c r="D9" s="33">
        <f>92*10^5</f>
        <v>9200000</v>
      </c>
      <c r="E9" s="33">
        <f>144*10^6</f>
        <v>144000000</v>
      </c>
      <c r="F9" s="33">
        <f>76*10^5</f>
        <v>7600000</v>
      </c>
      <c r="G9" s="34">
        <f>224*10^6</f>
        <v>224000000</v>
      </c>
    </row>
    <row r="10" spans="1:7" x14ac:dyDescent="0.3">
      <c r="A10" s="28"/>
      <c r="B10" s="35"/>
      <c r="C10" s="35" t="s">
        <v>13</v>
      </c>
      <c r="D10" s="35">
        <f>80*10^2</f>
        <v>8000</v>
      </c>
      <c r="E10" s="35">
        <f>23*10^5</f>
        <v>2300000</v>
      </c>
      <c r="F10" s="35">
        <f>41*10^5</f>
        <v>4100000</v>
      </c>
      <c r="G10" s="36">
        <f>60*10^5</f>
        <v>6000000</v>
      </c>
    </row>
    <row r="11" spans="1:7" x14ac:dyDescent="0.3">
      <c r="A11" s="28"/>
      <c r="B11" s="35">
        <v>2</v>
      </c>
      <c r="C11" s="35" t="s">
        <v>15</v>
      </c>
      <c r="D11" s="35">
        <f>260*10^4</f>
        <v>2600000</v>
      </c>
      <c r="E11" s="35">
        <f>180*10^6</f>
        <v>180000000</v>
      </c>
      <c r="F11" s="35">
        <f>38*10^5</f>
        <v>3800000</v>
      </c>
      <c r="G11" s="36">
        <f>360*10^6</f>
        <v>360000000</v>
      </c>
    </row>
    <row r="12" spans="1:7" x14ac:dyDescent="0.3">
      <c r="A12" s="28"/>
      <c r="B12" s="35"/>
      <c r="C12" s="35" t="s">
        <v>13</v>
      </c>
      <c r="D12" s="35">
        <f>100*10^2</f>
        <v>10000</v>
      </c>
      <c r="E12" s="35">
        <f>210*10^4</f>
        <v>2100000</v>
      </c>
      <c r="F12" s="35">
        <f>54*10^5</f>
        <v>5400000</v>
      </c>
      <c r="G12" s="36">
        <f>80*10^5</f>
        <v>8000000</v>
      </c>
    </row>
    <row r="13" spans="1:7" x14ac:dyDescent="0.3">
      <c r="A13" s="28"/>
      <c r="B13" s="35">
        <v>3</v>
      </c>
      <c r="C13" s="35" t="s">
        <v>15</v>
      </c>
      <c r="D13" s="35">
        <f>330*10^4</f>
        <v>3300000</v>
      </c>
      <c r="E13" s="35">
        <f>40*10^6</f>
        <v>40000000</v>
      </c>
      <c r="F13" s="35">
        <f>85*10^5</f>
        <v>8500000</v>
      </c>
      <c r="G13" s="36">
        <f>37*10^7</f>
        <v>370000000</v>
      </c>
    </row>
    <row r="14" spans="1:7" x14ac:dyDescent="0.3">
      <c r="A14" s="29"/>
      <c r="B14" s="37"/>
      <c r="C14" s="37" t="s">
        <v>13</v>
      </c>
      <c r="D14" s="37">
        <f>70*10^3</f>
        <v>70000</v>
      </c>
      <c r="E14" s="37">
        <f>160*10^4</f>
        <v>1600000</v>
      </c>
      <c r="F14" s="37">
        <f>30*10^5</f>
        <v>3000000</v>
      </c>
      <c r="G14" s="38">
        <f>61*10^5</f>
        <v>6100000</v>
      </c>
    </row>
    <row r="15" spans="1:7" x14ac:dyDescent="0.3">
      <c r="A15" s="30" t="s">
        <v>7</v>
      </c>
      <c r="B15" s="33">
        <v>1</v>
      </c>
      <c r="C15" s="33" t="s">
        <v>15</v>
      </c>
      <c r="D15" s="33">
        <v>0</v>
      </c>
      <c r="E15" s="33">
        <f>49*10^5</f>
        <v>4900000</v>
      </c>
      <c r="F15" s="33">
        <f>140*10^6</f>
        <v>140000000</v>
      </c>
      <c r="G15" s="34">
        <f>216*10^7</f>
        <v>2160000000</v>
      </c>
    </row>
    <row r="16" spans="1:7" x14ac:dyDescent="0.3">
      <c r="A16" s="31"/>
      <c r="B16" s="35"/>
      <c r="C16" s="35" t="s">
        <v>13</v>
      </c>
      <c r="D16" s="35">
        <f>89*10^6</f>
        <v>89000000</v>
      </c>
      <c r="E16" s="35">
        <f>120*10^6</f>
        <v>120000000</v>
      </c>
      <c r="F16" s="35">
        <f>20*10^6</f>
        <v>20000000</v>
      </c>
      <c r="G16" s="36">
        <f>160*10^6</f>
        <v>160000000</v>
      </c>
    </row>
    <row r="17" spans="1:7" x14ac:dyDescent="0.3">
      <c r="A17" s="31"/>
      <c r="B17" s="35">
        <v>2</v>
      </c>
      <c r="C17" s="35" t="s">
        <v>15</v>
      </c>
      <c r="D17" s="35">
        <v>0</v>
      </c>
      <c r="E17" s="35">
        <f>140*10^4</f>
        <v>1400000</v>
      </c>
      <c r="F17" s="35">
        <f>35*10^7</f>
        <v>350000000</v>
      </c>
      <c r="G17" s="36">
        <f>65*10^7</f>
        <v>650000000</v>
      </c>
    </row>
    <row r="18" spans="1:7" x14ac:dyDescent="0.3">
      <c r="A18" s="31"/>
      <c r="B18" s="35"/>
      <c r="C18" s="35" t="s">
        <v>13</v>
      </c>
      <c r="D18" s="35">
        <f>76*10^6</f>
        <v>76000000</v>
      </c>
      <c r="E18" s="35">
        <f>142*10^6</f>
        <v>142000000</v>
      </c>
      <c r="F18" s="35">
        <f>25*10^6</f>
        <v>25000000</v>
      </c>
      <c r="G18" s="36">
        <f>50*10^6</f>
        <v>50000000</v>
      </c>
    </row>
    <row r="19" spans="1:7" x14ac:dyDescent="0.3">
      <c r="A19" s="31"/>
      <c r="B19" s="35">
        <v>3</v>
      </c>
      <c r="C19" s="35" t="s">
        <v>15</v>
      </c>
      <c r="D19" s="35">
        <v>0</v>
      </c>
      <c r="E19" s="35">
        <f>210*10^4</f>
        <v>2100000</v>
      </c>
      <c r="F19" s="35">
        <f>65*10^7</f>
        <v>650000000</v>
      </c>
      <c r="G19" s="36">
        <f>264*10^6</f>
        <v>264000000</v>
      </c>
    </row>
    <row r="20" spans="1:7" x14ac:dyDescent="0.3">
      <c r="A20" s="32"/>
      <c r="B20" s="37"/>
      <c r="C20" s="37" t="s">
        <v>13</v>
      </c>
      <c r="D20" s="37">
        <f>120*10^5</f>
        <v>12000000</v>
      </c>
      <c r="E20" s="37">
        <f>87*10^6</f>
        <v>87000000</v>
      </c>
      <c r="F20" s="37">
        <f>90*10^6</f>
        <v>90000000</v>
      </c>
      <c r="G20" s="38">
        <f>78*10^6</f>
        <v>78000000</v>
      </c>
    </row>
    <row r="24" spans="1:7" x14ac:dyDescent="0.3">
      <c r="A24" s="2" t="s">
        <v>12</v>
      </c>
      <c r="B24" s="26" t="s">
        <v>9</v>
      </c>
      <c r="C24" s="26" t="s">
        <v>10</v>
      </c>
      <c r="D24" s="26" t="s">
        <v>0</v>
      </c>
      <c r="E24" s="26" t="s">
        <v>1</v>
      </c>
      <c r="F24" s="26" t="s">
        <v>2</v>
      </c>
      <c r="G24" s="26" t="s">
        <v>3</v>
      </c>
    </row>
    <row r="25" spans="1:7" x14ac:dyDescent="0.3">
      <c r="A25" s="27" t="s">
        <v>5</v>
      </c>
      <c r="B25" s="33">
        <v>1</v>
      </c>
      <c r="C25" s="33" t="s">
        <v>15</v>
      </c>
      <c r="D25" s="33" t="s">
        <v>4</v>
      </c>
      <c r="E25" s="33" t="s">
        <v>4</v>
      </c>
      <c r="F25" s="33" t="s">
        <v>4</v>
      </c>
      <c r="G25" s="34" t="s">
        <v>4</v>
      </c>
    </row>
    <row r="26" spans="1:7" x14ac:dyDescent="0.3">
      <c r="A26" s="28"/>
      <c r="B26" s="35"/>
      <c r="C26" s="35" t="s">
        <v>13</v>
      </c>
      <c r="D26" s="35" t="s">
        <v>4</v>
      </c>
      <c r="E26" s="35" t="s">
        <v>4</v>
      </c>
      <c r="F26" s="35" t="s">
        <v>4</v>
      </c>
      <c r="G26" s="36" t="s">
        <v>4</v>
      </c>
    </row>
    <row r="27" spans="1:7" x14ac:dyDescent="0.3">
      <c r="A27" s="28"/>
      <c r="B27" s="35">
        <v>2</v>
      </c>
      <c r="C27" s="35" t="s">
        <v>15</v>
      </c>
      <c r="D27" s="35" t="s">
        <v>4</v>
      </c>
      <c r="E27" s="35" t="s">
        <v>4</v>
      </c>
      <c r="F27" s="35" t="s">
        <v>4</v>
      </c>
      <c r="G27" s="36" t="s">
        <v>4</v>
      </c>
    </row>
    <row r="28" spans="1:7" x14ac:dyDescent="0.3">
      <c r="A28" s="28"/>
      <c r="B28" s="35"/>
      <c r="C28" s="35" t="s">
        <v>13</v>
      </c>
      <c r="D28" s="35" t="s">
        <v>4</v>
      </c>
      <c r="E28" s="35" t="s">
        <v>4</v>
      </c>
      <c r="F28" s="35" t="s">
        <v>4</v>
      </c>
      <c r="G28" s="36" t="s">
        <v>4</v>
      </c>
    </row>
    <row r="29" spans="1:7" x14ac:dyDescent="0.3">
      <c r="A29" s="28"/>
      <c r="B29" s="35">
        <v>3</v>
      </c>
      <c r="C29" s="35" t="s">
        <v>15</v>
      </c>
      <c r="D29" s="35" t="s">
        <v>4</v>
      </c>
      <c r="E29" s="35" t="s">
        <v>4</v>
      </c>
      <c r="F29" s="35" t="s">
        <v>4</v>
      </c>
      <c r="G29" s="36" t="s">
        <v>4</v>
      </c>
    </row>
    <row r="30" spans="1:7" x14ac:dyDescent="0.3">
      <c r="A30" s="29"/>
      <c r="B30" s="37"/>
      <c r="C30" s="37" t="s">
        <v>13</v>
      </c>
      <c r="D30" s="37" t="s">
        <v>4</v>
      </c>
      <c r="E30" s="37" t="s">
        <v>4</v>
      </c>
      <c r="F30" s="37" t="s">
        <v>4</v>
      </c>
      <c r="G30" s="38" t="s">
        <v>4</v>
      </c>
    </row>
    <row r="31" spans="1:7" x14ac:dyDescent="0.3">
      <c r="A31" s="27" t="s">
        <v>6</v>
      </c>
      <c r="B31" s="33">
        <v>1</v>
      </c>
      <c r="C31" s="33" t="s">
        <v>15</v>
      </c>
      <c r="D31" s="33" t="s">
        <v>4</v>
      </c>
      <c r="E31" s="33" t="s">
        <v>4</v>
      </c>
      <c r="F31" s="33" t="s">
        <v>4</v>
      </c>
      <c r="G31" s="34" t="s">
        <v>4</v>
      </c>
    </row>
    <row r="32" spans="1:7" x14ac:dyDescent="0.3">
      <c r="A32" s="28"/>
      <c r="B32" s="35"/>
      <c r="C32" s="35" t="s">
        <v>13</v>
      </c>
      <c r="D32" s="35">
        <v>150</v>
      </c>
      <c r="E32" s="35">
        <f>122*10^4</f>
        <v>1220000</v>
      </c>
      <c r="F32" s="35">
        <f>39*10^5</f>
        <v>3900000</v>
      </c>
      <c r="G32" s="36">
        <f>60*10^5</f>
        <v>6000000</v>
      </c>
    </row>
    <row r="33" spans="1:7" x14ac:dyDescent="0.3">
      <c r="A33" s="28"/>
      <c r="B33" s="35">
        <v>2</v>
      </c>
      <c r="C33" s="35" t="s">
        <v>15</v>
      </c>
      <c r="D33" s="35"/>
      <c r="E33" s="35" t="s">
        <v>4</v>
      </c>
      <c r="F33" s="35" t="s">
        <v>4</v>
      </c>
      <c r="G33" s="36" t="s">
        <v>4</v>
      </c>
    </row>
    <row r="34" spans="1:7" x14ac:dyDescent="0.3">
      <c r="A34" s="28"/>
      <c r="B34" s="35"/>
      <c r="C34" s="35" t="s">
        <v>13</v>
      </c>
      <c r="D34" s="35">
        <v>1300</v>
      </c>
      <c r="E34" s="35">
        <f>132*10^4</f>
        <v>1320000</v>
      </c>
      <c r="F34" s="35">
        <f>48*10^5</f>
        <v>4800000</v>
      </c>
      <c r="G34" s="36">
        <f>71*10^5</f>
        <v>7100000</v>
      </c>
    </row>
    <row r="35" spans="1:7" x14ac:dyDescent="0.3">
      <c r="A35" s="28"/>
      <c r="B35" s="35">
        <v>3</v>
      </c>
      <c r="C35" s="35" t="s">
        <v>15</v>
      </c>
      <c r="D35" s="35" t="s">
        <v>4</v>
      </c>
      <c r="E35" s="35" t="s">
        <v>4</v>
      </c>
      <c r="F35" s="35" t="s">
        <v>4</v>
      </c>
      <c r="G35" s="36" t="s">
        <v>4</v>
      </c>
    </row>
    <row r="36" spans="1:7" x14ac:dyDescent="0.3">
      <c r="A36" s="29"/>
      <c r="B36" s="37"/>
      <c r="C36" s="37" t="s">
        <v>13</v>
      </c>
      <c r="D36" s="37">
        <v>6500</v>
      </c>
      <c r="E36" s="37">
        <f>126*10^4</f>
        <v>1260000</v>
      </c>
      <c r="F36" s="37">
        <f>28*10^5</f>
        <v>2800000</v>
      </c>
      <c r="G36" s="38">
        <f>60*10^5</f>
        <v>6000000</v>
      </c>
    </row>
    <row r="37" spans="1:7" x14ac:dyDescent="0.3">
      <c r="A37" s="30" t="s">
        <v>7</v>
      </c>
      <c r="B37" s="33">
        <v>1</v>
      </c>
      <c r="C37" s="33" t="s">
        <v>15</v>
      </c>
      <c r="D37" s="33" t="s">
        <v>4</v>
      </c>
      <c r="E37" s="33" t="s">
        <v>4</v>
      </c>
      <c r="F37" s="33" t="s">
        <v>4</v>
      </c>
      <c r="G37" s="34" t="s">
        <v>4</v>
      </c>
    </row>
    <row r="38" spans="1:7" x14ac:dyDescent="0.3">
      <c r="A38" s="31"/>
      <c r="B38" s="35"/>
      <c r="C38" s="35" t="s">
        <v>13</v>
      </c>
      <c r="D38" s="35">
        <f>20*10^6</f>
        <v>20000000</v>
      </c>
      <c r="E38" s="35">
        <f>53*10^6</f>
        <v>53000000</v>
      </c>
      <c r="F38" s="35">
        <f>20*10^6</f>
        <v>20000000</v>
      </c>
      <c r="G38" s="36">
        <f>145*10^6</f>
        <v>145000000</v>
      </c>
    </row>
    <row r="39" spans="1:7" x14ac:dyDescent="0.3">
      <c r="A39" s="31"/>
      <c r="B39" s="35">
        <v>2</v>
      </c>
      <c r="C39" s="35" t="s">
        <v>15</v>
      </c>
      <c r="D39" s="35" t="s">
        <v>4</v>
      </c>
      <c r="E39" s="35" t="s">
        <v>4</v>
      </c>
      <c r="F39" s="35" t="s">
        <v>4</v>
      </c>
      <c r="G39" s="36" t="s">
        <v>4</v>
      </c>
    </row>
    <row r="40" spans="1:7" x14ac:dyDescent="0.3">
      <c r="A40" s="31"/>
      <c r="B40" s="35"/>
      <c r="C40" s="35" t="s">
        <v>13</v>
      </c>
      <c r="D40" s="35">
        <f>30*10^6</f>
        <v>30000000</v>
      </c>
      <c r="E40" s="35">
        <f>46*10^6</f>
        <v>46000000</v>
      </c>
      <c r="F40" s="35">
        <f>18*10^6</f>
        <v>18000000</v>
      </c>
      <c r="G40" s="36">
        <f>46*10^6</f>
        <v>46000000</v>
      </c>
    </row>
    <row r="41" spans="1:7" x14ac:dyDescent="0.3">
      <c r="A41" s="31"/>
      <c r="B41" s="35">
        <v>3</v>
      </c>
      <c r="C41" s="35" t="s">
        <v>15</v>
      </c>
      <c r="D41" s="35" t="s">
        <v>4</v>
      </c>
      <c r="E41" s="35" t="s">
        <v>4</v>
      </c>
      <c r="F41" s="35" t="s">
        <v>4</v>
      </c>
      <c r="G41" s="36" t="s">
        <v>4</v>
      </c>
    </row>
    <row r="42" spans="1:7" x14ac:dyDescent="0.3">
      <c r="A42" s="32"/>
      <c r="B42" s="37"/>
      <c r="C42" s="37" t="s">
        <v>13</v>
      </c>
      <c r="D42" s="37">
        <f>90*10^5</f>
        <v>9000000</v>
      </c>
      <c r="E42" s="37">
        <f>38*10^6</f>
        <v>38000000</v>
      </c>
      <c r="F42" s="37">
        <f>79*10^6</f>
        <v>79000000</v>
      </c>
      <c r="G42" s="38">
        <f>74*10^6</f>
        <v>74000000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11" sqref="D11"/>
    </sheetView>
  </sheetViews>
  <sheetFormatPr baseColWidth="10" defaultRowHeight="14.4" x14ac:dyDescent="0.3"/>
  <sheetData>
    <row r="1" spans="1:8" x14ac:dyDescent="0.3">
      <c r="C1" t="s">
        <v>0</v>
      </c>
      <c r="E1" t="s">
        <v>1</v>
      </c>
      <c r="G1" t="s">
        <v>2</v>
      </c>
    </row>
    <row r="2" spans="1:8" x14ac:dyDescent="0.3">
      <c r="B2" t="s">
        <v>9</v>
      </c>
      <c r="C2" t="s">
        <v>11</v>
      </c>
      <c r="D2" t="s">
        <v>12</v>
      </c>
      <c r="E2" t="s">
        <v>11</v>
      </c>
      <c r="F2" t="s">
        <v>12</v>
      </c>
      <c r="G2" t="s">
        <v>11</v>
      </c>
      <c r="H2" t="s">
        <v>12</v>
      </c>
    </row>
    <row r="3" spans="1:8" x14ac:dyDescent="0.3">
      <c r="A3" s="54">
        <v>3610</v>
      </c>
      <c r="B3" s="4">
        <v>1</v>
      </c>
      <c r="C3" s="4">
        <f>198*10^7</f>
        <v>1980000000</v>
      </c>
      <c r="D3" s="4">
        <f>182*10^5</f>
        <v>18200000</v>
      </c>
      <c r="E3" s="4">
        <f>26*10^7</f>
        <v>260000000</v>
      </c>
      <c r="F3" s="4">
        <f>152*10^6</f>
        <v>152000000</v>
      </c>
      <c r="G3" s="4">
        <f>85*10^7</f>
        <v>850000000</v>
      </c>
      <c r="H3" s="5">
        <f>344*10^6</f>
        <v>344000000</v>
      </c>
    </row>
    <row r="4" spans="1:8" x14ac:dyDescent="0.3">
      <c r="A4" s="6"/>
      <c r="B4" s="7">
        <v>2</v>
      </c>
      <c r="C4" s="7">
        <f>75*10^7</f>
        <v>750000000</v>
      </c>
      <c r="D4" s="7">
        <f>58*10^6</f>
        <v>58000000</v>
      </c>
      <c r="E4" s="7">
        <f>35*10^7</f>
        <v>350000000</v>
      </c>
      <c r="F4" s="7">
        <f>168*10^6</f>
        <v>168000000</v>
      </c>
      <c r="G4" s="7">
        <f>32*10^7</f>
        <v>320000000</v>
      </c>
      <c r="H4" s="8">
        <f>204*10^6</f>
        <v>204000000</v>
      </c>
    </row>
    <row r="5" spans="1:8" x14ac:dyDescent="0.3">
      <c r="A5" s="9"/>
      <c r="B5" s="10">
        <v>3</v>
      </c>
      <c r="C5" s="10">
        <f>53*10^7</f>
        <v>530000000</v>
      </c>
      <c r="D5" s="10">
        <f>49*10^6</f>
        <v>49000000</v>
      </c>
      <c r="E5" s="10">
        <f>24*10^7</f>
        <v>240000000</v>
      </c>
      <c r="F5" s="10">
        <f>164*10^6</f>
        <v>164000000</v>
      </c>
      <c r="G5" s="10">
        <f>84*10^7</f>
        <v>840000000</v>
      </c>
      <c r="H5" s="11">
        <f>42*10^7</f>
        <v>420000000</v>
      </c>
    </row>
    <row r="6" spans="1:8" x14ac:dyDescent="0.3">
      <c r="A6" s="77" t="s">
        <v>89</v>
      </c>
      <c r="B6" s="4">
        <v>1</v>
      </c>
      <c r="C6" s="4">
        <f>56*10^7</f>
        <v>560000000</v>
      </c>
      <c r="D6" s="4">
        <f>308*10^5</f>
        <v>30800000</v>
      </c>
      <c r="E6" s="4">
        <f>60*10^7</f>
        <v>600000000</v>
      </c>
      <c r="F6" s="4">
        <f>148*10^6</f>
        <v>148000000</v>
      </c>
      <c r="G6" s="4">
        <f>75*10^7</f>
        <v>750000000</v>
      </c>
      <c r="H6" s="5">
        <f>208*10^6</f>
        <v>208000000</v>
      </c>
    </row>
    <row r="7" spans="1:8" x14ac:dyDescent="0.3">
      <c r="A7" s="6"/>
      <c r="B7" s="7">
        <v>2</v>
      </c>
      <c r="C7" s="7">
        <f>59*10^7</f>
        <v>590000000</v>
      </c>
      <c r="D7" s="7">
        <f>41*10^6</f>
        <v>41000000</v>
      </c>
      <c r="E7" s="7">
        <f>52*10^7</f>
        <v>520000000</v>
      </c>
      <c r="F7" s="7">
        <f>188*10^6</f>
        <v>188000000</v>
      </c>
      <c r="G7" s="7">
        <f>80*10^7</f>
        <v>800000000</v>
      </c>
      <c r="H7" s="8">
        <f>212*10^6</f>
        <v>212000000</v>
      </c>
    </row>
    <row r="8" spans="1:8" x14ac:dyDescent="0.3">
      <c r="A8" s="9"/>
      <c r="B8" s="10">
        <v>3</v>
      </c>
      <c r="C8" s="10">
        <f>71*10^7</f>
        <v>710000000</v>
      </c>
      <c r="D8" s="10">
        <f>288*10^5</f>
        <v>28800000</v>
      </c>
      <c r="E8" s="10">
        <f>42*10^7</f>
        <v>420000000</v>
      </c>
      <c r="F8" s="10">
        <f>112*10^6</f>
        <v>112000000</v>
      </c>
      <c r="G8" s="10">
        <f>51*10^7</f>
        <v>510000000</v>
      </c>
      <c r="H8" s="11">
        <f>208*10^6</f>
        <v>208000000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F21" sqref="F21"/>
    </sheetView>
  </sheetViews>
  <sheetFormatPr baseColWidth="10" defaultRowHeight="14.4" x14ac:dyDescent="0.3"/>
  <cols>
    <col min="9" max="9" width="12.6640625" customWidth="1"/>
  </cols>
  <sheetData>
    <row r="1" spans="1:12" x14ac:dyDescent="0.3">
      <c r="A1" t="s">
        <v>95</v>
      </c>
      <c r="C1" s="62" t="s">
        <v>9</v>
      </c>
      <c r="D1" s="63" t="s">
        <v>11</v>
      </c>
      <c r="E1" s="64" t="s">
        <v>12</v>
      </c>
      <c r="H1" t="s">
        <v>94</v>
      </c>
      <c r="J1" s="62" t="s">
        <v>9</v>
      </c>
      <c r="K1" s="63" t="s">
        <v>11</v>
      </c>
      <c r="L1" s="64" t="s">
        <v>12</v>
      </c>
    </row>
    <row r="2" spans="1:12" x14ac:dyDescent="0.3">
      <c r="B2" s="3" t="s">
        <v>93</v>
      </c>
      <c r="C2" s="4">
        <v>1</v>
      </c>
      <c r="D2" s="4">
        <f>54*10^7</f>
        <v>540000000</v>
      </c>
      <c r="E2" s="5">
        <f>190*10^6</f>
        <v>190000000</v>
      </c>
      <c r="I2" s="3" t="s">
        <v>96</v>
      </c>
      <c r="J2" s="4">
        <v>1</v>
      </c>
      <c r="K2" s="4">
        <f>26*10^7</f>
        <v>260000000</v>
      </c>
      <c r="L2" s="5">
        <f>11*10^7</f>
        <v>110000000</v>
      </c>
    </row>
    <row r="3" spans="1:12" x14ac:dyDescent="0.3">
      <c r="B3" s="6"/>
      <c r="C3" s="7">
        <v>2</v>
      </c>
      <c r="D3" s="7">
        <f>35*10^7</f>
        <v>350000000</v>
      </c>
      <c r="E3" s="8">
        <f>190*10^6</f>
        <v>190000000</v>
      </c>
      <c r="I3" s="6"/>
      <c r="J3" s="7">
        <v>2</v>
      </c>
      <c r="K3" s="7">
        <f>150*10^6</f>
        <v>150000000</v>
      </c>
      <c r="L3" s="8">
        <f>100*10^6</f>
        <v>100000000</v>
      </c>
    </row>
    <row r="4" spans="1:12" x14ac:dyDescent="0.3">
      <c r="B4" s="9"/>
      <c r="C4" s="10">
        <v>3</v>
      </c>
      <c r="D4" s="10">
        <f>47*10^7</f>
        <v>470000000</v>
      </c>
      <c r="E4" s="11">
        <f>200*10^6</f>
        <v>200000000</v>
      </c>
      <c r="I4" s="9"/>
      <c r="J4" s="10">
        <v>3</v>
      </c>
      <c r="K4" s="10">
        <f>130*10^6</f>
        <v>130000000</v>
      </c>
      <c r="L4" s="11">
        <f>40*10^6</f>
        <v>40000000</v>
      </c>
    </row>
    <row r="5" spans="1:12" x14ac:dyDescent="0.3">
      <c r="B5" s="3" t="s">
        <v>90</v>
      </c>
      <c r="C5" s="4">
        <v>1</v>
      </c>
      <c r="D5" s="4">
        <f>49*10^7</f>
        <v>490000000</v>
      </c>
      <c r="E5" s="5">
        <f>288*10^6</f>
        <v>288000000</v>
      </c>
      <c r="I5" s="3" t="s">
        <v>97</v>
      </c>
      <c r="J5" s="4">
        <v>1</v>
      </c>
      <c r="K5" s="4">
        <f>160*10^6</f>
        <v>160000000</v>
      </c>
      <c r="L5" s="5">
        <f>68*10^6</f>
        <v>68000000</v>
      </c>
    </row>
    <row r="6" spans="1:12" x14ac:dyDescent="0.3">
      <c r="B6" s="6"/>
      <c r="C6" s="7">
        <v>2</v>
      </c>
      <c r="D6" s="7">
        <f>52*10^7</f>
        <v>520000000</v>
      </c>
      <c r="E6" s="8">
        <f>328*10^6</f>
        <v>328000000</v>
      </c>
      <c r="I6" s="6"/>
      <c r="J6" s="7">
        <v>2</v>
      </c>
      <c r="K6" s="7">
        <f>47*10^6</f>
        <v>47000000</v>
      </c>
      <c r="L6" s="8">
        <f>23*10^6</f>
        <v>23000000</v>
      </c>
    </row>
    <row r="7" spans="1:12" x14ac:dyDescent="0.3">
      <c r="B7" s="9"/>
      <c r="C7" s="10">
        <v>3</v>
      </c>
      <c r="D7" s="10">
        <f>68*10^7</f>
        <v>680000000</v>
      </c>
      <c r="E7" s="11">
        <f>304*10^6</f>
        <v>304000000</v>
      </c>
      <c r="I7" s="9"/>
      <c r="J7" s="10">
        <v>3</v>
      </c>
      <c r="K7" s="10">
        <f>103*10^6</f>
        <v>103000000</v>
      </c>
      <c r="L7" s="11">
        <f>68*10^6</f>
        <v>68000000</v>
      </c>
    </row>
    <row r="8" spans="1:12" x14ac:dyDescent="0.3">
      <c r="B8" s="3" t="s">
        <v>91</v>
      </c>
      <c r="C8" s="4">
        <v>1</v>
      </c>
      <c r="D8" s="4">
        <f>35*10^7</f>
        <v>350000000</v>
      </c>
      <c r="E8" s="5">
        <f>135*10^6</f>
        <v>135000000</v>
      </c>
      <c r="I8" s="3" t="s">
        <v>98</v>
      </c>
      <c r="J8" s="4">
        <v>1</v>
      </c>
      <c r="K8" s="4">
        <f>113*10^6</f>
        <v>113000000</v>
      </c>
      <c r="L8" s="5">
        <f>78*10^6</f>
        <v>78000000</v>
      </c>
    </row>
    <row r="9" spans="1:12" x14ac:dyDescent="0.3">
      <c r="B9" s="6"/>
      <c r="C9" s="7">
        <v>2</v>
      </c>
      <c r="D9" s="7">
        <f>56*10^7</f>
        <v>560000000</v>
      </c>
      <c r="E9" s="8">
        <f>258*10^6</f>
        <v>258000000</v>
      </c>
      <c r="I9" s="6"/>
      <c r="J9" s="7">
        <v>2</v>
      </c>
      <c r="K9" s="7">
        <f>128*10^6</f>
        <v>128000000</v>
      </c>
      <c r="L9" s="8">
        <f>96*10^6</f>
        <v>96000000</v>
      </c>
    </row>
    <row r="10" spans="1:12" x14ac:dyDescent="0.3">
      <c r="B10" s="9"/>
      <c r="C10" s="10">
        <v>3</v>
      </c>
      <c r="D10" s="10">
        <f>61*10^7</f>
        <v>610000000</v>
      </c>
      <c r="E10" s="11">
        <f>312*10^6</f>
        <v>312000000</v>
      </c>
      <c r="I10" s="9"/>
      <c r="J10" s="10">
        <v>3</v>
      </c>
      <c r="K10" s="10">
        <f>146*10^6</f>
        <v>146000000</v>
      </c>
      <c r="L10" s="11">
        <f>138*10^6</f>
        <v>138000000</v>
      </c>
    </row>
    <row r="11" spans="1:12" x14ac:dyDescent="0.3">
      <c r="B11" s="3" t="s">
        <v>92</v>
      </c>
      <c r="C11" s="4">
        <v>1</v>
      </c>
      <c r="D11" s="4">
        <f>48*10^7</f>
        <v>480000000</v>
      </c>
      <c r="E11" s="5">
        <f>280*10^6</f>
        <v>280000000</v>
      </c>
      <c r="I11" s="3" t="s">
        <v>99</v>
      </c>
      <c r="J11" s="4">
        <v>1</v>
      </c>
      <c r="K11" s="4">
        <f>80*10^6</f>
        <v>80000000</v>
      </c>
      <c r="L11" s="5">
        <f>60*10^6</f>
        <v>60000000</v>
      </c>
    </row>
    <row r="12" spans="1:12" x14ac:dyDescent="0.3">
      <c r="B12" s="6"/>
      <c r="C12" s="7">
        <v>2</v>
      </c>
      <c r="D12" s="7">
        <f>41*10^7</f>
        <v>410000000</v>
      </c>
      <c r="E12" s="8">
        <f>216*10^6</f>
        <v>216000000</v>
      </c>
      <c r="I12" s="6"/>
      <c r="J12" s="7">
        <v>2</v>
      </c>
      <c r="K12" s="7">
        <f>62*10^6</f>
        <v>62000000</v>
      </c>
      <c r="L12" s="8">
        <f>53*10^6</f>
        <v>53000000</v>
      </c>
    </row>
    <row r="13" spans="1:12" x14ac:dyDescent="0.3">
      <c r="B13" s="9"/>
      <c r="C13" s="10">
        <v>3</v>
      </c>
      <c r="D13" s="10">
        <f>61*10^7</f>
        <v>610000000</v>
      </c>
      <c r="E13" s="11">
        <f>320*10^6</f>
        <v>320000000</v>
      </c>
      <c r="I13" s="9"/>
      <c r="J13" s="10">
        <v>3</v>
      </c>
      <c r="K13" s="10">
        <f>98*10^6</f>
        <v>98000000</v>
      </c>
      <c r="L13" s="11">
        <f>87*10^6</f>
        <v>87000000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workbookViewId="0">
      <selection activeCell="C2" sqref="C2"/>
    </sheetView>
  </sheetViews>
  <sheetFormatPr baseColWidth="10" defaultRowHeight="14.4" x14ac:dyDescent="0.3"/>
  <sheetData>
    <row r="1" spans="1:12" x14ac:dyDescent="0.3">
      <c r="H1" s="24" t="s">
        <v>105</v>
      </c>
    </row>
    <row r="2" spans="1:12" x14ac:dyDescent="0.3">
      <c r="A2" s="24" t="s">
        <v>22</v>
      </c>
      <c r="B2" s="24" t="s">
        <v>100</v>
      </c>
      <c r="C2" s="24" t="s">
        <v>101</v>
      </c>
      <c r="D2" s="24" t="s">
        <v>102</v>
      </c>
      <c r="E2" s="24" t="s">
        <v>103</v>
      </c>
      <c r="F2" s="24" t="s">
        <v>104</v>
      </c>
      <c r="G2" s="24"/>
      <c r="I2" s="24" t="s">
        <v>100</v>
      </c>
      <c r="J2" s="24" t="s">
        <v>101</v>
      </c>
      <c r="K2" s="24" t="s">
        <v>102</v>
      </c>
      <c r="L2" s="24" t="s">
        <v>103</v>
      </c>
    </row>
    <row r="3" spans="1:12" x14ac:dyDescent="0.3">
      <c r="A3">
        <v>0</v>
      </c>
      <c r="B3">
        <v>91.742999999999995</v>
      </c>
      <c r="C3">
        <v>100.28966666666668</v>
      </c>
      <c r="D3">
        <v>92.22166666666665</v>
      </c>
      <c r="E3">
        <v>133.02933333333334</v>
      </c>
      <c r="F3">
        <v>580.63699999999994</v>
      </c>
      <c r="I3" s="78">
        <v>9.4716153321385494</v>
      </c>
      <c r="J3" s="78">
        <v>4.3150425644863466</v>
      </c>
      <c r="K3" s="78">
        <v>5.2401134847764048</v>
      </c>
      <c r="L3" s="78">
        <v>1.8399851448678732</v>
      </c>
    </row>
    <row r="4" spans="1:12" x14ac:dyDescent="0.3">
      <c r="A4">
        <v>30</v>
      </c>
      <c r="B4">
        <v>90.117000000000004</v>
      </c>
      <c r="C4">
        <v>97.562666666666658</v>
      </c>
      <c r="D4">
        <v>91.693666666666672</v>
      </c>
      <c r="E4">
        <v>130.63666666666668</v>
      </c>
      <c r="F4">
        <v>578.88699999999994</v>
      </c>
      <c r="I4" s="78">
        <v>8.3470303701376061</v>
      </c>
      <c r="J4" s="78">
        <v>4.9753908724173268</v>
      </c>
      <c r="K4" s="78">
        <v>5.6528656744460761</v>
      </c>
      <c r="L4" s="78">
        <v>1.7267403780917754</v>
      </c>
    </row>
    <row r="5" spans="1:12" x14ac:dyDescent="0.3">
      <c r="A5">
        <v>60</v>
      </c>
      <c r="B5">
        <v>90.523333333333326</v>
      </c>
      <c r="C5">
        <v>97.840666666666664</v>
      </c>
      <c r="D5">
        <v>94.76766666666667</v>
      </c>
      <c r="E5">
        <v>132.19733333333332</v>
      </c>
      <c r="F5">
        <v>575.94100000000003</v>
      </c>
      <c r="I5" s="78">
        <v>7.9260336444741775</v>
      </c>
      <c r="J5" s="78">
        <v>5.0739552947709754</v>
      </c>
      <c r="K5" s="78">
        <v>5.9532346109767253</v>
      </c>
      <c r="L5" s="78">
        <v>1.7516872818321845</v>
      </c>
    </row>
    <row r="6" spans="1:12" x14ac:dyDescent="0.3">
      <c r="A6">
        <v>90</v>
      </c>
      <c r="B6">
        <v>92.118333333333339</v>
      </c>
      <c r="C6">
        <v>98.805999999999997</v>
      </c>
      <c r="D6">
        <v>94.38033333333334</v>
      </c>
      <c r="E6">
        <v>130.24133333333336</v>
      </c>
      <c r="F6">
        <v>547.74199999999996</v>
      </c>
      <c r="I6" s="78">
        <v>9.3649628580860789</v>
      </c>
      <c r="J6" s="78">
        <v>5.2431678401513304</v>
      </c>
      <c r="K6" s="78">
        <v>5.497111089775597</v>
      </c>
      <c r="L6" s="78">
        <v>1.7104105744904401</v>
      </c>
    </row>
    <row r="7" spans="1:12" x14ac:dyDescent="0.3">
      <c r="A7">
        <v>120</v>
      </c>
      <c r="B7">
        <v>94.26766666666667</v>
      </c>
      <c r="C7">
        <v>99.12</v>
      </c>
      <c r="D7">
        <v>93.221999999999994</v>
      </c>
      <c r="E7">
        <v>127.34966666666666</v>
      </c>
      <c r="F7">
        <v>534.26900000000001</v>
      </c>
      <c r="I7" s="78">
        <v>8.1940512771969232</v>
      </c>
      <c r="J7" s="78">
        <v>5.9768029079098897</v>
      </c>
      <c r="K7" s="78">
        <v>5.5695081470450223</v>
      </c>
      <c r="L7" s="78">
        <v>1.548423822256628</v>
      </c>
    </row>
    <row r="8" spans="1:12" x14ac:dyDescent="0.3">
      <c r="A8">
        <v>150</v>
      </c>
      <c r="B8">
        <v>93.448333333333338</v>
      </c>
      <c r="C8">
        <v>98.361333333333334</v>
      </c>
      <c r="D8">
        <v>94.956666666666663</v>
      </c>
      <c r="E8">
        <v>127.69666666666667</v>
      </c>
      <c r="F8">
        <v>519.03499999999997</v>
      </c>
      <c r="I8" s="78">
        <v>7.379610987940187</v>
      </c>
      <c r="J8" s="78">
        <v>6.1180222566882501</v>
      </c>
      <c r="K8" s="78">
        <v>5.8050977884385002</v>
      </c>
      <c r="L8" s="78">
        <v>1.536118593510301</v>
      </c>
    </row>
    <row r="9" spans="1:12" x14ac:dyDescent="0.3">
      <c r="A9">
        <v>180</v>
      </c>
      <c r="B9">
        <v>96.050666666666658</v>
      </c>
      <c r="C9">
        <v>98.484666666666669</v>
      </c>
      <c r="D9">
        <v>96.967333333333329</v>
      </c>
      <c r="E9">
        <v>125.83200000000001</v>
      </c>
      <c r="F9">
        <v>507.029</v>
      </c>
      <c r="I9" s="78">
        <v>8.2956828732378955</v>
      </c>
      <c r="J9" s="78">
        <v>6.2155381370669138</v>
      </c>
      <c r="K9" s="78">
        <v>4.3074081920955898</v>
      </c>
      <c r="L9" s="78">
        <v>1.4038956513919147</v>
      </c>
    </row>
    <row r="10" spans="1:12" x14ac:dyDescent="0.3">
      <c r="A10">
        <v>210</v>
      </c>
      <c r="B10">
        <v>97.112000000000009</v>
      </c>
      <c r="C10">
        <v>98.800333333333342</v>
      </c>
      <c r="D10">
        <v>96.984333333333325</v>
      </c>
      <c r="E10">
        <v>123.23066666666666</v>
      </c>
      <c r="F10">
        <v>496.64</v>
      </c>
      <c r="I10" s="78">
        <v>8.5573313012878511</v>
      </c>
      <c r="J10" s="78">
        <v>7.6406393275257845</v>
      </c>
      <c r="K10" s="78">
        <v>3.8136801561398928</v>
      </c>
      <c r="L10" s="78">
        <v>1.4297532421126691</v>
      </c>
    </row>
    <row r="11" spans="1:12" x14ac:dyDescent="0.3">
      <c r="A11">
        <v>240</v>
      </c>
      <c r="B11">
        <v>98.535666666666671</v>
      </c>
      <c r="C11">
        <v>100.84933333333333</v>
      </c>
      <c r="D11">
        <v>97.775666666666666</v>
      </c>
      <c r="E11">
        <v>119.851</v>
      </c>
      <c r="F11">
        <v>467.89400000000001</v>
      </c>
      <c r="I11" s="78">
        <v>8.5448860339580683</v>
      </c>
      <c r="J11" s="78">
        <v>6.8537044970828722</v>
      </c>
      <c r="K11" s="78">
        <v>5.965535041665019</v>
      </c>
      <c r="L11" s="78">
        <v>1.6936197920430573</v>
      </c>
    </row>
    <row r="12" spans="1:12" x14ac:dyDescent="0.3">
      <c r="A12">
        <v>270</v>
      </c>
      <c r="B12">
        <v>104.497</v>
      </c>
      <c r="C12">
        <v>106.72266666666667</v>
      </c>
      <c r="D12">
        <v>100.26233333333334</v>
      </c>
      <c r="E12">
        <v>118.04233333333333</v>
      </c>
      <c r="F12">
        <v>446.83600000000001</v>
      </c>
      <c r="I12" s="78">
        <v>9.3922707052131056</v>
      </c>
      <c r="J12" s="78">
        <v>7.6248424464595477</v>
      </c>
      <c r="K12" s="78">
        <v>7.0013120437051946</v>
      </c>
      <c r="L12" s="78">
        <v>1.8635450982825712</v>
      </c>
    </row>
    <row r="13" spans="1:12" x14ac:dyDescent="0.3">
      <c r="A13">
        <v>300</v>
      </c>
      <c r="B13">
        <v>110.80166666666666</v>
      </c>
      <c r="C13">
        <v>116.43566666666668</v>
      </c>
      <c r="D13">
        <v>101.604</v>
      </c>
      <c r="E13">
        <v>112.32600000000001</v>
      </c>
      <c r="F13">
        <v>432.52199999999999</v>
      </c>
      <c r="I13" s="78">
        <v>12.882913076371246</v>
      </c>
      <c r="J13" s="78">
        <v>8.933437039199001</v>
      </c>
      <c r="K13" s="78">
        <v>7.7378113184541606</v>
      </c>
      <c r="L13" s="78">
        <v>3.2616540282499393</v>
      </c>
    </row>
    <row r="14" spans="1:12" x14ac:dyDescent="0.3">
      <c r="A14">
        <v>330</v>
      </c>
      <c r="B14">
        <v>115.95266666666667</v>
      </c>
      <c r="C14">
        <v>119.74666666666667</v>
      </c>
      <c r="D14">
        <v>104.15433333333333</v>
      </c>
      <c r="E14">
        <v>106.67833333333334</v>
      </c>
      <c r="F14">
        <v>400.39800000000002</v>
      </c>
      <c r="I14" s="78">
        <v>10.52236595701422</v>
      </c>
      <c r="J14" s="78">
        <v>4.486547707684772</v>
      </c>
      <c r="K14" s="78">
        <v>5.2783133985524193</v>
      </c>
      <c r="L14" s="78">
        <v>2.7620815218465342</v>
      </c>
    </row>
    <row r="15" spans="1:12" x14ac:dyDescent="0.3">
      <c r="A15">
        <v>360</v>
      </c>
      <c r="B15">
        <v>124.88766666666668</v>
      </c>
      <c r="C15">
        <v>121.39566666666667</v>
      </c>
      <c r="D15">
        <v>107.753</v>
      </c>
      <c r="E15">
        <v>104.73133333333332</v>
      </c>
      <c r="F15">
        <v>367.47500000000002</v>
      </c>
      <c r="I15" s="78">
        <v>5.0885180881400016</v>
      </c>
      <c r="J15" s="78">
        <v>4.4718318766850658</v>
      </c>
      <c r="K15" s="78">
        <v>4.7211448823350741</v>
      </c>
      <c r="L15" s="78">
        <v>2.7211735213572643</v>
      </c>
    </row>
    <row r="16" spans="1:12" x14ac:dyDescent="0.3">
      <c r="A16">
        <v>390</v>
      </c>
      <c r="B16">
        <v>128.404</v>
      </c>
      <c r="C16">
        <v>121.754</v>
      </c>
      <c r="D16">
        <v>115.42533333333334</v>
      </c>
      <c r="E16">
        <v>101.79</v>
      </c>
      <c r="F16">
        <v>347.19299999999998</v>
      </c>
      <c r="I16" s="78">
        <v>8.3897366466417651</v>
      </c>
      <c r="J16" s="78">
        <v>6.7822432129788801</v>
      </c>
      <c r="K16" s="78">
        <v>6.1617050670515674</v>
      </c>
      <c r="L16" s="78">
        <v>1.8559431564568392</v>
      </c>
    </row>
    <row r="17" spans="1:12" x14ac:dyDescent="0.3">
      <c r="A17">
        <v>420</v>
      </c>
      <c r="B17">
        <v>134.369</v>
      </c>
      <c r="C17">
        <v>119.29266666666666</v>
      </c>
      <c r="D17">
        <v>121.66966666666667</v>
      </c>
      <c r="E17">
        <v>97.285666666666657</v>
      </c>
      <c r="F17">
        <v>328.05900000000003</v>
      </c>
      <c r="I17" s="78">
        <v>4.697331689374554</v>
      </c>
      <c r="J17" s="78">
        <v>9.1788902560895327</v>
      </c>
      <c r="K17" s="78">
        <v>6.7951495445891394</v>
      </c>
      <c r="L17" s="78">
        <v>0.42725909391490247</v>
      </c>
    </row>
    <row r="18" spans="1:12" x14ac:dyDescent="0.3">
      <c r="A18">
        <v>450</v>
      </c>
      <c r="B18">
        <v>137.31733333333332</v>
      </c>
      <c r="C18">
        <v>116.23766666666667</v>
      </c>
      <c r="D18">
        <v>123.49566666666668</v>
      </c>
      <c r="E18">
        <v>92.514999999999986</v>
      </c>
      <c r="F18">
        <v>288.34800000000001</v>
      </c>
      <c r="I18" s="78">
        <v>4.1017891624675915</v>
      </c>
      <c r="J18" s="78">
        <v>10.004978827230547</v>
      </c>
      <c r="K18" s="78">
        <v>5.3038678653726032</v>
      </c>
      <c r="L18" s="78">
        <v>0.81776341322145407</v>
      </c>
    </row>
    <row r="19" spans="1:12" x14ac:dyDescent="0.3">
      <c r="A19">
        <v>480</v>
      </c>
      <c r="B19">
        <v>140.54933333333335</v>
      </c>
      <c r="C19">
        <v>111.443</v>
      </c>
      <c r="D19">
        <v>126.08633333333334</v>
      </c>
      <c r="E19">
        <v>90.465333333333334</v>
      </c>
      <c r="F19">
        <v>263.46199999999999</v>
      </c>
      <c r="I19" s="78">
        <v>1.9081588857659788</v>
      </c>
      <c r="J19" s="78">
        <v>10.269843669696133</v>
      </c>
      <c r="K19" s="78">
        <v>4.4193631139936196</v>
      </c>
      <c r="L19" s="78">
        <v>1.1937270765684922</v>
      </c>
    </row>
    <row r="20" spans="1:12" x14ac:dyDescent="0.3">
      <c r="A20">
        <v>510</v>
      </c>
      <c r="B20">
        <v>144.38199999999998</v>
      </c>
      <c r="C20">
        <v>108.37933333333335</v>
      </c>
      <c r="D20">
        <v>128.12800000000001</v>
      </c>
      <c r="E20">
        <v>88.424666666666667</v>
      </c>
      <c r="F20">
        <v>250.07900000000001</v>
      </c>
      <c r="I20" s="78">
        <v>2.7205332197951511</v>
      </c>
      <c r="J20" s="78">
        <v>9.662674388249199</v>
      </c>
      <c r="K20" s="78">
        <v>4.6355732115890227</v>
      </c>
      <c r="L20" s="78">
        <v>1.273476475375428</v>
      </c>
    </row>
    <row r="21" spans="1:12" x14ac:dyDescent="0.3">
      <c r="A21">
        <v>540</v>
      </c>
      <c r="B21">
        <v>149.57633333333334</v>
      </c>
      <c r="C21">
        <v>106.145</v>
      </c>
      <c r="D21">
        <v>130.38300000000001</v>
      </c>
      <c r="E21">
        <v>85.74766666666666</v>
      </c>
      <c r="F21">
        <v>232.077</v>
      </c>
      <c r="I21" s="78">
        <v>0.95873162737709006</v>
      </c>
      <c r="J21" s="78">
        <v>9.5305724382116743</v>
      </c>
      <c r="K21" s="78">
        <v>2.909445479811775</v>
      </c>
      <c r="L21" s="78">
        <v>1.2975347137306297</v>
      </c>
    </row>
    <row r="22" spans="1:12" x14ac:dyDescent="0.3">
      <c r="A22">
        <v>570</v>
      </c>
      <c r="B22">
        <v>153.05333333333331</v>
      </c>
      <c r="C22">
        <v>103.794</v>
      </c>
      <c r="D22">
        <v>132.27066666666667</v>
      </c>
      <c r="E22">
        <v>84.066666666666663</v>
      </c>
      <c r="F22">
        <v>209.464</v>
      </c>
      <c r="I22" s="78">
        <v>2.3171698973846575</v>
      </c>
      <c r="J22" s="78">
        <v>8.9022098941778953</v>
      </c>
      <c r="K22" s="78">
        <v>5.6065592240988043</v>
      </c>
      <c r="L22" s="78">
        <v>1.3775798827416519</v>
      </c>
    </row>
    <row r="23" spans="1:12" x14ac:dyDescent="0.3">
      <c r="A23">
        <v>600</v>
      </c>
      <c r="B23">
        <v>156.40466666666666</v>
      </c>
      <c r="C23">
        <v>101.75033333333334</v>
      </c>
      <c r="D23">
        <v>132.24733333333336</v>
      </c>
      <c r="E23">
        <v>81.468333333333334</v>
      </c>
      <c r="F23">
        <v>189.17</v>
      </c>
      <c r="I23" s="78">
        <v>2.555525451516202</v>
      </c>
      <c r="J23" s="78">
        <v>8.6027100574953561</v>
      </c>
      <c r="K23" s="78">
        <v>5.3652785886030445</v>
      </c>
      <c r="L23" s="78">
        <v>1.5110315461079089</v>
      </c>
    </row>
    <row r="24" spans="1:12" x14ac:dyDescent="0.3">
      <c r="A24">
        <v>630</v>
      </c>
      <c r="B24">
        <v>154.12966666666668</v>
      </c>
      <c r="C24">
        <v>99.873666666666665</v>
      </c>
      <c r="D24">
        <v>131.25266666666667</v>
      </c>
      <c r="E24">
        <v>79.220999999999989</v>
      </c>
      <c r="F24">
        <v>172.774</v>
      </c>
      <c r="I24" s="78">
        <v>5.8987321801664319</v>
      </c>
      <c r="J24" s="78">
        <v>8.1083655771884491</v>
      </c>
      <c r="K24" s="78">
        <v>6.2382709410002457</v>
      </c>
      <c r="L24" s="78">
        <v>1.44549922172305</v>
      </c>
    </row>
    <row r="25" spans="1:12" x14ac:dyDescent="0.3">
      <c r="A25">
        <v>660</v>
      </c>
      <c r="B25">
        <v>155.61633333333333</v>
      </c>
      <c r="C25">
        <v>99.325666666666663</v>
      </c>
      <c r="D25">
        <v>130.411</v>
      </c>
      <c r="E25">
        <v>78.010666666666665</v>
      </c>
      <c r="F25">
        <v>153.95599999999999</v>
      </c>
      <c r="I25" s="78">
        <v>4.8716352832836609</v>
      </c>
      <c r="J25" s="78">
        <v>7.8119821001672376</v>
      </c>
      <c r="K25" s="78">
        <v>3.9823125191274125</v>
      </c>
      <c r="L25" s="78">
        <v>1.4569589333039088</v>
      </c>
    </row>
    <row r="26" spans="1:12" x14ac:dyDescent="0.3">
      <c r="A26">
        <v>690</v>
      </c>
      <c r="B26">
        <v>159.45900000000003</v>
      </c>
      <c r="C26">
        <v>98.84999999999998</v>
      </c>
      <c r="D26">
        <v>132.11266666666666</v>
      </c>
      <c r="E26">
        <v>76.951666666666668</v>
      </c>
      <c r="F26">
        <v>142.46899999999999</v>
      </c>
      <c r="I26" s="78">
        <v>7.0816062443480412</v>
      </c>
      <c r="J26" s="78">
        <v>7.0962619032844607</v>
      </c>
      <c r="K26" s="78">
        <v>3.1955971794550386</v>
      </c>
      <c r="L26" s="78">
        <v>1.4377434866260694</v>
      </c>
    </row>
    <row r="27" spans="1:12" x14ac:dyDescent="0.3">
      <c r="A27">
        <v>720</v>
      </c>
      <c r="B27">
        <v>161.46733333333333</v>
      </c>
      <c r="C27">
        <v>98.49666666666667</v>
      </c>
      <c r="D27">
        <v>131.74199999999999</v>
      </c>
      <c r="E27">
        <v>74.99466666666666</v>
      </c>
      <c r="F27">
        <v>129.45099999999999</v>
      </c>
      <c r="I27" s="78">
        <v>7.4960513160818421</v>
      </c>
      <c r="J27" s="78">
        <v>7.4190878370143567</v>
      </c>
      <c r="K27" s="78">
        <v>3.6809337130679953</v>
      </c>
      <c r="L27" s="78">
        <v>1.4273977488199197</v>
      </c>
    </row>
    <row r="28" spans="1:12" x14ac:dyDescent="0.3">
      <c r="A28">
        <v>750</v>
      </c>
      <c r="B28">
        <v>159.57766666666666</v>
      </c>
      <c r="C28">
        <v>95.915666666666667</v>
      </c>
      <c r="D28">
        <v>126.49866666666667</v>
      </c>
      <c r="E28">
        <v>70.432000000000002</v>
      </c>
      <c r="F28">
        <v>104.541</v>
      </c>
      <c r="I28" s="78">
        <v>9.3753427848447757</v>
      </c>
      <c r="J28" s="78">
        <v>6.9483926438661836</v>
      </c>
      <c r="K28" s="78">
        <v>4.3316629985885076</v>
      </c>
      <c r="L28" s="78">
        <v>1.330246969551343</v>
      </c>
    </row>
    <row r="29" spans="1:12" x14ac:dyDescent="0.3">
      <c r="A29">
        <v>780</v>
      </c>
      <c r="B29">
        <v>157.30866666666668</v>
      </c>
      <c r="C29">
        <v>93.384666666666661</v>
      </c>
      <c r="D29">
        <v>125.48099999999999</v>
      </c>
      <c r="E29">
        <v>69.032666666666657</v>
      </c>
      <c r="F29">
        <v>93.052999999999997</v>
      </c>
      <c r="I29" s="78">
        <v>9.5280962071827844</v>
      </c>
      <c r="J29" s="78">
        <v>6.7004388910976438</v>
      </c>
      <c r="K29" s="78">
        <v>3.8675889130047998</v>
      </c>
      <c r="L29" s="78">
        <v>1.2149668033878784</v>
      </c>
    </row>
    <row r="30" spans="1:12" x14ac:dyDescent="0.3">
      <c r="A30">
        <v>810</v>
      </c>
      <c r="B30">
        <v>155.69533333333331</v>
      </c>
      <c r="C30">
        <v>91.595000000000013</v>
      </c>
      <c r="D30">
        <v>124.36766666666666</v>
      </c>
      <c r="E30">
        <v>68.266000000000005</v>
      </c>
      <c r="F30">
        <v>79.268000000000001</v>
      </c>
      <c r="I30" s="78">
        <v>9.2456149786445412</v>
      </c>
      <c r="J30" s="78">
        <v>6.301393417332279</v>
      </c>
      <c r="K30" s="78">
        <v>3.865549033880554</v>
      </c>
      <c r="L30" s="78">
        <v>1.2160444070836809</v>
      </c>
    </row>
    <row r="31" spans="1:12" x14ac:dyDescent="0.3">
      <c r="A31">
        <v>840</v>
      </c>
      <c r="B31">
        <v>149.57366666666667</v>
      </c>
      <c r="C31">
        <v>88.078000000000017</v>
      </c>
      <c r="D31">
        <v>122.42333333333333</v>
      </c>
      <c r="E31">
        <v>66.838666666666668</v>
      </c>
      <c r="F31">
        <v>62.805999999999997</v>
      </c>
      <c r="I31" s="78">
        <v>9.1541965422060372</v>
      </c>
      <c r="J31" s="78">
        <v>5.7557557279645311</v>
      </c>
      <c r="K31" s="78">
        <v>4.4257547755534725</v>
      </c>
      <c r="L31" s="78">
        <v>1.0803135347350279</v>
      </c>
    </row>
    <row r="32" spans="1:12" x14ac:dyDescent="0.3">
      <c r="A32">
        <v>870</v>
      </c>
      <c r="B32">
        <v>150.387</v>
      </c>
      <c r="C32">
        <v>87.243333333333339</v>
      </c>
      <c r="D32">
        <v>120.36533333333334</v>
      </c>
      <c r="E32">
        <v>65.577666666666673</v>
      </c>
      <c r="F32">
        <v>27.957000000000001</v>
      </c>
      <c r="I32" s="78">
        <v>8.4005525413509012</v>
      </c>
      <c r="J32" s="78">
        <v>5.8959683117644817</v>
      </c>
      <c r="K32" s="78">
        <v>4.4836385150158691</v>
      </c>
      <c r="L32" s="78">
        <v>0.95279606072442569</v>
      </c>
    </row>
    <row r="33" spans="1:12" x14ac:dyDescent="0.3">
      <c r="A33">
        <v>900</v>
      </c>
      <c r="B33">
        <v>146.36433333333332</v>
      </c>
      <c r="C33">
        <v>84.537333333333336</v>
      </c>
      <c r="D33">
        <v>118.979</v>
      </c>
      <c r="E33">
        <v>64.492333333333335</v>
      </c>
      <c r="F33">
        <v>12.349</v>
      </c>
      <c r="I33" s="78">
        <v>9.4870467656346396</v>
      </c>
      <c r="J33" s="78">
        <v>5.3802301375808659</v>
      </c>
      <c r="K33" s="78">
        <v>4.9144396425225336</v>
      </c>
      <c r="L33" s="78">
        <v>0.83277928248341548</v>
      </c>
    </row>
    <row r="34" spans="1:12" x14ac:dyDescent="0.3">
      <c r="A34">
        <v>930</v>
      </c>
      <c r="B34">
        <v>143.56399999999999</v>
      </c>
      <c r="C34">
        <v>83.10733333333333</v>
      </c>
      <c r="D34">
        <v>116.63333333333334</v>
      </c>
      <c r="E34">
        <v>63.25333333333333</v>
      </c>
      <c r="F34">
        <v>7.3659999999999997</v>
      </c>
      <c r="I34" s="78">
        <v>10.896543626306764</v>
      </c>
      <c r="J34" s="78">
        <v>5.3466864816755368</v>
      </c>
      <c r="K34" s="78">
        <v>5.4133418821768826</v>
      </c>
      <c r="L34" s="78">
        <v>0.77545943371295278</v>
      </c>
    </row>
    <row r="35" spans="1:12" x14ac:dyDescent="0.3">
      <c r="A35">
        <v>960</v>
      </c>
      <c r="B35">
        <v>139.61324999999999</v>
      </c>
      <c r="C35">
        <v>81.903000000000006</v>
      </c>
      <c r="D35">
        <v>115.00600000000001</v>
      </c>
      <c r="E35">
        <v>61.795666666666669</v>
      </c>
      <c r="F35">
        <v>0</v>
      </c>
      <c r="I35" s="78">
        <v>10.41261153201572</v>
      </c>
      <c r="J35" s="78">
        <v>4.8775037672974566</v>
      </c>
      <c r="K35" s="78">
        <v>5.487428086088781</v>
      </c>
      <c r="L35" s="78">
        <v>0.71249725145756904</v>
      </c>
    </row>
    <row r="36" spans="1:12" x14ac:dyDescent="0.3">
      <c r="A36">
        <v>990</v>
      </c>
      <c r="B36">
        <v>141.46133333333333</v>
      </c>
      <c r="C36">
        <v>80.778666666666666</v>
      </c>
      <c r="D36">
        <v>114.33566666666667</v>
      </c>
      <c r="E36">
        <v>61.272666666666673</v>
      </c>
      <c r="F36">
        <v>0</v>
      </c>
      <c r="I36" s="78">
        <v>9.6474374490501784</v>
      </c>
      <c r="J36" s="78">
        <v>5.3163564904294232</v>
      </c>
      <c r="K36" s="78">
        <v>8.0389142509006781</v>
      </c>
      <c r="L36" s="78">
        <v>0.67939262089933272</v>
      </c>
    </row>
    <row r="37" spans="1:12" x14ac:dyDescent="0.3">
      <c r="A37">
        <v>1020</v>
      </c>
      <c r="B37">
        <v>137.38866666666664</v>
      </c>
      <c r="C37">
        <v>78.665999999999997</v>
      </c>
      <c r="D37">
        <v>111.033</v>
      </c>
      <c r="E37">
        <v>59.026000000000003</v>
      </c>
      <c r="F37">
        <v>0</v>
      </c>
      <c r="I37" s="78">
        <v>9.8129947688430423</v>
      </c>
      <c r="J37" s="78">
        <v>4.826039473522731</v>
      </c>
      <c r="K37" s="78">
        <v>6.2347105786877037</v>
      </c>
      <c r="L37" s="78">
        <v>0.63720247959341358</v>
      </c>
    </row>
    <row r="38" spans="1:12" x14ac:dyDescent="0.3">
      <c r="A38">
        <v>1050</v>
      </c>
      <c r="B38">
        <v>135.68299999999999</v>
      </c>
      <c r="C38">
        <v>77.410333333333327</v>
      </c>
      <c r="D38">
        <v>110.70166666666667</v>
      </c>
      <c r="E38">
        <v>58.376333333333342</v>
      </c>
      <c r="F38">
        <v>0</v>
      </c>
      <c r="I38" s="78">
        <v>9.5345620245506684</v>
      </c>
      <c r="J38" s="78">
        <v>4.7898931442501755</v>
      </c>
      <c r="K38" s="78">
        <v>6.6268070994507839</v>
      </c>
      <c r="L38" s="78">
        <v>0.62592757834460089</v>
      </c>
    </row>
    <row r="39" spans="1:12" x14ac:dyDescent="0.3">
      <c r="A39">
        <v>1080</v>
      </c>
      <c r="B39">
        <v>134.327</v>
      </c>
      <c r="C39">
        <v>77.081666666666663</v>
      </c>
      <c r="D39">
        <v>109.27800000000001</v>
      </c>
      <c r="E39">
        <v>57.13033333333334</v>
      </c>
      <c r="F39">
        <v>0</v>
      </c>
      <c r="I39" s="78">
        <v>10.029848503342148</v>
      </c>
      <c r="J39" s="78">
        <v>4.596466070073177</v>
      </c>
      <c r="K39" s="78">
        <v>6.8841257251739005</v>
      </c>
      <c r="L39" s="78">
        <v>0.71812278430116738</v>
      </c>
    </row>
    <row r="40" spans="1:12" x14ac:dyDescent="0.3">
      <c r="A40">
        <v>1110</v>
      </c>
      <c r="B40">
        <v>131.995</v>
      </c>
      <c r="C40">
        <v>75.916333333333327</v>
      </c>
      <c r="D40">
        <v>106.27233333333334</v>
      </c>
      <c r="E40">
        <v>55.795666666666669</v>
      </c>
      <c r="F40">
        <v>0</v>
      </c>
      <c r="I40" s="78">
        <v>9.5075466867114322</v>
      </c>
      <c r="J40" s="78">
        <v>4.7249817283598459</v>
      </c>
      <c r="K40" s="78">
        <v>7.5729673400414184</v>
      </c>
      <c r="L40" s="78">
        <v>0.85687941586490812</v>
      </c>
    </row>
    <row r="41" spans="1:12" x14ac:dyDescent="0.3">
      <c r="A41">
        <v>1140</v>
      </c>
      <c r="B41">
        <v>130.87533333333334</v>
      </c>
      <c r="C41">
        <v>75.449666666666658</v>
      </c>
      <c r="D41">
        <v>104.61599999999999</v>
      </c>
      <c r="E41">
        <v>55.43033333333333</v>
      </c>
      <c r="F41">
        <v>0</v>
      </c>
      <c r="I41" s="78">
        <v>9.3488355602894888</v>
      </c>
      <c r="J41" s="78">
        <v>4.2709736985064417</v>
      </c>
      <c r="K41" s="78">
        <v>7.3961928720123238</v>
      </c>
      <c r="L41" s="78">
        <v>1.0674428946477961</v>
      </c>
    </row>
    <row r="42" spans="1:12" x14ac:dyDescent="0.3">
      <c r="A42">
        <v>1170</v>
      </c>
      <c r="B42">
        <v>133.74799999999999</v>
      </c>
      <c r="C42">
        <v>73.899666666666675</v>
      </c>
      <c r="D42">
        <v>103.82066666666667</v>
      </c>
      <c r="E42">
        <v>54.163333333333334</v>
      </c>
      <c r="F42">
        <v>0</v>
      </c>
      <c r="I42" s="78">
        <v>1.7380684681598779</v>
      </c>
      <c r="J42" s="78">
        <v>4.3626235608097019</v>
      </c>
      <c r="K42" s="78">
        <v>7.9327821307113595</v>
      </c>
      <c r="L42" s="78">
        <v>1.248813970667048</v>
      </c>
    </row>
    <row r="43" spans="1:12" x14ac:dyDescent="0.3">
      <c r="A43">
        <v>1200</v>
      </c>
      <c r="B43">
        <v>125.39266666666667</v>
      </c>
      <c r="C43">
        <v>72.487333333333325</v>
      </c>
      <c r="D43">
        <v>100.39633333333335</v>
      </c>
      <c r="E43">
        <v>52.903999999999996</v>
      </c>
      <c r="F43">
        <v>0</v>
      </c>
      <c r="I43" s="78">
        <v>9.5815672169710311</v>
      </c>
      <c r="J43" s="78">
        <v>4.2211622017323389</v>
      </c>
      <c r="K43" s="78">
        <v>9.634067953535137</v>
      </c>
      <c r="L43" s="78">
        <v>1.4672740030408411</v>
      </c>
    </row>
    <row r="44" spans="1:12" x14ac:dyDescent="0.3">
      <c r="A44">
        <v>1230</v>
      </c>
      <c r="B44">
        <v>123.24466666666666</v>
      </c>
      <c r="C44">
        <v>70.636333333333326</v>
      </c>
      <c r="D44">
        <v>98.587666666666678</v>
      </c>
      <c r="E44">
        <v>52.212333333333333</v>
      </c>
      <c r="F44">
        <v>0</v>
      </c>
      <c r="I44" s="78">
        <v>10.43367060690249</v>
      </c>
      <c r="J44" s="78">
        <v>3.7091727289699028</v>
      </c>
      <c r="K44" s="78">
        <v>11.484819299115371</v>
      </c>
      <c r="L44" s="78">
        <v>1.7398771029394735</v>
      </c>
    </row>
    <row r="45" spans="1:12" x14ac:dyDescent="0.3">
      <c r="A45">
        <v>1260</v>
      </c>
      <c r="B45">
        <v>120.37633333333333</v>
      </c>
      <c r="C45">
        <v>68.926000000000002</v>
      </c>
      <c r="D45">
        <v>94.344999999999985</v>
      </c>
      <c r="E45">
        <v>50.610999999999997</v>
      </c>
      <c r="F45">
        <v>0</v>
      </c>
      <c r="I45" s="78">
        <v>9.8846307636315807</v>
      </c>
      <c r="J45" s="78">
        <v>3.8232058537302649</v>
      </c>
      <c r="K45" s="78">
        <v>11.812724664530259</v>
      </c>
      <c r="L45" s="78">
        <v>1.8731449490095349</v>
      </c>
    </row>
    <row r="46" spans="1:12" x14ac:dyDescent="0.3">
      <c r="A46">
        <v>1290</v>
      </c>
      <c r="B46">
        <v>118.92933333333333</v>
      </c>
      <c r="C46">
        <v>68.213999999999999</v>
      </c>
      <c r="D46">
        <v>91.265666666666675</v>
      </c>
      <c r="E46">
        <v>50.106666666666662</v>
      </c>
      <c r="F46">
        <v>0</v>
      </c>
      <c r="I46" s="78">
        <v>9.2311046106806831</v>
      </c>
      <c r="J46" s="78">
        <v>3.6246528109601077</v>
      </c>
      <c r="K46" s="78">
        <v>12.025032238348935</v>
      </c>
      <c r="L46" s="78">
        <v>2.003836653356057</v>
      </c>
    </row>
    <row r="47" spans="1:12" x14ac:dyDescent="0.3">
      <c r="A47">
        <v>1320</v>
      </c>
      <c r="B47">
        <v>117.71733333333333</v>
      </c>
      <c r="C47">
        <v>67.316333333333333</v>
      </c>
      <c r="D47">
        <v>89.168666666666653</v>
      </c>
      <c r="E47">
        <v>49.405666666666662</v>
      </c>
      <c r="F47">
        <v>0</v>
      </c>
      <c r="I47" s="78">
        <v>8.3171579480813023</v>
      </c>
      <c r="J47" s="78">
        <v>3.6889810697985479</v>
      </c>
      <c r="K47" s="78">
        <v>12.214067681707654</v>
      </c>
      <c r="L47" s="78">
        <v>2.2182049800084145</v>
      </c>
    </row>
    <row r="48" spans="1:12" x14ac:dyDescent="0.3">
      <c r="A48">
        <v>1350</v>
      </c>
      <c r="B48">
        <v>118.07566666666666</v>
      </c>
      <c r="C48">
        <v>66.386333333333326</v>
      </c>
      <c r="D48">
        <v>86.423666666666676</v>
      </c>
      <c r="E48">
        <v>48.547333333333334</v>
      </c>
      <c r="F48">
        <v>0</v>
      </c>
      <c r="I48" s="78">
        <v>6.0662213389667441</v>
      </c>
      <c r="J48" s="78">
        <v>3.346088213620984</v>
      </c>
      <c r="K48" s="78">
        <v>11.786807045732564</v>
      </c>
      <c r="L48" s="78">
        <v>2.3454876536306415</v>
      </c>
    </row>
    <row r="49" spans="1:12" x14ac:dyDescent="0.3">
      <c r="A49">
        <v>1380</v>
      </c>
      <c r="B49">
        <v>116.664</v>
      </c>
      <c r="C49">
        <v>65.909666666666666</v>
      </c>
      <c r="D49">
        <v>83.335999999999999</v>
      </c>
      <c r="E49">
        <v>47.691000000000003</v>
      </c>
      <c r="F49">
        <v>0</v>
      </c>
      <c r="I49" s="78">
        <v>6.2104575515814746</v>
      </c>
      <c r="J49" s="78">
        <v>3.7063892582046583</v>
      </c>
      <c r="K49" s="78">
        <v>10.973867868714295</v>
      </c>
      <c r="L49" s="78">
        <v>2.53020493241144</v>
      </c>
    </row>
    <row r="50" spans="1:12" x14ac:dyDescent="0.3">
      <c r="A50">
        <v>1410</v>
      </c>
      <c r="B50">
        <v>113.82733333333333</v>
      </c>
      <c r="C50">
        <v>64.759333333333331</v>
      </c>
      <c r="D50">
        <v>79.901333333333341</v>
      </c>
      <c r="E50">
        <v>46.893333333333324</v>
      </c>
      <c r="F50">
        <v>0</v>
      </c>
      <c r="I50" s="78">
        <v>7.688865802791236</v>
      </c>
      <c r="J50" s="78">
        <v>3.5788970833671629</v>
      </c>
      <c r="K50" s="78">
        <v>9.5833571535934663</v>
      </c>
      <c r="L50" s="78">
        <v>2.6849231522212613</v>
      </c>
    </row>
    <row r="51" spans="1:12" x14ac:dyDescent="0.3">
      <c r="A51">
        <v>1440</v>
      </c>
      <c r="B51">
        <v>111.84033333333332</v>
      </c>
      <c r="C51">
        <v>63.765000000000008</v>
      </c>
      <c r="D51">
        <v>77.641666666666666</v>
      </c>
      <c r="E51">
        <v>46.302</v>
      </c>
      <c r="F51">
        <v>0</v>
      </c>
      <c r="I51" s="78">
        <v>7.4012242455785486</v>
      </c>
      <c r="J51" s="78">
        <v>3.5004695399329839</v>
      </c>
      <c r="K51" s="78">
        <v>8.8616843395222045</v>
      </c>
      <c r="L51" s="78">
        <v>2.8185647056614132</v>
      </c>
    </row>
    <row r="52" spans="1:12" x14ac:dyDescent="0.3">
      <c r="A52">
        <v>1470</v>
      </c>
      <c r="B52">
        <v>109.96333333333332</v>
      </c>
      <c r="C52">
        <v>62.808333333333337</v>
      </c>
      <c r="D52">
        <v>73.549499999999995</v>
      </c>
      <c r="E52">
        <v>45.764333333333333</v>
      </c>
      <c r="F52">
        <v>0</v>
      </c>
      <c r="I52" s="78">
        <v>7.1548348921085898</v>
      </c>
      <c r="J52" s="78">
        <v>3.2541189795908414</v>
      </c>
      <c r="K52" s="78">
        <v>8.5447403120282051</v>
      </c>
      <c r="L52" s="78">
        <v>3.0060640933508451</v>
      </c>
    </row>
    <row r="53" spans="1:12" x14ac:dyDescent="0.3">
      <c r="A53">
        <v>1500</v>
      </c>
      <c r="B53">
        <v>106.81666666666666</v>
      </c>
      <c r="C53">
        <v>62.071333333333335</v>
      </c>
      <c r="D53">
        <v>74.471999999999994</v>
      </c>
      <c r="E53">
        <v>44.899000000000001</v>
      </c>
      <c r="F53">
        <v>0</v>
      </c>
      <c r="I53" s="78">
        <v>9.4992026156585467</v>
      </c>
      <c r="J53" s="78">
        <v>3.2940486234014923</v>
      </c>
      <c r="K53" s="78">
        <v>7.9969275975215268</v>
      </c>
      <c r="L53" s="78">
        <v>3.1165819418074183</v>
      </c>
    </row>
    <row r="54" spans="1:12" x14ac:dyDescent="0.3">
      <c r="A54">
        <v>1530</v>
      </c>
      <c r="B54">
        <v>109.42033333333332</v>
      </c>
      <c r="C54">
        <v>61.930666666666667</v>
      </c>
      <c r="D54">
        <v>73.584000000000003</v>
      </c>
      <c r="E54">
        <v>44.594999999999999</v>
      </c>
      <c r="F54">
        <v>0</v>
      </c>
      <c r="I54" s="78">
        <v>4.6844339394785948</v>
      </c>
      <c r="J54" s="78">
        <v>3.2680499282192104</v>
      </c>
      <c r="K54" s="78">
        <v>7.8229439471340037</v>
      </c>
      <c r="L54" s="78">
        <v>3.2452514540478981</v>
      </c>
    </row>
    <row r="55" spans="1:12" x14ac:dyDescent="0.3">
      <c r="A55">
        <v>1560</v>
      </c>
      <c r="B55">
        <v>106.254</v>
      </c>
      <c r="C55">
        <v>61.70066666666667</v>
      </c>
      <c r="D55">
        <v>71.828999999999994</v>
      </c>
      <c r="E55">
        <v>44.042000000000002</v>
      </c>
      <c r="F55">
        <v>0</v>
      </c>
      <c r="I55" s="78">
        <v>5.7858179197069974</v>
      </c>
      <c r="J55" s="78">
        <v>3.0768533168374645</v>
      </c>
      <c r="K55" s="78">
        <v>7.6682657100546505</v>
      </c>
      <c r="L55" s="78">
        <v>3.352665804997534</v>
      </c>
    </row>
    <row r="56" spans="1:12" x14ac:dyDescent="0.3">
      <c r="A56">
        <v>1590</v>
      </c>
      <c r="B56">
        <v>102.033</v>
      </c>
      <c r="C56">
        <v>59.734000000000002</v>
      </c>
      <c r="D56">
        <v>72.020666666666671</v>
      </c>
      <c r="E56">
        <v>44.015000000000008</v>
      </c>
      <c r="F56">
        <v>0</v>
      </c>
      <c r="I56" s="78">
        <v>7.632962269001391</v>
      </c>
      <c r="J56" s="78">
        <v>3.0476093909818518</v>
      </c>
      <c r="K56" s="78">
        <v>7.4455467450907884</v>
      </c>
      <c r="L56" s="78">
        <v>3.4265942275092205</v>
      </c>
    </row>
    <row r="57" spans="1:12" x14ac:dyDescent="0.3">
      <c r="A57">
        <v>1620</v>
      </c>
      <c r="B57">
        <v>101.562</v>
      </c>
      <c r="C57">
        <v>60.040999999999997</v>
      </c>
      <c r="D57">
        <v>70.053666666666672</v>
      </c>
      <c r="E57">
        <v>43.413999999999994</v>
      </c>
      <c r="F57">
        <v>0</v>
      </c>
      <c r="I57" s="78">
        <v>8.1750466665337242</v>
      </c>
      <c r="J57" s="78">
        <v>3.2298438042730622</v>
      </c>
      <c r="K57" s="78">
        <v>7.2940289506782321</v>
      </c>
      <c r="L57" s="78">
        <v>3.5208809977049977</v>
      </c>
    </row>
    <row r="58" spans="1:12" x14ac:dyDescent="0.3">
      <c r="A58">
        <v>1650</v>
      </c>
      <c r="B58">
        <v>101.50266666666666</v>
      </c>
      <c r="C58">
        <v>59.69133333333334</v>
      </c>
      <c r="D58">
        <v>68.631</v>
      </c>
      <c r="E58">
        <v>42.401999999999994</v>
      </c>
      <c r="F58">
        <v>0</v>
      </c>
      <c r="I58" s="78">
        <v>6.2177653810137379</v>
      </c>
      <c r="J58" s="78">
        <v>3.219627980579753</v>
      </c>
      <c r="K58" s="78">
        <v>7.0633979783103467</v>
      </c>
      <c r="L58" s="78">
        <v>3.5631688144123044</v>
      </c>
    </row>
    <row r="59" spans="1:12" x14ac:dyDescent="0.3">
      <c r="A59">
        <v>1680</v>
      </c>
      <c r="B59">
        <v>101.68133333333334</v>
      </c>
      <c r="C59">
        <v>60.042000000000002</v>
      </c>
      <c r="D59">
        <v>68.116</v>
      </c>
      <c r="E59">
        <v>42.325333333333333</v>
      </c>
      <c r="F59">
        <v>0</v>
      </c>
      <c r="I59" s="78">
        <v>6.6247469637210719</v>
      </c>
      <c r="J59" s="78">
        <v>3.2074271620723627</v>
      </c>
      <c r="K59" s="78">
        <v>7.3455335408669429</v>
      </c>
      <c r="L59" s="78">
        <v>3.6603459308285675</v>
      </c>
    </row>
    <row r="60" spans="1:12" x14ac:dyDescent="0.3">
      <c r="A60">
        <v>1710</v>
      </c>
      <c r="B60">
        <v>100.14966666666668</v>
      </c>
      <c r="C60">
        <v>58.949999999999996</v>
      </c>
      <c r="D60">
        <v>67.520666666666671</v>
      </c>
      <c r="E60">
        <v>42.137999999999998</v>
      </c>
      <c r="F60">
        <v>0</v>
      </c>
      <c r="I60" s="78">
        <v>6.5533973123360623</v>
      </c>
      <c r="J60" s="78">
        <v>3.1083592134759557</v>
      </c>
      <c r="K60" s="78">
        <v>7.2838608809705265</v>
      </c>
      <c r="L60" s="78">
        <v>3.771487372377258</v>
      </c>
    </row>
    <row r="61" spans="1:12" x14ac:dyDescent="0.3">
      <c r="A61">
        <v>1740</v>
      </c>
      <c r="B61">
        <v>97.617000000000004</v>
      </c>
      <c r="C61">
        <v>56.722000000000001</v>
      </c>
      <c r="D61">
        <v>65.884</v>
      </c>
      <c r="E61">
        <v>41.774999999999999</v>
      </c>
      <c r="F61">
        <v>0</v>
      </c>
      <c r="I61" s="78">
        <v>2.5080484445076978</v>
      </c>
      <c r="J61" s="78">
        <v>3.2928909790639196</v>
      </c>
      <c r="K61" s="78">
        <v>7.0368722455364514</v>
      </c>
      <c r="L61" s="78">
        <v>3.8305416066139326</v>
      </c>
    </row>
    <row r="62" spans="1:12" x14ac:dyDescent="0.3">
      <c r="A62">
        <v>1770</v>
      </c>
      <c r="B62">
        <v>94.591999999999999</v>
      </c>
      <c r="C62">
        <v>56.334333333333326</v>
      </c>
      <c r="D62">
        <v>65.297333333333327</v>
      </c>
      <c r="E62">
        <v>41.294999999999995</v>
      </c>
      <c r="F62">
        <v>0</v>
      </c>
      <c r="I62" s="78">
        <v>9.2308331693299976</v>
      </c>
      <c r="J62" s="78">
        <v>3.1387536273710643</v>
      </c>
      <c r="K62" s="78">
        <v>7.0248502712395409</v>
      </c>
      <c r="L62" s="78">
        <v>3.9008264508947645</v>
      </c>
    </row>
    <row r="63" spans="1:12" x14ac:dyDescent="0.3">
      <c r="A63">
        <v>1800</v>
      </c>
      <c r="B63">
        <v>96.156333333333336</v>
      </c>
      <c r="C63">
        <v>56.36633333333333</v>
      </c>
      <c r="D63">
        <v>62.891666666666673</v>
      </c>
      <c r="E63">
        <v>40.859666666666669</v>
      </c>
      <c r="F63">
        <v>0</v>
      </c>
      <c r="I63" s="78">
        <v>5.2384515205672599</v>
      </c>
      <c r="J63" s="78">
        <v>3.0693011148035216</v>
      </c>
      <c r="K63" s="78">
        <v>7.0161702753947743</v>
      </c>
      <c r="L63" s="78">
        <v>3.9711924321710774</v>
      </c>
    </row>
    <row r="64" spans="1:12" x14ac:dyDescent="0.3">
      <c r="A64">
        <v>1830</v>
      </c>
      <c r="B64">
        <v>97.713000000000008</v>
      </c>
      <c r="C64">
        <v>55.506333333333338</v>
      </c>
      <c r="D64">
        <v>62.754333333333328</v>
      </c>
      <c r="E64">
        <v>40.968666666666671</v>
      </c>
      <c r="F64">
        <v>0</v>
      </c>
      <c r="I64" s="78">
        <v>2.4373598421238274</v>
      </c>
      <c r="J64" s="78">
        <v>3.0281186128243367</v>
      </c>
      <c r="K64" s="78">
        <v>6.7842584217683264</v>
      </c>
      <c r="L64" s="78">
        <v>4.0621846749418937</v>
      </c>
    </row>
    <row r="65" spans="1:12" x14ac:dyDescent="0.3">
      <c r="A65">
        <v>1860</v>
      </c>
      <c r="B65">
        <v>94.595333333333329</v>
      </c>
      <c r="C65">
        <v>54.480999999999995</v>
      </c>
      <c r="D65">
        <v>62.161666666666669</v>
      </c>
      <c r="E65">
        <v>40.882666666666665</v>
      </c>
      <c r="F65">
        <v>0</v>
      </c>
      <c r="I65" s="78">
        <v>3.3264750612824709</v>
      </c>
      <c r="J65" s="78">
        <v>3.0416510319235597</v>
      </c>
      <c r="K65" s="78">
        <v>6.9900210538547594</v>
      </c>
      <c r="L65" s="78">
        <v>4.1360592758485977</v>
      </c>
    </row>
    <row r="66" spans="1:12" x14ac:dyDescent="0.3">
      <c r="A66">
        <v>1890</v>
      </c>
      <c r="B66">
        <v>89.306333333333328</v>
      </c>
      <c r="C66">
        <v>52.231000000000002</v>
      </c>
      <c r="D66">
        <v>61.94</v>
      </c>
      <c r="E66">
        <v>41.342333333333336</v>
      </c>
      <c r="F66">
        <v>0</v>
      </c>
      <c r="I66" s="78">
        <v>4.564477443622116</v>
      </c>
      <c r="J66" s="78">
        <v>2.7761345428491371</v>
      </c>
      <c r="K66" s="78">
        <v>7.090494199983576</v>
      </c>
      <c r="L66" s="78">
        <v>4.262554437580067</v>
      </c>
    </row>
    <row r="67" spans="1:12" x14ac:dyDescent="0.3">
      <c r="A67">
        <v>1920</v>
      </c>
      <c r="B67">
        <v>90.04</v>
      </c>
      <c r="C67">
        <v>52.062333333333328</v>
      </c>
      <c r="D67">
        <v>61.041333333333334</v>
      </c>
      <c r="E67">
        <v>40.704333333333331</v>
      </c>
      <c r="F67">
        <v>0</v>
      </c>
      <c r="I67" s="78">
        <v>2.96834246676474</v>
      </c>
      <c r="J67" s="78">
        <v>2.7633125652618689</v>
      </c>
      <c r="K67" s="78">
        <v>7.0454613996055837</v>
      </c>
      <c r="L67" s="78">
        <v>4.3140224076067675</v>
      </c>
    </row>
    <row r="68" spans="1:12" x14ac:dyDescent="0.3">
      <c r="A68">
        <v>1950</v>
      </c>
      <c r="B68">
        <v>89.935666666666677</v>
      </c>
      <c r="C68">
        <v>51.632666666666665</v>
      </c>
      <c r="D68">
        <v>60.277333333333331</v>
      </c>
      <c r="E68">
        <v>40.5</v>
      </c>
      <c r="F68">
        <v>0</v>
      </c>
      <c r="I68" s="78">
        <v>1.934728490856249</v>
      </c>
      <c r="J68" s="78">
        <v>2.8374200135569456</v>
      </c>
      <c r="K68" s="78">
        <v>6.7213416319462578</v>
      </c>
      <c r="L68" s="78">
        <v>4.4009263797523754</v>
      </c>
    </row>
    <row r="69" spans="1:12" x14ac:dyDescent="0.3">
      <c r="A69">
        <v>1980</v>
      </c>
      <c r="B69">
        <v>89.926000000000002</v>
      </c>
      <c r="C69">
        <v>52.132333333333328</v>
      </c>
      <c r="D69">
        <v>58.582999999999998</v>
      </c>
      <c r="E69">
        <v>39.593666666666671</v>
      </c>
      <c r="F69">
        <v>0</v>
      </c>
      <c r="I69" s="78">
        <v>5.5202261729025039</v>
      </c>
      <c r="J69" s="78">
        <v>3.0363663042087006</v>
      </c>
      <c r="K69" s="78">
        <v>7.0114109849587116</v>
      </c>
      <c r="L69" s="78">
        <v>4.4606064983736893</v>
      </c>
    </row>
    <row r="70" spans="1:12" x14ac:dyDescent="0.3">
      <c r="A70">
        <v>2010</v>
      </c>
      <c r="B70">
        <v>87.511333333333326</v>
      </c>
      <c r="C70">
        <v>51.025666666666666</v>
      </c>
      <c r="D70">
        <v>57.427333333333337</v>
      </c>
      <c r="E70">
        <v>39.660333333333334</v>
      </c>
      <c r="F70">
        <v>0</v>
      </c>
      <c r="I70" s="78">
        <v>4.4313147409470393</v>
      </c>
      <c r="J70" s="78">
        <v>2.8272057465513005</v>
      </c>
      <c r="K70" s="78">
        <v>6.5165193418981442</v>
      </c>
      <c r="L70" s="78">
        <v>4.6177813215150527</v>
      </c>
    </row>
    <row r="71" spans="1:12" x14ac:dyDescent="0.3">
      <c r="A71">
        <v>2040</v>
      </c>
      <c r="B71">
        <v>84.798666666666676</v>
      </c>
      <c r="C71">
        <v>50.052333333333337</v>
      </c>
      <c r="D71">
        <v>57.225999999999999</v>
      </c>
      <c r="E71">
        <v>39.802999999999997</v>
      </c>
      <c r="F71">
        <v>0</v>
      </c>
      <c r="I71" s="78">
        <v>4.6024311329264807</v>
      </c>
      <c r="J71" s="78">
        <v>2.6876830790353048</v>
      </c>
      <c r="K71" s="78">
        <v>7.0135411170107771</v>
      </c>
      <c r="L71" s="78">
        <v>4.8611983090592465</v>
      </c>
    </row>
    <row r="72" spans="1:12" x14ac:dyDescent="0.3">
      <c r="A72">
        <v>2070</v>
      </c>
      <c r="B72">
        <v>86.825000000000003</v>
      </c>
      <c r="C72">
        <v>50.201666666666675</v>
      </c>
      <c r="D72">
        <v>57.762666666666668</v>
      </c>
      <c r="E72">
        <v>39.887999999999998</v>
      </c>
      <c r="F72">
        <v>0</v>
      </c>
      <c r="I72" s="78">
        <v>2.8828451224437872</v>
      </c>
      <c r="J72" s="78">
        <v>2.837329084426421</v>
      </c>
      <c r="K72" s="78">
        <v>7.16289287462362</v>
      </c>
      <c r="L72" s="78">
        <v>5.081392328879919</v>
      </c>
    </row>
    <row r="73" spans="1:12" x14ac:dyDescent="0.3">
      <c r="A73">
        <v>2100</v>
      </c>
      <c r="B73">
        <v>79.498666666666665</v>
      </c>
      <c r="C73">
        <v>49.276333333333334</v>
      </c>
      <c r="D73">
        <v>56.188000000000009</v>
      </c>
      <c r="E73">
        <v>39.428666666666665</v>
      </c>
      <c r="F73">
        <v>0</v>
      </c>
      <c r="I73" s="78">
        <v>7.3825829039256323</v>
      </c>
      <c r="J73" s="78">
        <v>2.7366640885087317</v>
      </c>
      <c r="K73" s="78">
        <v>6.8011213046084977</v>
      </c>
      <c r="L73" s="78">
        <v>5.2029565953728083</v>
      </c>
    </row>
    <row r="74" spans="1:12" x14ac:dyDescent="0.3">
      <c r="A74">
        <v>2130</v>
      </c>
      <c r="B74">
        <v>78.429000000000002</v>
      </c>
      <c r="C74">
        <v>47.917999999999999</v>
      </c>
      <c r="D74">
        <v>55.522666666666673</v>
      </c>
      <c r="E74">
        <v>39.059000000000005</v>
      </c>
      <c r="F74">
        <v>0</v>
      </c>
      <c r="I74" s="78">
        <v>4.9067447457554536</v>
      </c>
      <c r="J74" s="78">
        <v>2.9556960263194436</v>
      </c>
      <c r="K74" s="78">
        <v>6.8010115669165252</v>
      </c>
      <c r="L74" s="78">
        <v>5.3450912059571225</v>
      </c>
    </row>
    <row r="75" spans="1:12" x14ac:dyDescent="0.3">
      <c r="A75">
        <v>2160</v>
      </c>
      <c r="B75">
        <v>73.466999999999999</v>
      </c>
      <c r="C75">
        <v>45.669000000000004</v>
      </c>
      <c r="D75">
        <v>53.585666666666668</v>
      </c>
      <c r="E75">
        <v>37.990666666666662</v>
      </c>
      <c r="F75">
        <v>0</v>
      </c>
      <c r="I75" s="78">
        <v>4.0169859347524568</v>
      </c>
      <c r="J75" s="78">
        <v>2.6704838512899598</v>
      </c>
      <c r="K75" s="78">
        <v>6.7049347747262553</v>
      </c>
      <c r="L75" s="78">
        <v>5.2605467713283609</v>
      </c>
    </row>
    <row r="76" spans="1:12" x14ac:dyDescent="0.3">
      <c r="A76">
        <v>2190</v>
      </c>
      <c r="B76">
        <v>75.343000000000004</v>
      </c>
      <c r="C76">
        <v>45.034333333333336</v>
      </c>
      <c r="D76">
        <v>52.856000000000002</v>
      </c>
      <c r="E76">
        <v>37.872999999999998</v>
      </c>
      <c r="F76">
        <v>0</v>
      </c>
      <c r="I76" s="78">
        <v>4.9415840577691492</v>
      </c>
      <c r="J76" s="78">
        <v>2.5373313408644909</v>
      </c>
      <c r="K76" s="78">
        <v>6.6103230632094743</v>
      </c>
      <c r="L76" s="78">
        <v>5.5426819320614289</v>
      </c>
    </row>
    <row r="77" spans="1:12" x14ac:dyDescent="0.3">
      <c r="A77">
        <v>2220</v>
      </c>
      <c r="B77">
        <v>73.168000000000006</v>
      </c>
      <c r="C77">
        <v>44.829333333333331</v>
      </c>
      <c r="D77">
        <v>52.088333333333331</v>
      </c>
      <c r="E77">
        <v>37.57266666666667</v>
      </c>
      <c r="F77">
        <v>0</v>
      </c>
      <c r="I77" s="78">
        <v>5.0514230668199094</v>
      </c>
      <c r="J77" s="78">
        <v>2.4574605456311671</v>
      </c>
      <c r="K77" s="78">
        <v>6.5361712288872678</v>
      </c>
      <c r="L77" s="78">
        <v>5.5804304792133612</v>
      </c>
    </row>
    <row r="78" spans="1:12" x14ac:dyDescent="0.3">
      <c r="A78">
        <v>2250</v>
      </c>
      <c r="B78">
        <v>72.185333333333332</v>
      </c>
      <c r="C78">
        <v>44.142000000000003</v>
      </c>
      <c r="D78">
        <v>51.632000000000005</v>
      </c>
      <c r="E78">
        <v>37.588000000000001</v>
      </c>
      <c r="F78">
        <v>0</v>
      </c>
      <c r="I78" s="78">
        <v>5.0623676608216286</v>
      </c>
      <c r="J78" s="78">
        <v>2.362066044800458</v>
      </c>
      <c r="K78" s="78">
        <v>6.5212854561044304</v>
      </c>
      <c r="L78" s="78">
        <v>5.584284466249902</v>
      </c>
    </row>
    <row r="79" spans="1:12" x14ac:dyDescent="0.3">
      <c r="A79">
        <v>2280</v>
      </c>
      <c r="B79">
        <v>71.440333333333328</v>
      </c>
      <c r="C79">
        <v>43.500666666666667</v>
      </c>
      <c r="D79">
        <v>50.507333333333328</v>
      </c>
      <c r="E79">
        <v>37.351999999999997</v>
      </c>
      <c r="F79">
        <v>0</v>
      </c>
      <c r="I79" s="78">
        <v>1.8248436462711519</v>
      </c>
      <c r="J79" s="78">
        <v>2.7963004726483014</v>
      </c>
      <c r="K79" s="78">
        <v>6.8613778742562879</v>
      </c>
      <c r="L79" s="78">
        <v>5.601618694627498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I36" sqref="I36"/>
    </sheetView>
  </sheetViews>
  <sheetFormatPr baseColWidth="10" defaultRowHeight="14.4" x14ac:dyDescent="0.3"/>
  <cols>
    <col min="3" max="3" width="11.5546875" style="40"/>
  </cols>
  <sheetData>
    <row r="1" spans="1:7" x14ac:dyDescent="0.3">
      <c r="A1" s="2" t="s">
        <v>61</v>
      </c>
    </row>
    <row r="2" spans="1:7" x14ac:dyDescent="0.3">
      <c r="A2" s="2" t="s">
        <v>11</v>
      </c>
      <c r="B2" t="s">
        <v>9</v>
      </c>
      <c r="C2" s="40" t="s">
        <v>10</v>
      </c>
      <c r="D2" t="s">
        <v>0</v>
      </c>
      <c r="E2" t="s">
        <v>1</v>
      </c>
      <c r="F2" t="s">
        <v>2</v>
      </c>
      <c r="G2" t="s">
        <v>3</v>
      </c>
    </row>
    <row r="3" spans="1:7" x14ac:dyDescent="0.3">
      <c r="A3" s="3" t="s">
        <v>5</v>
      </c>
      <c r="B3" s="4">
        <v>1</v>
      </c>
      <c r="C3" s="51" t="s">
        <v>60</v>
      </c>
      <c r="D3" s="4">
        <f>26*10^7</f>
        <v>260000000</v>
      </c>
      <c r="E3" s="4">
        <f>128*10^7</f>
        <v>1280000000</v>
      </c>
      <c r="F3" s="4">
        <f>160*10^7</f>
        <v>1600000000</v>
      </c>
      <c r="G3" s="5">
        <f>332*10^7</f>
        <v>3320000000</v>
      </c>
    </row>
    <row r="4" spans="1:7" x14ac:dyDescent="0.3">
      <c r="A4" s="6"/>
      <c r="B4" s="7"/>
      <c r="C4" s="52">
        <v>3610</v>
      </c>
      <c r="D4" s="7">
        <v>0</v>
      </c>
      <c r="E4" s="7">
        <v>0</v>
      </c>
      <c r="F4" s="7">
        <v>0</v>
      </c>
      <c r="G4" s="8">
        <v>0</v>
      </c>
    </row>
    <row r="5" spans="1:7" x14ac:dyDescent="0.3">
      <c r="A5" s="6"/>
      <c r="B5" s="7">
        <v>2</v>
      </c>
      <c r="C5" s="52" t="s">
        <v>60</v>
      </c>
      <c r="D5" s="7">
        <f>66*10^7</f>
        <v>660000000</v>
      </c>
      <c r="E5" s="7">
        <f>84*10^7</f>
        <v>840000000</v>
      </c>
      <c r="F5" s="7">
        <f>320*10^7</f>
        <v>3200000000</v>
      </c>
      <c r="G5" s="8">
        <f>378*10^7</f>
        <v>3780000000</v>
      </c>
    </row>
    <row r="6" spans="1:7" x14ac:dyDescent="0.3">
      <c r="A6" s="6"/>
      <c r="B6" s="7"/>
      <c r="C6" s="52">
        <v>3610</v>
      </c>
      <c r="D6" s="7">
        <v>0</v>
      </c>
      <c r="E6" s="7">
        <v>0</v>
      </c>
      <c r="F6" s="7">
        <v>0</v>
      </c>
      <c r="G6" s="8">
        <v>0</v>
      </c>
    </row>
    <row r="7" spans="1:7" x14ac:dyDescent="0.3">
      <c r="A7" s="6"/>
      <c r="B7" s="7">
        <v>3</v>
      </c>
      <c r="C7" s="52" t="s">
        <v>60</v>
      </c>
      <c r="D7" s="7">
        <f>32*10^7</f>
        <v>320000000</v>
      </c>
      <c r="E7" s="7">
        <f>272*10^7</f>
        <v>2720000000</v>
      </c>
      <c r="F7" s="7">
        <f>192*10^7</f>
        <v>1920000000</v>
      </c>
      <c r="G7" s="8">
        <f>388*10^7</f>
        <v>3880000000</v>
      </c>
    </row>
    <row r="8" spans="1:7" x14ac:dyDescent="0.3">
      <c r="A8" s="9"/>
      <c r="B8" s="10"/>
      <c r="C8" s="53">
        <v>3610</v>
      </c>
      <c r="D8" s="10">
        <v>0</v>
      </c>
      <c r="E8" s="10">
        <v>0</v>
      </c>
      <c r="F8" s="10">
        <v>0</v>
      </c>
      <c r="G8" s="11">
        <v>0</v>
      </c>
    </row>
    <row r="9" spans="1:7" x14ac:dyDescent="0.3">
      <c r="A9" s="3" t="s">
        <v>6</v>
      </c>
      <c r="B9" s="4">
        <v>1</v>
      </c>
      <c r="C9" s="51" t="s">
        <v>60</v>
      </c>
      <c r="D9" s="7">
        <f>68*10^5</f>
        <v>6800000</v>
      </c>
      <c r="E9" s="4">
        <f>91*10^6</f>
        <v>91000000</v>
      </c>
      <c r="F9" s="7">
        <f>156*10^6</f>
        <v>156000000</v>
      </c>
      <c r="G9" s="5">
        <f>168*10^6</f>
        <v>168000000</v>
      </c>
    </row>
    <row r="10" spans="1:7" x14ac:dyDescent="0.3">
      <c r="A10" s="6"/>
      <c r="B10" s="7"/>
      <c r="C10" s="52">
        <v>3610</v>
      </c>
      <c r="D10" s="7">
        <f>34*10^5</f>
        <v>3400000</v>
      </c>
      <c r="E10" s="7">
        <f>100*10^4</f>
        <v>1000000</v>
      </c>
      <c r="F10" s="7">
        <f>90*10^5</f>
        <v>9000000</v>
      </c>
      <c r="G10" s="8">
        <f>32*10^6</f>
        <v>32000000</v>
      </c>
    </row>
    <row r="11" spans="1:7" x14ac:dyDescent="0.3">
      <c r="A11" s="6"/>
      <c r="B11" s="7">
        <v>2</v>
      </c>
      <c r="C11" s="52" t="s">
        <v>60</v>
      </c>
      <c r="D11" s="7">
        <f>80*10^5</f>
        <v>8000000</v>
      </c>
      <c r="E11" s="7">
        <f>72*10^6</f>
        <v>72000000</v>
      </c>
      <c r="F11" s="7">
        <f>156*10^6</f>
        <v>156000000</v>
      </c>
      <c r="G11" s="8">
        <f>50*10^7</f>
        <v>500000000</v>
      </c>
    </row>
    <row r="12" spans="1:7" x14ac:dyDescent="0.3">
      <c r="A12" s="6"/>
      <c r="B12" s="7"/>
      <c r="C12" s="52">
        <v>3610</v>
      </c>
      <c r="D12" s="7">
        <f>29*10^5</f>
        <v>2900000</v>
      </c>
      <c r="E12" s="7">
        <f>40*10^5</f>
        <v>4000000</v>
      </c>
      <c r="F12" s="7">
        <f>93*10^5</f>
        <v>9300000</v>
      </c>
      <c r="G12" s="8">
        <f>78*10^6</f>
        <v>78000000</v>
      </c>
    </row>
    <row r="13" spans="1:7" x14ac:dyDescent="0.3">
      <c r="A13" s="6"/>
      <c r="B13" s="7">
        <v>3</v>
      </c>
      <c r="C13" s="52" t="s">
        <v>60</v>
      </c>
      <c r="D13" s="7">
        <f>110*10^5</f>
        <v>11000000</v>
      </c>
      <c r="E13" s="7">
        <f>80*10^6</f>
        <v>80000000</v>
      </c>
      <c r="F13" s="7">
        <f>57*10^6</f>
        <v>57000000</v>
      </c>
      <c r="G13" s="8">
        <f>142*10^7</f>
        <v>1420000000</v>
      </c>
    </row>
    <row r="14" spans="1:7" x14ac:dyDescent="0.3">
      <c r="A14" s="9"/>
      <c r="B14" s="10"/>
      <c r="C14" s="53">
        <v>3610</v>
      </c>
      <c r="D14" s="10">
        <f>41*10^5</f>
        <v>4100000</v>
      </c>
      <c r="E14" s="10">
        <f>100*10^4</f>
        <v>1000000</v>
      </c>
      <c r="F14" s="10">
        <f>190*10^5</f>
        <v>19000000</v>
      </c>
      <c r="G14" s="11">
        <f>60*10^6</f>
        <v>60000000</v>
      </c>
    </row>
    <row r="15" spans="1:7" x14ac:dyDescent="0.3">
      <c r="A15" s="3" t="s">
        <v>7</v>
      </c>
      <c r="B15" s="4">
        <v>1</v>
      </c>
      <c r="C15" s="51" t="s">
        <v>60</v>
      </c>
      <c r="D15" s="4">
        <v>0</v>
      </c>
      <c r="E15" s="4">
        <v>0</v>
      </c>
      <c r="F15" s="43">
        <v>0</v>
      </c>
      <c r="G15" s="44">
        <f>200*10^3</f>
        <v>200000</v>
      </c>
    </row>
    <row r="16" spans="1:7" x14ac:dyDescent="0.3">
      <c r="A16" s="6"/>
      <c r="B16" s="7"/>
      <c r="C16" s="52">
        <v>3610</v>
      </c>
      <c r="D16" s="7">
        <f>180*10^6</f>
        <v>180000000</v>
      </c>
      <c r="E16" s="7">
        <f>86*10^6</f>
        <v>86000000</v>
      </c>
      <c r="F16" s="45">
        <f>47*10^7</f>
        <v>470000000</v>
      </c>
      <c r="G16" s="46">
        <f>48*10^7</f>
        <v>480000000</v>
      </c>
    </row>
    <row r="17" spans="1:7" x14ac:dyDescent="0.3">
      <c r="A17" s="6"/>
      <c r="B17" s="7">
        <v>2</v>
      </c>
      <c r="C17" s="52" t="s">
        <v>60</v>
      </c>
      <c r="D17" s="7">
        <v>0</v>
      </c>
      <c r="E17" s="7">
        <v>0</v>
      </c>
      <c r="F17" s="45">
        <v>0</v>
      </c>
      <c r="G17" s="46">
        <f>100*10^3</f>
        <v>100000</v>
      </c>
    </row>
    <row r="18" spans="1:7" x14ac:dyDescent="0.3">
      <c r="A18" s="6"/>
      <c r="B18" s="7"/>
      <c r="C18" s="52">
        <v>3610</v>
      </c>
      <c r="D18" s="7">
        <f>160*10^6</f>
        <v>160000000</v>
      </c>
      <c r="E18" s="7">
        <f>119*10^6</f>
        <v>119000000</v>
      </c>
      <c r="F18" s="45">
        <f>256*10^6</f>
        <v>256000000</v>
      </c>
      <c r="G18" s="46">
        <f>48*10^7</f>
        <v>480000000</v>
      </c>
    </row>
    <row r="19" spans="1:7" x14ac:dyDescent="0.3">
      <c r="A19" s="6"/>
      <c r="B19" s="7">
        <v>3</v>
      </c>
      <c r="C19" s="52" t="s">
        <v>60</v>
      </c>
      <c r="D19" s="7">
        <v>0</v>
      </c>
      <c r="E19" s="7">
        <v>0</v>
      </c>
      <c r="F19" s="45">
        <v>0</v>
      </c>
      <c r="G19" s="46">
        <f>200*10^3</f>
        <v>200000</v>
      </c>
    </row>
    <row r="20" spans="1:7" x14ac:dyDescent="0.3">
      <c r="A20" s="9"/>
      <c r="B20" s="10"/>
      <c r="C20" s="53">
        <v>3610</v>
      </c>
      <c r="D20" s="10">
        <f>100*10^6</f>
        <v>100000000</v>
      </c>
      <c r="E20" s="10">
        <f>140*10^6</f>
        <v>140000000</v>
      </c>
      <c r="F20" s="25">
        <f>188*10^6</f>
        <v>188000000</v>
      </c>
      <c r="G20" s="23">
        <f>352*10^6</f>
        <v>352000000</v>
      </c>
    </row>
    <row r="24" spans="1:7" x14ac:dyDescent="0.3">
      <c r="A24" s="2" t="s">
        <v>12</v>
      </c>
      <c r="B24" t="s">
        <v>9</v>
      </c>
      <c r="C24" s="40" t="s">
        <v>10</v>
      </c>
      <c r="D24" t="s">
        <v>0</v>
      </c>
      <c r="E24" t="s">
        <v>1</v>
      </c>
      <c r="F24" t="s">
        <v>2</v>
      </c>
      <c r="G24" t="s">
        <v>3</v>
      </c>
    </row>
    <row r="25" spans="1:7" x14ac:dyDescent="0.3">
      <c r="A25" s="3" t="s">
        <v>5</v>
      </c>
      <c r="B25" s="4">
        <v>1</v>
      </c>
      <c r="C25" s="51" t="s">
        <v>60</v>
      </c>
      <c r="D25" s="4" t="s">
        <v>4</v>
      </c>
      <c r="E25" s="4" t="s">
        <v>4</v>
      </c>
      <c r="F25" s="4" t="s">
        <v>4</v>
      </c>
      <c r="G25" s="5" t="s">
        <v>4</v>
      </c>
    </row>
    <row r="26" spans="1:7" x14ac:dyDescent="0.3">
      <c r="A26" s="6"/>
      <c r="B26" s="7"/>
      <c r="C26" s="52">
        <v>3610</v>
      </c>
      <c r="D26" s="7" t="s">
        <v>4</v>
      </c>
      <c r="E26" s="7" t="s">
        <v>4</v>
      </c>
      <c r="F26" s="7" t="s">
        <v>4</v>
      </c>
      <c r="G26" s="8" t="s">
        <v>4</v>
      </c>
    </row>
    <row r="27" spans="1:7" x14ac:dyDescent="0.3">
      <c r="A27" s="6"/>
      <c r="B27" s="7">
        <v>2</v>
      </c>
      <c r="C27" s="52" t="s">
        <v>60</v>
      </c>
      <c r="D27" s="7" t="s">
        <v>4</v>
      </c>
      <c r="E27" s="7" t="s">
        <v>4</v>
      </c>
      <c r="F27" s="7" t="s">
        <v>4</v>
      </c>
      <c r="G27" s="8" t="s">
        <v>4</v>
      </c>
    </row>
    <row r="28" spans="1:7" x14ac:dyDescent="0.3">
      <c r="A28" s="6"/>
      <c r="B28" s="7"/>
      <c r="C28" s="52">
        <v>3610</v>
      </c>
      <c r="D28" s="7" t="s">
        <v>4</v>
      </c>
      <c r="E28" s="7" t="s">
        <v>4</v>
      </c>
      <c r="F28" s="7" t="s">
        <v>4</v>
      </c>
      <c r="G28" s="8" t="s">
        <v>4</v>
      </c>
    </row>
    <row r="29" spans="1:7" x14ac:dyDescent="0.3">
      <c r="A29" s="6"/>
      <c r="B29" s="7">
        <v>3</v>
      </c>
      <c r="C29" s="52" t="s">
        <v>60</v>
      </c>
      <c r="D29" s="7" t="s">
        <v>4</v>
      </c>
      <c r="E29" s="7" t="s">
        <v>4</v>
      </c>
      <c r="F29" s="7" t="s">
        <v>4</v>
      </c>
      <c r="G29" s="8" t="s">
        <v>4</v>
      </c>
    </row>
    <row r="30" spans="1:7" x14ac:dyDescent="0.3">
      <c r="A30" s="9"/>
      <c r="B30" s="10"/>
      <c r="C30" s="53">
        <v>3610</v>
      </c>
      <c r="D30" s="10" t="s">
        <v>4</v>
      </c>
      <c r="E30" s="10" t="s">
        <v>4</v>
      </c>
      <c r="F30" s="10" t="s">
        <v>4</v>
      </c>
      <c r="G30" s="11" t="s">
        <v>4</v>
      </c>
    </row>
    <row r="31" spans="1:7" x14ac:dyDescent="0.3">
      <c r="A31" s="3" t="s">
        <v>6</v>
      </c>
      <c r="B31" s="4">
        <v>1</v>
      </c>
      <c r="C31" s="51" t="s">
        <v>60</v>
      </c>
      <c r="D31" s="4" t="s">
        <v>4</v>
      </c>
      <c r="E31" s="4" t="s">
        <v>4</v>
      </c>
      <c r="F31" s="4" t="s">
        <v>4</v>
      </c>
      <c r="G31" s="5" t="s">
        <v>4</v>
      </c>
    </row>
    <row r="32" spans="1:7" x14ac:dyDescent="0.3">
      <c r="A32" s="6"/>
      <c r="B32" s="7"/>
      <c r="C32" s="52">
        <v>3610</v>
      </c>
      <c r="D32" s="7">
        <f>180*10^3</f>
        <v>180000</v>
      </c>
      <c r="E32" s="7">
        <f>100*10^3</f>
        <v>100000</v>
      </c>
      <c r="F32" s="7">
        <f>78*10^5</f>
        <v>7800000</v>
      </c>
      <c r="G32" s="8">
        <f>112*10^5</f>
        <v>11200000</v>
      </c>
    </row>
    <row r="33" spans="1:7" x14ac:dyDescent="0.3">
      <c r="A33" s="6"/>
      <c r="B33" s="7">
        <v>2</v>
      </c>
      <c r="C33" s="52" t="s">
        <v>60</v>
      </c>
      <c r="D33" s="7" t="s">
        <v>4</v>
      </c>
      <c r="E33" s="7" t="s">
        <v>4</v>
      </c>
      <c r="F33" s="7" t="s">
        <v>4</v>
      </c>
      <c r="G33" s="8" t="s">
        <v>4</v>
      </c>
    </row>
    <row r="34" spans="1:7" x14ac:dyDescent="0.3">
      <c r="A34" s="6"/>
      <c r="B34" s="7"/>
      <c r="C34" s="52">
        <v>3610</v>
      </c>
      <c r="D34" s="7">
        <f>200*10^3</f>
        <v>200000</v>
      </c>
      <c r="E34" s="7">
        <f>32*10^5</f>
        <v>3200000</v>
      </c>
      <c r="F34" s="45">
        <f>9*10^6</f>
        <v>9000000</v>
      </c>
      <c r="G34" s="8">
        <f>54*10^6</f>
        <v>54000000</v>
      </c>
    </row>
    <row r="35" spans="1:7" x14ac:dyDescent="0.3">
      <c r="A35" s="6"/>
      <c r="B35" s="7">
        <v>3</v>
      </c>
      <c r="C35" s="52" t="s">
        <v>60</v>
      </c>
      <c r="D35" s="7" t="s">
        <v>4</v>
      </c>
      <c r="E35" s="7" t="s">
        <v>4</v>
      </c>
      <c r="F35" s="7" t="s">
        <v>4</v>
      </c>
      <c r="G35" s="8" t="s">
        <v>4</v>
      </c>
    </row>
    <row r="36" spans="1:7" x14ac:dyDescent="0.3">
      <c r="A36" s="9"/>
      <c r="B36" s="10"/>
      <c r="C36" s="53">
        <v>3610</v>
      </c>
      <c r="D36" s="10">
        <f>50*10^4</f>
        <v>500000</v>
      </c>
      <c r="E36" s="10">
        <f>100*10^3</f>
        <v>100000</v>
      </c>
      <c r="F36" s="7">
        <f>115*10^5</f>
        <v>11500000</v>
      </c>
      <c r="G36" s="23">
        <f>45*10^6</f>
        <v>45000000</v>
      </c>
    </row>
    <row r="37" spans="1:7" x14ac:dyDescent="0.3">
      <c r="A37" s="3" t="s">
        <v>7</v>
      </c>
      <c r="B37" s="4">
        <v>1</v>
      </c>
      <c r="C37" s="51" t="s">
        <v>60</v>
      </c>
      <c r="D37" s="4" t="s">
        <v>4</v>
      </c>
      <c r="E37" s="4" t="s">
        <v>4</v>
      </c>
      <c r="F37" s="4" t="s">
        <v>4</v>
      </c>
      <c r="G37" s="5" t="s">
        <v>4</v>
      </c>
    </row>
    <row r="38" spans="1:7" x14ac:dyDescent="0.3">
      <c r="A38" s="6"/>
      <c r="B38" s="7"/>
      <c r="C38" s="52">
        <v>3610</v>
      </c>
      <c r="D38" s="7">
        <f>41*10^6</f>
        <v>41000000</v>
      </c>
      <c r="E38" s="7">
        <f>74*10^6</f>
        <v>74000000</v>
      </c>
      <c r="F38" s="7">
        <f>280*10^6</f>
        <v>280000000</v>
      </c>
      <c r="G38" s="8">
        <f>288*10^6</f>
        <v>288000000</v>
      </c>
    </row>
    <row r="39" spans="1:7" x14ac:dyDescent="0.3">
      <c r="A39" s="6"/>
      <c r="B39" s="7">
        <v>2</v>
      </c>
      <c r="C39" s="52" t="s">
        <v>60</v>
      </c>
      <c r="D39" s="7" t="s">
        <v>4</v>
      </c>
      <c r="E39" s="7" t="s">
        <v>4</v>
      </c>
      <c r="F39" s="7" t="s">
        <v>4</v>
      </c>
      <c r="G39" s="8" t="s">
        <v>4</v>
      </c>
    </row>
    <row r="40" spans="1:7" x14ac:dyDescent="0.3">
      <c r="A40" s="6"/>
      <c r="B40" s="7"/>
      <c r="C40" s="52">
        <v>3610</v>
      </c>
      <c r="D40" s="7">
        <f>15*10^6</f>
        <v>15000000</v>
      </c>
      <c r="E40" s="7">
        <f>114*10^6</f>
        <v>114000000</v>
      </c>
      <c r="F40" s="7">
        <f>160*10^6</f>
        <v>160000000</v>
      </c>
      <c r="G40" s="8">
        <f>224*10^6</f>
        <v>224000000</v>
      </c>
    </row>
    <row r="41" spans="1:7" x14ac:dyDescent="0.3">
      <c r="A41" s="6"/>
      <c r="B41" s="7">
        <v>3</v>
      </c>
      <c r="C41" s="52" t="s">
        <v>60</v>
      </c>
      <c r="D41" s="7" t="s">
        <v>4</v>
      </c>
      <c r="E41" s="7" t="s">
        <v>4</v>
      </c>
      <c r="F41" s="7" t="s">
        <v>4</v>
      </c>
      <c r="G41" s="8" t="s">
        <v>4</v>
      </c>
    </row>
    <row r="42" spans="1:7" x14ac:dyDescent="0.3">
      <c r="A42" s="9"/>
      <c r="B42" s="10"/>
      <c r="C42" s="53">
        <v>3610</v>
      </c>
      <c r="D42" s="10">
        <f>23*10^6</f>
        <v>23000000</v>
      </c>
      <c r="E42" s="10">
        <f>100*10^6</f>
        <v>100000000</v>
      </c>
      <c r="F42" s="10">
        <f>150*10^6</f>
        <v>150000000</v>
      </c>
      <c r="G42" s="11">
        <f>320*10^6</f>
        <v>320000000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H10" sqref="H10"/>
    </sheetView>
  </sheetViews>
  <sheetFormatPr baseColWidth="10" defaultRowHeight="14.4" x14ac:dyDescent="0.3"/>
  <sheetData>
    <row r="1" spans="1:11" x14ac:dyDescent="0.3">
      <c r="A1" s="24" t="s">
        <v>116</v>
      </c>
    </row>
    <row r="2" spans="1:11" x14ac:dyDescent="0.3">
      <c r="A2" s="24"/>
    </row>
    <row r="3" spans="1:11" x14ac:dyDescent="0.3">
      <c r="A3" s="41" t="s">
        <v>44</v>
      </c>
    </row>
    <row r="4" spans="1:11" x14ac:dyDescent="0.3">
      <c r="A4" s="35"/>
    </row>
    <row r="5" spans="1:11" x14ac:dyDescent="0.3">
      <c r="A5" s="27" t="s">
        <v>10</v>
      </c>
      <c r="B5" s="79" t="s">
        <v>106</v>
      </c>
      <c r="C5" s="79" t="s">
        <v>115</v>
      </c>
      <c r="D5" s="80" t="s">
        <v>107</v>
      </c>
      <c r="E5" s="79" t="s">
        <v>108</v>
      </c>
      <c r="F5" s="80" t="s">
        <v>109</v>
      </c>
      <c r="G5" s="79" t="s">
        <v>110</v>
      </c>
      <c r="H5" s="80" t="s">
        <v>111</v>
      </c>
      <c r="I5" s="79" t="s">
        <v>112</v>
      </c>
      <c r="J5" s="80" t="s">
        <v>113</v>
      </c>
      <c r="K5" s="81" t="s">
        <v>114</v>
      </c>
    </row>
    <row r="6" spans="1:11" x14ac:dyDescent="0.3">
      <c r="A6" s="82">
        <v>3610</v>
      </c>
      <c r="B6" s="83">
        <v>4211</v>
      </c>
      <c r="C6" s="83">
        <v>110</v>
      </c>
      <c r="D6" s="83">
        <v>804</v>
      </c>
      <c r="E6" s="83">
        <v>1028</v>
      </c>
      <c r="F6" s="83">
        <v>826</v>
      </c>
      <c r="G6" s="83">
        <v>605</v>
      </c>
      <c r="H6" s="83">
        <v>424</v>
      </c>
      <c r="I6" s="83">
        <v>250</v>
      </c>
      <c r="J6" s="83">
        <v>107</v>
      </c>
      <c r="K6" s="84">
        <v>57</v>
      </c>
    </row>
    <row r="7" spans="1:11" x14ac:dyDescent="0.3">
      <c r="A7" s="28" t="s">
        <v>15</v>
      </c>
      <c r="B7" s="83">
        <v>4207</v>
      </c>
      <c r="C7" s="83">
        <v>363</v>
      </c>
      <c r="D7" s="83">
        <v>677</v>
      </c>
      <c r="E7" s="83">
        <v>443</v>
      </c>
      <c r="F7" s="83">
        <v>619</v>
      </c>
      <c r="G7" s="83">
        <v>672</v>
      </c>
      <c r="H7" s="83">
        <v>585</v>
      </c>
      <c r="I7" s="83">
        <v>419</v>
      </c>
      <c r="J7" s="83">
        <v>227</v>
      </c>
      <c r="K7" s="84">
        <v>202</v>
      </c>
    </row>
    <row r="8" spans="1:11" x14ac:dyDescent="0.3">
      <c r="A8" s="29" t="s">
        <v>106</v>
      </c>
      <c r="B8" s="85">
        <v>8418</v>
      </c>
      <c r="C8" s="85">
        <v>473</v>
      </c>
      <c r="D8" s="85">
        <v>1481</v>
      </c>
      <c r="E8" s="85">
        <v>1471</v>
      </c>
      <c r="F8" s="85">
        <v>1445</v>
      </c>
      <c r="G8" s="85">
        <v>1277</v>
      </c>
      <c r="H8" s="85">
        <v>1009</v>
      </c>
      <c r="I8" s="85">
        <v>669</v>
      </c>
      <c r="J8" s="85">
        <v>334</v>
      </c>
      <c r="K8" s="86">
        <v>259</v>
      </c>
    </row>
    <row r="9" spans="1:11" x14ac:dyDescent="0.3">
      <c r="A9" s="35"/>
      <c r="B9" s="83"/>
      <c r="C9" s="83"/>
      <c r="D9" s="83"/>
      <c r="E9" s="83"/>
      <c r="F9" s="83"/>
      <c r="G9" s="83"/>
      <c r="H9" s="83"/>
      <c r="I9" s="83"/>
      <c r="J9" s="83"/>
      <c r="K9" s="83"/>
    </row>
    <row r="11" spans="1:11" x14ac:dyDescent="0.3">
      <c r="A11" s="41" t="s">
        <v>30</v>
      </c>
    </row>
    <row r="13" spans="1:11" x14ac:dyDescent="0.3">
      <c r="A13" s="3" t="s">
        <v>10</v>
      </c>
      <c r="B13" s="79" t="s">
        <v>106</v>
      </c>
      <c r="C13" s="79" t="s">
        <v>115</v>
      </c>
      <c r="D13" s="80" t="s">
        <v>107</v>
      </c>
      <c r="E13" s="79" t="s">
        <v>108</v>
      </c>
      <c r="F13" s="80" t="s">
        <v>109</v>
      </c>
      <c r="G13" s="79" t="s">
        <v>110</v>
      </c>
      <c r="H13" s="80" t="s">
        <v>111</v>
      </c>
      <c r="I13" s="79" t="s">
        <v>112</v>
      </c>
      <c r="J13" s="80" t="s">
        <v>113</v>
      </c>
      <c r="K13" s="81" t="s">
        <v>114</v>
      </c>
    </row>
    <row r="14" spans="1:11" x14ac:dyDescent="0.3">
      <c r="A14" s="6" t="s">
        <v>13</v>
      </c>
      <c r="B14" s="7">
        <v>4211</v>
      </c>
      <c r="C14" s="7">
        <v>216</v>
      </c>
      <c r="D14" s="7">
        <v>476</v>
      </c>
      <c r="E14" s="7">
        <v>577</v>
      </c>
      <c r="F14" s="7">
        <v>699</v>
      </c>
      <c r="G14" s="7">
        <v>293</v>
      </c>
      <c r="H14" s="7">
        <v>187</v>
      </c>
      <c r="I14" s="7">
        <v>78</v>
      </c>
      <c r="J14" s="7">
        <v>58</v>
      </c>
      <c r="K14" s="8">
        <v>83</v>
      </c>
    </row>
    <row r="15" spans="1:11" x14ac:dyDescent="0.3">
      <c r="A15" s="6" t="s">
        <v>15</v>
      </c>
      <c r="B15" s="7">
        <v>4207</v>
      </c>
      <c r="C15" s="7">
        <v>556</v>
      </c>
      <c r="D15" s="7">
        <v>1073</v>
      </c>
      <c r="E15" s="7">
        <v>873</v>
      </c>
      <c r="F15" s="7">
        <v>777</v>
      </c>
      <c r="G15" s="7">
        <v>373</v>
      </c>
      <c r="H15" s="7">
        <v>241</v>
      </c>
      <c r="I15" s="7">
        <v>135</v>
      </c>
      <c r="J15" s="7">
        <v>78</v>
      </c>
      <c r="K15" s="8">
        <v>159</v>
      </c>
    </row>
    <row r="16" spans="1:11" x14ac:dyDescent="0.3">
      <c r="A16" s="9" t="s">
        <v>106</v>
      </c>
      <c r="B16" s="10">
        <v>8418</v>
      </c>
      <c r="C16" s="10">
        <v>772</v>
      </c>
      <c r="D16" s="10">
        <v>1549</v>
      </c>
      <c r="E16" s="10">
        <v>1450</v>
      </c>
      <c r="F16" s="10">
        <v>1476</v>
      </c>
      <c r="G16" s="10">
        <v>666</v>
      </c>
      <c r="H16" s="10">
        <v>428</v>
      </c>
      <c r="I16" s="10">
        <v>213</v>
      </c>
      <c r="J16" s="10">
        <v>136</v>
      </c>
      <c r="K16" s="11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opLeftCell="A91" workbookViewId="0">
      <selection activeCell="G16" sqref="G16"/>
    </sheetView>
  </sheetViews>
  <sheetFormatPr baseColWidth="10" defaultRowHeight="14.4" x14ac:dyDescent="0.3"/>
  <cols>
    <col min="10" max="10" width="11.44140625" style="42" customWidth="1"/>
  </cols>
  <sheetData>
    <row r="1" spans="1:14" x14ac:dyDescent="0.3">
      <c r="A1" s="24" t="s">
        <v>17</v>
      </c>
      <c r="I1" s="24" t="s">
        <v>23</v>
      </c>
    </row>
    <row r="3" spans="1:14" x14ac:dyDescent="0.3">
      <c r="A3" s="24" t="s">
        <v>22</v>
      </c>
      <c r="B3" s="24" t="s">
        <v>18</v>
      </c>
      <c r="C3" s="39" t="s">
        <v>19</v>
      </c>
      <c r="D3" s="24" t="s">
        <v>20</v>
      </c>
      <c r="E3" s="24" t="s">
        <v>21</v>
      </c>
      <c r="J3" s="39" t="s">
        <v>22</v>
      </c>
      <c r="K3" s="41" t="s">
        <v>24</v>
      </c>
      <c r="L3" s="41" t="s">
        <v>25</v>
      </c>
      <c r="M3" s="24" t="s">
        <v>20</v>
      </c>
      <c r="N3" s="24" t="s">
        <v>21</v>
      </c>
    </row>
    <row r="4" spans="1:14" x14ac:dyDescent="0.3">
      <c r="A4">
        <v>60</v>
      </c>
      <c r="B4">
        <v>4.4251481481481482E-2</v>
      </c>
      <c r="C4">
        <v>2.5786622460927038E-2</v>
      </c>
      <c r="D4">
        <v>2.0181481481481738E-3</v>
      </c>
      <c r="E4">
        <v>2.2444536120091256E-4</v>
      </c>
      <c r="J4" s="42">
        <v>60</v>
      </c>
      <c r="K4">
        <v>2.7956666666666657E-2</v>
      </c>
      <c r="L4">
        <v>3.8662878166894885E-3</v>
      </c>
      <c r="M4">
        <v>4.4848148148147861E-3</v>
      </c>
      <c r="N4">
        <v>3.1067859485392974E-3</v>
      </c>
    </row>
    <row r="5" spans="1:14" x14ac:dyDescent="0.3">
      <c r="A5">
        <v>90</v>
      </c>
      <c r="B5">
        <v>3.4758148148148156E-2</v>
      </c>
      <c r="C5">
        <v>3.4517417920778542E-3</v>
      </c>
      <c r="D5">
        <v>2.8407407407407253E-3</v>
      </c>
      <c r="E5">
        <v>1.3702871346092415E-3</v>
      </c>
      <c r="J5" s="42">
        <v>90</v>
      </c>
      <c r="K5">
        <v>4.4998888888888901E-2</v>
      </c>
      <c r="L5">
        <v>2.4410820106493866E-2</v>
      </c>
      <c r="M5">
        <v>5.68074074074077E-3</v>
      </c>
      <c r="N5">
        <v>3.1506245379961757E-3</v>
      </c>
    </row>
    <row r="6" spans="1:14" x14ac:dyDescent="0.3">
      <c r="A6">
        <v>120</v>
      </c>
      <c r="B6">
        <v>3.0198888888888869E-2</v>
      </c>
      <c r="C6">
        <v>5.8532802874505215E-3</v>
      </c>
      <c r="D6">
        <v>7.0259259259258938E-3</v>
      </c>
      <c r="E6">
        <v>3.2444239598541972E-3</v>
      </c>
      <c r="J6" s="42">
        <v>120</v>
      </c>
      <c r="K6">
        <v>4.1859629629629615E-2</v>
      </c>
      <c r="L6">
        <v>3.6254389829274364E-3</v>
      </c>
      <c r="M6">
        <v>5.9800000000000061E-3</v>
      </c>
      <c r="N6">
        <v>8.3346727812416335E-3</v>
      </c>
    </row>
    <row r="7" spans="1:14" x14ac:dyDescent="0.3">
      <c r="A7">
        <v>150</v>
      </c>
      <c r="B7">
        <v>1.7267037037037043E-2</v>
      </c>
      <c r="C7">
        <v>5.721167792098884E-3</v>
      </c>
      <c r="D7">
        <v>1.2445925925925963E-2</v>
      </c>
      <c r="E7">
        <v>7.1259540693984933E-3</v>
      </c>
      <c r="J7" s="42">
        <v>150</v>
      </c>
      <c r="K7">
        <v>2.2424444444444459E-2</v>
      </c>
      <c r="L7">
        <v>8.5569744133724788E-3</v>
      </c>
      <c r="M7">
        <v>9.2692592592592115E-3</v>
      </c>
      <c r="N7">
        <v>6.9675821951442453E-3</v>
      </c>
    </row>
    <row r="8" spans="1:14" x14ac:dyDescent="0.3">
      <c r="A8">
        <v>180</v>
      </c>
      <c r="B8">
        <v>2.4667407407407412E-2</v>
      </c>
      <c r="C8">
        <v>1.3726980026882692E-2</v>
      </c>
      <c r="D8">
        <v>1.3043703703703729E-2</v>
      </c>
      <c r="E8">
        <v>4.9343185119076934E-3</v>
      </c>
      <c r="J8" s="42">
        <v>180</v>
      </c>
      <c r="K8">
        <v>8.820370370370369E-3</v>
      </c>
      <c r="L8">
        <v>2.4700680585748413E-3</v>
      </c>
      <c r="M8">
        <v>1.52488888888889E-2</v>
      </c>
      <c r="N8">
        <v>7.0061069480775989E-3</v>
      </c>
    </row>
    <row r="9" spans="1:14" x14ac:dyDescent="0.3">
      <c r="A9">
        <v>210</v>
      </c>
      <c r="B9">
        <v>1.8762222222222239E-2</v>
      </c>
      <c r="C9">
        <v>1.179484696021167E-2</v>
      </c>
      <c r="D9">
        <v>1.6594074074074042E-2</v>
      </c>
      <c r="E9">
        <v>5.8815309728302836E-3</v>
      </c>
      <c r="J9" s="42">
        <v>210</v>
      </c>
      <c r="K9">
        <v>1.076407407407407E-2</v>
      </c>
      <c r="L9">
        <v>4.1102552162106442E-3</v>
      </c>
      <c r="M9">
        <v>1.6145185185185179E-2</v>
      </c>
      <c r="N9">
        <v>3.9101362947627722E-3</v>
      </c>
    </row>
    <row r="10" spans="1:14" x14ac:dyDescent="0.3">
      <c r="A10">
        <v>240</v>
      </c>
      <c r="B10">
        <v>7.6992592592592425E-3</v>
      </c>
      <c r="C10">
        <v>1.0471544294787454E-2</v>
      </c>
      <c r="D10">
        <v>1.4090370370370364E-2</v>
      </c>
      <c r="E10">
        <v>3.3568697451043313E-3</v>
      </c>
      <c r="J10" s="42">
        <v>240</v>
      </c>
      <c r="K10">
        <v>1.7641111111111104E-2</v>
      </c>
      <c r="L10">
        <v>6.4885662971562851E-3</v>
      </c>
      <c r="M10">
        <v>1.7940000000000015E-2</v>
      </c>
      <c r="N10">
        <v>2.6911111111110764E-3</v>
      </c>
    </row>
    <row r="11" spans="1:14" x14ac:dyDescent="0.3">
      <c r="A11">
        <v>270</v>
      </c>
      <c r="B11">
        <v>1.6145555555555562E-2</v>
      </c>
      <c r="C11">
        <v>7.4917362704301892E-3</v>
      </c>
      <c r="D11">
        <v>1.8239259259259274E-2</v>
      </c>
      <c r="E11">
        <v>4.8376566020312704E-3</v>
      </c>
      <c r="J11" s="42">
        <v>270</v>
      </c>
      <c r="K11">
        <v>3.7299814814814813E-2</v>
      </c>
      <c r="L11">
        <v>8.7900659441179224E-3</v>
      </c>
      <c r="M11">
        <v>2.1229259259259243E-2</v>
      </c>
      <c r="N11">
        <v>4.5148157111171506E-3</v>
      </c>
    </row>
    <row r="12" spans="1:14" x14ac:dyDescent="0.3">
      <c r="A12">
        <v>300</v>
      </c>
      <c r="B12">
        <v>2.4293333333333351E-2</v>
      </c>
      <c r="C12">
        <v>5.3827482768884259E-3</v>
      </c>
      <c r="D12">
        <v>1.5510370370370388E-2</v>
      </c>
      <c r="E12">
        <v>1.863807775460841E-3</v>
      </c>
      <c r="J12" s="42">
        <v>300</v>
      </c>
      <c r="K12">
        <v>3.1843240740740741E-2</v>
      </c>
      <c r="L12">
        <v>7.9098715059663094E-3</v>
      </c>
      <c r="M12">
        <v>2.1228518518518546E-2</v>
      </c>
      <c r="N12">
        <v>1.0357023818975707E-3</v>
      </c>
    </row>
    <row r="13" spans="1:14" x14ac:dyDescent="0.3">
      <c r="A13">
        <v>330</v>
      </c>
      <c r="B13">
        <v>2.6312222222222206E-2</v>
      </c>
      <c r="C13">
        <v>3.6040984900423908E-3</v>
      </c>
      <c r="D13">
        <v>1.7267037037037008E-2</v>
      </c>
      <c r="E13">
        <v>3.0334355565464393E-3</v>
      </c>
      <c r="J13" s="42">
        <v>330</v>
      </c>
      <c r="K13">
        <v>2.5788425925925926E-2</v>
      </c>
      <c r="L13">
        <v>8.477315099167132E-3</v>
      </c>
      <c r="M13">
        <v>2.1528148148148161E-2</v>
      </c>
      <c r="N13">
        <v>1.7938889175641963E-3</v>
      </c>
    </row>
    <row r="14" spans="1:14" x14ac:dyDescent="0.3">
      <c r="A14">
        <v>360</v>
      </c>
      <c r="B14">
        <v>2.5040740740740742E-2</v>
      </c>
      <c r="C14">
        <v>3.8345724781955761E-3</v>
      </c>
      <c r="D14">
        <v>1.8425555555555563E-2</v>
      </c>
      <c r="E14">
        <v>3.1642952133975428E-3</v>
      </c>
      <c r="J14" s="42">
        <v>360</v>
      </c>
      <c r="K14">
        <v>2.0780185185185183E-2</v>
      </c>
      <c r="L14">
        <v>8.0498063285210069E-3</v>
      </c>
      <c r="M14">
        <v>2.7208148148148145E-2</v>
      </c>
      <c r="N14">
        <v>2.8830137552147122E-3</v>
      </c>
    </row>
    <row r="15" spans="1:14" x14ac:dyDescent="0.3">
      <c r="A15">
        <v>390</v>
      </c>
      <c r="B15">
        <v>2.810555555555555E-2</v>
      </c>
      <c r="C15">
        <v>2.0348637228007377E-3</v>
      </c>
      <c r="D15">
        <v>1.8201481481481485E-2</v>
      </c>
      <c r="E15">
        <v>3.9040248831258726E-3</v>
      </c>
      <c r="J15" s="42">
        <v>390</v>
      </c>
      <c r="K15">
        <v>1.9210648148148147E-2</v>
      </c>
      <c r="L15">
        <v>6.8846012972215683E-3</v>
      </c>
      <c r="M15">
        <v>2.2724074074074081E-2</v>
      </c>
      <c r="N15">
        <v>1.3698023347235408E-3</v>
      </c>
    </row>
    <row r="16" spans="1:14" x14ac:dyDescent="0.3">
      <c r="A16">
        <v>420</v>
      </c>
      <c r="B16">
        <v>2.7806666666666657E-2</v>
      </c>
      <c r="C16">
        <v>2.0552489260788386E-3</v>
      </c>
      <c r="D16">
        <v>1.8052222222222237E-2</v>
      </c>
      <c r="E16">
        <v>4.2589749824616845E-3</v>
      </c>
      <c r="J16" s="42">
        <v>420</v>
      </c>
      <c r="K16">
        <v>1.8537870370370371E-2</v>
      </c>
      <c r="L16">
        <v>7.2988943697181044E-3</v>
      </c>
      <c r="M16">
        <v>2.3321481481481467E-2</v>
      </c>
      <c r="N16">
        <v>4.1106189395082246E-3</v>
      </c>
    </row>
    <row r="17" spans="1:14" x14ac:dyDescent="0.3">
      <c r="A17">
        <v>450</v>
      </c>
      <c r="B17">
        <v>2.3994814814814833E-2</v>
      </c>
      <c r="C17">
        <v>5.1381826942195341E-3</v>
      </c>
      <c r="D17">
        <v>1.7902222222222205E-2</v>
      </c>
      <c r="E17">
        <v>5.912100063471047E-3</v>
      </c>
      <c r="J17" s="42">
        <v>450</v>
      </c>
      <c r="K17">
        <v>1.6669166666666665E-2</v>
      </c>
      <c r="L17">
        <v>7.4867007345420806E-3</v>
      </c>
      <c r="M17">
        <v>1.921060185185184E-2</v>
      </c>
      <c r="N17">
        <v>6.330976364404441E-3</v>
      </c>
    </row>
    <row r="18" spans="1:14" x14ac:dyDescent="0.3">
      <c r="A18">
        <v>480</v>
      </c>
      <c r="B18">
        <v>2.6161851851851853E-2</v>
      </c>
      <c r="C18">
        <v>2.804081974580052E-3</v>
      </c>
      <c r="D18">
        <v>2.0032962962962964E-2</v>
      </c>
      <c r="E18">
        <v>2.4700008330415862E-3</v>
      </c>
      <c r="J18" s="42">
        <v>480</v>
      </c>
      <c r="K18">
        <v>1.6145833333333335E-2</v>
      </c>
      <c r="L18">
        <v>7.9234071923467361E-3</v>
      </c>
      <c r="M18">
        <v>1.4688101851851848E-2</v>
      </c>
      <c r="N18">
        <v>7.0669903886780754E-3</v>
      </c>
    </row>
    <row r="19" spans="1:14" x14ac:dyDescent="0.3">
      <c r="A19">
        <v>510</v>
      </c>
      <c r="B19">
        <v>2.4144444444444423E-2</v>
      </c>
      <c r="C19">
        <v>5.8664091904778656E-3</v>
      </c>
      <c r="D19">
        <v>1.8238518518518508E-2</v>
      </c>
      <c r="E19">
        <v>4.1431297189821175E-3</v>
      </c>
      <c r="J19" s="42">
        <v>510</v>
      </c>
      <c r="K19">
        <v>1.4576111111111113E-2</v>
      </c>
      <c r="L19">
        <v>9.6064977149779296E-3</v>
      </c>
      <c r="M19">
        <v>1.3006388888888889E-2</v>
      </c>
      <c r="N19">
        <v>6.6296680544341256E-3</v>
      </c>
    </row>
    <row r="20" spans="1:14" x14ac:dyDescent="0.3">
      <c r="A20">
        <v>540</v>
      </c>
      <c r="B20">
        <v>2.0854814814814829E-2</v>
      </c>
      <c r="C20">
        <v>4.0921648008360725E-3</v>
      </c>
      <c r="D20">
        <v>1.8538148148148147E-2</v>
      </c>
      <c r="E20">
        <v>1.5753915183896465E-3</v>
      </c>
      <c r="J20" s="42">
        <v>540</v>
      </c>
      <c r="K20">
        <v>1.3679074074074071E-2</v>
      </c>
      <c r="L20">
        <v>8.9741979579642146E-3</v>
      </c>
      <c r="M20">
        <v>1.121231481481481E-2</v>
      </c>
      <c r="N20">
        <v>5.733573723689463E-3</v>
      </c>
    </row>
    <row r="21" spans="1:14" x14ac:dyDescent="0.3">
      <c r="A21">
        <v>570</v>
      </c>
      <c r="B21">
        <v>2.010777777777778E-2</v>
      </c>
      <c r="C21">
        <v>3.2523057347968727E-3</v>
      </c>
      <c r="D21">
        <v>1.8986296296296317E-2</v>
      </c>
      <c r="E21">
        <v>1.1285751605472087E-3</v>
      </c>
      <c r="J21" s="42">
        <v>570</v>
      </c>
      <c r="K21">
        <v>1.3230648148148146E-2</v>
      </c>
      <c r="L21">
        <v>8.101755929271386E-3</v>
      </c>
      <c r="M21">
        <v>9.7174074074074107E-3</v>
      </c>
      <c r="N21">
        <v>5.3217209857617104E-3</v>
      </c>
    </row>
    <row r="22" spans="1:14" x14ac:dyDescent="0.3">
      <c r="A22">
        <v>600</v>
      </c>
      <c r="B22">
        <v>1.6145555555555562E-2</v>
      </c>
      <c r="C22">
        <v>1.3455555555555694E-3</v>
      </c>
      <c r="D22">
        <v>1.7341851851851834E-2</v>
      </c>
      <c r="E22">
        <v>2.9862907611764959E-3</v>
      </c>
      <c r="J22" s="42">
        <v>600</v>
      </c>
      <c r="K22">
        <v>1.1361944444444442E-2</v>
      </c>
      <c r="L22">
        <v>6.3228606185419716E-3</v>
      </c>
      <c r="M22">
        <v>1.1810462962962964E-2</v>
      </c>
      <c r="N22">
        <v>4.8762668137175081E-3</v>
      </c>
    </row>
    <row r="23" spans="1:14" x14ac:dyDescent="0.3">
      <c r="A23">
        <v>630</v>
      </c>
      <c r="B23">
        <v>1.2109259259259261E-2</v>
      </c>
      <c r="C23">
        <v>2.7005191083552902E-3</v>
      </c>
      <c r="D23">
        <v>2.137814814814816E-2</v>
      </c>
      <c r="E23">
        <v>5.9560095529002204E-3</v>
      </c>
      <c r="J23" s="42">
        <v>630</v>
      </c>
      <c r="K23">
        <v>9.4931481481481464E-3</v>
      </c>
      <c r="L23">
        <v>6.7187860785590994E-3</v>
      </c>
      <c r="M23">
        <v>1.121231481481481E-2</v>
      </c>
      <c r="N23">
        <v>4.9911522191057192E-3</v>
      </c>
    </row>
    <row r="24" spans="1:14" x14ac:dyDescent="0.3">
      <c r="A24">
        <v>660</v>
      </c>
      <c r="B24">
        <v>1.1548564814814817E-2</v>
      </c>
      <c r="C24">
        <v>3.0532698085286095E-3</v>
      </c>
      <c r="D24">
        <v>1.9005000000000001E-2</v>
      </c>
      <c r="E24">
        <v>8.3242181629682773E-3</v>
      </c>
      <c r="J24" s="42">
        <v>660</v>
      </c>
      <c r="K24">
        <v>8.3719444444444475E-3</v>
      </c>
      <c r="L24">
        <v>6.1646496392701736E-3</v>
      </c>
      <c r="M24">
        <v>1.1137685185185183E-2</v>
      </c>
      <c r="N24">
        <v>5.2822763410053514E-3</v>
      </c>
    </row>
    <row r="25" spans="1:14" x14ac:dyDescent="0.3">
      <c r="A25">
        <v>690</v>
      </c>
      <c r="B25">
        <v>9.2501388888888893E-3</v>
      </c>
      <c r="C25">
        <v>3.4416180769321334E-3</v>
      </c>
      <c r="D25">
        <v>1.9845925925925927E-2</v>
      </c>
      <c r="E25">
        <v>9.6721732010301865E-3</v>
      </c>
      <c r="J25" s="42">
        <v>690</v>
      </c>
      <c r="K25">
        <v>6.5031481481481459E-3</v>
      </c>
      <c r="L25">
        <v>4.6399904731179087E-3</v>
      </c>
      <c r="M25">
        <v>1.068916666666667E-2</v>
      </c>
      <c r="N25">
        <v>5.9234902939918456E-3</v>
      </c>
    </row>
    <row r="26" spans="1:14" x14ac:dyDescent="0.3">
      <c r="A26">
        <v>720</v>
      </c>
      <c r="B26">
        <v>8.4653703703703696E-3</v>
      </c>
      <c r="C26">
        <v>3.3008624195830917E-3</v>
      </c>
      <c r="D26">
        <v>1.9677777777777787E-2</v>
      </c>
      <c r="E26">
        <v>1.0227513915662078E-2</v>
      </c>
      <c r="J26" s="42">
        <v>720</v>
      </c>
      <c r="K26">
        <v>6.5778703703703754E-3</v>
      </c>
      <c r="L26">
        <v>4.1730834654427115E-3</v>
      </c>
      <c r="M26">
        <v>9.6425925925925915E-3</v>
      </c>
      <c r="N26">
        <v>6.8040221766937897E-3</v>
      </c>
    </row>
    <row r="27" spans="1:14" x14ac:dyDescent="0.3">
      <c r="A27">
        <v>750</v>
      </c>
      <c r="B27">
        <v>9.082037037037036E-3</v>
      </c>
      <c r="C27">
        <v>1.6668144322475624E-3</v>
      </c>
      <c r="D27">
        <v>1.7154953703703704E-2</v>
      </c>
      <c r="E27">
        <v>9.4929487051386482E-3</v>
      </c>
      <c r="J27" s="42">
        <v>750</v>
      </c>
      <c r="K27">
        <v>7.1012037037037025E-3</v>
      </c>
      <c r="L27">
        <v>2.8135026430115683E-3</v>
      </c>
      <c r="M27">
        <v>9.7922222222222299E-3</v>
      </c>
      <c r="N27">
        <v>7.0441829084872511E-3</v>
      </c>
    </row>
    <row r="28" spans="1:14" x14ac:dyDescent="0.3">
      <c r="A28">
        <v>780</v>
      </c>
      <c r="B28">
        <v>7.5123148148148137E-3</v>
      </c>
      <c r="C28">
        <v>2.1442988656259088E-3</v>
      </c>
      <c r="D28">
        <v>1.4435925925925928E-2</v>
      </c>
      <c r="E28">
        <v>1.0074209115697662E-2</v>
      </c>
      <c r="J28" s="42">
        <v>780</v>
      </c>
      <c r="K28">
        <v>7.5496296296296249E-3</v>
      </c>
      <c r="L28">
        <v>4.4482042213307461E-3</v>
      </c>
      <c r="M28">
        <v>9.4931481481481499E-3</v>
      </c>
      <c r="N28">
        <v>6.4954243370134957E-3</v>
      </c>
    </row>
    <row r="29" spans="1:14" x14ac:dyDescent="0.3">
      <c r="A29">
        <v>810</v>
      </c>
      <c r="B29">
        <v>7.0076851851851845E-3</v>
      </c>
      <c r="C29">
        <v>2.2414059485659945E-3</v>
      </c>
      <c r="D29">
        <v>1.1913148148148152E-2</v>
      </c>
      <c r="E29">
        <v>8.7621909840198443E-3</v>
      </c>
      <c r="J29" s="42">
        <v>810</v>
      </c>
      <c r="K29">
        <v>7.2506481481481502E-3</v>
      </c>
      <c r="L29">
        <v>5.0229822954219235E-3</v>
      </c>
      <c r="M29">
        <v>9.6425925925925984E-3</v>
      </c>
      <c r="N29">
        <v>6.5376897659243215E-3</v>
      </c>
    </row>
    <row r="30" spans="1:14" x14ac:dyDescent="0.3">
      <c r="A30">
        <v>840</v>
      </c>
      <c r="B30">
        <v>6.2228703703703717E-3</v>
      </c>
      <c r="C30">
        <v>2.4011593884620971E-3</v>
      </c>
      <c r="D30">
        <v>9.4183333333333289E-3</v>
      </c>
      <c r="E30">
        <v>8.5232312705671841E-3</v>
      </c>
      <c r="J30" s="42">
        <v>840</v>
      </c>
      <c r="K30">
        <v>8.8951851851851831E-3</v>
      </c>
      <c r="L30">
        <v>6.1259880754459019E-3</v>
      </c>
      <c r="M30">
        <v>8.7456481481481465E-3</v>
      </c>
      <c r="N30">
        <v>4.5999353777568105E-3</v>
      </c>
    </row>
    <row r="31" spans="1:14" x14ac:dyDescent="0.3">
      <c r="A31">
        <v>870</v>
      </c>
      <c r="B31">
        <v>4.5970370370370366E-3</v>
      </c>
      <c r="C31">
        <v>3.351790003308412E-3</v>
      </c>
      <c r="D31">
        <v>1.1268425925925927E-2</v>
      </c>
      <c r="E31">
        <v>6.5599372916121633E-3</v>
      </c>
      <c r="J31" s="42">
        <v>870</v>
      </c>
      <c r="K31">
        <v>8.2971296296296335E-3</v>
      </c>
      <c r="L31">
        <v>5.8414663194241694E-3</v>
      </c>
      <c r="M31">
        <v>6.3536111111111076E-3</v>
      </c>
      <c r="N31">
        <v>5.7846239105208211E-3</v>
      </c>
    </row>
    <row r="32" spans="1:14" x14ac:dyDescent="0.3">
      <c r="A32">
        <v>900</v>
      </c>
      <c r="B32">
        <v>3.4199074074074075E-3</v>
      </c>
      <c r="C32">
        <v>3.2973817244563311E-3</v>
      </c>
      <c r="D32">
        <v>1.171694444444445E-2</v>
      </c>
      <c r="E32">
        <v>6.733887815626928E-3</v>
      </c>
      <c r="J32" s="42">
        <v>900</v>
      </c>
      <c r="K32">
        <v>9.6425925925926019E-3</v>
      </c>
      <c r="L32">
        <v>4.3922355238635588E-3</v>
      </c>
      <c r="M32">
        <v>3.9617592592592621E-3</v>
      </c>
      <c r="N32">
        <v>6.2487983568819769E-3</v>
      </c>
    </row>
    <row r="33" spans="1:14" x14ac:dyDescent="0.3">
      <c r="A33">
        <v>930</v>
      </c>
      <c r="B33">
        <v>3.1395370370370375E-3</v>
      </c>
      <c r="C33">
        <v>3.2003548042175193E-3</v>
      </c>
      <c r="D33">
        <v>1.1380555555555559E-2</v>
      </c>
      <c r="E33">
        <v>5.8901276591803112E-3</v>
      </c>
      <c r="J33" s="42">
        <v>930</v>
      </c>
      <c r="K33">
        <v>1.1810462962962969E-2</v>
      </c>
      <c r="L33">
        <v>7.2617862912313612E-3</v>
      </c>
      <c r="M33">
        <v>2.0929629629629562E-3</v>
      </c>
      <c r="N33">
        <v>6.4301676793212656E-3</v>
      </c>
    </row>
    <row r="34" spans="1:14" x14ac:dyDescent="0.3">
      <c r="A34">
        <v>960</v>
      </c>
      <c r="B34">
        <v>2.9152777777777766E-3</v>
      </c>
      <c r="C34">
        <v>3.0405210774601286E-3</v>
      </c>
      <c r="D34">
        <v>1.093212962962963E-2</v>
      </c>
      <c r="E34">
        <v>4.0919708328698654E-3</v>
      </c>
      <c r="J34" s="42">
        <v>960</v>
      </c>
      <c r="K34">
        <v>1.1586111111111106E-2</v>
      </c>
      <c r="L34">
        <v>9.0105591223385677E-3</v>
      </c>
      <c r="M34">
        <v>-1.270648148148144E-3</v>
      </c>
      <c r="N34">
        <v>1.038610582850447E-2</v>
      </c>
    </row>
    <row r="35" spans="1:14" x14ac:dyDescent="0.3">
      <c r="A35">
        <v>990</v>
      </c>
      <c r="B35">
        <v>4.4850000000000003E-3</v>
      </c>
      <c r="C35">
        <v>1.8494031690378355E-3</v>
      </c>
      <c r="D35">
        <v>8.0169444444444411E-3</v>
      </c>
      <c r="E35">
        <v>4.44797153318972E-3</v>
      </c>
      <c r="J35" s="42">
        <v>990</v>
      </c>
      <c r="K35">
        <v>1.3454907407407407E-2</v>
      </c>
      <c r="L35">
        <v>1.3302551181243828E-2</v>
      </c>
      <c r="M35">
        <v>-3.0647222222222213E-3</v>
      </c>
      <c r="N35">
        <v>1.1539974243207287E-2</v>
      </c>
    </row>
    <row r="36" spans="1:14" x14ac:dyDescent="0.3">
      <c r="A36">
        <v>1020</v>
      </c>
      <c r="B36">
        <v>5.4939814814814825E-3</v>
      </c>
      <c r="C36">
        <v>1.3213291763074946E-3</v>
      </c>
      <c r="D36">
        <v>5.3258333333333283E-3</v>
      </c>
      <c r="E36">
        <v>5.2557329331337395E-3</v>
      </c>
      <c r="J36" s="42">
        <v>1020</v>
      </c>
      <c r="K36">
        <v>1.3380185185185184E-2</v>
      </c>
      <c r="L36">
        <v>1.5108766663568585E-2</v>
      </c>
      <c r="M36">
        <v>-6.95175925925926E-3</v>
      </c>
      <c r="N36">
        <v>1.2014245558493959E-2</v>
      </c>
    </row>
    <row r="37" spans="1:14" x14ac:dyDescent="0.3">
      <c r="A37">
        <v>1050</v>
      </c>
      <c r="B37">
        <v>4.0363888888888897E-3</v>
      </c>
      <c r="C37">
        <v>1.6660114717976342E-3</v>
      </c>
      <c r="D37">
        <v>5.213796296296298E-3</v>
      </c>
      <c r="E37">
        <v>7.3855145940966375E-3</v>
      </c>
      <c r="J37" s="42">
        <v>1050</v>
      </c>
      <c r="K37">
        <v>1.569722222222222E-2</v>
      </c>
      <c r="L37">
        <v>1.6830572169855222E-2</v>
      </c>
      <c r="M37">
        <v>-1.0763888888888882E-2</v>
      </c>
      <c r="N37">
        <v>1.3574324713713358E-2</v>
      </c>
    </row>
    <row r="38" spans="1:14" x14ac:dyDescent="0.3">
      <c r="A38">
        <v>1080</v>
      </c>
      <c r="B38">
        <v>2.7470370370370361E-3</v>
      </c>
      <c r="C38">
        <v>3.0384234561902619E-3</v>
      </c>
      <c r="D38">
        <v>5.3818518518518486E-3</v>
      </c>
      <c r="E38">
        <v>6.8941952999362014E-3</v>
      </c>
      <c r="J38" s="42">
        <v>1080</v>
      </c>
      <c r="K38">
        <v>1.831361111111111E-2</v>
      </c>
      <c r="L38">
        <v>1.818013375257423E-2</v>
      </c>
      <c r="M38">
        <v>-1.2483148148148151E-2</v>
      </c>
      <c r="N38">
        <v>1.3766033479814678E-2</v>
      </c>
    </row>
    <row r="39" spans="1:14" x14ac:dyDescent="0.3">
      <c r="A39">
        <v>1110</v>
      </c>
      <c r="B39">
        <v>1.4015740740740742E-3</v>
      </c>
      <c r="C39">
        <v>3.2789107497662412E-3</v>
      </c>
      <c r="D39">
        <v>6.6152777777777772E-3</v>
      </c>
      <c r="E39">
        <v>5.7991345829666334E-3</v>
      </c>
      <c r="J39" s="42">
        <v>1110</v>
      </c>
      <c r="K39">
        <v>1.7192314814814813E-2</v>
      </c>
      <c r="L39">
        <v>1.4893368200762914E-2</v>
      </c>
      <c r="M39">
        <v>-1.37537962962963E-2</v>
      </c>
      <c r="N39">
        <v>1.2733837264649096E-2</v>
      </c>
    </row>
    <row r="40" spans="1:14" x14ac:dyDescent="0.3">
      <c r="A40">
        <v>1140</v>
      </c>
      <c r="B40">
        <v>2.0182407407407406E-3</v>
      </c>
      <c r="C40">
        <v>3.5264694765352166E-3</v>
      </c>
      <c r="D40">
        <v>7.4001851851851885E-3</v>
      </c>
      <c r="E40">
        <v>4.6310200034053051E-3</v>
      </c>
      <c r="J40" s="42">
        <v>1140</v>
      </c>
      <c r="K40">
        <v>1.6071111111111109E-2</v>
      </c>
      <c r="L40">
        <v>1.3455899786214082E-2</v>
      </c>
      <c r="M40">
        <v>-1.1959907407407403E-2</v>
      </c>
      <c r="N40">
        <v>1.2510977707294424E-2</v>
      </c>
    </row>
    <row r="41" spans="1:14" x14ac:dyDescent="0.3">
      <c r="A41">
        <v>1170</v>
      </c>
      <c r="B41">
        <v>2.8592592592592589E-3</v>
      </c>
      <c r="C41">
        <v>2.9614143054958325E-3</v>
      </c>
      <c r="D41">
        <v>4.4288888888888893E-3</v>
      </c>
      <c r="E41">
        <v>4.7220551531773226E-3</v>
      </c>
      <c r="J41" s="42">
        <v>1170</v>
      </c>
      <c r="K41">
        <v>1.1959907407407409E-2</v>
      </c>
      <c r="L41">
        <v>8.8831653877449041E-3</v>
      </c>
      <c r="M41">
        <v>-1.0240555555555567E-2</v>
      </c>
      <c r="N41">
        <v>1.0950898552075032E-2</v>
      </c>
    </row>
    <row r="42" spans="1:14" x14ac:dyDescent="0.3">
      <c r="A42">
        <v>1200</v>
      </c>
      <c r="B42">
        <v>3.868240740740742E-3</v>
      </c>
      <c r="C42">
        <v>2.5862457738421831E-3</v>
      </c>
      <c r="D42">
        <v>3.8123148148148148E-3</v>
      </c>
      <c r="E42">
        <v>6.1897811822495194E-3</v>
      </c>
      <c r="J42" s="42">
        <v>1200</v>
      </c>
      <c r="K42">
        <v>6.8022222222222269E-3</v>
      </c>
      <c r="L42">
        <v>5.8680156997620745E-3</v>
      </c>
      <c r="M42">
        <v>-7.2507407407407347E-3</v>
      </c>
      <c r="N42">
        <v>6.2925133730524019E-3</v>
      </c>
    </row>
    <row r="43" spans="1:14" x14ac:dyDescent="0.3">
      <c r="A43">
        <v>1230</v>
      </c>
      <c r="B43">
        <v>3.4758333333333334E-3</v>
      </c>
      <c r="C43">
        <v>2.7661732378889813E-3</v>
      </c>
      <c r="D43">
        <v>4.0364814814814812E-3</v>
      </c>
      <c r="E43">
        <v>7.0334945668204425E-3</v>
      </c>
      <c r="J43" s="42">
        <v>1230</v>
      </c>
      <c r="K43">
        <v>4.8586111111111113E-3</v>
      </c>
      <c r="L43">
        <v>4.7652798559404876E-3</v>
      </c>
      <c r="M43">
        <v>-4.7839814814814741E-3</v>
      </c>
      <c r="N43">
        <v>4.6434293289657905E-3</v>
      </c>
    </row>
    <row r="44" spans="1:14" x14ac:dyDescent="0.3">
      <c r="A44">
        <v>1260</v>
      </c>
      <c r="B44">
        <v>1.2333333333333339E-3</v>
      </c>
      <c r="C44">
        <v>2.2900109879794893E-3</v>
      </c>
      <c r="D44">
        <v>4.8774999999999964E-3</v>
      </c>
      <c r="E44">
        <v>7.4460791108801293E-3</v>
      </c>
      <c r="J44" s="42">
        <v>1260</v>
      </c>
      <c r="K44">
        <v>2.6910185185185231E-3</v>
      </c>
      <c r="L44">
        <v>4.0080012585802394E-3</v>
      </c>
      <c r="M44">
        <v>-3.5878703703703723E-3</v>
      </c>
      <c r="N44">
        <v>3.0795713612505032E-3</v>
      </c>
    </row>
    <row r="45" spans="1:14" x14ac:dyDescent="0.3">
      <c r="A45">
        <v>1290</v>
      </c>
      <c r="B45">
        <v>1.9621296296296283E-3</v>
      </c>
      <c r="C45">
        <v>3.0482645799720276E-3</v>
      </c>
      <c r="D45">
        <v>7.0637962962962902E-3</v>
      </c>
      <c r="E45">
        <v>4.7120790938835009E-3</v>
      </c>
      <c r="J45" s="42">
        <v>1290</v>
      </c>
      <c r="K45">
        <v>2.3920370370370324E-3</v>
      </c>
      <c r="L45">
        <v>4.254656998396741E-3</v>
      </c>
      <c r="M45">
        <v>-1.5698148148148051E-3</v>
      </c>
      <c r="N45">
        <v>1.966133092517329E-3</v>
      </c>
    </row>
    <row r="46" spans="1:14" x14ac:dyDescent="0.3">
      <c r="A46">
        <v>1320</v>
      </c>
      <c r="B46">
        <v>2.634907407407407E-3</v>
      </c>
      <c r="C46">
        <v>2.3423424753977631E-3</v>
      </c>
      <c r="D46">
        <v>5.4939814814814799E-3</v>
      </c>
      <c r="E46">
        <v>6.5901549188898331E-3</v>
      </c>
      <c r="J46" s="42">
        <v>1320</v>
      </c>
      <c r="K46">
        <v>1.1960185185185214E-3</v>
      </c>
      <c r="L46">
        <v>3.4507677580760403E-3</v>
      </c>
      <c r="M46">
        <v>-8.222222222222218E-4</v>
      </c>
      <c r="N46">
        <v>2.4767757627312884E-3</v>
      </c>
    </row>
    <row r="47" spans="1:14" x14ac:dyDescent="0.3">
      <c r="A47">
        <v>1350</v>
      </c>
      <c r="B47">
        <v>1.4575925925925904E-3</v>
      </c>
      <c r="C47">
        <v>3.5112019331412225E-3</v>
      </c>
      <c r="D47">
        <v>5.4940740740740748E-3</v>
      </c>
      <c r="E47">
        <v>7.0154557574412064E-3</v>
      </c>
      <c r="J47" s="42">
        <v>1350</v>
      </c>
      <c r="K47">
        <v>1.6445370370370394E-3</v>
      </c>
      <c r="L47">
        <v>3.9174523631551337E-3</v>
      </c>
      <c r="M47">
        <v>-2.2416666666667118E-4</v>
      </c>
      <c r="N47">
        <v>2.9205179714456506E-3</v>
      </c>
    </row>
    <row r="48" spans="1:14" x14ac:dyDescent="0.3">
      <c r="A48">
        <v>1380</v>
      </c>
      <c r="B48">
        <v>1.7939814814814813E-3</v>
      </c>
      <c r="C48">
        <v>5.0525216329738009E-3</v>
      </c>
      <c r="D48">
        <v>6.5591666666666715E-3</v>
      </c>
      <c r="E48">
        <v>7.0254477106019616E-3</v>
      </c>
      <c r="J48" s="42">
        <v>1380</v>
      </c>
      <c r="K48">
        <v>1.1959259259259256E-3</v>
      </c>
      <c r="L48">
        <v>4.1203546855106757E-3</v>
      </c>
      <c r="M48">
        <v>-2.9898148148148535E-4</v>
      </c>
      <c r="N48">
        <v>3.3846598868975271E-3</v>
      </c>
    </row>
    <row r="49" spans="1:14" x14ac:dyDescent="0.3">
      <c r="A49">
        <v>1410</v>
      </c>
      <c r="B49">
        <v>7.8481481481481458E-4</v>
      </c>
      <c r="C49">
        <v>4.5494189709902244E-3</v>
      </c>
      <c r="D49">
        <v>6.5032407407407417E-3</v>
      </c>
      <c r="E49">
        <v>7.5586847850957033E-3</v>
      </c>
      <c r="J49" s="42">
        <v>1410</v>
      </c>
      <c r="K49">
        <v>1.5696296296296346E-3</v>
      </c>
      <c r="L49">
        <v>3.7384761634955627E-3</v>
      </c>
      <c r="M49">
        <v>1.3454629629629632E-3</v>
      </c>
      <c r="N49">
        <v>5.5392142807121538E-3</v>
      </c>
    </row>
    <row r="50" spans="1:14" x14ac:dyDescent="0.3">
      <c r="A50">
        <v>1440</v>
      </c>
      <c r="B50">
        <v>8.970370370370356E-4</v>
      </c>
      <c r="C50">
        <v>5.0872873837876859E-3</v>
      </c>
      <c r="D50">
        <v>7.2320370370370412E-3</v>
      </c>
      <c r="E50">
        <v>6.1837219942553782E-3</v>
      </c>
      <c r="J50" s="42">
        <v>1440</v>
      </c>
      <c r="K50">
        <v>9.7166666666666387E-4</v>
      </c>
      <c r="L50">
        <v>3.610233348022217E-3</v>
      </c>
      <c r="M50">
        <v>1.1212962962962975E-3</v>
      </c>
      <c r="N50">
        <v>6.2547673072489065E-3</v>
      </c>
    </row>
    <row r="51" spans="1:14" x14ac:dyDescent="0.3">
      <c r="A51">
        <v>1470</v>
      </c>
      <c r="B51">
        <v>2.9151851851851873E-3</v>
      </c>
      <c r="C51">
        <v>3.3158106254315084E-3</v>
      </c>
      <c r="D51">
        <v>7.7925925925925897E-3</v>
      </c>
      <c r="E51">
        <v>5.1549112577184506E-3</v>
      </c>
      <c r="J51" s="42">
        <v>1470</v>
      </c>
      <c r="K51">
        <v>5.9805555555555588E-4</v>
      </c>
      <c r="L51">
        <v>3.2409293083906221E-3</v>
      </c>
      <c r="M51">
        <v>1.6443518518518478E-3</v>
      </c>
      <c r="N51">
        <v>5.3849889749440156E-3</v>
      </c>
    </row>
    <row r="52" spans="1:14" x14ac:dyDescent="0.3">
      <c r="A52">
        <v>1500</v>
      </c>
      <c r="B52">
        <v>1.2894444444444446E-3</v>
      </c>
      <c r="C52">
        <v>2.5679861320527754E-3</v>
      </c>
      <c r="D52">
        <v>7.7925925925925905E-3</v>
      </c>
      <c r="E52">
        <v>4.7230882525301186E-3</v>
      </c>
      <c r="J52" s="42">
        <v>1500</v>
      </c>
      <c r="K52">
        <v>1.4950000000000015E-3</v>
      </c>
      <c r="L52">
        <v>2.862747653239261E-3</v>
      </c>
      <c r="M52">
        <v>2.1676851851851905E-3</v>
      </c>
      <c r="N52">
        <v>5.134156532875884E-3</v>
      </c>
    </row>
    <row r="53" spans="1:14" x14ac:dyDescent="0.3">
      <c r="A53">
        <v>1530</v>
      </c>
      <c r="B53">
        <v>1.6818518518518515E-3</v>
      </c>
      <c r="C53">
        <v>3.2897099752938735E-3</v>
      </c>
      <c r="D53">
        <v>8.1289814814814836E-3</v>
      </c>
      <c r="E53">
        <v>4.7230149861114418E-3</v>
      </c>
      <c r="J53" s="42">
        <v>1530</v>
      </c>
      <c r="K53">
        <v>-2.2407407407407551E-4</v>
      </c>
      <c r="L53">
        <v>2.3004914017296253E-3</v>
      </c>
      <c r="M53">
        <v>-1.4953703703704318E-4</v>
      </c>
      <c r="N53">
        <v>2.4239115711733573E-3</v>
      </c>
    </row>
    <row r="54" spans="1:14" x14ac:dyDescent="0.3">
      <c r="A54">
        <v>1560</v>
      </c>
      <c r="B54">
        <v>1.1773148148148151E-3</v>
      </c>
      <c r="C54">
        <v>2.6203539410890888E-3</v>
      </c>
      <c r="D54">
        <v>9.0260185185185183E-3</v>
      </c>
      <c r="E54">
        <v>4.0252777134543024E-3</v>
      </c>
      <c r="J54" s="42">
        <v>1560</v>
      </c>
      <c r="K54">
        <v>1.6445370370370444E-3</v>
      </c>
      <c r="L54">
        <v>2.1729888762290145E-3</v>
      </c>
      <c r="M54">
        <v>5.2324074074073645E-4</v>
      </c>
      <c r="N54">
        <v>1.5394726470561101E-3</v>
      </c>
    </row>
    <row r="55" spans="1:14" x14ac:dyDescent="0.3">
      <c r="A55">
        <v>1590</v>
      </c>
      <c r="B55">
        <v>1.850092592592592E-3</v>
      </c>
      <c r="C55">
        <v>3.0349410321907308E-3</v>
      </c>
      <c r="D55">
        <v>9.4744444444444451E-3</v>
      </c>
      <c r="E55">
        <v>4.6862614388611607E-3</v>
      </c>
      <c r="J55" s="42">
        <v>1590</v>
      </c>
      <c r="K55">
        <v>1.0464814814814729E-3</v>
      </c>
      <c r="L55">
        <v>2.4170612770612878E-3</v>
      </c>
      <c r="M55">
        <v>-1.8687037037037001E-3</v>
      </c>
      <c r="N55">
        <v>2.2579855317482658E-3</v>
      </c>
    </row>
    <row r="56" spans="1:14" x14ac:dyDescent="0.3">
      <c r="A56">
        <v>1620</v>
      </c>
      <c r="B56">
        <v>3.9240740740740555E-4</v>
      </c>
      <c r="C56">
        <v>2.9981233416077422E-3</v>
      </c>
      <c r="D56">
        <v>9.7548148148148169E-3</v>
      </c>
      <c r="E56">
        <v>5.3984503504228842E-3</v>
      </c>
      <c r="J56" s="42">
        <v>1620</v>
      </c>
      <c r="K56">
        <v>4.4851851851851791E-4</v>
      </c>
      <c r="L56">
        <v>2.6675787456392768E-3</v>
      </c>
      <c r="M56">
        <v>-2.0929629629629666E-3</v>
      </c>
      <c r="N56">
        <v>3.7139652700603496E-3</v>
      </c>
    </row>
    <row r="57" spans="1:14" x14ac:dyDescent="0.3">
      <c r="A57">
        <v>1650</v>
      </c>
      <c r="B57">
        <v>1.5698148148148156E-3</v>
      </c>
      <c r="C57">
        <v>2.4438065774245892E-3</v>
      </c>
      <c r="D57">
        <v>9.5303703703703644E-3</v>
      </c>
      <c r="E57">
        <v>5.6549405222585981E-3</v>
      </c>
      <c r="J57" s="42">
        <v>1650</v>
      </c>
      <c r="K57">
        <v>6.7268518518518914E-4</v>
      </c>
      <c r="L57">
        <v>2.2192454123059345E-3</v>
      </c>
      <c r="M57">
        <v>-1.2706481481481388E-3</v>
      </c>
      <c r="N57">
        <v>4.5619810648835409E-3</v>
      </c>
    </row>
    <row r="58" spans="1:14" x14ac:dyDescent="0.3">
      <c r="A58">
        <v>1680</v>
      </c>
      <c r="B58">
        <v>2.4106481481481474E-3</v>
      </c>
      <c r="C58">
        <v>2.3810800081258839E-3</v>
      </c>
      <c r="D58">
        <v>9.7548148148148134E-3</v>
      </c>
      <c r="E58">
        <v>4.7075937095565294E-3</v>
      </c>
      <c r="J58" s="42">
        <v>1680</v>
      </c>
      <c r="K58">
        <v>9.7166666666665877E-4</v>
      </c>
      <c r="L58">
        <v>3.4244567473520914E-3</v>
      </c>
      <c r="M58">
        <v>-2.4667592592592558E-3</v>
      </c>
      <c r="N58">
        <v>4.9041864964784101E-3</v>
      </c>
    </row>
    <row r="59" spans="1:14" x14ac:dyDescent="0.3">
      <c r="A59">
        <v>1710</v>
      </c>
      <c r="B59">
        <v>1.2333333333333352E-3</v>
      </c>
      <c r="C59">
        <v>2.734704836595013E-3</v>
      </c>
      <c r="D59">
        <v>1.0315462962962966E-2</v>
      </c>
      <c r="E59">
        <v>4.7075213948896159E-3</v>
      </c>
      <c r="J59" s="42">
        <v>1710</v>
      </c>
      <c r="K59">
        <v>1.6444444444444542E-3</v>
      </c>
      <c r="L59">
        <v>2.8402634902812765E-3</v>
      </c>
      <c r="M59">
        <v>-5.2324074074074154E-4</v>
      </c>
      <c r="N59">
        <v>4.7141273100854367E-3</v>
      </c>
    </row>
    <row r="60" spans="1:14" x14ac:dyDescent="0.3">
      <c r="A60">
        <v>1740</v>
      </c>
      <c r="B60">
        <v>1.7379629629629633E-3</v>
      </c>
      <c r="C60">
        <v>3.2836317303786915E-3</v>
      </c>
      <c r="D60">
        <v>1.0035092592592589E-2</v>
      </c>
      <c r="E60">
        <v>3.9358361943557935E-3</v>
      </c>
      <c r="J60" s="42">
        <v>1740</v>
      </c>
      <c r="K60">
        <v>1.3455555555555486E-3</v>
      </c>
      <c r="L60">
        <v>2.5060196087376575E-3</v>
      </c>
      <c r="M60">
        <v>-6.7277777777777952E-4</v>
      </c>
      <c r="N60">
        <v>4.4085612472852375E-3</v>
      </c>
    </row>
    <row r="61" spans="1:14" x14ac:dyDescent="0.3">
      <c r="A61">
        <v>1770</v>
      </c>
      <c r="B61">
        <v>1.9621296296296279E-3</v>
      </c>
      <c r="C61">
        <v>3.197462610200672E-3</v>
      </c>
      <c r="D61">
        <v>1.1044351851851854E-2</v>
      </c>
      <c r="E61">
        <v>3.6129667486670672E-3</v>
      </c>
      <c r="J61" s="42">
        <v>1770</v>
      </c>
      <c r="K61">
        <v>2.0182407407407375E-3</v>
      </c>
      <c r="L61">
        <v>2.5058807341819824E-3</v>
      </c>
      <c r="M61">
        <v>-1.1212037037037124E-3</v>
      </c>
      <c r="N61">
        <v>4.4589290354925849E-3</v>
      </c>
    </row>
    <row r="62" spans="1:14" x14ac:dyDescent="0.3">
      <c r="A62">
        <v>1800</v>
      </c>
      <c r="B62">
        <v>1.6258333333333337E-3</v>
      </c>
      <c r="C62">
        <v>4.0170182516518953E-3</v>
      </c>
      <c r="D62">
        <v>1.1212314814814812E-2</v>
      </c>
      <c r="E62">
        <v>3.5752787249125804E-3</v>
      </c>
      <c r="J62" s="42">
        <v>1800</v>
      </c>
      <c r="K62">
        <v>7.4722222222228948E-5</v>
      </c>
      <c r="L62">
        <v>9.6624326008491724E-4</v>
      </c>
      <c r="M62">
        <v>-2.2425925925926692E-4</v>
      </c>
      <c r="N62">
        <v>3.43775408172977E-3</v>
      </c>
    </row>
    <row r="63" spans="1:14" x14ac:dyDescent="0.3">
      <c r="A63">
        <v>1830</v>
      </c>
      <c r="B63">
        <v>-2.2425925925925825E-4</v>
      </c>
      <c r="C63">
        <v>4.2459558905801392E-3</v>
      </c>
      <c r="D63">
        <v>1.1100277777777777E-2</v>
      </c>
      <c r="E63">
        <v>3.6722216822498164E-3</v>
      </c>
      <c r="J63" s="42">
        <v>1830</v>
      </c>
      <c r="K63">
        <v>-1.4944444444444757E-4</v>
      </c>
      <c r="L63">
        <v>1.6391598729670496E-3</v>
      </c>
      <c r="M63">
        <v>-1.2706481481481492E-3</v>
      </c>
      <c r="N63">
        <v>3.4589273705422593E-3</v>
      </c>
    </row>
    <row r="64" spans="1:14" x14ac:dyDescent="0.3">
      <c r="A64">
        <v>1860</v>
      </c>
      <c r="B64">
        <v>1.9621296296296305E-3</v>
      </c>
      <c r="C64">
        <v>3.9569482077318986E-3</v>
      </c>
      <c r="D64">
        <v>1.0035000000000002E-2</v>
      </c>
      <c r="E64">
        <v>3.4842553804388448E-3</v>
      </c>
      <c r="J64" s="42">
        <v>1860</v>
      </c>
      <c r="K64">
        <v>-3.7388888888888997E-4</v>
      </c>
      <c r="L64">
        <v>2.6154830255451949E-3</v>
      </c>
      <c r="M64">
        <v>-5.2324074074074165E-4</v>
      </c>
      <c r="N64">
        <v>2.4144141407691066E-3</v>
      </c>
    </row>
    <row r="65" spans="1:14" x14ac:dyDescent="0.3">
      <c r="A65">
        <v>1890</v>
      </c>
      <c r="B65">
        <v>1.8500000000000042E-3</v>
      </c>
      <c r="C65">
        <v>4.2473890980831465E-3</v>
      </c>
      <c r="D65">
        <v>1.0091111111111111E-2</v>
      </c>
      <c r="E65">
        <v>4.2279296593226001E-3</v>
      </c>
      <c r="J65" s="42">
        <v>1890</v>
      </c>
      <c r="K65">
        <v>-8.2231481481481229E-4</v>
      </c>
      <c r="L65">
        <v>4.1710751572644035E-3</v>
      </c>
      <c r="M65">
        <v>-9.7175925925925425E-4</v>
      </c>
      <c r="N65">
        <v>1.8350801017862734E-3</v>
      </c>
    </row>
    <row r="66" spans="1:14" x14ac:dyDescent="0.3">
      <c r="A66">
        <v>1920</v>
      </c>
      <c r="B66">
        <v>-5.6203703703703765E-5</v>
      </c>
      <c r="C66">
        <v>4.2566720804998901E-3</v>
      </c>
      <c r="D66">
        <v>1.1829074074074075E-2</v>
      </c>
      <c r="E66">
        <v>5.3475076004275788E-3</v>
      </c>
      <c r="J66" s="42">
        <v>1920</v>
      </c>
      <c r="K66">
        <v>5.9805555555555588E-4</v>
      </c>
      <c r="L66">
        <v>4.6889262488789916E-3</v>
      </c>
      <c r="M66">
        <v>-5.9796296296296529E-4</v>
      </c>
      <c r="N66">
        <v>3.327728213654475E-3</v>
      </c>
    </row>
    <row r="67" spans="1:14" x14ac:dyDescent="0.3">
      <c r="A67">
        <v>1950</v>
      </c>
      <c r="B67">
        <v>1.1222222222221864E-4</v>
      </c>
      <c r="C67">
        <v>4.4681808627445359E-3</v>
      </c>
      <c r="D67">
        <v>1.0819907407407408E-2</v>
      </c>
      <c r="E67">
        <v>4.6796100264938903E-3</v>
      </c>
      <c r="J67" s="42">
        <v>1950</v>
      </c>
      <c r="K67">
        <v>-5.9805555555555588E-4</v>
      </c>
      <c r="L67">
        <v>4.8515267372940523E-3</v>
      </c>
      <c r="M67">
        <v>-9.2592592595625088E-8</v>
      </c>
      <c r="N67">
        <v>3.3068449413673749E-3</v>
      </c>
    </row>
    <row r="68" spans="1:14" x14ac:dyDescent="0.3">
      <c r="A68">
        <v>1980</v>
      </c>
      <c r="B68">
        <v>2.1302777777777787E-3</v>
      </c>
      <c r="C68">
        <v>3.6179255884863652E-3</v>
      </c>
      <c r="D68">
        <v>1.255796296296296E-2</v>
      </c>
      <c r="E68">
        <v>7.7989004993354715E-3</v>
      </c>
      <c r="J68" s="42">
        <v>1980</v>
      </c>
      <c r="K68">
        <v>4.4851851851852322E-4</v>
      </c>
      <c r="L68">
        <v>4.7450621418085003E-3</v>
      </c>
      <c r="M68">
        <v>4.4851851851852333E-4</v>
      </c>
      <c r="N68">
        <v>3.7553171707584315E-3</v>
      </c>
    </row>
    <row r="69" spans="1:14" x14ac:dyDescent="0.3">
      <c r="A69">
        <v>2010</v>
      </c>
      <c r="B69">
        <v>3.3638888888889019E-4</v>
      </c>
      <c r="C69">
        <v>3.7793773587097282E-3</v>
      </c>
      <c r="D69">
        <v>1.2109444444444447E-2</v>
      </c>
      <c r="E69">
        <v>7.1929158533169868E-3</v>
      </c>
      <c r="J69" s="42">
        <v>2010</v>
      </c>
      <c r="K69">
        <v>-2.2416666666667118E-4</v>
      </c>
      <c r="L69">
        <v>3.189470010089299E-3</v>
      </c>
      <c r="M69">
        <v>-9.259259259038026E-8</v>
      </c>
      <c r="N69">
        <v>3.9002491670878173E-3</v>
      </c>
    </row>
    <row r="70" spans="1:14" x14ac:dyDescent="0.3">
      <c r="A70">
        <v>2040</v>
      </c>
      <c r="B70">
        <v>-2.2424999999999993E-3</v>
      </c>
      <c r="C70">
        <v>3.2970453521637068E-3</v>
      </c>
      <c r="D70">
        <v>9.3062962962962952E-3</v>
      </c>
      <c r="E70">
        <v>7.1928654144854543E-3</v>
      </c>
      <c r="J70" s="42">
        <v>2040</v>
      </c>
      <c r="K70">
        <v>-1.1960185185185318E-3</v>
      </c>
      <c r="L70">
        <v>3.6877823217500156E-3</v>
      </c>
      <c r="M70">
        <v>-2.2425925925925632E-4</v>
      </c>
      <c r="N70">
        <v>2.9987714336051647E-3</v>
      </c>
    </row>
    <row r="71" spans="1:14" x14ac:dyDescent="0.3">
      <c r="A71">
        <v>2070</v>
      </c>
      <c r="B71">
        <v>2.1863888888888909E-3</v>
      </c>
      <c r="C71">
        <v>2.7834563562244559E-3</v>
      </c>
      <c r="D71">
        <v>9.4745370370370348E-3</v>
      </c>
      <c r="E71">
        <v>7.1927406800543119E-3</v>
      </c>
      <c r="J71" s="42">
        <v>2070</v>
      </c>
      <c r="K71">
        <v>2.2435185185185204E-4</v>
      </c>
      <c r="L71">
        <v>3.5250429408622097E-3</v>
      </c>
      <c r="M71">
        <v>5.9796296296297591E-4</v>
      </c>
      <c r="N71">
        <v>3.5251757047970009E-3</v>
      </c>
    </row>
    <row r="72" spans="1:14" x14ac:dyDescent="0.3">
      <c r="A72">
        <v>2100</v>
      </c>
      <c r="B72">
        <v>1.9622222222222194E-3</v>
      </c>
      <c r="C72">
        <v>3.6736188267545598E-3</v>
      </c>
      <c r="D72">
        <v>7.6805555555555577E-3</v>
      </c>
      <c r="E72">
        <v>5.2169224816878915E-3</v>
      </c>
      <c r="J72" s="42">
        <v>2100</v>
      </c>
      <c r="K72">
        <v>-7.4814814814814178E-5</v>
      </c>
      <c r="L72">
        <v>2.7847674441877275E-3</v>
      </c>
      <c r="M72">
        <v>8.222222222222269E-4</v>
      </c>
      <c r="N72">
        <v>4.0287743597298854E-3</v>
      </c>
    </row>
    <row r="73" spans="1:14" x14ac:dyDescent="0.3">
      <c r="A73">
        <v>2130</v>
      </c>
      <c r="B73">
        <v>-1.7378703703703712E-3</v>
      </c>
      <c r="C73">
        <v>4.8201988057751232E-3</v>
      </c>
      <c r="D73">
        <v>7.4562037037037027E-3</v>
      </c>
      <c r="E73">
        <v>5.3341628882504913E-3</v>
      </c>
      <c r="J73" s="42">
        <v>2130</v>
      </c>
      <c r="K73">
        <v>-1.1212962962962978E-3</v>
      </c>
      <c r="L73">
        <v>3.4667185189460798E-3</v>
      </c>
      <c r="M73">
        <v>6.7277777777776911E-4</v>
      </c>
      <c r="N73">
        <v>4.1563396316034269E-3</v>
      </c>
    </row>
    <row r="74" spans="1:14" x14ac:dyDescent="0.3">
      <c r="A74">
        <v>2160</v>
      </c>
      <c r="B74">
        <v>3.3637962962962992E-3</v>
      </c>
      <c r="C74">
        <v>6.1523175745574919E-3</v>
      </c>
      <c r="D74">
        <v>7.848703703703705E-3</v>
      </c>
      <c r="E74">
        <v>6.3507455468595746E-3</v>
      </c>
      <c r="J74" s="42">
        <v>2160</v>
      </c>
      <c r="K74">
        <v>-3.7370370370370406E-4</v>
      </c>
      <c r="L74">
        <v>3.0002976607352615E-3</v>
      </c>
      <c r="M74">
        <v>3.737962962963049E-4</v>
      </c>
      <c r="N74">
        <v>3.884197303910869E-3</v>
      </c>
    </row>
    <row r="75" spans="1:14" x14ac:dyDescent="0.3">
      <c r="A75">
        <v>2190</v>
      </c>
      <c r="B75">
        <v>7.2879629629629466E-4</v>
      </c>
      <c r="C75">
        <v>6.4823277554085608E-3</v>
      </c>
      <c r="D75">
        <v>7.6804629629629619E-3</v>
      </c>
      <c r="E75">
        <v>7.1212036755488369E-3</v>
      </c>
      <c r="J75" s="42">
        <v>2190</v>
      </c>
      <c r="K75">
        <v>-5.9805555555555588E-4</v>
      </c>
      <c r="L75">
        <v>3.0807916964573625E-3</v>
      </c>
      <c r="M75">
        <v>-5.9787037037036959E-4</v>
      </c>
      <c r="N75">
        <v>3.2429015193127519E-3</v>
      </c>
    </row>
    <row r="76" spans="1:14" x14ac:dyDescent="0.3">
      <c r="A76">
        <v>2220</v>
      </c>
      <c r="B76">
        <v>-2.3545370370370369E-3</v>
      </c>
      <c r="C76">
        <v>6.1544201472961734E-3</v>
      </c>
      <c r="D76">
        <v>7.1198148148148132E-3</v>
      </c>
      <c r="E76">
        <v>6.327106174325324E-3</v>
      </c>
      <c r="J76" s="42">
        <v>2220</v>
      </c>
      <c r="K76">
        <v>-1.3454629629629689E-3</v>
      </c>
      <c r="L76">
        <v>3.2567796169063095E-3</v>
      </c>
      <c r="M76">
        <v>-1.4950000000000067E-3</v>
      </c>
      <c r="N76">
        <v>3.6777846310321639E-3</v>
      </c>
    </row>
    <row r="77" spans="1:14" x14ac:dyDescent="0.3">
      <c r="A77">
        <v>2250</v>
      </c>
      <c r="B77">
        <v>1.2893518518518503E-3</v>
      </c>
      <c r="C77">
        <v>7.3186585090212839E-3</v>
      </c>
      <c r="D77">
        <v>6.7274074074074085E-3</v>
      </c>
      <c r="E77">
        <v>5.9530354346179403E-3</v>
      </c>
      <c r="J77" s="42">
        <v>2250</v>
      </c>
      <c r="K77">
        <v>2.9898148148148557E-4</v>
      </c>
      <c r="L77">
        <v>2.9977967740506535E-3</v>
      </c>
      <c r="M77">
        <v>2.9907407407408625E-4</v>
      </c>
      <c r="N77">
        <v>4.2319448472465729E-3</v>
      </c>
    </row>
    <row r="78" spans="1:14" x14ac:dyDescent="0.3">
      <c r="A78">
        <v>2280</v>
      </c>
      <c r="B78">
        <v>-1.7379629629629661E-3</v>
      </c>
      <c r="C78">
        <v>6.028461520895553E-3</v>
      </c>
      <c r="D78">
        <v>6.8395370370370363E-3</v>
      </c>
      <c r="E78">
        <v>5.2529068202787649E-3</v>
      </c>
      <c r="J78" s="42">
        <v>2280</v>
      </c>
      <c r="K78">
        <v>-8.2222222222221107E-4</v>
      </c>
      <c r="L78">
        <v>2.8617675271803695E-3</v>
      </c>
      <c r="M78">
        <v>2.9888888888887904E-4</v>
      </c>
      <c r="N78">
        <v>5.1474571696155623E-3</v>
      </c>
    </row>
    <row r="79" spans="1:14" x14ac:dyDescent="0.3">
      <c r="A79">
        <v>2310</v>
      </c>
      <c r="B79">
        <v>-3.6439814814814789E-3</v>
      </c>
      <c r="C79">
        <v>5.3207817910281285E-3</v>
      </c>
      <c r="D79">
        <v>5.8864814814814813E-3</v>
      </c>
      <c r="E79">
        <v>4.5737718438421809E-3</v>
      </c>
      <c r="J79" s="42">
        <v>2310</v>
      </c>
      <c r="K79">
        <v>-1.494444444444528E-4</v>
      </c>
      <c r="L79">
        <v>3.0709275135482657E-3</v>
      </c>
      <c r="M79">
        <v>7.4722222222218377E-5</v>
      </c>
      <c r="N79">
        <v>5.0679261109244818E-3</v>
      </c>
    </row>
    <row r="80" spans="1:14" x14ac:dyDescent="0.3">
      <c r="A80">
        <v>2340</v>
      </c>
      <c r="B80">
        <v>-1.7940740740740745E-3</v>
      </c>
      <c r="C80">
        <v>5.2613899539854089E-3</v>
      </c>
      <c r="D80">
        <v>4.5410185185185189E-3</v>
      </c>
      <c r="E80">
        <v>5.3126929692133944E-3</v>
      </c>
      <c r="J80" s="42">
        <v>2340</v>
      </c>
      <c r="K80">
        <v>-3.7370370370370378E-4</v>
      </c>
      <c r="L80">
        <v>3.7414443189966984E-3</v>
      </c>
      <c r="M80">
        <v>5.2324074074074165E-4</v>
      </c>
      <c r="N80">
        <v>4.4190983520245222E-3</v>
      </c>
    </row>
    <row r="81" spans="1:14" x14ac:dyDescent="0.3">
      <c r="A81">
        <v>2370</v>
      </c>
      <c r="B81">
        <v>-1.4014814814814831E-3</v>
      </c>
      <c r="C81">
        <v>3.4247387503784196E-3</v>
      </c>
      <c r="D81">
        <v>4.0924999999999998E-3</v>
      </c>
      <c r="E81">
        <v>5.686811316483846E-3</v>
      </c>
      <c r="J81" s="42">
        <v>2370</v>
      </c>
      <c r="K81">
        <v>1.4953703703702735E-4</v>
      </c>
      <c r="L81">
        <v>3.4824385732352397E-3</v>
      </c>
      <c r="M81">
        <v>-7.4750000000000857E-4</v>
      </c>
      <c r="N81">
        <v>4.2946905779175926E-3</v>
      </c>
    </row>
    <row r="82" spans="1:14" x14ac:dyDescent="0.3">
      <c r="A82">
        <v>2400</v>
      </c>
      <c r="B82">
        <v>-1.9060185185185191E-3</v>
      </c>
      <c r="C82">
        <v>4.2986225228928811E-3</v>
      </c>
      <c r="D82">
        <v>3.1955555555555583E-3</v>
      </c>
      <c r="E82">
        <v>3.9063232783181356E-3</v>
      </c>
      <c r="J82" s="42">
        <v>2400</v>
      </c>
      <c r="K82">
        <v>3.7370370370370362E-4</v>
      </c>
      <c r="L82">
        <v>4.0584805988033556E-3</v>
      </c>
      <c r="M82">
        <v>-8.2222222222221128E-4</v>
      </c>
      <c r="N82">
        <v>3.9663495741830276E-3</v>
      </c>
    </row>
    <row r="83" spans="1:14" x14ac:dyDescent="0.3">
      <c r="A83">
        <v>2430</v>
      </c>
      <c r="B83">
        <v>-3.9250000000000005E-4</v>
      </c>
      <c r="C83">
        <v>5.8335538792267079E-3</v>
      </c>
      <c r="D83">
        <v>2.52277777777778E-3</v>
      </c>
      <c r="E83">
        <v>3.8048834493267462E-3</v>
      </c>
      <c r="J83" s="42">
        <v>2430</v>
      </c>
      <c r="K83">
        <v>-1.5699074074073953E-3</v>
      </c>
      <c r="L83">
        <v>3.7208813767198078E-3</v>
      </c>
      <c r="M83">
        <v>-5.9805555555555577E-4</v>
      </c>
      <c r="N83">
        <v>4.7736014611778083E-3</v>
      </c>
    </row>
    <row r="84" spans="1:14" x14ac:dyDescent="0.3">
      <c r="A84">
        <v>2460</v>
      </c>
      <c r="B84">
        <v>-1.8499999999999975E-3</v>
      </c>
      <c r="C84">
        <v>5.9163649789897525E-3</v>
      </c>
      <c r="D84">
        <v>2.5227777777777774E-3</v>
      </c>
      <c r="E84">
        <v>3.7945027002221471E-3</v>
      </c>
      <c r="J84" s="42">
        <v>2460</v>
      </c>
      <c r="K84">
        <v>-2.242592592592512E-4</v>
      </c>
      <c r="L84">
        <v>3.0503645712713677E-3</v>
      </c>
      <c r="M84">
        <v>-6.7268518518518903E-4</v>
      </c>
      <c r="N84">
        <v>4.8221715179081826E-3</v>
      </c>
    </row>
    <row r="85" spans="1:14" x14ac:dyDescent="0.3">
      <c r="A85">
        <v>2490</v>
      </c>
      <c r="B85">
        <v>-2.747129629629628E-3</v>
      </c>
      <c r="C85">
        <v>5.1225857155784696E-3</v>
      </c>
      <c r="D85">
        <v>1.9622222222222228E-3</v>
      </c>
      <c r="E85">
        <v>3.7525212077438716E-3</v>
      </c>
      <c r="J85" s="42">
        <v>2490</v>
      </c>
      <c r="K85">
        <v>-7.4749999999999296E-4</v>
      </c>
      <c r="L85">
        <v>2.9211022610028045E-3</v>
      </c>
      <c r="M85">
        <v>-9.7175925925925436E-4</v>
      </c>
      <c r="N85">
        <v>4.5205466537059872E-3</v>
      </c>
    </row>
    <row r="86" spans="1:14" x14ac:dyDescent="0.3">
      <c r="A86">
        <v>2520</v>
      </c>
      <c r="B86">
        <v>-1.9621296296296257E-3</v>
      </c>
      <c r="C86">
        <v>4.3458090342839385E-3</v>
      </c>
      <c r="D86">
        <v>2.3546296296296275E-3</v>
      </c>
      <c r="E86">
        <v>4.0008965157893404E-3</v>
      </c>
      <c r="J86" s="42">
        <v>2520</v>
      </c>
      <c r="K86">
        <v>-7.4749999999999806E-4</v>
      </c>
      <c r="L86">
        <v>2.060849772870878E-3</v>
      </c>
      <c r="M86">
        <v>8.2231481481480698E-4</v>
      </c>
      <c r="N86">
        <v>4.5446047954791373E-3</v>
      </c>
    </row>
    <row r="87" spans="1:14" x14ac:dyDescent="0.3">
      <c r="A87">
        <v>2550</v>
      </c>
      <c r="B87">
        <v>-2.859166666666667E-3</v>
      </c>
      <c r="C87">
        <v>2.830005666311467E-3</v>
      </c>
      <c r="D87">
        <v>1.3454629629629635E-3</v>
      </c>
      <c r="E87">
        <v>4.0884566469162643E-3</v>
      </c>
      <c r="J87" s="42">
        <v>2550</v>
      </c>
      <c r="K87">
        <v>8.2231481481481196E-4</v>
      </c>
      <c r="L87">
        <v>1.999388021811847E-3</v>
      </c>
      <c r="M87">
        <v>1.4953703703703277E-4</v>
      </c>
      <c r="N87">
        <v>4.7139474508237304E-3</v>
      </c>
    </row>
    <row r="88" spans="1:14" x14ac:dyDescent="0.3">
      <c r="A88">
        <v>2580</v>
      </c>
      <c r="B88">
        <v>-2.5227777777777787E-3</v>
      </c>
      <c r="C88">
        <v>2.1123793962134207E-3</v>
      </c>
      <c r="D88">
        <v>2.3546296296296301E-3</v>
      </c>
      <c r="E88">
        <v>3.7627262849097495E-3</v>
      </c>
      <c r="J88" s="42">
        <v>2580</v>
      </c>
      <c r="K88">
        <v>-1.4944444444444228E-4</v>
      </c>
      <c r="L88">
        <v>2.3686300269147266E-3</v>
      </c>
      <c r="M88">
        <v>5.9796296296296539E-4</v>
      </c>
      <c r="N88">
        <v>4.043048116048044E-3</v>
      </c>
    </row>
    <row r="89" spans="1:14" x14ac:dyDescent="0.3">
      <c r="A89">
        <v>2610</v>
      </c>
      <c r="B89">
        <v>-2.0741666666666664E-3</v>
      </c>
      <c r="C89">
        <v>2.0820110698735314E-3</v>
      </c>
      <c r="D89">
        <v>2.2424074074074065E-3</v>
      </c>
      <c r="E89">
        <v>3.0832399270986797E-3</v>
      </c>
      <c r="J89" s="42">
        <v>2610</v>
      </c>
      <c r="K89">
        <v>-5.979629629629655E-4</v>
      </c>
      <c r="L89">
        <v>3.3446583104407134E-3</v>
      </c>
      <c r="M89">
        <v>1.2707407407407398E-3</v>
      </c>
      <c r="N89">
        <v>4.8918883861018714E-3</v>
      </c>
    </row>
    <row r="90" spans="1:14" x14ac:dyDescent="0.3">
      <c r="A90">
        <v>2640</v>
      </c>
      <c r="B90">
        <v>-2.2985185185185196E-3</v>
      </c>
      <c r="C90">
        <v>2.0820110698735292E-3</v>
      </c>
      <c r="D90">
        <v>2.0181481481481474E-3</v>
      </c>
      <c r="E90">
        <v>2.6405701911375616E-3</v>
      </c>
      <c r="J90" s="42">
        <v>2640</v>
      </c>
      <c r="K90">
        <v>-2.2425925925926692E-4</v>
      </c>
      <c r="L90">
        <v>3.2151554748103177E-3</v>
      </c>
      <c r="M90">
        <v>-5.2333333333333214E-4</v>
      </c>
      <c r="N90">
        <v>5.358496891683189E-3</v>
      </c>
    </row>
    <row r="91" spans="1:14" x14ac:dyDescent="0.3">
      <c r="A91">
        <v>2670</v>
      </c>
      <c r="B91">
        <v>-2.0182407407407406E-3</v>
      </c>
      <c r="C91">
        <v>2.5037368777166584E-3</v>
      </c>
      <c r="D91">
        <v>2.2425925925925907E-3</v>
      </c>
      <c r="E91">
        <v>2.4563711069231224E-3</v>
      </c>
      <c r="J91" s="42">
        <v>2670</v>
      </c>
      <c r="K91">
        <v>-1.5697222222222254E-3</v>
      </c>
      <c r="L91">
        <v>3.662483896066878E-3</v>
      </c>
      <c r="M91">
        <v>9.259259259558443E-8</v>
      </c>
      <c r="N91">
        <v>4.5761799101990373E-3</v>
      </c>
    </row>
    <row r="92" spans="1:14" x14ac:dyDescent="0.3">
      <c r="A92">
        <v>2700</v>
      </c>
      <c r="B92">
        <v>-1.7940740740740742E-3</v>
      </c>
      <c r="C92">
        <v>3.4290391439779234E-3</v>
      </c>
      <c r="D92">
        <v>2.5227777777777774E-3</v>
      </c>
      <c r="E92">
        <v>1.9610469556815969E-3</v>
      </c>
      <c r="J92" s="42">
        <v>2700</v>
      </c>
      <c r="K92">
        <v>7.481481481480339E-5</v>
      </c>
      <c r="L92">
        <v>4.9411334057975357E-3</v>
      </c>
      <c r="M92">
        <v>-5.9796296296295509E-4</v>
      </c>
      <c r="N92">
        <v>4.6053149474303504E-3</v>
      </c>
    </row>
    <row r="93" spans="1:14" x14ac:dyDescent="0.3">
      <c r="A93">
        <v>2730</v>
      </c>
      <c r="B93">
        <v>-2.8031481481481479E-3</v>
      </c>
      <c r="C93">
        <v>3.5933553477396321E-3</v>
      </c>
      <c r="D93">
        <v>2.3546296296296288E-3</v>
      </c>
      <c r="E93">
        <v>1.8877957246100276E-3</v>
      </c>
      <c r="J93" s="42">
        <v>2730</v>
      </c>
      <c r="K93">
        <v>-1.7940740740740723E-3</v>
      </c>
      <c r="L93">
        <v>5.5185897411786835E-3</v>
      </c>
      <c r="M93">
        <v>-2.2435185185185213E-4</v>
      </c>
      <c r="N93">
        <v>3.9350323367543186E-3</v>
      </c>
    </row>
    <row r="94" spans="1:14" x14ac:dyDescent="0.3">
      <c r="A94">
        <v>2760</v>
      </c>
      <c r="B94">
        <v>-2.1864814814814828E-3</v>
      </c>
      <c r="C94">
        <v>3.7546580068888264E-3</v>
      </c>
      <c r="D94">
        <v>3.0273148148148169E-3</v>
      </c>
      <c r="E94">
        <v>2.2073028030500301E-3</v>
      </c>
      <c r="J94" s="42">
        <v>2760</v>
      </c>
      <c r="K94">
        <v>-7.4740740740740789E-4</v>
      </c>
      <c r="L94">
        <v>6.9576014912573775E-3</v>
      </c>
      <c r="M94">
        <v>-1.0464814814814835E-3</v>
      </c>
      <c r="N94">
        <v>3.7727066931344329E-3</v>
      </c>
    </row>
    <row r="95" spans="1:14" x14ac:dyDescent="0.3">
      <c r="A95">
        <v>2790</v>
      </c>
      <c r="B95">
        <v>-2.52277777777778E-3</v>
      </c>
      <c r="C95">
        <v>3.6749089983326667E-3</v>
      </c>
      <c r="D95">
        <v>3.0273148148148138E-3</v>
      </c>
      <c r="E95">
        <v>2.78818429087015E-3</v>
      </c>
      <c r="J95" s="42">
        <v>2790</v>
      </c>
      <c r="K95">
        <v>-7.4629629629628349E-5</v>
      </c>
      <c r="L95">
        <v>6.7338362709997426E-3</v>
      </c>
      <c r="M95">
        <v>2.2416666666666592E-4</v>
      </c>
      <c r="N95">
        <v>3.9627164677683256E-3</v>
      </c>
    </row>
    <row r="96" spans="1:14" x14ac:dyDescent="0.3">
      <c r="A96">
        <v>2820</v>
      </c>
      <c r="B96">
        <v>-2.6347222222222223E-3</v>
      </c>
      <c r="C96">
        <v>3.6978538837644276E-3</v>
      </c>
      <c r="D96">
        <v>2.8592592592592602E-3</v>
      </c>
      <c r="E96">
        <v>2.7881842908701504E-3</v>
      </c>
      <c r="J96" s="42">
        <v>2820</v>
      </c>
      <c r="K96">
        <v>-1.8687962962962907E-3</v>
      </c>
      <c r="L96">
        <v>4.9884354194385727E-3</v>
      </c>
      <c r="M96">
        <v>-2.2416666666667109E-4</v>
      </c>
      <c r="N96">
        <v>3.5936178119366567E-3</v>
      </c>
    </row>
    <row r="97" spans="1:14" x14ac:dyDescent="0.3">
      <c r="A97">
        <v>2850</v>
      </c>
      <c r="B97">
        <v>-1.9622222222222215E-3</v>
      </c>
      <c r="C97">
        <v>4.4407921387072643E-3</v>
      </c>
      <c r="D97">
        <v>3.3076851851851852E-3</v>
      </c>
      <c r="E97">
        <v>3.3280832099210613E-3</v>
      </c>
      <c r="J97" s="42">
        <v>2850</v>
      </c>
      <c r="K97">
        <v>8.9703703703704124E-4</v>
      </c>
      <c r="L97">
        <v>4.2356288801022402E-3</v>
      </c>
      <c r="M97">
        <v>-5.2314814814815127E-4</v>
      </c>
      <c r="N97">
        <v>3.2509550981299597E-3</v>
      </c>
    </row>
    <row r="98" spans="1:14" x14ac:dyDescent="0.3">
      <c r="A98">
        <v>2880</v>
      </c>
      <c r="B98">
        <v>-1.850092592592592E-3</v>
      </c>
      <c r="C98">
        <v>6.0504891701651589E-3</v>
      </c>
      <c r="D98">
        <v>2.3546296296296288E-3</v>
      </c>
      <c r="E98">
        <v>3.4511847225531041E-3</v>
      </c>
      <c r="J98" s="42">
        <v>2880</v>
      </c>
      <c r="K98">
        <v>-8.5967592592592942E-4</v>
      </c>
      <c r="L98">
        <v>2.6962013046651365E-3</v>
      </c>
      <c r="M98">
        <v>1.3455555555555486E-3</v>
      </c>
      <c r="N98">
        <v>3.0153884221672872E-3</v>
      </c>
    </row>
    <row r="99" spans="1:14" x14ac:dyDescent="0.3">
      <c r="A99">
        <v>2910</v>
      </c>
      <c r="B99">
        <v>-1.6258333333333316E-3</v>
      </c>
      <c r="C99">
        <v>6.2541695606487761E-3</v>
      </c>
      <c r="D99">
        <v>2.7469444444444442E-3</v>
      </c>
      <c r="E99">
        <v>4.2656175311282848E-3</v>
      </c>
      <c r="J99" s="42">
        <v>2910</v>
      </c>
      <c r="K99">
        <v>-9.4697530864198281E-4</v>
      </c>
      <c r="L99">
        <v>2.2468008136991243E-3</v>
      </c>
      <c r="M99">
        <v>5.9802469135800975E-4</v>
      </c>
      <c r="N99">
        <v>2.7171391313020963E-3</v>
      </c>
    </row>
    <row r="100" spans="1:14" x14ac:dyDescent="0.3">
      <c r="A100">
        <v>2940</v>
      </c>
      <c r="B100">
        <v>-1.9622222222222211E-3</v>
      </c>
      <c r="C100">
        <v>5.4029493291945577E-3</v>
      </c>
      <c r="D100">
        <v>2.5787037037037033E-3</v>
      </c>
      <c r="E100">
        <v>4.4315362301321302E-3</v>
      </c>
      <c r="J100" s="42">
        <v>2940</v>
      </c>
      <c r="K100">
        <v>-3.7379629629630999E-4</v>
      </c>
      <c r="L100">
        <v>2.4363871908964774E-3</v>
      </c>
      <c r="M100">
        <v>8.968518518518337E-4</v>
      </c>
      <c r="N100">
        <v>3.6270975571755944E-3</v>
      </c>
    </row>
    <row r="101" spans="1:14" x14ac:dyDescent="0.3">
      <c r="A101">
        <v>2970</v>
      </c>
      <c r="B101">
        <v>-1.9621296296296309E-3</v>
      </c>
      <c r="C101">
        <v>4.0575326816427943E-3</v>
      </c>
      <c r="D101">
        <v>2.2425000000000006E-3</v>
      </c>
      <c r="E101">
        <v>4.3122380451716845E-3</v>
      </c>
      <c r="J101" s="42">
        <v>2970</v>
      </c>
      <c r="K101">
        <v>-3.139444444444482E-3</v>
      </c>
      <c r="L101">
        <v>6.3403908046395048E-4</v>
      </c>
      <c r="M101">
        <v>2.9899999999999705E-3</v>
      </c>
      <c r="N101">
        <v>4.5142270300697522E-3</v>
      </c>
    </row>
    <row r="102" spans="1:14" x14ac:dyDescent="0.3">
      <c r="A102">
        <v>3000</v>
      </c>
      <c r="B102">
        <v>-1.9061111111111108E-3</v>
      </c>
      <c r="C102">
        <v>2.8197308115249457E-3</v>
      </c>
      <c r="D102">
        <v>2.1864814814814815E-3</v>
      </c>
      <c r="E102">
        <v>5.2014354734070669E-3</v>
      </c>
    </row>
    <row r="103" spans="1:14" x14ac:dyDescent="0.3">
      <c r="A103">
        <v>3030</v>
      </c>
      <c r="B103">
        <v>-2.1863888888888901E-3</v>
      </c>
      <c r="C103">
        <v>3.139275032419204E-3</v>
      </c>
      <c r="D103">
        <v>3.083425925925927E-3</v>
      </c>
      <c r="E103">
        <v>3.8394561348755137E-3</v>
      </c>
    </row>
    <row r="104" spans="1:14" x14ac:dyDescent="0.3">
      <c r="A104">
        <v>3060</v>
      </c>
      <c r="B104">
        <v>-1.6258333333333346E-3</v>
      </c>
      <c r="C104">
        <v>3.4839254888495703E-3</v>
      </c>
      <c r="D104">
        <v>2.5788888888888888E-3</v>
      </c>
      <c r="E104">
        <v>3.8393072108197489E-3</v>
      </c>
    </row>
    <row r="105" spans="1:14" x14ac:dyDescent="0.3">
      <c r="A105">
        <v>3090</v>
      </c>
      <c r="B105">
        <v>-1.9061111111111112E-3</v>
      </c>
      <c r="C105">
        <v>3.7041594563950214E-3</v>
      </c>
      <c r="D105">
        <v>2.8590740740740751E-3</v>
      </c>
      <c r="E105">
        <v>3.6593494440963332E-3</v>
      </c>
    </row>
    <row r="106" spans="1:14" x14ac:dyDescent="0.3">
      <c r="A106">
        <v>3120</v>
      </c>
      <c r="B106">
        <v>-1.6257407407407403E-3</v>
      </c>
      <c r="C106">
        <v>2.8413944937641989E-3</v>
      </c>
      <c r="D106">
        <v>2.3546296296296293E-3</v>
      </c>
      <c r="E106">
        <v>3.4928287181032994E-3</v>
      </c>
    </row>
    <row r="107" spans="1:14" x14ac:dyDescent="0.3">
      <c r="A107">
        <v>3150</v>
      </c>
      <c r="B107">
        <v>-9.5305555555555486E-4</v>
      </c>
      <c r="C107">
        <v>1.9854825909918685E-3</v>
      </c>
      <c r="D107">
        <v>1.850092592592592E-3</v>
      </c>
      <c r="E107">
        <v>4.0799003739879621E-3</v>
      </c>
    </row>
    <row r="108" spans="1:14" x14ac:dyDescent="0.3">
      <c r="A108">
        <v>3180</v>
      </c>
      <c r="B108">
        <v>-1.177314814814814E-3</v>
      </c>
      <c r="C108">
        <v>2.0821341247481409E-3</v>
      </c>
      <c r="D108">
        <v>2.4666666666666665E-3</v>
      </c>
      <c r="E108">
        <v>3.9141305990398794E-3</v>
      </c>
    </row>
    <row r="109" spans="1:14" x14ac:dyDescent="0.3">
      <c r="A109">
        <v>3210</v>
      </c>
      <c r="B109">
        <v>-7.848148148148149E-4</v>
      </c>
      <c r="C109">
        <v>2.1169121792078585E-3</v>
      </c>
      <c r="D109">
        <v>2.1864814814814794E-3</v>
      </c>
      <c r="E109">
        <v>4.7001330391743335E-3</v>
      </c>
    </row>
    <row r="110" spans="1:14" x14ac:dyDescent="0.3">
      <c r="A110">
        <v>3240</v>
      </c>
      <c r="B110">
        <v>-1.4015740740740755E-3</v>
      </c>
      <c r="C110">
        <v>2.8696497680905024E-3</v>
      </c>
      <c r="D110">
        <v>3.6999999999999984E-3</v>
      </c>
      <c r="E110">
        <v>4.6253004360235581E-3</v>
      </c>
    </row>
    <row r="111" spans="1:14" x14ac:dyDescent="0.3">
      <c r="A111">
        <v>3270</v>
      </c>
      <c r="B111">
        <v>-2.2424074074074065E-3</v>
      </c>
      <c r="C111">
        <v>3.5007072492986369E-3</v>
      </c>
      <c r="D111">
        <v>2.522777777777777E-3</v>
      </c>
      <c r="E111">
        <v>3.5254041581931675E-3</v>
      </c>
    </row>
    <row r="112" spans="1:14" x14ac:dyDescent="0.3">
      <c r="A112">
        <v>3300</v>
      </c>
      <c r="B112">
        <v>-2.1303703703703697E-3</v>
      </c>
      <c r="C112">
        <v>3.0941833135717136E-3</v>
      </c>
      <c r="D112">
        <v>2.9712962962962961E-3</v>
      </c>
      <c r="E112">
        <v>3.9480785759034524E-3</v>
      </c>
    </row>
    <row r="113" spans="1:5" x14ac:dyDescent="0.3">
      <c r="A113">
        <v>3330</v>
      </c>
      <c r="B113">
        <v>-1.1212962962962973E-3</v>
      </c>
      <c r="C113">
        <v>3.3077996346316447E-3</v>
      </c>
      <c r="D113">
        <v>3.0272222222222228E-3</v>
      </c>
      <c r="E113">
        <v>2.7654648213450137E-3</v>
      </c>
    </row>
    <row r="114" spans="1:5" x14ac:dyDescent="0.3">
      <c r="A114">
        <v>3360</v>
      </c>
      <c r="B114">
        <v>-1.5697222222222211E-3</v>
      </c>
      <c r="C114">
        <v>3.1312687685426679E-3</v>
      </c>
      <c r="D114">
        <v>2.0182407407407419E-3</v>
      </c>
      <c r="E114">
        <v>2.5619784808488125E-3</v>
      </c>
    </row>
    <row r="115" spans="1:5" x14ac:dyDescent="0.3">
      <c r="A115">
        <v>3390</v>
      </c>
      <c r="B115">
        <v>-3.3629629629629672E-4</v>
      </c>
      <c r="C115">
        <v>2.9126139617026252E-3</v>
      </c>
      <c r="D115">
        <v>3.1394444444444447E-3</v>
      </c>
      <c r="E115">
        <v>2.944782988244393E-3</v>
      </c>
    </row>
    <row r="116" spans="1:5" x14ac:dyDescent="0.3">
      <c r="A116">
        <v>3420</v>
      </c>
      <c r="B116">
        <v>-3.9240740740740745E-4</v>
      </c>
      <c r="C116">
        <v>3.0959182119324126E-3</v>
      </c>
      <c r="D116">
        <v>1.1213888888888892E-3</v>
      </c>
      <c r="E116">
        <v>3.0585065845845178E-3</v>
      </c>
    </row>
    <row r="117" spans="1:5" x14ac:dyDescent="0.3">
      <c r="A117">
        <v>3450</v>
      </c>
      <c r="B117">
        <v>-9.5296296296296188E-4</v>
      </c>
      <c r="C117">
        <v>4.4866054142647036E-3</v>
      </c>
      <c r="D117">
        <v>1.6258333333333337E-3</v>
      </c>
      <c r="E117">
        <v>3.9842315423282097E-3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opLeftCell="A40" workbookViewId="0">
      <selection activeCell="H11" sqref="H11"/>
    </sheetView>
  </sheetViews>
  <sheetFormatPr baseColWidth="10" defaultRowHeight="14.4" x14ac:dyDescent="0.3"/>
  <sheetData>
    <row r="1" spans="1:13" x14ac:dyDescent="0.3">
      <c r="A1" s="24" t="s">
        <v>29</v>
      </c>
      <c r="H1" s="24" t="s">
        <v>31</v>
      </c>
    </row>
    <row r="3" spans="1:13" x14ac:dyDescent="0.3">
      <c r="I3" s="24" t="s">
        <v>16</v>
      </c>
      <c r="J3" s="24" t="s">
        <v>32</v>
      </c>
      <c r="K3" s="24" t="s">
        <v>35</v>
      </c>
      <c r="L3" s="24" t="s">
        <v>33</v>
      </c>
      <c r="M3" s="24" t="s">
        <v>34</v>
      </c>
    </row>
    <row r="4" spans="1:13" x14ac:dyDescent="0.3">
      <c r="A4" s="24" t="s">
        <v>28</v>
      </c>
      <c r="I4">
        <v>0</v>
      </c>
      <c r="J4">
        <v>9.2500000000000351E-4</v>
      </c>
      <c r="K4">
        <v>5.309288950937198E-4</v>
      </c>
      <c r="L4">
        <v>4.3168055555555607E-3</v>
      </c>
      <c r="M4">
        <v>5.5553062703377802E-4</v>
      </c>
    </row>
    <row r="5" spans="1:13" x14ac:dyDescent="0.3">
      <c r="I5">
        <v>30</v>
      </c>
      <c r="J5">
        <v>1.5977777777777726E-3</v>
      </c>
      <c r="K5">
        <v>6.7658955675802749E-4</v>
      </c>
      <c r="L5">
        <v>6.0546759259259234E-3</v>
      </c>
      <c r="M5">
        <v>7.4974484258618138E-4</v>
      </c>
    </row>
    <row r="6" spans="1:13" x14ac:dyDescent="0.3">
      <c r="B6" t="s">
        <v>9</v>
      </c>
      <c r="C6" t="s">
        <v>10</v>
      </c>
      <c r="D6" t="s">
        <v>26</v>
      </c>
      <c r="E6" t="s">
        <v>12</v>
      </c>
      <c r="I6">
        <v>60</v>
      </c>
      <c r="J6">
        <v>2.7750694444444416E-3</v>
      </c>
      <c r="K6">
        <v>1.0619487303978033E-3</v>
      </c>
      <c r="L6">
        <v>6.3069444444444449E-3</v>
      </c>
      <c r="M6">
        <v>9.1279448181839137E-4</v>
      </c>
    </row>
    <row r="7" spans="1:13" x14ac:dyDescent="0.3">
      <c r="A7" s="3" t="s">
        <v>7</v>
      </c>
      <c r="B7" s="4">
        <v>1</v>
      </c>
      <c r="C7" s="4" t="s">
        <v>15</v>
      </c>
      <c r="D7" s="4">
        <v>1000000000</v>
      </c>
      <c r="E7" s="5"/>
      <c r="I7">
        <v>90</v>
      </c>
      <c r="J7">
        <v>3.4477777777777831E-3</v>
      </c>
      <c r="K7">
        <v>9.1640835003957736E-4</v>
      </c>
      <c r="L7">
        <v>6.7274537037036999E-3</v>
      </c>
      <c r="M7">
        <v>8.7433977520060078E-4</v>
      </c>
    </row>
    <row r="8" spans="1:13" x14ac:dyDescent="0.3">
      <c r="A8" s="6"/>
      <c r="B8" s="7"/>
      <c r="C8" s="7" t="s">
        <v>27</v>
      </c>
      <c r="D8" s="7">
        <v>590000000</v>
      </c>
      <c r="E8" s="8">
        <v>390000000</v>
      </c>
      <c r="I8">
        <v>120</v>
      </c>
      <c r="J8">
        <v>4.2888194444444371E-3</v>
      </c>
      <c r="K8">
        <v>9.1652200317901859E-4</v>
      </c>
      <c r="L8">
        <v>7.2319907407407333E-3</v>
      </c>
      <c r="M8">
        <v>7.9115388686505639E-4</v>
      </c>
    </row>
    <row r="9" spans="1:13" x14ac:dyDescent="0.3">
      <c r="A9" s="6"/>
      <c r="B9" s="7">
        <v>2</v>
      </c>
      <c r="C9" s="7" t="s">
        <v>15</v>
      </c>
      <c r="D9" s="7">
        <v>1210000000</v>
      </c>
      <c r="E9" s="8"/>
      <c r="I9">
        <v>150</v>
      </c>
      <c r="J9">
        <v>5.2137500000000022E-3</v>
      </c>
      <c r="K9">
        <v>1.2960816987088186E-3</v>
      </c>
      <c r="L9">
        <v>7.4842592592592599E-3</v>
      </c>
      <c r="M9">
        <v>8.3966734698446178E-4</v>
      </c>
    </row>
    <row r="10" spans="1:13" x14ac:dyDescent="0.3">
      <c r="A10" s="6"/>
      <c r="B10" s="7"/>
      <c r="C10" s="7" t="s">
        <v>27</v>
      </c>
      <c r="D10" s="7">
        <v>420000000</v>
      </c>
      <c r="E10" s="8">
        <v>150000000</v>
      </c>
      <c r="I10">
        <v>180</v>
      </c>
      <c r="J10">
        <v>5.7183333333333366E-3</v>
      </c>
      <c r="K10">
        <v>1.4933050403857853E-3</v>
      </c>
      <c r="L10">
        <v>8.0729629629629623E-3</v>
      </c>
      <c r="M10">
        <v>8.0305971334758267E-4</v>
      </c>
    </row>
    <row r="11" spans="1:13" x14ac:dyDescent="0.3">
      <c r="A11" s="6"/>
      <c r="B11" s="7">
        <v>3</v>
      </c>
      <c r="C11" s="7" t="s">
        <v>15</v>
      </c>
      <c r="D11" s="7">
        <v>500000000</v>
      </c>
      <c r="E11" s="8"/>
      <c r="I11">
        <v>210</v>
      </c>
      <c r="J11">
        <v>6.8956944444444369E-3</v>
      </c>
      <c r="K11">
        <v>1.7845662416807382E-3</v>
      </c>
      <c r="L11">
        <v>8.6335648148148144E-3</v>
      </c>
      <c r="M11">
        <v>6.7470516397210656E-4</v>
      </c>
    </row>
    <row r="12" spans="1:13" x14ac:dyDescent="0.3">
      <c r="A12" s="9"/>
      <c r="B12" s="10"/>
      <c r="C12" s="10" t="s">
        <v>27</v>
      </c>
      <c r="D12" s="10">
        <v>630000000</v>
      </c>
      <c r="E12" s="11">
        <v>300000000</v>
      </c>
      <c r="I12">
        <v>240</v>
      </c>
      <c r="J12">
        <v>7.0637500000000049E-3</v>
      </c>
      <c r="K12">
        <v>1.5449652980822637E-3</v>
      </c>
      <c r="L12">
        <v>8.9418518518518553E-3</v>
      </c>
      <c r="M12">
        <v>7.9850589424713503E-4</v>
      </c>
    </row>
    <row r="13" spans="1:13" x14ac:dyDescent="0.3">
      <c r="I13">
        <v>270</v>
      </c>
      <c r="J13">
        <v>7.3161111111111092E-3</v>
      </c>
      <c r="K13">
        <v>1.5448485324095875E-3</v>
      </c>
      <c r="L13">
        <v>9.4464814814814828E-3</v>
      </c>
      <c r="M13">
        <v>8.511509146360628E-4</v>
      </c>
    </row>
    <row r="14" spans="1:13" x14ac:dyDescent="0.3">
      <c r="I14">
        <v>300</v>
      </c>
      <c r="J14">
        <v>7.904722222222221E-3</v>
      </c>
      <c r="K14">
        <v>1.2144535242638876E-3</v>
      </c>
      <c r="L14">
        <v>9.83884259259259E-3</v>
      </c>
      <c r="M14">
        <v>1.1443514048428236E-3</v>
      </c>
    </row>
    <row r="15" spans="1:13" x14ac:dyDescent="0.3">
      <c r="A15" s="24" t="s">
        <v>30</v>
      </c>
      <c r="I15">
        <v>330</v>
      </c>
      <c r="J15">
        <v>7.6523611111111124E-3</v>
      </c>
      <c r="K15">
        <v>1.557881770009623E-3</v>
      </c>
      <c r="L15">
        <v>9.9790277777777759E-3</v>
      </c>
      <c r="M15">
        <v>1.3823680328105647E-3</v>
      </c>
    </row>
    <row r="16" spans="1:13" x14ac:dyDescent="0.3">
      <c r="B16" t="s">
        <v>9</v>
      </c>
      <c r="C16" t="s">
        <v>10</v>
      </c>
      <c r="D16" t="s">
        <v>26</v>
      </c>
      <c r="E16" t="s">
        <v>12</v>
      </c>
      <c r="I16">
        <v>360</v>
      </c>
      <c r="J16">
        <v>8.5774305555555552E-3</v>
      </c>
      <c r="K16">
        <v>1.849142965098971E-3</v>
      </c>
      <c r="L16">
        <v>9.8669444444444438E-3</v>
      </c>
      <c r="M16">
        <v>1.372884226167272E-3</v>
      </c>
    </row>
    <row r="17" spans="1:13" x14ac:dyDescent="0.3">
      <c r="A17" s="30" t="s">
        <v>7</v>
      </c>
      <c r="B17" s="33">
        <v>1</v>
      </c>
      <c r="C17" s="33" t="s">
        <v>15</v>
      </c>
      <c r="D17" s="33">
        <v>140000000</v>
      </c>
      <c r="E17" s="34" t="s">
        <v>4</v>
      </c>
      <c r="I17">
        <v>390</v>
      </c>
      <c r="J17">
        <v>9.166111111111111E-3</v>
      </c>
      <c r="K17">
        <v>1.9588629013853362E-3</v>
      </c>
      <c r="L17">
        <v>9.6706944444444418E-3</v>
      </c>
      <c r="M17">
        <v>1.1746186378827383E-3</v>
      </c>
    </row>
    <row r="18" spans="1:13" x14ac:dyDescent="0.3">
      <c r="A18" s="31"/>
      <c r="B18" s="35"/>
      <c r="C18" s="35" t="s">
        <v>13</v>
      </c>
      <c r="D18" s="35">
        <v>21000000</v>
      </c>
      <c r="E18" s="36">
        <f>20*10^6</f>
        <v>20000000</v>
      </c>
      <c r="I18">
        <v>420</v>
      </c>
      <c r="J18">
        <v>9.4183333333333358E-3</v>
      </c>
      <c r="K18">
        <v>1.9589670608809568E-3</v>
      </c>
      <c r="L18">
        <v>9.6426851851851882E-3</v>
      </c>
      <c r="M18">
        <v>9.1803498845002623E-4</v>
      </c>
    </row>
    <row r="19" spans="1:13" x14ac:dyDescent="0.3">
      <c r="A19" s="31"/>
      <c r="B19" s="35">
        <v>2</v>
      </c>
      <c r="C19" s="35" t="s">
        <v>15</v>
      </c>
      <c r="D19" s="35">
        <v>350000000</v>
      </c>
      <c r="E19" s="36" t="s">
        <v>4</v>
      </c>
      <c r="I19">
        <v>450</v>
      </c>
      <c r="J19">
        <v>1.0175347222222225E-2</v>
      </c>
      <c r="K19">
        <v>1.9067999791913838E-3</v>
      </c>
      <c r="L19">
        <v>9.2221296296296287E-3</v>
      </c>
      <c r="M19">
        <v>9.9652809280749389E-4</v>
      </c>
    </row>
    <row r="20" spans="1:13" x14ac:dyDescent="0.3">
      <c r="A20" s="31"/>
      <c r="B20" s="35"/>
      <c r="C20" s="35" t="s">
        <v>13</v>
      </c>
      <c r="D20" s="35">
        <v>25000000</v>
      </c>
      <c r="E20" s="36">
        <f>18*10^6</f>
        <v>18000000</v>
      </c>
      <c r="I20">
        <v>480</v>
      </c>
      <c r="J20">
        <v>1.0679861111111109E-2</v>
      </c>
      <c r="K20">
        <v>1.9067398261245596E-3</v>
      </c>
      <c r="L20">
        <v>8.8857870370370358E-3</v>
      </c>
      <c r="M20">
        <v>1.2605650891726675E-3</v>
      </c>
    </row>
    <row r="21" spans="1:13" x14ac:dyDescent="0.3">
      <c r="A21" s="31"/>
      <c r="B21" s="35">
        <v>3</v>
      </c>
      <c r="C21" s="35" t="s">
        <v>15</v>
      </c>
      <c r="D21" s="35">
        <v>650000000</v>
      </c>
      <c r="E21" s="36" t="s">
        <v>4</v>
      </c>
      <c r="I21">
        <v>510</v>
      </c>
      <c r="J21">
        <v>1.0763888888888889E-2</v>
      </c>
      <c r="K21">
        <v>1.7087780020035798E-3</v>
      </c>
      <c r="L21">
        <v>8.6615277777777819E-3</v>
      </c>
      <c r="M21">
        <v>1.6265663219969574E-3</v>
      </c>
    </row>
    <row r="22" spans="1:13" x14ac:dyDescent="0.3">
      <c r="A22" s="32"/>
      <c r="B22" s="37"/>
      <c r="C22" s="37" t="s">
        <v>13</v>
      </c>
      <c r="D22" s="37">
        <v>90000000</v>
      </c>
      <c r="E22" s="38">
        <f>79*10^6</f>
        <v>79000000</v>
      </c>
      <c r="I22">
        <v>540</v>
      </c>
      <c r="J22">
        <v>1.101618055555555E-2</v>
      </c>
      <c r="K22">
        <v>1.7087780020035859E-3</v>
      </c>
      <c r="L22">
        <v>7.8486574074074084E-3</v>
      </c>
      <c r="M22">
        <v>2.0036245110106889E-3</v>
      </c>
    </row>
    <row r="23" spans="1:13" x14ac:dyDescent="0.3">
      <c r="I23">
        <v>570</v>
      </c>
      <c r="J23">
        <v>1.1184305555555558E-2</v>
      </c>
      <c r="K23">
        <v>1.5116081740787586E-3</v>
      </c>
      <c r="L23">
        <v>7.5123148148148189E-3</v>
      </c>
      <c r="M23">
        <v>1.8618792070051677E-3</v>
      </c>
    </row>
    <row r="24" spans="1:13" x14ac:dyDescent="0.3">
      <c r="I24">
        <v>600</v>
      </c>
      <c r="J24">
        <v>1.1016180555555555E-2</v>
      </c>
      <c r="K24">
        <v>1.2202267473589796E-3</v>
      </c>
      <c r="L24">
        <v>7.0077314814814846E-3</v>
      </c>
      <c r="M24">
        <v>1.5666467973502404E-3</v>
      </c>
    </row>
    <row r="25" spans="1:13" x14ac:dyDescent="0.3">
      <c r="I25">
        <v>630</v>
      </c>
      <c r="J25">
        <v>1.1100208333333339E-2</v>
      </c>
      <c r="K25">
        <v>9.2902570533645611E-4</v>
      </c>
      <c r="L25">
        <v>6.3630092592592584E-3</v>
      </c>
      <c r="M25">
        <v>1.4700938200472168E-3</v>
      </c>
    </row>
    <row r="26" spans="1:13" x14ac:dyDescent="0.3">
      <c r="I26">
        <v>660</v>
      </c>
      <c r="J26">
        <v>1.0764027777777784E-2</v>
      </c>
      <c r="K26">
        <v>8.2239470033408429E-4</v>
      </c>
      <c r="L26">
        <v>5.8584722222222232E-3</v>
      </c>
      <c r="M26">
        <v>1.0270437490096616E-3</v>
      </c>
    </row>
    <row r="27" spans="1:13" x14ac:dyDescent="0.3">
      <c r="I27">
        <v>690</v>
      </c>
      <c r="J27">
        <v>1.0343402777777778E-2</v>
      </c>
      <c r="K27">
        <v>7.2824320493031333E-4</v>
      </c>
      <c r="L27">
        <v>5.3258796296296257E-3</v>
      </c>
      <c r="M27">
        <v>8.9891743038526145E-4</v>
      </c>
    </row>
    <row r="28" spans="1:13" x14ac:dyDescent="0.3">
      <c r="I28">
        <v>720</v>
      </c>
      <c r="J28">
        <v>9.6706249999999987E-3</v>
      </c>
      <c r="K28">
        <v>7.2836348620563477E-4</v>
      </c>
      <c r="L28">
        <v>5.0175462962962951E-3</v>
      </c>
      <c r="M28">
        <v>7.7140221224549974E-4</v>
      </c>
    </row>
    <row r="29" spans="1:13" x14ac:dyDescent="0.3">
      <c r="I29">
        <v>750</v>
      </c>
      <c r="J29">
        <v>9.2502777777777722E-3</v>
      </c>
      <c r="K29">
        <v>9.6819836827189061E-4</v>
      </c>
      <c r="L29">
        <v>4.7652777777777771E-3</v>
      </c>
      <c r="M29">
        <v>4.889440807277029E-4</v>
      </c>
    </row>
    <row r="30" spans="1:13" x14ac:dyDescent="0.3">
      <c r="I30">
        <v>780</v>
      </c>
      <c r="J30">
        <v>8.8296527777777731E-3</v>
      </c>
      <c r="K30">
        <v>1.0748294019466129E-3</v>
      </c>
      <c r="L30">
        <v>4.5129629629629634E-3</v>
      </c>
      <c r="M30">
        <v>6.4650183903537618E-4</v>
      </c>
    </row>
    <row r="31" spans="1:13" x14ac:dyDescent="0.3">
      <c r="I31">
        <v>810</v>
      </c>
      <c r="J31">
        <v>8.1570138888888855E-3</v>
      </c>
      <c r="K31">
        <v>1.2204299353750741E-3</v>
      </c>
      <c r="L31">
        <v>4.3728240740740767E-3</v>
      </c>
      <c r="M31">
        <v>8.5672436918507477E-4</v>
      </c>
    </row>
    <row r="32" spans="1:13" x14ac:dyDescent="0.3">
      <c r="I32">
        <v>840</v>
      </c>
      <c r="J32">
        <v>7.8206250000000012E-3</v>
      </c>
      <c r="K32">
        <v>1.460000066320933E-3</v>
      </c>
      <c r="L32">
        <v>4.2607407407407412E-3</v>
      </c>
      <c r="M32">
        <v>1.0428970761025764E-3</v>
      </c>
    </row>
    <row r="33" spans="9:13" x14ac:dyDescent="0.3">
      <c r="I33">
        <v>870</v>
      </c>
      <c r="J33">
        <v>7.1478472222222247E-3</v>
      </c>
      <c r="K33">
        <v>1.0746248038964686E-3</v>
      </c>
      <c r="L33">
        <v>3.8402777777777775E-3</v>
      </c>
      <c r="M33">
        <v>1.1044605225411948E-3</v>
      </c>
    </row>
    <row r="34" spans="9:13" x14ac:dyDescent="0.3">
      <c r="I34">
        <v>900</v>
      </c>
      <c r="J34">
        <v>6.4752083333333346E-3</v>
      </c>
      <c r="K34">
        <v>1.4049757552146453E-3</v>
      </c>
      <c r="L34">
        <v>3.8402777777777767E-3</v>
      </c>
      <c r="M34">
        <v>8.8537942811758895E-4</v>
      </c>
    </row>
    <row r="35" spans="9:13" x14ac:dyDescent="0.3">
      <c r="I35">
        <v>930</v>
      </c>
      <c r="J35">
        <v>5.7183333333333348E-3</v>
      </c>
      <c r="K35">
        <v>1.404975755214647E-3</v>
      </c>
      <c r="L35">
        <v>3.5319444444444439E-3</v>
      </c>
      <c r="M35">
        <v>7.1163109147739782E-4</v>
      </c>
    </row>
    <row r="36" spans="9:13" x14ac:dyDescent="0.3">
      <c r="I36">
        <v>960</v>
      </c>
      <c r="J36">
        <v>4.8774305555555567E-3</v>
      </c>
      <c r="K36">
        <v>1.2720806252188067E-3</v>
      </c>
      <c r="L36">
        <v>3.279537037037037E-3</v>
      </c>
      <c r="M36">
        <v>4.8987461289962651E-4</v>
      </c>
    </row>
    <row r="37" spans="9:13" x14ac:dyDescent="0.3">
      <c r="I37">
        <v>990</v>
      </c>
      <c r="J37">
        <v>4.6251388888888878E-3</v>
      </c>
      <c r="K37">
        <v>1.5242520392517416E-3</v>
      </c>
      <c r="L37">
        <v>2.6909259259259265E-3</v>
      </c>
      <c r="M37">
        <v>5.820767991304768E-4</v>
      </c>
    </row>
    <row r="38" spans="9:13" x14ac:dyDescent="0.3">
      <c r="I38">
        <v>1020</v>
      </c>
      <c r="J38">
        <v>4.1204861111111112E-3</v>
      </c>
      <c r="K38">
        <v>1.2328705938971899E-3</v>
      </c>
      <c r="L38">
        <v>2.6629166666666676E-3</v>
      </c>
      <c r="M38">
        <v>5.4657321500759676E-4</v>
      </c>
    </row>
    <row r="39" spans="9:13" x14ac:dyDescent="0.3">
      <c r="I39">
        <v>1050</v>
      </c>
      <c r="J39">
        <v>4.0364583333333355E-3</v>
      </c>
      <c r="K39">
        <v>9.41609398804428E-4</v>
      </c>
      <c r="L39">
        <v>2.6629166666666667E-3</v>
      </c>
      <c r="M39">
        <v>4.6332452294053824E-4</v>
      </c>
    </row>
    <row r="40" spans="9:13" x14ac:dyDescent="0.3">
      <c r="I40">
        <v>1080</v>
      </c>
      <c r="J40">
        <v>3.7842361111111106E-3</v>
      </c>
      <c r="K40">
        <v>9.4150522497263062E-4</v>
      </c>
      <c r="L40">
        <v>2.4948148148148152E-3</v>
      </c>
      <c r="M40">
        <v>5.4324138631923471E-4</v>
      </c>
    </row>
    <row r="41" spans="9:13" x14ac:dyDescent="0.3">
      <c r="I41">
        <v>1110</v>
      </c>
      <c r="J41">
        <v>3.4478472222222241E-3</v>
      </c>
      <c r="K41">
        <v>8.3481408790673096E-4</v>
      </c>
      <c r="L41">
        <v>2.9806481481481472E-3</v>
      </c>
      <c r="M41">
        <v>4.765886415844143E-4</v>
      </c>
    </row>
    <row r="42" spans="9:13" x14ac:dyDescent="0.3">
      <c r="I42">
        <v>1140</v>
      </c>
      <c r="J42">
        <v>3.4477777777777792E-3</v>
      </c>
      <c r="K42">
        <v>8.3493436920512346E-4</v>
      </c>
      <c r="L42">
        <v>2.6909722222222222E-3</v>
      </c>
      <c r="M42">
        <v>7.7621138548579212E-4</v>
      </c>
    </row>
    <row r="43" spans="9:13" x14ac:dyDescent="0.3">
      <c r="I43">
        <v>1170</v>
      </c>
      <c r="J43">
        <v>3.1954861111111099E-3</v>
      </c>
      <c r="K43">
        <v>8.3493436920512335E-4</v>
      </c>
      <c r="L43">
        <v>2.634907407407407E-3</v>
      </c>
      <c r="M43">
        <v>6.963302508654095E-4</v>
      </c>
    </row>
    <row r="44" spans="9:13" x14ac:dyDescent="0.3">
      <c r="I44">
        <v>1200</v>
      </c>
      <c r="J44">
        <v>3.2795833333333331E-3</v>
      </c>
      <c r="K44">
        <v>7.2830336420275619E-4</v>
      </c>
      <c r="L44">
        <v>2.8171296296296291E-3</v>
      </c>
      <c r="M44">
        <v>7.5752558401875956E-4</v>
      </c>
    </row>
    <row r="45" spans="9:13" x14ac:dyDescent="0.3">
      <c r="I45">
        <v>1230</v>
      </c>
      <c r="J45">
        <v>2.9432638888888894E-3</v>
      </c>
      <c r="K45">
        <v>8.7402412925823405E-4</v>
      </c>
      <c r="L45">
        <v>2.6536111111111109E-3</v>
      </c>
      <c r="M45">
        <v>9.3884699289764563E-4</v>
      </c>
    </row>
    <row r="46" spans="9:13" x14ac:dyDescent="0.3">
      <c r="I46">
        <v>1260</v>
      </c>
      <c r="J46">
        <v>2.9433333333333325E-3</v>
      </c>
      <c r="K46">
        <v>7.2836348620564182E-4</v>
      </c>
      <c r="L46">
        <v>2.6068518518518515E-3</v>
      </c>
      <c r="M46">
        <v>6.3918420488952516E-4</v>
      </c>
    </row>
    <row r="47" spans="9:13" x14ac:dyDescent="0.3">
      <c r="I47">
        <v>1290</v>
      </c>
      <c r="J47">
        <v>3.1113888888888871E-3</v>
      </c>
      <c r="K47">
        <v>7.283033828144631E-4</v>
      </c>
      <c r="L47">
        <v>2.6068981481481477E-3</v>
      </c>
      <c r="M47">
        <v>7.6576200117192195E-4</v>
      </c>
    </row>
    <row r="48" spans="9:13" x14ac:dyDescent="0.3">
      <c r="I48">
        <v>1320</v>
      </c>
      <c r="J48">
        <v>2.9431944444444449E-3</v>
      </c>
      <c r="K48">
        <v>7.2830338281446472E-4</v>
      </c>
      <c r="L48">
        <v>2.4667129629629627E-3</v>
      </c>
      <c r="M48">
        <v>7.9187922620592194E-4</v>
      </c>
    </row>
    <row r="49" spans="9:13" x14ac:dyDescent="0.3">
      <c r="I49">
        <v>1350</v>
      </c>
      <c r="J49">
        <v>3.1113888888888862E-3</v>
      </c>
      <c r="K49">
        <v>4.3698205948586939E-4</v>
      </c>
      <c r="L49">
        <v>2.6488888888888903E-3</v>
      </c>
      <c r="M49">
        <v>4.3942788515010181E-4</v>
      </c>
    </row>
    <row r="50" spans="9:13" x14ac:dyDescent="0.3">
      <c r="I50">
        <v>1380</v>
      </c>
      <c r="J50">
        <v>3.0273611111111117E-3</v>
      </c>
      <c r="K50">
        <v>7.958445532707571E-4</v>
      </c>
      <c r="L50">
        <v>2.7610648148148147E-3</v>
      </c>
      <c r="M50">
        <v>4.7497151337972461E-4</v>
      </c>
    </row>
    <row r="51" spans="9:13" x14ac:dyDescent="0.3">
      <c r="I51">
        <v>1410</v>
      </c>
      <c r="J51">
        <v>2.8593055555555568E-3</v>
      </c>
      <c r="K51">
        <v>9.4156531832623506E-4</v>
      </c>
      <c r="L51">
        <v>2.8731481481481494E-3</v>
      </c>
      <c r="M51">
        <v>3.8401753278218638E-4</v>
      </c>
    </row>
    <row r="52" spans="9:13" x14ac:dyDescent="0.3">
      <c r="I52">
        <v>1440</v>
      </c>
      <c r="J52">
        <v>3.0273611111111104E-3</v>
      </c>
      <c r="K52">
        <v>9.4150521493505611E-4</v>
      </c>
      <c r="L52">
        <v>2.8731944444444443E-3</v>
      </c>
      <c r="M52">
        <v>3.5790030774818362E-4</v>
      </c>
    </row>
    <row r="53" spans="9:13" x14ac:dyDescent="0.3">
      <c r="I53">
        <v>1470</v>
      </c>
      <c r="J53">
        <v>2.8591666666666696E-3</v>
      </c>
      <c r="K53">
        <v>1.0871658765993525E-3</v>
      </c>
      <c r="L53">
        <v>2.8591666666666665E-3</v>
      </c>
      <c r="M53">
        <v>5.2774897772248108E-4</v>
      </c>
    </row>
    <row r="54" spans="9:13" x14ac:dyDescent="0.3">
      <c r="I54">
        <v>1500</v>
      </c>
      <c r="J54">
        <v>2.7750694444444442E-3</v>
      </c>
      <c r="K54">
        <v>7.2824320493031875E-4</v>
      </c>
      <c r="L54">
        <v>2.8031018518518522E-3</v>
      </c>
      <c r="M54">
        <v>4.6790857540834527E-4</v>
      </c>
    </row>
    <row r="55" spans="9:13" x14ac:dyDescent="0.3">
      <c r="I55">
        <v>1530</v>
      </c>
      <c r="J55">
        <v>2.8590972222222216E-3</v>
      </c>
      <c r="K55">
        <v>4.3704216290780471E-4</v>
      </c>
      <c r="L55">
        <v>2.7750462962962967E-3</v>
      </c>
      <c r="M55">
        <v>5.9541458641092758E-4</v>
      </c>
    </row>
    <row r="56" spans="9:13" x14ac:dyDescent="0.3">
      <c r="I56">
        <v>1560</v>
      </c>
      <c r="J56">
        <v>2.6910416666666688E-3</v>
      </c>
      <c r="K56">
        <v>4.3710226629897926E-4</v>
      </c>
      <c r="L56">
        <v>2.7329629629629626E-3</v>
      </c>
      <c r="M56">
        <v>5.3421925325758195E-4</v>
      </c>
    </row>
    <row r="57" spans="9:13" x14ac:dyDescent="0.3">
      <c r="I57">
        <v>1590</v>
      </c>
      <c r="J57">
        <v>2.8590972222222199E-3</v>
      </c>
      <c r="K57">
        <v>2.9156188594076007E-4</v>
      </c>
      <c r="L57">
        <v>2.8171759259259261E-3</v>
      </c>
      <c r="M57">
        <v>5.9586138307112695E-4</v>
      </c>
    </row>
    <row r="58" spans="9:13" x14ac:dyDescent="0.3">
      <c r="I58">
        <v>1620</v>
      </c>
      <c r="J58">
        <v>2.7749999999999988E-3</v>
      </c>
      <c r="K58">
        <v>2.915618859407618E-4</v>
      </c>
      <c r="L58">
        <v>2.8451388888888875E-3</v>
      </c>
      <c r="M58">
        <v>6.358879071042755E-4</v>
      </c>
    </row>
    <row r="59" spans="9:13" x14ac:dyDescent="0.3">
      <c r="I59">
        <v>1650</v>
      </c>
      <c r="J59">
        <v>2.6909722222222213E-3</v>
      </c>
      <c r="K59">
        <v>4.3710226629897666E-4</v>
      </c>
      <c r="L59">
        <v>2.8171296296296286E-3</v>
      </c>
      <c r="M59">
        <v>6.3588790710427561E-4</v>
      </c>
    </row>
    <row r="60" spans="9:13" x14ac:dyDescent="0.3">
      <c r="I60">
        <v>1680</v>
      </c>
      <c r="J60">
        <v>2.6068750000000003E-3</v>
      </c>
      <c r="K60">
        <v>4.3710226629897834E-4</v>
      </c>
      <c r="L60">
        <v>2.9152314814814831E-3</v>
      </c>
      <c r="M60">
        <v>7.6083969595029004E-4</v>
      </c>
    </row>
    <row r="61" spans="9:13" x14ac:dyDescent="0.3">
      <c r="I61">
        <v>1710</v>
      </c>
      <c r="J61">
        <v>2.4388194444444466E-3</v>
      </c>
      <c r="K61">
        <v>5.8264264665719748E-4</v>
      </c>
      <c r="L61">
        <v>2.8450925925925922E-3</v>
      </c>
      <c r="M61">
        <v>5.712826166446455E-4</v>
      </c>
    </row>
    <row r="62" spans="9:13" x14ac:dyDescent="0.3">
      <c r="I62">
        <v>1740</v>
      </c>
      <c r="J62">
        <v>2.6069444444444452E-3</v>
      </c>
      <c r="K62">
        <v>6.8916949216394534E-4</v>
      </c>
      <c r="L62">
        <v>2.8311111111111119E-3</v>
      </c>
      <c r="M62">
        <v>5.7984967396132198E-4</v>
      </c>
    </row>
    <row r="63" spans="9:13" x14ac:dyDescent="0.3">
      <c r="I63">
        <v>1770</v>
      </c>
      <c r="J63">
        <v>2.6909027777777803E-3</v>
      </c>
      <c r="K63">
        <v>5.4362911180572777E-4</v>
      </c>
      <c r="L63">
        <v>2.9012037037037049E-3</v>
      </c>
      <c r="M63">
        <v>4.5577203736767044E-4</v>
      </c>
    </row>
    <row r="64" spans="9:13" x14ac:dyDescent="0.3">
      <c r="I64">
        <v>1800</v>
      </c>
      <c r="J64">
        <v>2.7749999999999975E-3</v>
      </c>
      <c r="K64">
        <v>5.4362911180572799E-4</v>
      </c>
      <c r="L64">
        <v>2.6068981481481468E-3</v>
      </c>
      <c r="M64">
        <v>6.2566999451951928E-4</v>
      </c>
    </row>
    <row r="65" spans="9:13" x14ac:dyDescent="0.3">
      <c r="I65">
        <v>1830</v>
      </c>
      <c r="J65">
        <v>2.8590972222222208E-3</v>
      </c>
      <c r="K65">
        <v>5.4362911180572875E-4</v>
      </c>
      <c r="L65">
        <v>2.585902777777779E-3</v>
      </c>
      <c r="M65">
        <v>7.9176154057414229E-4</v>
      </c>
    </row>
    <row r="66" spans="9:13" x14ac:dyDescent="0.3">
      <c r="I66">
        <v>1860</v>
      </c>
      <c r="J66">
        <v>2.6909722222222222E-3</v>
      </c>
      <c r="K66">
        <v>4.3710226629897834E-4</v>
      </c>
      <c r="L66">
        <v>2.606967592592593E-3</v>
      </c>
      <c r="M66">
        <v>8.0808515160841565E-4</v>
      </c>
    </row>
    <row r="67" spans="9:13" x14ac:dyDescent="0.3">
      <c r="I67">
        <v>1890</v>
      </c>
      <c r="J67">
        <v>2.5228472222222206E-3</v>
      </c>
      <c r="K67">
        <v>5.8270282454134107E-4</v>
      </c>
      <c r="L67">
        <v>2.6559490740740736E-3</v>
      </c>
      <c r="M67">
        <v>7.5021874651958007E-4</v>
      </c>
    </row>
    <row r="68" spans="9:13" x14ac:dyDescent="0.3">
      <c r="I68">
        <v>1920</v>
      </c>
      <c r="J68">
        <v>2.3546527777777771E-3</v>
      </c>
      <c r="K68">
        <v>4.3704216287704281E-4</v>
      </c>
      <c r="L68">
        <v>2.8381250000000012E-3</v>
      </c>
      <c r="M68">
        <v>5.0528672072288955E-4</v>
      </c>
    </row>
    <row r="69" spans="9:13" x14ac:dyDescent="0.3">
      <c r="I69">
        <v>1950</v>
      </c>
      <c r="J69">
        <v>2.3545833333333344E-3</v>
      </c>
      <c r="K69">
        <v>4.369820594858605E-4</v>
      </c>
      <c r="L69">
        <v>2.8591666666666665E-3</v>
      </c>
      <c r="M69">
        <v>5.3504413109782176E-4</v>
      </c>
    </row>
    <row r="70" spans="9:13" x14ac:dyDescent="0.3">
      <c r="I70">
        <v>1980</v>
      </c>
      <c r="J70">
        <v>2.3545138888888891E-3</v>
      </c>
      <c r="K70">
        <v>4.3704223737000495E-4</v>
      </c>
      <c r="L70">
        <v>2.8311111111111119E-3</v>
      </c>
      <c r="M70">
        <v>5.9449347899757964E-4</v>
      </c>
    </row>
    <row r="71" spans="9:13" x14ac:dyDescent="0.3">
      <c r="I71">
        <v>2010</v>
      </c>
      <c r="J71">
        <v>2.3545370370370374E-3</v>
      </c>
      <c r="K71">
        <v>3.8842853042874733E-4</v>
      </c>
      <c r="L71">
        <v>2.6069444444444456E-3</v>
      </c>
      <c r="M71">
        <v>8.3242181629683012E-4</v>
      </c>
    </row>
    <row r="72" spans="9:13" x14ac:dyDescent="0.3">
      <c r="I72">
        <v>2040</v>
      </c>
      <c r="J72">
        <v>2.5226388888888902E-3</v>
      </c>
      <c r="K72">
        <v>5.8264279564312102E-4</v>
      </c>
      <c r="L72">
        <v>2.6911111111111116E-3</v>
      </c>
      <c r="M72">
        <v>9.5145145779655888E-4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A14" sqref="A14"/>
    </sheetView>
  </sheetViews>
  <sheetFormatPr baseColWidth="10" defaultRowHeight="14.4" x14ac:dyDescent="0.3"/>
  <cols>
    <col min="1" max="1" width="22.21875" customWidth="1"/>
  </cols>
  <sheetData>
    <row r="1" spans="1:12" x14ac:dyDescent="0.3">
      <c r="A1" s="24" t="s">
        <v>58</v>
      </c>
    </row>
    <row r="5" spans="1:12" x14ac:dyDescent="0.3">
      <c r="A5" t="s">
        <v>10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K5" t="s">
        <v>42</v>
      </c>
      <c r="L5" t="s">
        <v>57</v>
      </c>
    </row>
    <row r="6" spans="1:12" x14ac:dyDescent="0.3">
      <c r="A6" t="s">
        <v>46</v>
      </c>
      <c r="B6">
        <v>0.39</v>
      </c>
      <c r="C6">
        <v>32.046999999999997</v>
      </c>
      <c r="D6">
        <v>3</v>
      </c>
      <c r="E6">
        <v>77</v>
      </c>
      <c r="F6">
        <v>12.484999999999999</v>
      </c>
      <c r="G6">
        <v>299959</v>
      </c>
      <c r="J6" t="s">
        <v>43</v>
      </c>
      <c r="K6">
        <v>33.832500000000003</v>
      </c>
      <c r="L6">
        <v>1.3332132860000001</v>
      </c>
    </row>
    <row r="7" spans="1:12" x14ac:dyDescent="0.3">
      <c r="A7" t="s">
        <v>47</v>
      </c>
      <c r="B7">
        <v>0.44600000000000001</v>
      </c>
      <c r="C7">
        <v>34.758000000000003</v>
      </c>
      <c r="D7">
        <v>0</v>
      </c>
      <c r="E7">
        <v>96</v>
      </c>
      <c r="F7">
        <v>15.504</v>
      </c>
      <c r="G7">
        <v>372472</v>
      </c>
      <c r="J7" t="s">
        <v>44</v>
      </c>
      <c r="K7">
        <v>49.411499999999997</v>
      </c>
      <c r="L7">
        <v>2.4296647920000001</v>
      </c>
    </row>
    <row r="8" spans="1:12" x14ac:dyDescent="0.3">
      <c r="A8" t="s">
        <v>48</v>
      </c>
      <c r="B8">
        <v>0.39900000000000002</v>
      </c>
      <c r="C8">
        <v>34.94</v>
      </c>
      <c r="D8">
        <v>3</v>
      </c>
      <c r="E8">
        <v>83</v>
      </c>
      <c r="F8">
        <v>13.927</v>
      </c>
      <c r="G8">
        <v>334586</v>
      </c>
      <c r="J8" t="s">
        <v>45</v>
      </c>
      <c r="K8">
        <v>76.966999999999999</v>
      </c>
      <c r="L8">
        <v>5.8940895820000003</v>
      </c>
    </row>
    <row r="9" spans="1:12" x14ac:dyDescent="0.3">
      <c r="A9" t="s">
        <v>56</v>
      </c>
      <c r="B9">
        <v>0.44700000000000001</v>
      </c>
      <c r="C9">
        <v>33.585000000000001</v>
      </c>
      <c r="D9">
        <v>3</v>
      </c>
      <c r="E9">
        <v>87</v>
      </c>
      <c r="F9">
        <v>15.007999999999999</v>
      </c>
      <c r="G9">
        <v>360566</v>
      </c>
    </row>
    <row r="10" spans="1:12" x14ac:dyDescent="0.3">
      <c r="A10" t="s">
        <v>52</v>
      </c>
      <c r="B10">
        <v>0.40300000000000002</v>
      </c>
      <c r="C10">
        <v>47.045000000000002</v>
      </c>
      <c r="D10">
        <v>9</v>
      </c>
      <c r="E10">
        <v>111</v>
      </c>
      <c r="F10">
        <v>18.954999999999998</v>
      </c>
      <c r="G10">
        <v>455400</v>
      </c>
    </row>
    <row r="11" spans="1:12" x14ac:dyDescent="0.3">
      <c r="A11" t="s">
        <v>53</v>
      </c>
      <c r="B11">
        <v>0.38500000000000001</v>
      </c>
      <c r="C11">
        <v>47.667000000000002</v>
      </c>
      <c r="D11">
        <v>12</v>
      </c>
      <c r="E11">
        <v>99</v>
      </c>
      <c r="F11">
        <v>18.332999999999998</v>
      </c>
      <c r="G11">
        <v>440442</v>
      </c>
    </row>
    <row r="12" spans="1:12" x14ac:dyDescent="0.3">
      <c r="A12" t="s">
        <v>54</v>
      </c>
      <c r="B12">
        <v>0.371</v>
      </c>
      <c r="C12">
        <v>50.911999999999999</v>
      </c>
      <c r="D12">
        <v>15</v>
      </c>
      <c r="E12">
        <v>117</v>
      </c>
      <c r="F12">
        <v>18.869</v>
      </c>
      <c r="G12">
        <v>453317</v>
      </c>
    </row>
    <row r="13" spans="1:12" x14ac:dyDescent="0.3">
      <c r="A13" t="s">
        <v>55</v>
      </c>
      <c r="B13">
        <v>0.29399999999999998</v>
      </c>
      <c r="C13">
        <v>52.021999999999998</v>
      </c>
      <c r="D13">
        <v>12</v>
      </c>
      <c r="E13">
        <v>114</v>
      </c>
      <c r="F13">
        <v>15.279</v>
      </c>
      <c r="G13">
        <v>367068</v>
      </c>
    </row>
    <row r="14" spans="1:12" x14ac:dyDescent="0.3">
      <c r="A14" t="s">
        <v>49</v>
      </c>
      <c r="B14">
        <v>0.28199999999999997</v>
      </c>
      <c r="C14">
        <v>82.448999999999998</v>
      </c>
      <c r="D14">
        <v>25</v>
      </c>
      <c r="E14">
        <v>158</v>
      </c>
      <c r="F14">
        <v>23.280999999999999</v>
      </c>
      <c r="G14">
        <v>559334</v>
      </c>
    </row>
    <row r="15" spans="1:12" x14ac:dyDescent="0.3">
      <c r="A15" t="s">
        <v>50</v>
      </c>
      <c r="B15">
        <v>0.27700000000000002</v>
      </c>
      <c r="C15">
        <v>77.718999999999994</v>
      </c>
      <c r="D15">
        <v>21</v>
      </c>
      <c r="E15">
        <v>167</v>
      </c>
      <c r="F15">
        <v>21.558</v>
      </c>
      <c r="G15">
        <v>517920</v>
      </c>
    </row>
    <row r="16" spans="1:12" x14ac:dyDescent="0.3">
      <c r="A16" t="s">
        <v>51</v>
      </c>
      <c r="B16">
        <v>0.30599999999999999</v>
      </c>
      <c r="C16">
        <v>70.733000000000004</v>
      </c>
      <c r="D16">
        <v>18</v>
      </c>
      <c r="E16">
        <v>139</v>
      </c>
      <c r="F16">
        <v>21.622</v>
      </c>
      <c r="G16">
        <v>519465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C10" sqref="C10"/>
    </sheetView>
  </sheetViews>
  <sheetFormatPr baseColWidth="10" defaultRowHeight="14.4" x14ac:dyDescent="0.3"/>
  <sheetData>
    <row r="1" spans="1:7" x14ac:dyDescent="0.3">
      <c r="A1" s="24" t="s">
        <v>59</v>
      </c>
    </row>
    <row r="2" spans="1:7" x14ac:dyDescent="0.3">
      <c r="A2" s="2" t="s">
        <v>11</v>
      </c>
      <c r="B2" s="26" t="s">
        <v>9</v>
      </c>
      <c r="C2" s="26" t="s">
        <v>10</v>
      </c>
      <c r="D2" s="26" t="s">
        <v>0</v>
      </c>
      <c r="E2" s="26" t="s">
        <v>1</v>
      </c>
      <c r="F2" s="26" t="s">
        <v>2</v>
      </c>
      <c r="G2" s="26" t="s">
        <v>3</v>
      </c>
    </row>
    <row r="3" spans="1:7" x14ac:dyDescent="0.3">
      <c r="A3" s="3" t="s">
        <v>5</v>
      </c>
      <c r="B3" s="4">
        <v>1</v>
      </c>
      <c r="C3" s="4" t="s">
        <v>60</v>
      </c>
      <c r="D3" s="4">
        <f>41*10^7</f>
        <v>410000000</v>
      </c>
      <c r="E3" s="4">
        <f>180*10^7</f>
        <v>1800000000</v>
      </c>
      <c r="F3" s="4">
        <f>160*10^7</f>
        <v>1600000000</v>
      </c>
      <c r="G3" s="5">
        <f>332*10^7</f>
        <v>3320000000</v>
      </c>
    </row>
    <row r="4" spans="1:7" x14ac:dyDescent="0.3">
      <c r="A4" s="6"/>
      <c r="B4" s="7"/>
      <c r="C4" s="7" t="s">
        <v>13</v>
      </c>
      <c r="D4" s="7">
        <v>0</v>
      </c>
      <c r="E4" s="7">
        <v>0</v>
      </c>
      <c r="F4" s="7">
        <v>0</v>
      </c>
      <c r="G4" s="8">
        <v>0</v>
      </c>
    </row>
    <row r="5" spans="1:7" x14ac:dyDescent="0.3">
      <c r="A5" s="6"/>
      <c r="B5" s="7">
        <v>2</v>
      </c>
      <c r="C5" s="7" t="s">
        <v>60</v>
      </c>
      <c r="D5" s="7">
        <f>36*10^7</f>
        <v>360000000</v>
      </c>
      <c r="E5" s="7">
        <f>92*10^7</f>
        <v>920000000</v>
      </c>
      <c r="F5" s="7">
        <f>192*10^7</f>
        <v>1920000000</v>
      </c>
      <c r="G5" s="8">
        <f>378*10^7</f>
        <v>3780000000</v>
      </c>
    </row>
    <row r="6" spans="1:7" x14ac:dyDescent="0.3">
      <c r="A6" s="6"/>
      <c r="B6" s="7"/>
      <c r="C6" s="7" t="s">
        <v>13</v>
      </c>
      <c r="D6" s="7">
        <v>0</v>
      </c>
      <c r="E6" s="7">
        <v>0</v>
      </c>
      <c r="F6" s="7">
        <v>0</v>
      </c>
      <c r="G6" s="8">
        <v>0</v>
      </c>
    </row>
    <row r="7" spans="1:7" x14ac:dyDescent="0.3">
      <c r="A7" s="6"/>
      <c r="B7" s="7">
        <v>3</v>
      </c>
      <c r="C7" s="7" t="s">
        <v>60</v>
      </c>
      <c r="D7" s="7">
        <f>73*10^7</f>
        <v>730000000</v>
      </c>
      <c r="E7" s="7">
        <f>240*10^7</f>
        <v>2400000000</v>
      </c>
      <c r="F7" s="7">
        <f>280*10^7</f>
        <v>2800000000</v>
      </c>
      <c r="G7" s="8">
        <f>388*10^7</f>
        <v>3880000000</v>
      </c>
    </row>
    <row r="8" spans="1:7" x14ac:dyDescent="0.3">
      <c r="A8" s="9"/>
      <c r="B8" s="10"/>
      <c r="C8" s="10" t="s">
        <v>13</v>
      </c>
      <c r="D8" s="10">
        <v>0</v>
      </c>
      <c r="E8" s="10">
        <v>0</v>
      </c>
      <c r="F8" s="10">
        <v>0</v>
      </c>
      <c r="G8" s="11">
        <v>0</v>
      </c>
    </row>
    <row r="9" spans="1:7" x14ac:dyDescent="0.3">
      <c r="A9" s="3" t="s">
        <v>6</v>
      </c>
      <c r="B9" s="4">
        <v>1</v>
      </c>
      <c r="C9" s="4" t="s">
        <v>60</v>
      </c>
      <c r="D9" s="4">
        <f>130*10^5</f>
        <v>13000000</v>
      </c>
      <c r="E9" s="4">
        <f>160*10^6</f>
        <v>160000000</v>
      </c>
      <c r="F9" s="4">
        <f>188*10^6</f>
        <v>188000000</v>
      </c>
      <c r="G9" s="5">
        <f>60*10^7</f>
        <v>600000000</v>
      </c>
    </row>
    <row r="10" spans="1:7" x14ac:dyDescent="0.3">
      <c r="A10" s="6"/>
      <c r="B10" s="7"/>
      <c r="C10" s="7" t="s">
        <v>13</v>
      </c>
      <c r="D10" s="7">
        <f>29*10^5</f>
        <v>2900000</v>
      </c>
      <c r="E10" s="7">
        <f>30*10^5</f>
        <v>3000000</v>
      </c>
      <c r="F10" s="7">
        <f>60*10^5</f>
        <v>6000000</v>
      </c>
      <c r="G10" s="8">
        <f>22*10^6</f>
        <v>22000000</v>
      </c>
    </row>
    <row r="11" spans="1:7" x14ac:dyDescent="0.3">
      <c r="A11" s="6"/>
      <c r="B11" s="7">
        <v>2</v>
      </c>
      <c r="C11" s="7" t="s">
        <v>60</v>
      </c>
      <c r="D11" s="7">
        <f>90*10^5</f>
        <v>9000000</v>
      </c>
      <c r="E11" s="7">
        <f>166*10^6</f>
        <v>166000000</v>
      </c>
      <c r="F11" s="7">
        <f>312*10^6</f>
        <v>312000000</v>
      </c>
      <c r="G11" s="8">
        <f>120*10^7</f>
        <v>1200000000</v>
      </c>
    </row>
    <row r="12" spans="1:7" x14ac:dyDescent="0.3">
      <c r="A12" s="6"/>
      <c r="B12" s="7"/>
      <c r="C12" s="7" t="s">
        <v>13</v>
      </c>
      <c r="D12" s="7">
        <f>29*10^5</f>
        <v>2900000</v>
      </c>
      <c r="E12" s="7">
        <f>160*10^5</f>
        <v>16000000</v>
      </c>
      <c r="F12" s="7">
        <f>50*10^5</f>
        <v>5000000</v>
      </c>
      <c r="G12" s="8">
        <f>35*10^6</f>
        <v>35000000</v>
      </c>
    </row>
    <row r="13" spans="1:7" x14ac:dyDescent="0.3">
      <c r="A13" s="6"/>
      <c r="B13" s="7">
        <v>3</v>
      </c>
      <c r="C13" s="7" t="s">
        <v>60</v>
      </c>
      <c r="D13" s="7">
        <f>150*10^5</f>
        <v>15000000</v>
      </c>
      <c r="E13" s="7">
        <f>93*10^6</f>
        <v>93000000</v>
      </c>
      <c r="F13" s="7">
        <f>200*10^6</f>
        <v>200000000</v>
      </c>
      <c r="G13" s="8">
        <f>66*10^7</f>
        <v>660000000</v>
      </c>
    </row>
    <row r="14" spans="1:7" x14ac:dyDescent="0.3">
      <c r="A14" s="9"/>
      <c r="B14" s="10"/>
      <c r="C14" s="10" t="s">
        <v>13</v>
      </c>
      <c r="D14" s="10">
        <f>41*10^5</f>
        <v>4100000</v>
      </c>
      <c r="E14" s="10">
        <f>60*10^5</f>
        <v>6000000</v>
      </c>
      <c r="F14" s="10">
        <f>70*10^5</f>
        <v>7000000</v>
      </c>
      <c r="G14" s="11">
        <f>36*10^6</f>
        <v>36000000</v>
      </c>
    </row>
    <row r="15" spans="1:7" x14ac:dyDescent="0.3">
      <c r="A15" s="3" t="s">
        <v>7</v>
      </c>
      <c r="B15" s="4">
        <v>1</v>
      </c>
      <c r="C15" s="4" t="s">
        <v>60</v>
      </c>
      <c r="D15" s="4">
        <v>0</v>
      </c>
      <c r="E15" s="4">
        <f>180*10^5</f>
        <v>18000000</v>
      </c>
      <c r="F15" s="4">
        <f>62*10^7</f>
        <v>620000000</v>
      </c>
      <c r="G15" s="5">
        <f>200*10^7</f>
        <v>2000000000</v>
      </c>
    </row>
    <row r="16" spans="1:7" x14ac:dyDescent="0.3">
      <c r="A16" s="6"/>
      <c r="B16" s="7"/>
      <c r="C16" s="7" t="s">
        <v>13</v>
      </c>
      <c r="D16" s="7">
        <f>59*10^6</f>
        <v>59000000</v>
      </c>
      <c r="E16" s="7">
        <f>42*10^6</f>
        <v>42000000</v>
      </c>
      <c r="F16" s="7">
        <f>107*10^6</f>
        <v>107000000</v>
      </c>
      <c r="G16" s="8">
        <f>101*10^6</f>
        <v>101000000</v>
      </c>
    </row>
    <row r="17" spans="1:7" x14ac:dyDescent="0.3">
      <c r="A17" s="6"/>
      <c r="B17" s="7">
        <v>2</v>
      </c>
      <c r="C17" s="7" t="s">
        <v>60</v>
      </c>
      <c r="D17" s="7">
        <v>0</v>
      </c>
      <c r="E17" s="7">
        <f>200*10^4</f>
        <v>2000000</v>
      </c>
      <c r="F17" s="7">
        <f>100*10^7</f>
        <v>1000000000</v>
      </c>
      <c r="G17" s="8">
        <f>220*10^7</f>
        <v>2200000000</v>
      </c>
    </row>
    <row r="18" spans="1:7" x14ac:dyDescent="0.3">
      <c r="A18" s="6"/>
      <c r="B18" s="7"/>
      <c r="C18" s="7" t="s">
        <v>13</v>
      </c>
      <c r="D18" s="7">
        <f>60*10^6</f>
        <v>60000000</v>
      </c>
      <c r="E18" s="7">
        <f>92*10^6</f>
        <v>92000000</v>
      </c>
      <c r="F18" s="7">
        <f>80*10^6</f>
        <v>80000000</v>
      </c>
      <c r="G18" s="8">
        <f>116*10^6</f>
        <v>116000000</v>
      </c>
    </row>
    <row r="19" spans="1:7" x14ac:dyDescent="0.3">
      <c r="A19" s="6"/>
      <c r="B19" s="7">
        <v>3</v>
      </c>
      <c r="C19" s="7" t="s">
        <v>60</v>
      </c>
      <c r="D19" s="7">
        <v>0</v>
      </c>
      <c r="E19" s="7">
        <f>220*10^5</f>
        <v>22000000</v>
      </c>
      <c r="F19" s="7">
        <f>88*10^7</f>
        <v>880000000</v>
      </c>
      <c r="G19" s="8">
        <f>185*10^7</f>
        <v>1850000000</v>
      </c>
    </row>
    <row r="20" spans="1:7" x14ac:dyDescent="0.3">
      <c r="A20" s="9"/>
      <c r="B20" s="10"/>
      <c r="C20" s="10" t="s">
        <v>13</v>
      </c>
      <c r="D20" s="10">
        <f>52*10^6</f>
        <v>52000000</v>
      </c>
      <c r="E20" s="10">
        <f>71*10^6</f>
        <v>71000000</v>
      </c>
      <c r="F20" s="10">
        <f>85*10^6</f>
        <v>85000000</v>
      </c>
      <c r="G20" s="11">
        <f>156*10^6</f>
        <v>156000000</v>
      </c>
    </row>
    <row r="24" spans="1:7" x14ac:dyDescent="0.3">
      <c r="A24" s="2" t="s">
        <v>12</v>
      </c>
      <c r="B24" t="s">
        <v>9</v>
      </c>
      <c r="C24" t="s">
        <v>10</v>
      </c>
      <c r="D24" t="s">
        <v>0</v>
      </c>
      <c r="E24" t="s">
        <v>1</v>
      </c>
      <c r="F24" t="s">
        <v>2</v>
      </c>
      <c r="G24" t="s">
        <v>3</v>
      </c>
    </row>
    <row r="25" spans="1:7" x14ac:dyDescent="0.3">
      <c r="A25" s="3" t="s">
        <v>5</v>
      </c>
      <c r="B25" s="4">
        <v>1</v>
      </c>
      <c r="C25" s="4" t="s">
        <v>60</v>
      </c>
      <c r="D25" s="4" t="s">
        <v>4</v>
      </c>
      <c r="E25" s="4" t="s">
        <v>4</v>
      </c>
      <c r="F25" s="4" t="s">
        <v>4</v>
      </c>
      <c r="G25" s="5" t="s">
        <v>4</v>
      </c>
    </row>
    <row r="26" spans="1:7" x14ac:dyDescent="0.3">
      <c r="A26" s="6"/>
      <c r="B26" s="7"/>
      <c r="C26" s="7" t="s">
        <v>13</v>
      </c>
      <c r="D26" s="7" t="s">
        <v>4</v>
      </c>
      <c r="E26" s="7" t="s">
        <v>4</v>
      </c>
      <c r="F26" s="7" t="s">
        <v>4</v>
      </c>
      <c r="G26" s="8" t="s">
        <v>4</v>
      </c>
    </row>
    <row r="27" spans="1:7" x14ac:dyDescent="0.3">
      <c r="A27" s="6"/>
      <c r="B27" s="7">
        <v>2</v>
      </c>
      <c r="C27" s="7" t="s">
        <v>60</v>
      </c>
      <c r="D27" s="7" t="s">
        <v>4</v>
      </c>
      <c r="E27" s="7" t="s">
        <v>4</v>
      </c>
      <c r="F27" s="7" t="s">
        <v>4</v>
      </c>
      <c r="G27" s="8" t="s">
        <v>4</v>
      </c>
    </row>
    <row r="28" spans="1:7" x14ac:dyDescent="0.3">
      <c r="A28" s="6"/>
      <c r="B28" s="7"/>
      <c r="C28" s="7" t="s">
        <v>13</v>
      </c>
      <c r="D28" s="7" t="s">
        <v>4</v>
      </c>
      <c r="E28" s="7" t="s">
        <v>4</v>
      </c>
      <c r="F28" s="7" t="s">
        <v>4</v>
      </c>
      <c r="G28" s="8" t="s">
        <v>4</v>
      </c>
    </row>
    <row r="29" spans="1:7" x14ac:dyDescent="0.3">
      <c r="A29" s="6"/>
      <c r="B29" s="7">
        <v>3</v>
      </c>
      <c r="C29" s="7" t="s">
        <v>60</v>
      </c>
      <c r="D29" s="7" t="s">
        <v>4</v>
      </c>
      <c r="E29" s="7" t="s">
        <v>4</v>
      </c>
      <c r="F29" s="7" t="s">
        <v>4</v>
      </c>
      <c r="G29" s="8" t="s">
        <v>4</v>
      </c>
    </row>
    <row r="30" spans="1:7" x14ac:dyDescent="0.3">
      <c r="A30" s="9"/>
      <c r="B30" s="10"/>
      <c r="C30" s="10" t="s">
        <v>13</v>
      </c>
      <c r="D30" s="10" t="s">
        <v>4</v>
      </c>
      <c r="E30" s="10" t="s">
        <v>4</v>
      </c>
      <c r="F30" s="10" t="s">
        <v>4</v>
      </c>
      <c r="G30" s="11" t="s">
        <v>4</v>
      </c>
    </row>
    <row r="31" spans="1:7" x14ac:dyDescent="0.3">
      <c r="A31" s="3" t="s">
        <v>6</v>
      </c>
      <c r="B31" s="4">
        <v>1</v>
      </c>
      <c r="C31" s="4" t="s">
        <v>60</v>
      </c>
      <c r="D31" s="4" t="s">
        <v>4</v>
      </c>
      <c r="E31" s="4" t="s">
        <v>4</v>
      </c>
      <c r="F31" s="4" t="s">
        <v>4</v>
      </c>
      <c r="G31" s="5" t="s">
        <v>4</v>
      </c>
    </row>
    <row r="32" spans="1:7" x14ac:dyDescent="0.3">
      <c r="A32" s="6"/>
      <c r="B32" s="7"/>
      <c r="C32" s="7" t="s">
        <v>13</v>
      </c>
      <c r="D32" s="7">
        <v>200000</v>
      </c>
      <c r="E32" s="7">
        <f>120*10^4</f>
        <v>1200000</v>
      </c>
      <c r="F32" s="7">
        <f>58*10^5</f>
        <v>5800000</v>
      </c>
      <c r="G32" s="8">
        <f>98*10^5</f>
        <v>9800000</v>
      </c>
    </row>
    <row r="33" spans="1:7" x14ac:dyDescent="0.3">
      <c r="A33" s="6"/>
      <c r="B33" s="7">
        <v>2</v>
      </c>
      <c r="C33" s="7" t="s">
        <v>60</v>
      </c>
      <c r="D33" s="7" t="s">
        <v>4</v>
      </c>
      <c r="E33" s="7" t="s">
        <v>4</v>
      </c>
      <c r="F33" s="7" t="s">
        <v>4</v>
      </c>
      <c r="G33" s="8" t="s">
        <v>4</v>
      </c>
    </row>
    <row r="34" spans="1:7" x14ac:dyDescent="0.3">
      <c r="A34" s="6"/>
      <c r="B34" s="7"/>
      <c r="C34" s="7" t="s">
        <v>13</v>
      </c>
      <c r="D34" s="7">
        <v>500000</v>
      </c>
      <c r="E34" s="7">
        <f>140*10^5</f>
        <v>14000000</v>
      </c>
      <c r="F34" s="7">
        <f>47*10^5</f>
        <v>4700000</v>
      </c>
      <c r="G34" s="8">
        <f>120*10^5</f>
        <v>12000000</v>
      </c>
    </row>
    <row r="35" spans="1:7" x14ac:dyDescent="0.3">
      <c r="A35" s="6"/>
      <c r="B35" s="7">
        <v>3</v>
      </c>
      <c r="C35" s="7" t="s">
        <v>60</v>
      </c>
      <c r="D35" s="7" t="s">
        <v>4</v>
      </c>
      <c r="E35" s="7" t="s">
        <v>4</v>
      </c>
      <c r="F35" s="7" t="s">
        <v>4</v>
      </c>
      <c r="G35" s="8" t="s">
        <v>4</v>
      </c>
    </row>
    <row r="36" spans="1:7" x14ac:dyDescent="0.3">
      <c r="A36" s="9"/>
      <c r="B36" s="10"/>
      <c r="C36" s="10" t="s">
        <v>13</v>
      </c>
      <c r="D36" s="10">
        <v>530000</v>
      </c>
      <c r="E36" s="10">
        <f>30*10^5</f>
        <v>3000000</v>
      </c>
      <c r="F36" s="10">
        <f>57*10^5</f>
        <v>5700000</v>
      </c>
      <c r="G36" s="11">
        <f>190*10^5</f>
        <v>19000000</v>
      </c>
    </row>
    <row r="37" spans="1:7" x14ac:dyDescent="0.3">
      <c r="A37" s="3" t="s">
        <v>7</v>
      </c>
      <c r="B37" s="4">
        <v>1</v>
      </c>
      <c r="C37" s="4" t="s">
        <v>60</v>
      </c>
      <c r="D37" s="4">
        <v>0</v>
      </c>
      <c r="E37" s="4" t="s">
        <v>4</v>
      </c>
      <c r="F37" s="4" t="s">
        <v>4</v>
      </c>
      <c r="G37" s="5" t="s">
        <v>4</v>
      </c>
    </row>
    <row r="38" spans="1:7" x14ac:dyDescent="0.3">
      <c r="A38" s="6"/>
      <c r="B38" s="7"/>
      <c r="C38" s="7" t="s">
        <v>13</v>
      </c>
      <c r="D38" s="7">
        <f>140*10^5</f>
        <v>14000000</v>
      </c>
      <c r="E38" s="7">
        <f>29*10^6</f>
        <v>29000000</v>
      </c>
      <c r="F38" s="7">
        <f>99*10^6</f>
        <v>99000000</v>
      </c>
      <c r="G38" s="8">
        <f>74*10^6</f>
        <v>74000000</v>
      </c>
    </row>
    <row r="39" spans="1:7" x14ac:dyDescent="0.3">
      <c r="A39" s="6"/>
      <c r="B39" s="7">
        <v>2</v>
      </c>
      <c r="C39" s="7" t="s">
        <v>60</v>
      </c>
      <c r="D39" s="7" t="s">
        <v>4</v>
      </c>
      <c r="E39" s="7" t="s">
        <v>4</v>
      </c>
      <c r="F39" s="7" t="s">
        <v>4</v>
      </c>
      <c r="G39" s="8" t="s">
        <v>4</v>
      </c>
    </row>
    <row r="40" spans="1:7" x14ac:dyDescent="0.3">
      <c r="A40" s="6"/>
      <c r="B40" s="7"/>
      <c r="C40" s="7" t="s">
        <v>13</v>
      </c>
      <c r="D40" s="7">
        <f>120*10^5</f>
        <v>12000000</v>
      </c>
      <c r="E40" s="7">
        <f>32*10^6</f>
        <v>32000000</v>
      </c>
      <c r="F40" s="7">
        <f>78*10^6</f>
        <v>78000000</v>
      </c>
      <c r="G40" s="8">
        <f>87*10^6</f>
        <v>87000000</v>
      </c>
    </row>
    <row r="41" spans="1:7" x14ac:dyDescent="0.3">
      <c r="A41" s="6"/>
      <c r="B41" s="7">
        <v>3</v>
      </c>
      <c r="C41" s="7" t="s">
        <v>60</v>
      </c>
      <c r="D41" s="7" t="s">
        <v>4</v>
      </c>
      <c r="E41" s="7" t="s">
        <v>4</v>
      </c>
      <c r="F41" s="7" t="s">
        <v>4</v>
      </c>
      <c r="G41" s="8" t="s">
        <v>4</v>
      </c>
    </row>
    <row r="42" spans="1:7" x14ac:dyDescent="0.3">
      <c r="A42" s="9"/>
      <c r="B42" s="10"/>
      <c r="C42" s="10" t="s">
        <v>13</v>
      </c>
      <c r="D42" s="10">
        <f>150*10^5</f>
        <v>15000000</v>
      </c>
      <c r="E42" s="10">
        <f>39*10^6</f>
        <v>39000000</v>
      </c>
      <c r="F42" s="10">
        <f>79*10^6</f>
        <v>79000000</v>
      </c>
      <c r="G42" s="11">
        <f>91*10^6</f>
        <v>91000000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67"/>
  <sheetViews>
    <sheetView zoomScale="55" zoomScaleNormal="55" workbookViewId="0">
      <selection activeCell="W23" sqref="W23"/>
    </sheetView>
  </sheetViews>
  <sheetFormatPr baseColWidth="10" defaultRowHeight="14.4" x14ac:dyDescent="0.3"/>
  <cols>
    <col min="3" max="4" width="11.5546875" style="47"/>
    <col min="22" max="22" width="14.6640625" bestFit="1" customWidth="1"/>
  </cols>
  <sheetData>
    <row r="1" spans="1:67" x14ac:dyDescent="0.3">
      <c r="A1" s="24" t="s">
        <v>77</v>
      </c>
      <c r="B1" t="s">
        <v>72</v>
      </c>
      <c r="E1" s="1" t="s">
        <v>62</v>
      </c>
      <c r="G1" s="1" t="s">
        <v>63</v>
      </c>
      <c r="I1" s="1" t="s">
        <v>64</v>
      </c>
      <c r="M1" s="24" t="s">
        <v>76</v>
      </c>
      <c r="N1" t="s">
        <v>72</v>
      </c>
    </row>
    <row r="2" spans="1:67" x14ac:dyDescent="0.3">
      <c r="C2" s="54" t="s">
        <v>70</v>
      </c>
      <c r="D2" s="48" t="s">
        <v>71</v>
      </c>
      <c r="E2" s="4" t="s">
        <v>11</v>
      </c>
      <c r="F2" s="4" t="s">
        <v>12</v>
      </c>
      <c r="G2" s="4" t="s">
        <v>11</v>
      </c>
      <c r="H2" s="4" t="s">
        <v>12</v>
      </c>
      <c r="I2" s="4" t="s">
        <v>11</v>
      </c>
      <c r="J2" s="5" t="s">
        <v>12</v>
      </c>
      <c r="O2" s="3" t="s">
        <v>70</v>
      </c>
      <c r="P2" s="4" t="s">
        <v>62</v>
      </c>
      <c r="Q2" s="43" t="s">
        <v>63</v>
      </c>
      <c r="R2" s="44" t="s">
        <v>64</v>
      </c>
    </row>
    <row r="3" spans="1:67" x14ac:dyDescent="0.3">
      <c r="C3" s="55" t="s">
        <v>15</v>
      </c>
      <c r="D3" s="49" t="s">
        <v>15</v>
      </c>
      <c r="E3" s="7">
        <f>240*10^6</f>
        <v>240000000</v>
      </c>
      <c r="F3" s="7" t="s">
        <v>4</v>
      </c>
      <c r="G3" s="7">
        <f>14*10^5</f>
        <v>1400000</v>
      </c>
      <c r="H3" s="7" t="s">
        <v>4</v>
      </c>
      <c r="I3" s="7">
        <f>25*10^5</f>
        <v>2500000</v>
      </c>
      <c r="J3" s="8" t="s">
        <v>4</v>
      </c>
      <c r="O3" s="55" t="s">
        <v>15</v>
      </c>
      <c r="P3" s="7">
        <v>0.73</v>
      </c>
      <c r="Q3" s="7">
        <v>1.43</v>
      </c>
      <c r="R3" s="8">
        <v>1.08</v>
      </c>
      <c r="Z3" s="49"/>
    </row>
    <row r="4" spans="1:67" x14ac:dyDescent="0.3">
      <c r="C4" s="55" t="s">
        <v>65</v>
      </c>
      <c r="D4" s="49" t="s">
        <v>65</v>
      </c>
      <c r="E4" s="7">
        <f>81*10^6</f>
        <v>81000000</v>
      </c>
      <c r="F4" s="7" t="s">
        <v>4</v>
      </c>
      <c r="G4" s="7">
        <f>19*10^5</f>
        <v>1900000</v>
      </c>
      <c r="H4" s="7" t="s">
        <v>4</v>
      </c>
      <c r="I4" s="7">
        <f>33*10^3</f>
        <v>33000</v>
      </c>
      <c r="J4" s="8" t="s">
        <v>4</v>
      </c>
      <c r="O4" s="55" t="s">
        <v>65</v>
      </c>
      <c r="P4" s="7">
        <v>1.02</v>
      </c>
      <c r="Q4" s="7">
        <v>1.52</v>
      </c>
      <c r="R4" s="8">
        <v>0.9</v>
      </c>
      <c r="Z4" s="49"/>
    </row>
    <row r="5" spans="1:67" x14ac:dyDescent="0.3">
      <c r="C5" s="55">
        <v>3610</v>
      </c>
      <c r="D5" s="49">
        <v>3610</v>
      </c>
      <c r="E5" s="7">
        <f>118*10^6</f>
        <v>118000000</v>
      </c>
      <c r="F5" s="7">
        <f>52*10^4</f>
        <v>520000</v>
      </c>
      <c r="G5" s="7">
        <f>280*10^5</f>
        <v>28000000</v>
      </c>
      <c r="H5" s="7">
        <f>44*10^4</f>
        <v>440000</v>
      </c>
      <c r="I5" s="7">
        <f>19*10^4</f>
        <v>190000</v>
      </c>
      <c r="J5" s="8">
        <f>17*10^4</f>
        <v>170000</v>
      </c>
      <c r="O5" s="55">
        <v>3610</v>
      </c>
      <c r="P5" s="7">
        <v>0.63</v>
      </c>
      <c r="Q5" s="7">
        <v>1.36</v>
      </c>
      <c r="R5" s="8">
        <v>1.1499999999999999</v>
      </c>
      <c r="Z5" s="49"/>
    </row>
    <row r="6" spans="1:67" x14ac:dyDescent="0.3">
      <c r="C6" s="55" t="s">
        <v>13</v>
      </c>
      <c r="D6" s="49" t="s">
        <v>13</v>
      </c>
      <c r="E6" s="7">
        <f>48*10^6</f>
        <v>48000000</v>
      </c>
      <c r="F6" s="7">
        <f>216*10^5</f>
        <v>21600000</v>
      </c>
      <c r="G6" s="7">
        <f>128*10^5</f>
        <v>12800000</v>
      </c>
      <c r="H6" s="7">
        <f>108*10^5</f>
        <v>10800000</v>
      </c>
      <c r="I6" s="7">
        <f>46*10^5</f>
        <v>4600000</v>
      </c>
      <c r="J6" s="8">
        <f>35*10^5</f>
        <v>3500000</v>
      </c>
      <c r="O6" s="55" t="s">
        <v>13</v>
      </c>
      <c r="P6" s="7">
        <v>1.1100000000000001</v>
      </c>
      <c r="Q6" s="7">
        <v>1.66</v>
      </c>
      <c r="R6" s="8">
        <v>1.1100000000000001</v>
      </c>
      <c r="Z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50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50"/>
      <c r="BD6" s="49"/>
      <c r="BE6" s="49"/>
      <c r="BF6" s="49"/>
      <c r="BG6" s="49"/>
      <c r="BH6" s="49"/>
      <c r="BI6" s="49"/>
      <c r="BJ6" s="49" t="s">
        <v>15</v>
      </c>
      <c r="BK6" s="49" t="s">
        <v>13</v>
      </c>
      <c r="BL6" s="49" t="s">
        <v>60</v>
      </c>
      <c r="BM6" s="49">
        <v>3610</v>
      </c>
      <c r="BN6" s="49" t="s">
        <v>60</v>
      </c>
      <c r="BO6" s="50" t="s">
        <v>13</v>
      </c>
    </row>
    <row r="7" spans="1:67" x14ac:dyDescent="0.3">
      <c r="C7" s="55" t="s">
        <v>44</v>
      </c>
      <c r="D7" s="49" t="s">
        <v>15</v>
      </c>
      <c r="E7" s="7">
        <f>96*10^6</f>
        <v>96000000</v>
      </c>
      <c r="F7" s="7" t="s">
        <v>4</v>
      </c>
      <c r="G7" s="7">
        <f>6*10^5</f>
        <v>600000</v>
      </c>
      <c r="H7" s="7" t="s">
        <v>4</v>
      </c>
      <c r="I7" s="7">
        <f>152*10^4</f>
        <v>1520000</v>
      </c>
      <c r="J7" s="8" t="s">
        <v>4</v>
      </c>
      <c r="O7" s="55" t="s">
        <v>44</v>
      </c>
      <c r="P7" s="7">
        <v>1.17</v>
      </c>
      <c r="Q7" s="7">
        <v>1.45</v>
      </c>
      <c r="R7" s="8">
        <v>1.28</v>
      </c>
      <c r="Z7" s="49"/>
      <c r="BJ7">
        <v>1693877.5510204083</v>
      </c>
      <c r="BK7">
        <v>6836734.6938775508</v>
      </c>
      <c r="BL7">
        <v>5882.3529411764712</v>
      </c>
      <c r="BM7">
        <v>56470.588235294119</v>
      </c>
      <c r="BN7">
        <v>4081.6326530612246</v>
      </c>
      <c r="BO7">
        <v>114285.71428571429</v>
      </c>
    </row>
    <row r="8" spans="1:67" x14ac:dyDescent="0.3">
      <c r="C8" s="55"/>
      <c r="D8" s="49">
        <v>3610</v>
      </c>
      <c r="E8" s="7">
        <f>27*10^6</f>
        <v>27000000</v>
      </c>
      <c r="F8" s="7">
        <f>23*10^4</f>
        <v>230000</v>
      </c>
      <c r="G8" s="7">
        <f>54*10^4</f>
        <v>540000</v>
      </c>
      <c r="H8" s="7">
        <f>19*10^4</f>
        <v>190000</v>
      </c>
      <c r="I8" s="7">
        <f>254*10^3</f>
        <v>254000</v>
      </c>
      <c r="J8" s="8">
        <f>12*10^4</f>
        <v>120000</v>
      </c>
      <c r="O8" s="55" t="s">
        <v>30</v>
      </c>
      <c r="P8" s="7">
        <v>0.93</v>
      </c>
      <c r="Q8" s="7">
        <v>1.31</v>
      </c>
      <c r="R8" s="8">
        <v>0.98</v>
      </c>
      <c r="Z8" s="49"/>
      <c r="BJ8">
        <v>562500</v>
      </c>
      <c r="BK8">
        <v>11875000</v>
      </c>
      <c r="BL8">
        <v>23500000</v>
      </c>
      <c r="BM8">
        <v>1000000</v>
      </c>
      <c r="BN8">
        <v>44444444.44444444</v>
      </c>
      <c r="BO8">
        <v>1388888.8888888888</v>
      </c>
    </row>
    <row r="9" spans="1:67" x14ac:dyDescent="0.3">
      <c r="C9" s="55" t="s">
        <v>30</v>
      </c>
      <c r="D9" s="49" t="s">
        <v>15</v>
      </c>
      <c r="E9" s="7">
        <f>112*10^6</f>
        <v>112000000</v>
      </c>
      <c r="F9" s="7" t="s">
        <v>4</v>
      </c>
      <c r="G9" s="7">
        <f>66*10^5</f>
        <v>6600000</v>
      </c>
      <c r="H9" s="7" t="s">
        <v>4</v>
      </c>
      <c r="I9" s="7">
        <f>166*10^4</f>
        <v>1660000</v>
      </c>
      <c r="J9" s="8" t="s">
        <v>4</v>
      </c>
      <c r="O9" s="55" t="s">
        <v>69</v>
      </c>
      <c r="P9" s="7">
        <v>1.27</v>
      </c>
      <c r="Q9" s="7">
        <v>1.53</v>
      </c>
      <c r="R9" s="8">
        <v>0.85</v>
      </c>
      <c r="Z9" s="49"/>
      <c r="BJ9">
        <v>18750</v>
      </c>
      <c r="BK9">
        <v>375000</v>
      </c>
      <c r="BL9">
        <v>249999.99999999997</v>
      </c>
      <c r="BM9">
        <v>37272.727272727272</v>
      </c>
      <c r="BN9">
        <v>3603.6036036036035</v>
      </c>
      <c r="BO9">
        <v>100900.90090090089</v>
      </c>
    </row>
    <row r="10" spans="1:67" x14ac:dyDescent="0.3">
      <c r="C10" s="55"/>
      <c r="D10" s="49" t="s">
        <v>13</v>
      </c>
      <c r="E10" s="7">
        <f>80*10^6</f>
        <v>80000000</v>
      </c>
      <c r="F10" s="7">
        <f>132*10^5</f>
        <v>13200000</v>
      </c>
      <c r="G10" s="7">
        <f>240*10^5</f>
        <v>24000000</v>
      </c>
      <c r="H10" s="7">
        <f>180*10^5</f>
        <v>18000000</v>
      </c>
      <c r="I10" s="7">
        <f>67*10^5</f>
        <v>6700000</v>
      </c>
      <c r="J10" s="8">
        <f>42*10^5</f>
        <v>4200000</v>
      </c>
      <c r="O10" s="56" t="s">
        <v>59</v>
      </c>
      <c r="P10" s="10">
        <v>1.28</v>
      </c>
      <c r="Q10" s="10">
        <v>1.06</v>
      </c>
      <c r="R10" s="11">
        <v>0.98</v>
      </c>
      <c r="Z10" s="49"/>
      <c r="BJ10">
        <v>613333.33333333337</v>
      </c>
      <c r="BK10">
        <v>346666.66666666669</v>
      </c>
      <c r="BL10">
        <v>500000</v>
      </c>
      <c r="BM10">
        <v>47826.086956521736</v>
      </c>
      <c r="BN10">
        <v>403508.77192982461</v>
      </c>
      <c r="BO10">
        <v>228070.17543859652</v>
      </c>
    </row>
    <row r="11" spans="1:67" x14ac:dyDescent="0.3">
      <c r="C11" s="55" t="s">
        <v>69</v>
      </c>
      <c r="D11" s="49" t="s">
        <v>60</v>
      </c>
      <c r="E11" s="7">
        <f>126*10^6</f>
        <v>126000000</v>
      </c>
      <c r="F11" s="7" t="s">
        <v>4</v>
      </c>
      <c r="G11" s="7">
        <f>80*10^6</f>
        <v>80000000</v>
      </c>
      <c r="H11" s="7" t="s">
        <v>4</v>
      </c>
      <c r="I11" s="7">
        <f>50*10^2</f>
        <v>5000</v>
      </c>
      <c r="J11" s="8" t="s">
        <v>4</v>
      </c>
      <c r="Z11" s="49"/>
    </row>
    <row r="12" spans="1:67" x14ac:dyDescent="0.3">
      <c r="C12" s="55"/>
      <c r="D12" s="49">
        <v>3610</v>
      </c>
      <c r="E12" s="7">
        <f>52*10^5</f>
        <v>5200000</v>
      </c>
      <c r="F12" s="7">
        <f>43*10^3</f>
        <v>43000</v>
      </c>
      <c r="G12" s="7">
        <f>30*10^4</f>
        <v>300000</v>
      </c>
      <c r="H12" s="7">
        <f>31*10^3</f>
        <v>31000</v>
      </c>
      <c r="I12" s="7">
        <f>48*10^3</f>
        <v>48000</v>
      </c>
      <c r="J12" s="8">
        <f>31*10^3</f>
        <v>31000</v>
      </c>
      <c r="Z12" s="49"/>
    </row>
    <row r="13" spans="1:67" x14ac:dyDescent="0.3">
      <c r="C13" s="55" t="s">
        <v>59</v>
      </c>
      <c r="D13" s="49" t="s">
        <v>60</v>
      </c>
      <c r="E13" s="7">
        <f>92*10^6</f>
        <v>92000000</v>
      </c>
      <c r="F13" s="7" t="s">
        <v>4</v>
      </c>
      <c r="G13" s="7">
        <f>54*10^6</f>
        <v>54000000</v>
      </c>
      <c r="H13" s="7" t="s">
        <v>4</v>
      </c>
      <c r="I13" s="7">
        <f>40*10^2</f>
        <v>4000</v>
      </c>
      <c r="J13" s="8" t="s">
        <v>4</v>
      </c>
      <c r="Z13" s="49"/>
    </row>
    <row r="14" spans="1:67" x14ac:dyDescent="0.3">
      <c r="C14" s="56"/>
      <c r="D14" s="50" t="s">
        <v>13</v>
      </c>
      <c r="E14" s="10">
        <f>120*10^4</f>
        <v>1200000</v>
      </c>
      <c r="F14" s="10">
        <f>171*10^3</f>
        <v>171000</v>
      </c>
      <c r="G14" s="10">
        <f>80*10^4</f>
        <v>800000</v>
      </c>
      <c r="H14" s="10">
        <f>11*10^4</f>
        <v>110000</v>
      </c>
      <c r="I14" s="10">
        <f>112*10^3</f>
        <v>112000</v>
      </c>
      <c r="J14" s="11">
        <f>102*10^3</f>
        <v>102000</v>
      </c>
      <c r="Z14" s="49"/>
    </row>
    <row r="18" spans="2:35" x14ac:dyDescent="0.3">
      <c r="B18" t="s">
        <v>73</v>
      </c>
      <c r="E18" s="1" t="s">
        <v>62</v>
      </c>
      <c r="G18" s="1" t="s">
        <v>63</v>
      </c>
      <c r="I18" s="1" t="s">
        <v>64</v>
      </c>
      <c r="N18" t="s">
        <v>73</v>
      </c>
    </row>
    <row r="19" spans="2:35" x14ac:dyDescent="0.3">
      <c r="C19" s="54" t="s">
        <v>70</v>
      </c>
      <c r="D19" s="48" t="s">
        <v>71</v>
      </c>
      <c r="E19" s="4" t="s">
        <v>11</v>
      </c>
      <c r="F19" s="4" t="s">
        <v>12</v>
      </c>
      <c r="G19" s="4" t="s">
        <v>11</v>
      </c>
      <c r="H19" s="4" t="s">
        <v>12</v>
      </c>
      <c r="I19" s="4" t="s">
        <v>11</v>
      </c>
      <c r="J19" s="5" t="s">
        <v>12</v>
      </c>
      <c r="O19" s="3"/>
      <c r="P19" s="4" t="s">
        <v>62</v>
      </c>
      <c r="Q19" s="43" t="s">
        <v>63</v>
      </c>
      <c r="R19" s="44" t="s">
        <v>64</v>
      </c>
    </row>
    <row r="20" spans="2:35" x14ac:dyDescent="0.3">
      <c r="C20" s="55" t="s">
        <v>15</v>
      </c>
      <c r="D20" s="49" t="s">
        <v>15</v>
      </c>
      <c r="E20" s="7">
        <f>180*10^6</f>
        <v>180000000</v>
      </c>
      <c r="F20" s="7" t="s">
        <v>4</v>
      </c>
      <c r="G20" s="7">
        <f>11*10^4</f>
        <v>110000</v>
      </c>
      <c r="H20" s="7" t="s">
        <v>4</v>
      </c>
      <c r="I20" s="7">
        <f>88*10^3</f>
        <v>88000</v>
      </c>
      <c r="J20" s="8" t="s">
        <v>4</v>
      </c>
      <c r="O20" s="55" t="s">
        <v>15</v>
      </c>
      <c r="P20" s="7">
        <v>0.7</v>
      </c>
      <c r="Q20" s="7">
        <v>1.25</v>
      </c>
      <c r="R20" s="8">
        <v>0.86</v>
      </c>
    </row>
    <row r="21" spans="2:35" x14ac:dyDescent="0.3">
      <c r="C21" s="55" t="s">
        <v>65</v>
      </c>
      <c r="D21" s="49" t="s">
        <v>65</v>
      </c>
      <c r="E21" s="7">
        <f>152*10^6</f>
        <v>152000000</v>
      </c>
      <c r="F21" s="7" t="s">
        <v>4</v>
      </c>
      <c r="G21" s="7">
        <f>14*10^5</f>
        <v>1400000</v>
      </c>
      <c r="H21" s="7" t="s">
        <v>4</v>
      </c>
      <c r="I21" s="7">
        <f>22*10^3</f>
        <v>22000</v>
      </c>
      <c r="J21" s="8" t="s">
        <v>4</v>
      </c>
      <c r="O21" s="55" t="s">
        <v>65</v>
      </c>
      <c r="P21" s="7">
        <v>1.1000000000000001</v>
      </c>
      <c r="Q21" s="7">
        <v>1.23</v>
      </c>
      <c r="R21" s="8">
        <v>1.1000000000000001</v>
      </c>
      <c r="AI21" s="49"/>
    </row>
    <row r="22" spans="2:35" x14ac:dyDescent="0.3">
      <c r="C22" s="55">
        <v>3610</v>
      </c>
      <c r="D22" s="49">
        <v>3610</v>
      </c>
      <c r="E22" s="7">
        <f>68*10^6</f>
        <v>68000000</v>
      </c>
      <c r="F22" s="7">
        <f>51*10^4</f>
        <v>510000</v>
      </c>
      <c r="G22" s="7">
        <f>204*10^5</f>
        <v>20400000</v>
      </c>
      <c r="H22" s="7">
        <f>42*10^4</f>
        <v>420000</v>
      </c>
      <c r="I22" s="7">
        <f>41*10^4</f>
        <v>410000</v>
      </c>
      <c r="J22" s="8">
        <f>32*10^4</f>
        <v>320000</v>
      </c>
      <c r="O22" s="55">
        <v>3610</v>
      </c>
      <c r="P22" s="7">
        <v>2</v>
      </c>
      <c r="Q22" s="7">
        <v>1.57</v>
      </c>
      <c r="R22" s="8">
        <v>1.35</v>
      </c>
      <c r="AI22" s="49"/>
    </row>
    <row r="23" spans="2:35" x14ac:dyDescent="0.3">
      <c r="C23" s="55" t="s">
        <v>13</v>
      </c>
      <c r="D23" s="49" t="s">
        <v>13</v>
      </c>
      <c r="E23" s="7">
        <f>56*10^6</f>
        <v>56000000</v>
      </c>
      <c r="F23" s="7">
        <f>204*10^5</f>
        <v>20400000</v>
      </c>
      <c r="G23" s="7">
        <f>392*10^5</f>
        <v>39200000</v>
      </c>
      <c r="H23" s="7">
        <f>178*10^5</f>
        <v>17800000</v>
      </c>
      <c r="I23" s="7">
        <f>160*10^5</f>
        <v>16000000</v>
      </c>
      <c r="J23" s="8">
        <f>101*10^5</f>
        <v>10100000</v>
      </c>
      <c r="O23" s="55" t="s">
        <v>13</v>
      </c>
      <c r="P23" s="7">
        <v>0.67</v>
      </c>
      <c r="Q23" s="7">
        <v>1.97</v>
      </c>
      <c r="R23" s="8">
        <v>0.85</v>
      </c>
      <c r="AI23" s="49"/>
    </row>
    <row r="24" spans="2:35" x14ac:dyDescent="0.3">
      <c r="C24" s="55" t="s">
        <v>44</v>
      </c>
      <c r="D24" s="49" t="s">
        <v>15</v>
      </c>
      <c r="E24" s="7">
        <f>102*10^6</f>
        <v>102000000</v>
      </c>
      <c r="F24" s="7" t="s">
        <v>4</v>
      </c>
      <c r="G24" s="7">
        <f>33*10^5</f>
        <v>3300000</v>
      </c>
      <c r="H24" s="7" t="s">
        <v>4</v>
      </c>
      <c r="I24" s="7">
        <f>148*10^4</f>
        <v>1480000</v>
      </c>
      <c r="J24" s="8" t="s">
        <v>4</v>
      </c>
      <c r="O24" s="55" t="s">
        <v>44</v>
      </c>
      <c r="P24" s="7">
        <v>1.4</v>
      </c>
      <c r="Q24" s="7">
        <v>2.15</v>
      </c>
      <c r="R24" s="8">
        <v>1.1599999999999999</v>
      </c>
      <c r="AI24" s="49"/>
    </row>
    <row r="25" spans="2:35" x14ac:dyDescent="0.3">
      <c r="C25" s="55"/>
      <c r="D25" s="49">
        <v>3610</v>
      </c>
      <c r="E25" s="7">
        <f>64*10^6</f>
        <v>64000000</v>
      </c>
      <c r="F25" s="7">
        <f>31*10^4</f>
        <v>310000</v>
      </c>
      <c r="G25" s="7">
        <f>136*10^4</f>
        <v>1360000</v>
      </c>
      <c r="H25" s="7">
        <f>32*10^4</f>
        <v>320000</v>
      </c>
      <c r="I25" s="7">
        <f>116*10^3</f>
        <v>116000</v>
      </c>
      <c r="J25" s="8">
        <f>85*10^3</f>
        <v>85000</v>
      </c>
      <c r="O25" s="55" t="s">
        <v>30</v>
      </c>
      <c r="P25" s="7">
        <v>0.88</v>
      </c>
      <c r="Q25" s="7">
        <v>2.56</v>
      </c>
      <c r="R25" s="8">
        <v>1.6</v>
      </c>
      <c r="AI25" s="49"/>
    </row>
    <row r="26" spans="2:35" x14ac:dyDescent="0.3">
      <c r="C26" s="55" t="s">
        <v>30</v>
      </c>
      <c r="D26" s="49" t="s">
        <v>15</v>
      </c>
      <c r="E26" s="7">
        <f>80*10^6</f>
        <v>80000000</v>
      </c>
      <c r="F26" s="7" t="s">
        <v>4</v>
      </c>
      <c r="G26" s="7">
        <f>9*10^5</f>
        <v>900000</v>
      </c>
      <c r="H26" s="7" t="s">
        <v>4</v>
      </c>
      <c r="I26" s="7" t="s">
        <v>4</v>
      </c>
      <c r="J26" s="8" t="s">
        <v>4</v>
      </c>
      <c r="O26" s="55" t="s">
        <v>69</v>
      </c>
      <c r="P26" s="7">
        <v>1.69</v>
      </c>
      <c r="Q26" s="7">
        <v>1.1399999999999999</v>
      </c>
      <c r="R26" s="8">
        <v>0.8</v>
      </c>
      <c r="AI26" s="49"/>
    </row>
    <row r="27" spans="2:35" x14ac:dyDescent="0.3">
      <c r="C27" s="55"/>
      <c r="D27" s="49" t="s">
        <v>13</v>
      </c>
      <c r="E27" s="7">
        <f>61*10^6</f>
        <v>61000000</v>
      </c>
      <c r="F27" s="7">
        <f>72*10^5</f>
        <v>7200000</v>
      </c>
      <c r="G27" s="7">
        <f>190*10^5</f>
        <v>19000000</v>
      </c>
      <c r="H27" s="7">
        <f>122*10^5</f>
        <v>12200000</v>
      </c>
      <c r="I27" s="7">
        <f>100*10^5</f>
        <v>10000000</v>
      </c>
      <c r="J27" s="8">
        <f>92*10^5</f>
        <v>9200000</v>
      </c>
      <c r="O27" s="56" t="s">
        <v>59</v>
      </c>
      <c r="P27" s="10">
        <v>1.5</v>
      </c>
      <c r="Q27" s="10">
        <v>1.22</v>
      </c>
      <c r="R27" s="11">
        <v>1.08</v>
      </c>
      <c r="AI27" s="49"/>
    </row>
    <row r="28" spans="2:35" x14ac:dyDescent="0.3">
      <c r="C28" s="55" t="s">
        <v>69</v>
      </c>
      <c r="D28" s="49" t="s">
        <v>60</v>
      </c>
      <c r="E28" s="7">
        <f>67*10^6</f>
        <v>67000000</v>
      </c>
      <c r="F28" s="7" t="s">
        <v>4</v>
      </c>
      <c r="G28" s="7">
        <f>188*10^5</f>
        <v>18800000</v>
      </c>
      <c r="H28" s="7" t="s">
        <v>4</v>
      </c>
      <c r="I28" s="7">
        <f>320*10^3</f>
        <v>320000</v>
      </c>
      <c r="J28" s="8" t="s">
        <v>4</v>
      </c>
      <c r="AI28" s="49"/>
    </row>
    <row r="29" spans="2:35" x14ac:dyDescent="0.3">
      <c r="C29" s="55"/>
      <c r="D29" s="49">
        <v>3610</v>
      </c>
      <c r="E29" s="7">
        <f>120*10^4</f>
        <v>1200000</v>
      </c>
      <c r="F29" s="7">
        <f>56*10^3</f>
        <v>56000</v>
      </c>
      <c r="G29" s="7">
        <f>80*10^4</f>
        <v>800000</v>
      </c>
      <c r="H29" s="7">
        <f>110*10^3</f>
        <v>110000</v>
      </c>
      <c r="I29" s="7">
        <f>51*10^3</f>
        <v>51000</v>
      </c>
      <c r="J29" s="8">
        <f>48*10^3</f>
        <v>48000</v>
      </c>
      <c r="AI29" s="49"/>
    </row>
    <row r="30" spans="2:35" x14ac:dyDescent="0.3">
      <c r="C30" s="55" t="s">
        <v>59</v>
      </c>
      <c r="D30" s="49" t="s">
        <v>60</v>
      </c>
      <c r="E30" s="7">
        <f>70*10^6</f>
        <v>70000000</v>
      </c>
      <c r="F30" s="7" t="s">
        <v>4</v>
      </c>
      <c r="G30" s="7">
        <f>48*10^6</f>
        <v>48000000</v>
      </c>
      <c r="H30" s="7" t="s">
        <v>4</v>
      </c>
      <c r="I30" s="7">
        <f>46*10^4</f>
        <v>460000</v>
      </c>
      <c r="J30" s="8" t="s">
        <v>4</v>
      </c>
      <c r="AI30" s="49"/>
    </row>
    <row r="31" spans="2:35" x14ac:dyDescent="0.3">
      <c r="C31" s="56"/>
      <c r="D31" s="50" t="s">
        <v>13</v>
      </c>
      <c r="E31" s="10">
        <f>160*10^6</f>
        <v>160000000</v>
      </c>
      <c r="F31" s="10">
        <f>132*10^3</f>
        <v>132000</v>
      </c>
      <c r="G31" s="10">
        <f>15*10^5</f>
        <v>1500000</v>
      </c>
      <c r="H31" s="10">
        <f>170*10^3</f>
        <v>170000</v>
      </c>
      <c r="I31" s="10">
        <f>26*10^4</f>
        <v>260000</v>
      </c>
      <c r="J31" s="11">
        <f>20*10^4</f>
        <v>200000</v>
      </c>
      <c r="R31" s="1"/>
      <c r="S31" s="1"/>
      <c r="AI31" s="49"/>
    </row>
    <row r="32" spans="2:35" x14ac:dyDescent="0.3">
      <c r="AI32" s="50"/>
    </row>
    <row r="36" spans="2:19" x14ac:dyDescent="0.3">
      <c r="B36" t="s">
        <v>74</v>
      </c>
      <c r="E36" s="1" t="s">
        <v>62</v>
      </c>
      <c r="G36" s="1" t="s">
        <v>63</v>
      </c>
      <c r="I36" s="1" t="s">
        <v>64</v>
      </c>
      <c r="N36" t="s">
        <v>74</v>
      </c>
    </row>
    <row r="37" spans="2:19" x14ac:dyDescent="0.3">
      <c r="C37" s="54" t="s">
        <v>70</v>
      </c>
      <c r="D37" s="48" t="s">
        <v>71</v>
      </c>
      <c r="E37" s="4" t="s">
        <v>11</v>
      </c>
      <c r="F37" s="4" t="s">
        <v>12</v>
      </c>
      <c r="G37" s="4" t="s">
        <v>11</v>
      </c>
      <c r="H37" s="4" t="s">
        <v>12</v>
      </c>
      <c r="I37" s="4" t="s">
        <v>11</v>
      </c>
      <c r="J37" s="5" t="s">
        <v>12</v>
      </c>
      <c r="O37" s="3"/>
      <c r="P37" s="4" t="s">
        <v>62</v>
      </c>
      <c r="Q37" s="43" t="s">
        <v>63</v>
      </c>
      <c r="R37" s="44" t="s">
        <v>64</v>
      </c>
    </row>
    <row r="38" spans="2:19" x14ac:dyDescent="0.3">
      <c r="C38" s="55" t="s">
        <v>15</v>
      </c>
      <c r="D38" s="49" t="s">
        <v>15</v>
      </c>
      <c r="E38" s="7">
        <f>228*10^6</f>
        <v>228000000</v>
      </c>
      <c r="F38" s="7" t="s">
        <v>4</v>
      </c>
      <c r="G38" s="7">
        <f>46*10^5</f>
        <v>4600000</v>
      </c>
      <c r="H38" s="7" t="s">
        <v>4</v>
      </c>
      <c r="I38" s="7">
        <f>33*10^5</f>
        <v>3300000</v>
      </c>
      <c r="J38" s="8" t="s">
        <v>4</v>
      </c>
      <c r="O38" s="55" t="s">
        <v>15</v>
      </c>
      <c r="P38" s="7">
        <v>1.03</v>
      </c>
      <c r="Q38" s="7">
        <v>1.05</v>
      </c>
      <c r="R38" s="8">
        <v>0.83</v>
      </c>
    </row>
    <row r="39" spans="2:19" x14ac:dyDescent="0.3">
      <c r="C39" s="55" t="s">
        <v>65</v>
      </c>
      <c r="D39" s="49" t="s">
        <v>65</v>
      </c>
      <c r="E39" s="7">
        <f>81*10^6</f>
        <v>81000000</v>
      </c>
      <c r="F39" s="7" t="s">
        <v>4</v>
      </c>
      <c r="G39" s="7">
        <f>19*10^5</f>
        <v>1900000</v>
      </c>
      <c r="H39" s="7" t="s">
        <v>4</v>
      </c>
      <c r="I39" s="7">
        <f>33*10^3</f>
        <v>33000</v>
      </c>
      <c r="J39" s="8" t="s">
        <v>4</v>
      </c>
      <c r="O39" s="55" t="s">
        <v>65</v>
      </c>
      <c r="P39" s="7">
        <v>1.24</v>
      </c>
      <c r="Q39" s="7">
        <v>1.1399999999999999</v>
      </c>
      <c r="R39" s="8">
        <v>0.98</v>
      </c>
      <c r="S39" s="1"/>
    </row>
    <row r="40" spans="2:19" x14ac:dyDescent="0.3">
      <c r="C40" s="55">
        <v>3610</v>
      </c>
      <c r="D40" s="49">
        <v>3610</v>
      </c>
      <c r="E40" s="7">
        <f>39*10^6</f>
        <v>39000000</v>
      </c>
      <c r="F40" s="7">
        <f>77*10^3</f>
        <v>77000</v>
      </c>
      <c r="G40" s="7">
        <f>82*10^4</f>
        <v>820000</v>
      </c>
      <c r="H40" s="7">
        <f>114*10^3</f>
        <v>114000</v>
      </c>
      <c r="I40" s="7">
        <f>33*10^4</f>
        <v>330000</v>
      </c>
      <c r="J40" s="8">
        <f>31*10^4</f>
        <v>310000</v>
      </c>
      <c r="O40" s="55">
        <v>3610</v>
      </c>
      <c r="P40" s="7">
        <v>0.75</v>
      </c>
      <c r="Q40" s="7">
        <v>1.08</v>
      </c>
      <c r="R40" s="8">
        <v>1.03</v>
      </c>
    </row>
    <row r="41" spans="2:19" x14ac:dyDescent="0.3">
      <c r="C41" s="55" t="s">
        <v>13</v>
      </c>
      <c r="D41" s="49" t="s">
        <v>13</v>
      </c>
      <c r="E41" s="7">
        <f>80*10^6</f>
        <v>80000000</v>
      </c>
      <c r="F41" s="7">
        <f>191*10^5</f>
        <v>19100000</v>
      </c>
      <c r="G41" s="7">
        <f>122*10^4</f>
        <v>1220000</v>
      </c>
      <c r="H41" s="7">
        <f>112*10^3</f>
        <v>112000</v>
      </c>
      <c r="I41" s="7">
        <f>86*10^4</f>
        <v>860000</v>
      </c>
      <c r="J41" s="8">
        <f>180*10^3</f>
        <v>180000</v>
      </c>
      <c r="O41" s="55" t="s">
        <v>13</v>
      </c>
      <c r="P41" s="7">
        <v>0.56000000000000005</v>
      </c>
      <c r="Q41" s="7">
        <v>1.03</v>
      </c>
      <c r="R41" s="8">
        <v>0.47</v>
      </c>
    </row>
    <row r="42" spans="2:19" x14ac:dyDescent="0.3">
      <c r="C42" s="55" t="s">
        <v>66</v>
      </c>
      <c r="D42" s="49" t="s">
        <v>15</v>
      </c>
      <c r="E42" s="7">
        <f>96*10^6</f>
        <v>96000000</v>
      </c>
      <c r="F42" s="7" t="s">
        <v>4</v>
      </c>
      <c r="G42" s="7">
        <f>56*10^6</f>
        <v>56000000</v>
      </c>
      <c r="H42" s="7" t="s">
        <v>4</v>
      </c>
      <c r="I42" s="7">
        <f>122*10^4</f>
        <v>1220000</v>
      </c>
      <c r="J42" s="8" t="s">
        <v>4</v>
      </c>
      <c r="O42" s="55" t="s">
        <v>44</v>
      </c>
      <c r="P42" s="7">
        <v>0.9</v>
      </c>
      <c r="Q42" s="7">
        <v>1.1100000000000001</v>
      </c>
      <c r="R42" s="8">
        <v>1.1000000000000001</v>
      </c>
    </row>
    <row r="43" spans="2:19" x14ac:dyDescent="0.3">
      <c r="C43" s="55"/>
      <c r="D43" s="49">
        <v>3610</v>
      </c>
      <c r="E43" s="7">
        <f>50*10^6</f>
        <v>50000000</v>
      </c>
      <c r="F43" s="7">
        <f>8*10^4</f>
        <v>80000</v>
      </c>
      <c r="G43" s="7">
        <f>140*10^4</f>
        <v>1400000</v>
      </c>
      <c r="H43" s="7">
        <f>97*10^4</f>
        <v>970000</v>
      </c>
      <c r="I43" s="7">
        <f>53*10^4</f>
        <v>530000</v>
      </c>
      <c r="J43" s="8">
        <f>40*10^4</f>
        <v>400000</v>
      </c>
      <c r="O43" s="55" t="s">
        <v>30</v>
      </c>
      <c r="P43" s="7">
        <v>0.71</v>
      </c>
      <c r="Q43" s="7">
        <v>0.76</v>
      </c>
      <c r="R43" s="8">
        <v>0.64</v>
      </c>
    </row>
    <row r="44" spans="2:19" x14ac:dyDescent="0.3">
      <c r="C44" s="55" t="s">
        <v>67</v>
      </c>
      <c r="D44" s="49" t="s">
        <v>15</v>
      </c>
      <c r="E44" s="7">
        <f>150*10^6</f>
        <v>150000000</v>
      </c>
      <c r="F44" s="7" t="s">
        <v>4</v>
      </c>
      <c r="G44" s="7">
        <f>170*10^4</f>
        <v>1700000</v>
      </c>
      <c r="H44" s="7" t="s">
        <v>4</v>
      </c>
      <c r="I44" s="7">
        <f>12*10^3</f>
        <v>12000</v>
      </c>
      <c r="J44" s="8" t="s">
        <v>4</v>
      </c>
      <c r="O44" s="55" t="s">
        <v>69</v>
      </c>
      <c r="P44" s="7">
        <v>1.72</v>
      </c>
      <c r="Q44" s="7">
        <v>1.19</v>
      </c>
      <c r="R44" s="8">
        <v>1.1000000000000001</v>
      </c>
    </row>
    <row r="45" spans="2:19" x14ac:dyDescent="0.3">
      <c r="C45" s="55"/>
      <c r="D45" s="49" t="s">
        <v>13</v>
      </c>
      <c r="E45" s="7">
        <f>46*10^6</f>
        <v>46000000</v>
      </c>
      <c r="F45" s="7">
        <f>60*10^3</f>
        <v>60000</v>
      </c>
      <c r="G45" s="7">
        <f>79*10^4</f>
        <v>790000</v>
      </c>
      <c r="H45" s="7">
        <f>66*10^4</f>
        <v>660000</v>
      </c>
      <c r="I45" s="7">
        <f>240*10^3</f>
        <v>240000</v>
      </c>
      <c r="J45" s="8">
        <f>190*10^3</f>
        <v>190000</v>
      </c>
      <c r="O45" s="56" t="s">
        <v>59</v>
      </c>
      <c r="P45" s="10">
        <v>1.44</v>
      </c>
      <c r="Q45" s="10">
        <v>1.31</v>
      </c>
      <c r="R45" s="11">
        <v>1.1100000000000001</v>
      </c>
    </row>
    <row r="46" spans="2:19" x14ac:dyDescent="0.3">
      <c r="C46" s="55" t="s">
        <v>69</v>
      </c>
      <c r="D46" s="49" t="s">
        <v>60</v>
      </c>
      <c r="E46" s="7">
        <f>80*10^6</f>
        <v>80000000</v>
      </c>
      <c r="F46" s="7" t="s">
        <v>4</v>
      </c>
      <c r="G46" s="7">
        <f>201*10^5</f>
        <v>20100000</v>
      </c>
      <c r="H46" s="7" t="s">
        <v>4</v>
      </c>
      <c r="I46" s="7">
        <f>275*10^3</f>
        <v>275000</v>
      </c>
      <c r="J46" s="8" t="s">
        <v>4</v>
      </c>
    </row>
    <row r="47" spans="2:19" x14ac:dyDescent="0.3">
      <c r="C47" s="55"/>
      <c r="D47" s="49">
        <v>3610</v>
      </c>
      <c r="E47" s="7">
        <f>25*10^5</f>
        <v>2500000</v>
      </c>
      <c r="F47" s="7">
        <f>78*10^3</f>
        <v>78000</v>
      </c>
      <c r="G47" s="7">
        <f>75*10^4</f>
        <v>750000</v>
      </c>
      <c r="H47" s="7">
        <f>90*10^3</f>
        <v>90000</v>
      </c>
      <c r="I47" s="7">
        <f>41*10^3</f>
        <v>41000</v>
      </c>
      <c r="J47" s="8">
        <f>39*10^3</f>
        <v>39000</v>
      </c>
    </row>
    <row r="48" spans="2:19" x14ac:dyDescent="0.3">
      <c r="C48" s="55" t="s">
        <v>68</v>
      </c>
      <c r="D48" s="49" t="s">
        <v>60</v>
      </c>
      <c r="E48" s="7">
        <f>92*10^6</f>
        <v>92000000</v>
      </c>
      <c r="F48" s="7" t="s">
        <v>4</v>
      </c>
      <c r="G48" s="7">
        <f>54*10^6</f>
        <v>54000000</v>
      </c>
      <c r="H48" s="7" t="s">
        <v>4</v>
      </c>
      <c r="I48" s="7">
        <f>4*10^3</f>
        <v>4000</v>
      </c>
      <c r="J48" s="8" t="s">
        <v>4</v>
      </c>
    </row>
    <row r="49" spans="2:18" x14ac:dyDescent="0.3">
      <c r="C49" s="56"/>
      <c r="D49" s="50" t="s">
        <v>13</v>
      </c>
      <c r="E49" s="10">
        <f>12*10^5</f>
        <v>1200000</v>
      </c>
      <c r="F49" s="10">
        <f>171*10^3</f>
        <v>171000</v>
      </c>
      <c r="G49" s="10">
        <f>80*10^4</f>
        <v>800000</v>
      </c>
      <c r="H49" s="10">
        <f>110*10^3</f>
        <v>110000</v>
      </c>
      <c r="I49" s="10">
        <f>112*10^3</f>
        <v>112000</v>
      </c>
      <c r="J49" s="11">
        <f>102*10^3</f>
        <v>102000</v>
      </c>
    </row>
    <row r="54" spans="2:18" x14ac:dyDescent="0.3">
      <c r="B54" t="s">
        <v>75</v>
      </c>
      <c r="E54" s="1" t="s">
        <v>62</v>
      </c>
      <c r="G54" s="1" t="s">
        <v>63</v>
      </c>
      <c r="I54" s="1" t="s">
        <v>64</v>
      </c>
      <c r="N54" t="s">
        <v>75</v>
      </c>
    </row>
    <row r="55" spans="2:18" x14ac:dyDescent="0.3">
      <c r="C55" s="54" t="s">
        <v>70</v>
      </c>
      <c r="D55" s="48" t="s">
        <v>71</v>
      </c>
      <c r="E55" s="4" t="s">
        <v>11</v>
      </c>
      <c r="F55" s="4" t="s">
        <v>12</v>
      </c>
      <c r="G55" s="4" t="s">
        <v>11</v>
      </c>
      <c r="H55" s="4" t="s">
        <v>12</v>
      </c>
      <c r="I55" s="4" t="s">
        <v>11</v>
      </c>
      <c r="J55" s="5" t="s">
        <v>12</v>
      </c>
      <c r="O55" s="3"/>
      <c r="P55" s="4" t="s">
        <v>62</v>
      </c>
      <c r="Q55" s="43" t="s">
        <v>63</v>
      </c>
      <c r="R55" s="44" t="s">
        <v>64</v>
      </c>
    </row>
    <row r="56" spans="2:18" x14ac:dyDescent="0.3">
      <c r="C56" s="55" t="s">
        <v>15</v>
      </c>
      <c r="D56" s="49" t="s">
        <v>15</v>
      </c>
      <c r="E56" s="7">
        <f>400*10^6</f>
        <v>400000000</v>
      </c>
      <c r="F56" s="7" t="s">
        <v>4</v>
      </c>
      <c r="G56" s="7">
        <f>56*10^5</f>
        <v>5600000</v>
      </c>
      <c r="H56" s="7" t="s">
        <v>4</v>
      </c>
      <c r="I56" s="7">
        <f>78*10^4</f>
        <v>780000</v>
      </c>
      <c r="J56" s="8" t="s">
        <v>4</v>
      </c>
      <c r="O56" s="55" t="s">
        <v>15</v>
      </c>
      <c r="P56" s="7">
        <v>0.66</v>
      </c>
      <c r="Q56" s="7">
        <v>1.02</v>
      </c>
      <c r="R56" s="8">
        <v>1.1399999999999999</v>
      </c>
    </row>
    <row r="57" spans="2:18" x14ac:dyDescent="0.3">
      <c r="C57" s="55" t="s">
        <v>65</v>
      </c>
      <c r="D57" s="49" t="s">
        <v>65</v>
      </c>
      <c r="E57" s="7">
        <f>152*10^6</f>
        <v>152000000</v>
      </c>
      <c r="F57" s="7" t="s">
        <v>4</v>
      </c>
      <c r="G57" s="7">
        <f>14*10^5</f>
        <v>1400000</v>
      </c>
      <c r="H57" s="7" t="s">
        <v>4</v>
      </c>
      <c r="I57" s="7">
        <f>22*10^3</f>
        <v>22000</v>
      </c>
      <c r="J57" s="8" t="s">
        <v>4</v>
      </c>
      <c r="O57" s="55" t="s">
        <v>65</v>
      </c>
      <c r="P57" s="7">
        <v>0.98</v>
      </c>
      <c r="Q57" s="7">
        <v>1.41</v>
      </c>
      <c r="R57" s="8">
        <v>1.1200000000000001</v>
      </c>
    </row>
    <row r="58" spans="2:18" x14ac:dyDescent="0.3">
      <c r="C58" s="55">
        <v>3610</v>
      </c>
      <c r="D58" s="49">
        <v>3610</v>
      </c>
      <c r="E58" s="7">
        <f>240*10^6</f>
        <v>240000000</v>
      </c>
      <c r="F58" s="7">
        <f>80*10^4</f>
        <v>800000</v>
      </c>
      <c r="G58" s="7">
        <f>96*10^5</f>
        <v>9600000</v>
      </c>
      <c r="H58" s="7">
        <f>69*10^4</f>
        <v>690000</v>
      </c>
      <c r="I58" s="7">
        <f>38*10^4</f>
        <v>380000</v>
      </c>
      <c r="J58" s="8">
        <f>123*10^3</f>
        <v>123000</v>
      </c>
      <c r="O58" s="55">
        <v>3610</v>
      </c>
      <c r="P58" s="7">
        <v>1.1000000000000001</v>
      </c>
      <c r="Q58" s="7">
        <v>1.21</v>
      </c>
      <c r="R58" s="8">
        <v>1.07</v>
      </c>
    </row>
    <row r="59" spans="2:18" x14ac:dyDescent="0.3">
      <c r="C59" s="55" t="s">
        <v>13</v>
      </c>
      <c r="D59" s="49" t="s">
        <v>13</v>
      </c>
      <c r="E59" s="7">
        <f>102*10^6</f>
        <v>102000000</v>
      </c>
      <c r="F59" s="7">
        <f>198*10^5</f>
        <v>19800000</v>
      </c>
      <c r="G59" s="7">
        <f>166*10^3</f>
        <v>166000</v>
      </c>
      <c r="H59" s="7">
        <f>86*10^3</f>
        <v>86000</v>
      </c>
      <c r="I59" s="7">
        <f>104*10^4</f>
        <v>1040000</v>
      </c>
      <c r="J59" s="8">
        <f>40*10^4</f>
        <v>400000</v>
      </c>
      <c r="O59" s="55" t="s">
        <v>13</v>
      </c>
      <c r="P59" s="7">
        <v>1.08</v>
      </c>
      <c r="Q59" s="7">
        <v>1.43</v>
      </c>
      <c r="R59" s="8">
        <v>1.34</v>
      </c>
    </row>
    <row r="60" spans="2:18" x14ac:dyDescent="0.3">
      <c r="C60" s="55" t="s">
        <v>66</v>
      </c>
      <c r="D60" s="49" t="s">
        <v>15</v>
      </c>
      <c r="E60" s="7">
        <f>160*10^6</f>
        <v>160000000</v>
      </c>
      <c r="F60" s="7" t="s">
        <v>4</v>
      </c>
      <c r="G60" s="7">
        <f>244*10^5</f>
        <v>24400000</v>
      </c>
      <c r="H60" s="7" t="s">
        <v>4</v>
      </c>
      <c r="I60" s="7">
        <f>94*10^5</f>
        <v>9400000</v>
      </c>
      <c r="J60" s="8" t="s">
        <v>4</v>
      </c>
      <c r="O60" s="55" t="s">
        <v>44</v>
      </c>
      <c r="P60" s="7">
        <v>1.22</v>
      </c>
      <c r="Q60" s="7">
        <v>1.1299999999999999</v>
      </c>
      <c r="R60" s="8">
        <v>1.04</v>
      </c>
    </row>
    <row r="61" spans="2:18" x14ac:dyDescent="0.3">
      <c r="C61" s="55"/>
      <c r="D61" s="49">
        <v>3610</v>
      </c>
      <c r="E61" s="7">
        <f>288*10^5</f>
        <v>28800000</v>
      </c>
      <c r="F61" s="7">
        <f>19*10^4</f>
        <v>190000</v>
      </c>
      <c r="G61" s="7">
        <f>10*10^4</f>
        <v>100000</v>
      </c>
      <c r="H61" s="7">
        <f>20*10^3</f>
        <v>20000</v>
      </c>
      <c r="I61" s="7">
        <f>39*10^5</f>
        <v>3900000</v>
      </c>
      <c r="J61" s="8">
        <f>23*10^5</f>
        <v>2300000</v>
      </c>
      <c r="O61" s="55" t="s">
        <v>30</v>
      </c>
      <c r="P61" s="7">
        <v>1.04</v>
      </c>
      <c r="Q61" s="7">
        <v>1.01</v>
      </c>
      <c r="R61" s="8">
        <v>0.75</v>
      </c>
    </row>
    <row r="62" spans="2:18" x14ac:dyDescent="0.3">
      <c r="C62" s="55" t="s">
        <v>67</v>
      </c>
      <c r="D62" s="49" t="s">
        <v>15</v>
      </c>
      <c r="E62" s="7">
        <f>110*10^6</f>
        <v>110000000</v>
      </c>
      <c r="F62" s="7" t="s">
        <v>4</v>
      </c>
      <c r="G62" s="7">
        <f>680*10^4</f>
        <v>6800000</v>
      </c>
      <c r="H62" s="7" t="s">
        <v>4</v>
      </c>
      <c r="I62" s="7">
        <f>46*10^4</f>
        <v>460000</v>
      </c>
      <c r="J62" s="8" t="s">
        <v>4</v>
      </c>
      <c r="O62" s="55" t="s">
        <v>69</v>
      </c>
      <c r="P62" s="7">
        <v>1.8</v>
      </c>
      <c r="Q62" s="7">
        <v>1.34</v>
      </c>
      <c r="R62" s="8">
        <v>0.92</v>
      </c>
    </row>
    <row r="63" spans="2:18" x14ac:dyDescent="0.3">
      <c r="C63" s="55"/>
      <c r="D63" s="49" t="s">
        <v>13</v>
      </c>
      <c r="E63" s="7">
        <f>66*10^6</f>
        <v>66000000</v>
      </c>
      <c r="F63" s="7">
        <f>60*10^3</f>
        <v>60000</v>
      </c>
      <c r="G63" s="7">
        <f>31*10^4</f>
        <v>310000</v>
      </c>
      <c r="H63" s="7">
        <f>150*10^3</f>
        <v>150000</v>
      </c>
      <c r="I63" s="7">
        <f>26*10^4</f>
        <v>260000</v>
      </c>
      <c r="J63" s="8">
        <f>130*10^3</f>
        <v>130000</v>
      </c>
      <c r="O63" s="56" t="s">
        <v>59</v>
      </c>
      <c r="P63" s="10">
        <v>1.6</v>
      </c>
      <c r="Q63" s="10">
        <v>1.1499999999999999</v>
      </c>
      <c r="R63" s="11">
        <v>1.1399999999999999</v>
      </c>
    </row>
    <row r="64" spans="2:18" x14ac:dyDescent="0.3">
      <c r="C64" s="55" t="s">
        <v>69</v>
      </c>
      <c r="D64" s="49" t="s">
        <v>60</v>
      </c>
      <c r="E64" s="7">
        <f>152*10^6</f>
        <v>152000000</v>
      </c>
      <c r="F64" s="7" t="s">
        <v>4</v>
      </c>
      <c r="G64" s="7">
        <f>73*10^6</f>
        <v>73000000</v>
      </c>
      <c r="H64" s="7" t="s">
        <v>4</v>
      </c>
      <c r="I64" s="7">
        <f>46*10^4</f>
        <v>460000</v>
      </c>
      <c r="J64" s="8" t="s">
        <v>4</v>
      </c>
    </row>
    <row r="65" spans="3:10" x14ac:dyDescent="0.3">
      <c r="C65" s="55"/>
      <c r="D65" s="49">
        <v>3610</v>
      </c>
      <c r="E65" s="7">
        <f>65*10^5</f>
        <v>6500000</v>
      </c>
      <c r="F65" s="7">
        <f>49*10^3</f>
        <v>49000</v>
      </c>
      <c r="G65" s="7">
        <f>35*10^4</f>
        <v>350000</v>
      </c>
      <c r="H65" s="7">
        <f>31*10^3</f>
        <v>31000</v>
      </c>
      <c r="I65" s="7">
        <f>44*10^3</f>
        <v>44000</v>
      </c>
      <c r="J65" s="8">
        <f>28*10^3</f>
        <v>28000</v>
      </c>
    </row>
    <row r="66" spans="3:10" x14ac:dyDescent="0.3">
      <c r="C66" s="55" t="s">
        <v>68</v>
      </c>
      <c r="D66" s="49" t="s">
        <v>60</v>
      </c>
      <c r="E66" s="7">
        <f>71*10^6</f>
        <v>71000000</v>
      </c>
      <c r="F66" s="7" t="s">
        <v>4</v>
      </c>
      <c r="G66" s="7">
        <f>480*10^5</f>
        <v>48000000</v>
      </c>
      <c r="H66" s="7" t="s">
        <v>4</v>
      </c>
      <c r="I66" s="7">
        <f>46*10^4</f>
        <v>460000</v>
      </c>
      <c r="J66" s="8" t="s">
        <v>4</v>
      </c>
    </row>
    <row r="67" spans="3:10" x14ac:dyDescent="0.3">
      <c r="C67" s="56"/>
      <c r="D67" s="50" t="s">
        <v>13</v>
      </c>
      <c r="E67" s="10">
        <f>160*10^4</f>
        <v>1600000</v>
      </c>
      <c r="F67" s="10">
        <f>132*10^3</f>
        <v>132000</v>
      </c>
      <c r="G67" s="10">
        <f>15*10^5</f>
        <v>1500000</v>
      </c>
      <c r="H67" s="10">
        <f>17*10^4</f>
        <v>170000</v>
      </c>
      <c r="I67" s="10">
        <f>26*10^4</f>
        <v>260000</v>
      </c>
      <c r="J67" s="11">
        <f>20*10^4</f>
        <v>200000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O2" sqref="O2:P20"/>
    </sheetView>
  </sheetViews>
  <sheetFormatPr baseColWidth="10" defaultRowHeight="14.4" x14ac:dyDescent="0.3"/>
  <sheetData>
    <row r="1" spans="1:15" x14ac:dyDescent="0.3">
      <c r="A1" s="24" t="s">
        <v>11</v>
      </c>
      <c r="G1" s="65" t="s">
        <v>44</v>
      </c>
      <c r="H1" s="66"/>
      <c r="I1" s="63" t="s">
        <v>30</v>
      </c>
      <c r="J1" s="63"/>
      <c r="K1" s="63" t="s">
        <v>69</v>
      </c>
      <c r="L1" s="63"/>
      <c r="M1" s="63" t="s">
        <v>59</v>
      </c>
      <c r="N1" s="64"/>
    </row>
    <row r="2" spans="1:15" x14ac:dyDescent="0.3">
      <c r="B2" s="3" t="s">
        <v>9</v>
      </c>
      <c r="C2" s="4" t="s">
        <v>15</v>
      </c>
      <c r="D2" s="48" t="s">
        <v>65</v>
      </c>
      <c r="E2" s="4">
        <v>3610</v>
      </c>
      <c r="F2" s="48" t="s">
        <v>13</v>
      </c>
      <c r="G2" s="12" t="s">
        <v>78</v>
      </c>
      <c r="H2" s="69">
        <v>3610</v>
      </c>
      <c r="I2" s="3" t="s">
        <v>78</v>
      </c>
      <c r="J2" s="58" t="s">
        <v>13</v>
      </c>
      <c r="K2" s="3" t="s">
        <v>79</v>
      </c>
      <c r="L2" s="5">
        <v>3610</v>
      </c>
      <c r="M2" s="4" t="s">
        <v>79</v>
      </c>
      <c r="N2" s="58" t="s">
        <v>13</v>
      </c>
    </row>
    <row r="3" spans="1:15" x14ac:dyDescent="0.3">
      <c r="B3" s="6">
        <v>1</v>
      </c>
      <c r="C3" s="57">
        <v>3100000</v>
      </c>
      <c r="D3" s="57">
        <f>19*10^6</f>
        <v>19000000</v>
      </c>
      <c r="E3" s="57">
        <v>260000</v>
      </c>
      <c r="F3" s="57">
        <v>70000</v>
      </c>
      <c r="G3" s="70">
        <v>23200000</v>
      </c>
      <c r="H3" s="71">
        <v>3000</v>
      </c>
      <c r="I3" s="74">
        <v>17000000</v>
      </c>
      <c r="J3" s="59">
        <v>30000</v>
      </c>
      <c r="K3" s="74">
        <v>26000000</v>
      </c>
      <c r="L3" s="59">
        <v>14000</v>
      </c>
      <c r="M3" s="57">
        <f>44*10^6</f>
        <v>44000000</v>
      </c>
      <c r="N3" s="59">
        <f>25*10^4</f>
        <v>250000</v>
      </c>
    </row>
    <row r="4" spans="1:15" x14ac:dyDescent="0.3">
      <c r="B4" s="6">
        <v>2</v>
      </c>
      <c r="C4" s="57">
        <v>46000000</v>
      </c>
      <c r="D4" s="57">
        <f>39*10^6</f>
        <v>39000000</v>
      </c>
      <c r="E4" s="57">
        <v>360000</v>
      </c>
      <c r="F4" s="57">
        <v>20000</v>
      </c>
      <c r="G4" s="70">
        <v>42000000</v>
      </c>
      <c r="H4" s="71">
        <v>6000</v>
      </c>
      <c r="I4" s="74">
        <v>83000000</v>
      </c>
      <c r="J4" s="59">
        <v>30000</v>
      </c>
      <c r="K4" s="74">
        <v>13000000</v>
      </c>
      <c r="L4" s="59">
        <v>20000</v>
      </c>
      <c r="M4" s="57">
        <f>52*10^6</f>
        <v>52000000</v>
      </c>
      <c r="N4" s="59">
        <f>72*10^4</f>
        <v>720000</v>
      </c>
    </row>
    <row r="5" spans="1:15" x14ac:dyDescent="0.3">
      <c r="B5" s="9">
        <v>3</v>
      </c>
      <c r="C5" s="60">
        <v>155000000</v>
      </c>
      <c r="D5" s="60">
        <f>36*10^6</f>
        <v>36000000</v>
      </c>
      <c r="E5" s="60">
        <v>250000</v>
      </c>
      <c r="F5" s="60">
        <v>30000</v>
      </c>
      <c r="G5" s="72">
        <v>7700000</v>
      </c>
      <c r="H5" s="73">
        <v>4000</v>
      </c>
      <c r="I5" s="75">
        <f>44*10^6</f>
        <v>44000000</v>
      </c>
      <c r="J5" s="61">
        <v>20000</v>
      </c>
      <c r="K5" s="74">
        <v>15800000</v>
      </c>
      <c r="L5" s="59">
        <v>32000</v>
      </c>
      <c r="M5" s="60">
        <f>16*10^6</f>
        <v>16000000</v>
      </c>
      <c r="N5" s="61">
        <f>2*10^4</f>
        <v>20000</v>
      </c>
    </row>
    <row r="7" spans="1:15" x14ac:dyDescent="0.3">
      <c r="G7" s="57"/>
    </row>
    <row r="8" spans="1:15" x14ac:dyDescent="0.3">
      <c r="A8" s="24" t="s">
        <v>12</v>
      </c>
      <c r="G8" s="62" t="s">
        <v>44</v>
      </c>
      <c r="H8" s="64"/>
      <c r="I8" s="63" t="s">
        <v>30</v>
      </c>
      <c r="J8" s="63"/>
      <c r="K8" s="63" t="s">
        <v>69</v>
      </c>
      <c r="L8" s="63"/>
      <c r="M8" s="63" t="s">
        <v>59</v>
      </c>
      <c r="N8" s="64"/>
    </row>
    <row r="9" spans="1:15" x14ac:dyDescent="0.3">
      <c r="B9" s="3" t="s">
        <v>9</v>
      </c>
      <c r="C9" s="4" t="s">
        <v>15</v>
      </c>
      <c r="D9" s="48" t="s">
        <v>65</v>
      </c>
      <c r="E9" s="4">
        <v>3610</v>
      </c>
      <c r="F9" s="48" t="s">
        <v>13</v>
      </c>
      <c r="G9" s="3" t="s">
        <v>78</v>
      </c>
      <c r="H9" s="69">
        <v>3610</v>
      </c>
      <c r="I9" s="3" t="s">
        <v>78</v>
      </c>
      <c r="J9" s="58" t="s">
        <v>13</v>
      </c>
      <c r="K9" s="3" t="s">
        <v>79</v>
      </c>
      <c r="L9" s="5">
        <v>3610</v>
      </c>
      <c r="M9" s="4" t="s">
        <v>79</v>
      </c>
      <c r="N9" s="58" t="s">
        <v>13</v>
      </c>
      <c r="O9" s="87"/>
    </row>
    <row r="10" spans="1:15" x14ac:dyDescent="0.3">
      <c r="B10" s="6">
        <v>1</v>
      </c>
      <c r="C10" s="57" t="s">
        <v>4</v>
      </c>
      <c r="D10" s="57" t="s">
        <v>4</v>
      </c>
      <c r="E10" s="57">
        <v>240000</v>
      </c>
      <c r="F10" s="67">
        <v>20000</v>
      </c>
      <c r="G10" s="74" t="s">
        <v>4</v>
      </c>
      <c r="H10" s="71">
        <v>2400</v>
      </c>
      <c r="I10" s="74" t="s">
        <v>4</v>
      </c>
      <c r="J10" s="59">
        <v>28000</v>
      </c>
      <c r="K10" s="74" t="s">
        <v>4</v>
      </c>
      <c r="L10" s="59">
        <f>80*10^2</f>
        <v>8000</v>
      </c>
      <c r="M10" s="57" t="s">
        <v>4</v>
      </c>
      <c r="N10" s="59">
        <f>40*10^3</f>
        <v>40000</v>
      </c>
      <c r="O10" s="87"/>
    </row>
    <row r="11" spans="1:15" x14ac:dyDescent="0.3">
      <c r="B11" s="6">
        <v>2</v>
      </c>
      <c r="C11" s="57" t="s">
        <v>4</v>
      </c>
      <c r="D11" s="57" t="s">
        <v>4</v>
      </c>
      <c r="E11" s="57">
        <v>300000</v>
      </c>
      <c r="F11" s="67">
        <v>12000</v>
      </c>
      <c r="G11" s="74" t="s">
        <v>4</v>
      </c>
      <c r="H11" s="71">
        <v>5800</v>
      </c>
      <c r="I11" s="74" t="s">
        <v>4</v>
      </c>
      <c r="J11" s="59">
        <v>28000</v>
      </c>
      <c r="K11" s="74" t="s">
        <v>4</v>
      </c>
      <c r="L11" s="59">
        <f>9*10^3</f>
        <v>9000</v>
      </c>
      <c r="M11" s="57" t="s">
        <v>4</v>
      </c>
      <c r="N11" s="59">
        <f>65*10^3</f>
        <v>65000</v>
      </c>
      <c r="O11" s="87"/>
    </row>
    <row r="12" spans="1:15" x14ac:dyDescent="0.3">
      <c r="B12" s="9">
        <v>3</v>
      </c>
      <c r="C12" s="60" t="s">
        <v>4</v>
      </c>
      <c r="D12" s="60" t="s">
        <v>4</v>
      </c>
      <c r="E12" s="60">
        <v>230000</v>
      </c>
      <c r="F12" s="68">
        <v>15000</v>
      </c>
      <c r="G12" s="75" t="s">
        <v>4</v>
      </c>
      <c r="H12" s="61">
        <v>3700</v>
      </c>
      <c r="I12" s="75" t="s">
        <v>4</v>
      </c>
      <c r="J12" s="61">
        <v>14000</v>
      </c>
      <c r="K12" s="75" t="s">
        <v>4</v>
      </c>
      <c r="L12" s="61">
        <f>80*10^2</f>
        <v>8000</v>
      </c>
      <c r="M12" s="60" t="s">
        <v>4</v>
      </c>
      <c r="N12" s="61">
        <f>25*10^2</f>
        <v>2500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workbookViewId="0">
      <selection activeCell="A18" sqref="A18"/>
    </sheetView>
  </sheetViews>
  <sheetFormatPr baseColWidth="10" defaultRowHeight="14.4" x14ac:dyDescent="0.3"/>
  <sheetData>
    <row r="2" spans="1:12" x14ac:dyDescent="0.3">
      <c r="A2" s="76" t="s">
        <v>15</v>
      </c>
      <c r="B2" s="3" t="s">
        <v>9</v>
      </c>
      <c r="C2" s="4" t="s">
        <v>62</v>
      </c>
      <c r="D2" s="4" t="s">
        <v>80</v>
      </c>
      <c r="E2" s="4" t="s">
        <v>81</v>
      </c>
      <c r="F2" s="4" t="s">
        <v>82</v>
      </c>
      <c r="G2" s="4" t="s">
        <v>83</v>
      </c>
      <c r="H2" s="4" t="s">
        <v>84</v>
      </c>
      <c r="I2" s="4" t="s">
        <v>85</v>
      </c>
      <c r="J2" s="4" t="s">
        <v>86</v>
      </c>
      <c r="K2" s="4" t="s">
        <v>87</v>
      </c>
      <c r="L2" s="5" t="s">
        <v>0</v>
      </c>
    </row>
    <row r="3" spans="1:12" x14ac:dyDescent="0.3">
      <c r="B3" s="6">
        <v>1</v>
      </c>
      <c r="C3" s="7">
        <v>9.1999999999999998E-2</v>
      </c>
      <c r="D3" s="7">
        <v>0.124</v>
      </c>
      <c r="E3" s="7">
        <v>0.21299999999999999</v>
      </c>
      <c r="F3" s="7">
        <v>0.50600000000000001</v>
      </c>
      <c r="G3" s="7">
        <v>1.44</v>
      </c>
      <c r="H3" s="7">
        <v>2.2999999999999998</v>
      </c>
      <c r="I3" s="7">
        <v>3.03</v>
      </c>
      <c r="J3" s="7">
        <v>3.55</v>
      </c>
      <c r="K3" s="7">
        <v>3.93</v>
      </c>
      <c r="L3" s="8">
        <v>3.5</v>
      </c>
    </row>
    <row r="4" spans="1:12" x14ac:dyDescent="0.3">
      <c r="B4" s="6">
        <v>2</v>
      </c>
      <c r="C4" s="7">
        <v>8.5000000000000006E-2</v>
      </c>
      <c r="D4" s="7">
        <v>0.13600000000000001</v>
      </c>
      <c r="E4" s="7">
        <v>0.20100000000000001</v>
      </c>
      <c r="F4" s="7">
        <v>0.46800000000000003</v>
      </c>
      <c r="G4" s="7">
        <v>1.33</v>
      </c>
      <c r="H4" s="7">
        <v>2.15</v>
      </c>
      <c r="I4" s="7">
        <v>2.81</v>
      </c>
      <c r="J4" s="7">
        <v>3.45</v>
      </c>
      <c r="K4" s="7">
        <v>4.01</v>
      </c>
      <c r="L4" s="8">
        <v>3.8</v>
      </c>
    </row>
    <row r="5" spans="1:12" x14ac:dyDescent="0.3">
      <c r="B5" s="9">
        <v>3</v>
      </c>
      <c r="C5" s="10">
        <v>0.10199999999999999</v>
      </c>
      <c r="D5" s="10">
        <v>0.104</v>
      </c>
      <c r="E5" s="10">
        <v>0.188</v>
      </c>
      <c r="F5" s="10">
        <v>0.45</v>
      </c>
      <c r="G5" s="10">
        <v>1.29</v>
      </c>
      <c r="H5" s="10">
        <v>2.2000000000000002</v>
      </c>
      <c r="I5" s="10">
        <v>3.13</v>
      </c>
      <c r="J5" s="10">
        <v>3.65</v>
      </c>
      <c r="K5" s="10">
        <v>4.12</v>
      </c>
      <c r="L5" s="11">
        <v>3.6</v>
      </c>
    </row>
    <row r="10" spans="1:12" x14ac:dyDescent="0.3">
      <c r="A10" s="76">
        <v>3610</v>
      </c>
      <c r="B10" s="3" t="s">
        <v>9</v>
      </c>
      <c r="C10" s="4" t="s">
        <v>62</v>
      </c>
      <c r="D10" s="4" t="s">
        <v>80</v>
      </c>
      <c r="E10" s="4" t="s">
        <v>81</v>
      </c>
      <c r="F10" s="4" t="s">
        <v>82</v>
      </c>
      <c r="G10" s="4" t="s">
        <v>83</v>
      </c>
      <c r="H10" s="4" t="s">
        <v>84</v>
      </c>
      <c r="I10" s="4" t="s">
        <v>85</v>
      </c>
      <c r="J10" s="4" t="s">
        <v>86</v>
      </c>
      <c r="K10" s="4" t="s">
        <v>87</v>
      </c>
      <c r="L10" s="5" t="s">
        <v>0</v>
      </c>
    </row>
    <row r="11" spans="1:12" x14ac:dyDescent="0.3">
      <c r="B11" s="6">
        <v>1</v>
      </c>
      <c r="C11" s="7">
        <v>8.5000000000000006E-2</v>
      </c>
      <c r="D11" s="7">
        <v>8.4000000000000005E-2</v>
      </c>
      <c r="E11" s="7">
        <v>0.29199999999999998</v>
      </c>
      <c r="F11" s="7">
        <v>0.67</v>
      </c>
      <c r="G11" s="7">
        <v>1.67</v>
      </c>
      <c r="H11" s="7">
        <v>2.25</v>
      </c>
      <c r="I11" s="7">
        <v>2.65</v>
      </c>
      <c r="J11" s="7">
        <v>2.4500000000000002</v>
      </c>
      <c r="K11" s="7">
        <v>3.5</v>
      </c>
      <c r="L11" s="8">
        <v>3.9</v>
      </c>
    </row>
    <row r="12" spans="1:12" x14ac:dyDescent="0.3">
      <c r="B12" s="6">
        <v>2</v>
      </c>
      <c r="C12" s="7">
        <v>0.105</v>
      </c>
      <c r="D12" s="7">
        <v>0.12</v>
      </c>
      <c r="E12" s="7">
        <v>0.33</v>
      </c>
      <c r="F12" s="7">
        <v>0.72</v>
      </c>
      <c r="G12" s="7">
        <v>1.5</v>
      </c>
      <c r="H12" s="7">
        <v>2.35</v>
      </c>
      <c r="I12" s="7">
        <v>2.8</v>
      </c>
      <c r="J12" s="7">
        <v>2.9</v>
      </c>
      <c r="K12" s="7">
        <v>3.7</v>
      </c>
      <c r="L12" s="8">
        <v>4.0999999999999996</v>
      </c>
    </row>
    <row r="13" spans="1:12" x14ac:dyDescent="0.3">
      <c r="B13" s="9">
        <v>3</v>
      </c>
      <c r="C13" s="10">
        <v>9.9000000000000005E-2</v>
      </c>
      <c r="D13" s="10">
        <v>0.115</v>
      </c>
      <c r="E13" s="10">
        <v>0.29899999999999999</v>
      </c>
      <c r="F13" s="10">
        <v>0.61</v>
      </c>
      <c r="G13" s="10">
        <v>1.8</v>
      </c>
      <c r="H13" s="10">
        <v>2.4</v>
      </c>
      <c r="I13" s="10">
        <v>2.9</v>
      </c>
      <c r="J13" s="10">
        <v>2.8</v>
      </c>
      <c r="K13" s="10">
        <v>3.6</v>
      </c>
      <c r="L13" s="11">
        <v>3.7</v>
      </c>
    </row>
    <row r="18" spans="1:12" x14ac:dyDescent="0.3">
      <c r="A18" s="76" t="s">
        <v>88</v>
      </c>
      <c r="B18" s="3" t="s">
        <v>9</v>
      </c>
      <c r="C18" s="4" t="s">
        <v>62</v>
      </c>
      <c r="D18" s="4" t="s">
        <v>80</v>
      </c>
      <c r="E18" s="4" t="s">
        <v>81</v>
      </c>
      <c r="F18" s="4" t="s">
        <v>82</v>
      </c>
      <c r="G18" s="4" t="s">
        <v>83</v>
      </c>
      <c r="H18" s="4" t="s">
        <v>84</v>
      </c>
      <c r="I18" s="4" t="s">
        <v>85</v>
      </c>
      <c r="J18" s="4" t="s">
        <v>86</v>
      </c>
      <c r="K18" s="4" t="s">
        <v>87</v>
      </c>
      <c r="L18" s="5" t="s">
        <v>0</v>
      </c>
    </row>
    <row r="19" spans="1:12" x14ac:dyDescent="0.3">
      <c r="B19" s="6">
        <v>1</v>
      </c>
      <c r="C19" s="7">
        <v>9.6000000000000002E-2</v>
      </c>
      <c r="D19" s="7">
        <v>0.108</v>
      </c>
      <c r="E19" s="7">
        <v>0.32900000000000001</v>
      </c>
      <c r="F19" s="7">
        <v>0.61899999999999999</v>
      </c>
      <c r="G19" s="7">
        <v>1.71</v>
      </c>
      <c r="H19" s="7">
        <v>2.5099999999999998</v>
      </c>
      <c r="I19" s="7">
        <v>3.24</v>
      </c>
      <c r="J19" s="7">
        <v>2.83</v>
      </c>
      <c r="K19" s="7">
        <v>4.2</v>
      </c>
      <c r="L19" s="8">
        <v>3.8</v>
      </c>
    </row>
    <row r="20" spans="1:12" x14ac:dyDescent="0.3">
      <c r="B20" s="6">
        <v>2</v>
      </c>
      <c r="C20" s="7">
        <v>8.4000000000000005E-2</v>
      </c>
      <c r="D20" s="7">
        <v>9.9000000000000005E-2</v>
      </c>
      <c r="E20" s="7">
        <v>0.28699999999999998</v>
      </c>
      <c r="F20" s="7">
        <v>0.55600000000000005</v>
      </c>
      <c r="G20" s="7">
        <v>1.61</v>
      </c>
      <c r="H20" s="7">
        <v>2.31</v>
      </c>
      <c r="I20" s="7">
        <v>3.01</v>
      </c>
      <c r="J20" s="7">
        <v>3.15</v>
      </c>
      <c r="K20" s="7">
        <v>3.8</v>
      </c>
      <c r="L20" s="8">
        <v>3.6</v>
      </c>
    </row>
    <row r="21" spans="1:12" x14ac:dyDescent="0.3">
      <c r="B21" s="9">
        <v>3</v>
      </c>
      <c r="C21" s="10">
        <v>9.0999999999999998E-2</v>
      </c>
      <c r="D21" s="10">
        <v>0.11899999999999999</v>
      </c>
      <c r="E21" s="10">
        <v>0.33600000000000002</v>
      </c>
      <c r="F21" s="10">
        <v>0.58899999999999997</v>
      </c>
      <c r="G21" s="10">
        <v>1.83</v>
      </c>
      <c r="H21" s="10">
        <v>2.4</v>
      </c>
      <c r="I21" s="10">
        <v>3.15</v>
      </c>
      <c r="J21" s="10">
        <v>2.9</v>
      </c>
      <c r="K21" s="10">
        <v>3.6</v>
      </c>
      <c r="L21" s="11">
        <v>3.9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/>
  </sheetViews>
  <sheetFormatPr baseColWidth="10" defaultRowHeight="14.4" x14ac:dyDescent="0.3"/>
  <sheetData>
    <row r="1" spans="1:7" x14ac:dyDescent="0.3">
      <c r="A1" s="2" t="s">
        <v>8</v>
      </c>
    </row>
    <row r="2" spans="1:7" x14ac:dyDescent="0.3">
      <c r="A2" s="2" t="s">
        <v>11</v>
      </c>
      <c r="B2" t="s">
        <v>9</v>
      </c>
      <c r="C2" t="s">
        <v>10</v>
      </c>
      <c r="D2" t="s">
        <v>0</v>
      </c>
      <c r="E2" t="s">
        <v>1</v>
      </c>
      <c r="F2" t="s">
        <v>2</v>
      </c>
      <c r="G2" t="s">
        <v>3</v>
      </c>
    </row>
    <row r="3" spans="1:7" x14ac:dyDescent="0.3">
      <c r="A3" s="3" t="s">
        <v>5</v>
      </c>
      <c r="B3" s="4">
        <v>1</v>
      </c>
      <c r="C3" s="4" t="s">
        <v>15</v>
      </c>
      <c r="D3" s="4">
        <f>178*10^7</f>
        <v>1780000000</v>
      </c>
      <c r="E3" s="4">
        <f>184*10^7</f>
        <v>1840000000</v>
      </c>
      <c r="F3" s="4">
        <f>160*10^7</f>
        <v>1600000000</v>
      </c>
      <c r="G3" s="5">
        <f>315*10^7</f>
        <v>3150000000</v>
      </c>
    </row>
    <row r="4" spans="1:7" x14ac:dyDescent="0.3">
      <c r="A4" s="6"/>
      <c r="B4" s="7"/>
      <c r="C4" s="7">
        <v>3610</v>
      </c>
      <c r="D4" s="7">
        <v>0</v>
      </c>
      <c r="E4" s="7">
        <v>0</v>
      </c>
      <c r="F4" s="7">
        <v>0</v>
      </c>
      <c r="G4" s="8">
        <v>0</v>
      </c>
    </row>
    <row r="5" spans="1:7" x14ac:dyDescent="0.3">
      <c r="A5" s="6"/>
      <c r="B5" s="7">
        <v>2</v>
      </c>
      <c r="C5" s="7" t="s">
        <v>15</v>
      </c>
      <c r="D5" s="7">
        <f>336*10^7</f>
        <v>3360000000</v>
      </c>
      <c r="E5" s="7">
        <f>100*10^7</f>
        <v>1000000000</v>
      </c>
      <c r="F5" s="7">
        <f>84*10^7</f>
        <v>840000000</v>
      </c>
      <c r="G5" s="8">
        <f>300*10^7</f>
        <v>3000000000</v>
      </c>
    </row>
    <row r="6" spans="1:7" x14ac:dyDescent="0.3">
      <c r="A6" s="6"/>
      <c r="B6" s="7"/>
      <c r="C6" s="7">
        <v>3610</v>
      </c>
      <c r="D6" s="7">
        <v>0</v>
      </c>
      <c r="E6" s="7">
        <v>0</v>
      </c>
      <c r="F6" s="7">
        <v>0</v>
      </c>
      <c r="G6" s="8">
        <v>0</v>
      </c>
    </row>
    <row r="7" spans="1:7" x14ac:dyDescent="0.3">
      <c r="A7" s="6"/>
      <c r="B7" s="7">
        <v>3</v>
      </c>
      <c r="C7" s="7" t="s">
        <v>15</v>
      </c>
      <c r="D7" s="7">
        <f>254*10^7</f>
        <v>2540000000</v>
      </c>
      <c r="E7" s="7">
        <f>152*10^7</f>
        <v>1520000000</v>
      </c>
      <c r="F7" s="7">
        <f>240*10^7</f>
        <v>2400000000</v>
      </c>
      <c r="G7" s="8">
        <f>329*10^7</f>
        <v>3290000000</v>
      </c>
    </row>
    <row r="8" spans="1:7" x14ac:dyDescent="0.3">
      <c r="A8" s="9"/>
      <c r="B8" s="10"/>
      <c r="C8" s="10">
        <v>3610</v>
      </c>
      <c r="D8" s="10">
        <v>0</v>
      </c>
      <c r="E8" s="10">
        <v>0</v>
      </c>
      <c r="F8" s="10">
        <v>0</v>
      </c>
      <c r="G8" s="11">
        <v>0</v>
      </c>
    </row>
    <row r="9" spans="1:7" x14ac:dyDescent="0.3">
      <c r="A9" s="3" t="s">
        <v>6</v>
      </c>
      <c r="B9" s="4">
        <v>1</v>
      </c>
      <c r="C9" s="4" t="s">
        <v>15</v>
      </c>
      <c r="D9" s="4">
        <f>71*10^6</f>
        <v>71000000</v>
      </c>
      <c r="E9" s="4">
        <f>80*10^6</f>
        <v>80000000</v>
      </c>
      <c r="F9" s="4">
        <f>80*10^6</f>
        <v>80000000</v>
      </c>
      <c r="G9" s="5">
        <f>168*10^6</f>
        <v>168000000</v>
      </c>
    </row>
    <row r="10" spans="1:7" x14ac:dyDescent="0.3">
      <c r="A10" s="6"/>
      <c r="B10" s="7"/>
      <c r="C10" s="7">
        <v>3610</v>
      </c>
      <c r="D10" s="7">
        <f>5*10^5</f>
        <v>500000</v>
      </c>
      <c r="E10" s="7">
        <f>32*10^4</f>
        <v>320000</v>
      </c>
      <c r="F10" s="7">
        <f>35*10^5</f>
        <v>3500000</v>
      </c>
      <c r="G10" s="8">
        <f>19*10^6</f>
        <v>19000000</v>
      </c>
    </row>
    <row r="11" spans="1:7" x14ac:dyDescent="0.3">
      <c r="A11" s="6"/>
      <c r="B11" s="7">
        <v>2</v>
      </c>
      <c r="C11" s="7" t="s">
        <v>15</v>
      </c>
      <c r="D11" s="7">
        <f>82*10^6</f>
        <v>82000000</v>
      </c>
      <c r="E11" s="7">
        <f>142*10^6</f>
        <v>142000000</v>
      </c>
      <c r="F11" s="7">
        <f>60*10^6</f>
        <v>60000000</v>
      </c>
      <c r="G11" s="8">
        <f>104*10^6</f>
        <v>104000000</v>
      </c>
    </row>
    <row r="12" spans="1:7" x14ac:dyDescent="0.3">
      <c r="A12" s="6"/>
      <c r="B12" s="7"/>
      <c r="C12" s="7">
        <v>3610</v>
      </c>
      <c r="D12" s="7">
        <f>29*10^5</f>
        <v>2900000</v>
      </c>
      <c r="E12" s="7">
        <f>8*10^4</f>
        <v>80000</v>
      </c>
      <c r="F12" s="7">
        <f>46*10^5</f>
        <v>4600000</v>
      </c>
      <c r="G12" s="8">
        <f>18*10^6</f>
        <v>18000000</v>
      </c>
    </row>
    <row r="13" spans="1:7" x14ac:dyDescent="0.3">
      <c r="A13" s="6"/>
      <c r="B13" s="7">
        <v>3</v>
      </c>
      <c r="C13" s="7" t="s">
        <v>15</v>
      </c>
      <c r="D13" s="7">
        <f>88*10^6</f>
        <v>88000000</v>
      </c>
      <c r="E13" s="7">
        <f>80*10^6</f>
        <v>80000000</v>
      </c>
      <c r="F13" s="7">
        <f>160*10^5</f>
        <v>16000000</v>
      </c>
      <c r="G13" s="8">
        <f>1120*10^6</f>
        <v>1120000000</v>
      </c>
    </row>
    <row r="14" spans="1:7" x14ac:dyDescent="0.3">
      <c r="A14" s="9"/>
      <c r="B14" s="10"/>
      <c r="C14" s="10">
        <v>3610</v>
      </c>
      <c r="D14" s="10">
        <f>41*10^5</f>
        <v>4100000</v>
      </c>
      <c r="E14" s="10">
        <f>30*10^4</f>
        <v>300000</v>
      </c>
      <c r="F14" s="10">
        <f>16*10^5</f>
        <v>1600000</v>
      </c>
      <c r="G14" s="11">
        <f>45*10^6</f>
        <v>45000000</v>
      </c>
    </row>
    <row r="15" spans="1:7" x14ac:dyDescent="0.3">
      <c r="A15" s="12" t="s">
        <v>7</v>
      </c>
      <c r="B15" s="13">
        <v>1</v>
      </c>
      <c r="C15" s="13" t="s">
        <v>15</v>
      </c>
      <c r="D15" s="13">
        <v>0</v>
      </c>
      <c r="E15" s="13">
        <v>0</v>
      </c>
      <c r="F15" s="19">
        <v>0</v>
      </c>
      <c r="G15" s="20">
        <f>2*10^4</f>
        <v>20000</v>
      </c>
    </row>
    <row r="16" spans="1:7" x14ac:dyDescent="0.3">
      <c r="A16" s="14"/>
      <c r="B16" s="15"/>
      <c r="C16" s="15">
        <v>3610</v>
      </c>
      <c r="D16" s="15">
        <f>22*10^7</f>
        <v>220000000</v>
      </c>
      <c r="E16" s="15">
        <f>24*10^7</f>
        <v>240000000</v>
      </c>
      <c r="F16" s="21">
        <f>206*10^6</f>
        <v>206000000</v>
      </c>
      <c r="G16" s="22">
        <f>46*10^7</f>
        <v>460000000</v>
      </c>
    </row>
    <row r="17" spans="1:7" x14ac:dyDescent="0.3">
      <c r="A17" s="14"/>
      <c r="B17" s="15">
        <v>2</v>
      </c>
      <c r="C17" s="15" t="s">
        <v>15</v>
      </c>
      <c r="D17" s="15">
        <v>0</v>
      </c>
      <c r="E17" s="15">
        <v>0</v>
      </c>
      <c r="F17" s="21">
        <v>0</v>
      </c>
      <c r="G17" s="22">
        <f>46*10^3</f>
        <v>46000</v>
      </c>
    </row>
    <row r="18" spans="1:7" x14ac:dyDescent="0.3">
      <c r="A18" s="14"/>
      <c r="B18" s="15"/>
      <c r="C18" s="15">
        <v>3610</v>
      </c>
      <c r="D18" s="15">
        <f>37*10^7</f>
        <v>370000000</v>
      </c>
      <c r="E18" s="15">
        <f>35*10^7</f>
        <v>350000000</v>
      </c>
      <c r="F18" s="21">
        <f>134*10^6</f>
        <v>134000000</v>
      </c>
      <c r="G18" s="22">
        <f>30*10^7</f>
        <v>300000000</v>
      </c>
    </row>
    <row r="19" spans="1:7" x14ac:dyDescent="0.3">
      <c r="A19" s="14"/>
      <c r="B19" s="15">
        <v>3</v>
      </c>
      <c r="C19" s="15" t="s">
        <v>15</v>
      </c>
      <c r="D19" s="15">
        <v>0</v>
      </c>
      <c r="E19" s="15">
        <v>0</v>
      </c>
      <c r="F19" s="21">
        <v>0</v>
      </c>
      <c r="G19" s="22">
        <f>5*10^3</f>
        <v>5000</v>
      </c>
    </row>
    <row r="20" spans="1:7" x14ac:dyDescent="0.3">
      <c r="A20" s="16"/>
      <c r="B20" s="17"/>
      <c r="C20" s="17">
        <v>3610</v>
      </c>
      <c r="D20" s="17">
        <f>15*10^7</f>
        <v>150000000</v>
      </c>
      <c r="E20" s="17">
        <f>22*10^7</f>
        <v>220000000</v>
      </c>
      <c r="F20" s="17">
        <f>176*10^6</f>
        <v>176000000</v>
      </c>
      <c r="G20" s="18">
        <f>21*10^7</f>
        <v>210000000</v>
      </c>
    </row>
    <row r="23" spans="1:7" x14ac:dyDescent="0.3">
      <c r="A23" s="24" t="s">
        <v>12</v>
      </c>
      <c r="B23" t="s">
        <v>9</v>
      </c>
      <c r="C23" t="s">
        <v>10</v>
      </c>
      <c r="D23" t="s">
        <v>0</v>
      </c>
      <c r="E23" t="s">
        <v>1</v>
      </c>
      <c r="F23" t="s">
        <v>2</v>
      </c>
      <c r="G23" t="s">
        <v>3</v>
      </c>
    </row>
    <row r="24" spans="1:7" x14ac:dyDescent="0.3">
      <c r="A24" s="3" t="s">
        <v>5</v>
      </c>
      <c r="B24" s="4">
        <v>1</v>
      </c>
      <c r="C24" s="4" t="s">
        <v>15</v>
      </c>
      <c r="D24" s="4" t="s">
        <v>4</v>
      </c>
      <c r="E24" s="4" t="s">
        <v>4</v>
      </c>
      <c r="F24" s="4" t="s">
        <v>4</v>
      </c>
      <c r="G24" s="5" t="s">
        <v>4</v>
      </c>
    </row>
    <row r="25" spans="1:7" x14ac:dyDescent="0.3">
      <c r="A25" s="6"/>
      <c r="B25" s="7"/>
      <c r="C25" s="7">
        <v>3610</v>
      </c>
      <c r="D25" s="7" t="s">
        <v>4</v>
      </c>
      <c r="E25" s="7" t="s">
        <v>4</v>
      </c>
      <c r="F25" s="7" t="s">
        <v>4</v>
      </c>
      <c r="G25" s="8" t="s">
        <v>4</v>
      </c>
    </row>
    <row r="26" spans="1:7" x14ac:dyDescent="0.3">
      <c r="A26" s="6"/>
      <c r="B26" s="7">
        <v>2</v>
      </c>
      <c r="C26" s="7" t="s">
        <v>15</v>
      </c>
      <c r="D26" s="7" t="s">
        <v>4</v>
      </c>
      <c r="E26" s="7" t="s">
        <v>4</v>
      </c>
      <c r="F26" s="7" t="s">
        <v>4</v>
      </c>
      <c r="G26" s="8" t="s">
        <v>4</v>
      </c>
    </row>
    <row r="27" spans="1:7" x14ac:dyDescent="0.3">
      <c r="A27" s="6"/>
      <c r="B27" s="7"/>
      <c r="C27" s="7">
        <v>3610</v>
      </c>
      <c r="D27" s="7" t="s">
        <v>4</v>
      </c>
      <c r="E27" s="7" t="s">
        <v>4</v>
      </c>
      <c r="F27" s="7" t="s">
        <v>4</v>
      </c>
      <c r="G27" s="8" t="s">
        <v>4</v>
      </c>
    </row>
    <row r="28" spans="1:7" x14ac:dyDescent="0.3">
      <c r="A28" s="6"/>
      <c r="B28" s="7">
        <v>3</v>
      </c>
      <c r="C28" s="7" t="s">
        <v>15</v>
      </c>
      <c r="D28" s="7" t="s">
        <v>4</v>
      </c>
      <c r="E28" s="7" t="s">
        <v>4</v>
      </c>
      <c r="F28" s="7" t="s">
        <v>4</v>
      </c>
      <c r="G28" s="8" t="s">
        <v>4</v>
      </c>
    </row>
    <row r="29" spans="1:7" x14ac:dyDescent="0.3">
      <c r="A29" s="9"/>
      <c r="B29" s="10"/>
      <c r="C29" s="10">
        <v>3610</v>
      </c>
      <c r="D29" s="10" t="s">
        <v>4</v>
      </c>
      <c r="E29" s="10" t="s">
        <v>4</v>
      </c>
      <c r="F29" s="10" t="s">
        <v>4</v>
      </c>
      <c r="G29" s="11" t="s">
        <v>4</v>
      </c>
    </row>
    <row r="30" spans="1:7" x14ac:dyDescent="0.3">
      <c r="A30" s="3" t="s">
        <v>6</v>
      </c>
      <c r="B30" s="4">
        <v>1</v>
      </c>
      <c r="C30" s="4" t="s">
        <v>15</v>
      </c>
      <c r="D30" s="4" t="s">
        <v>4</v>
      </c>
      <c r="E30" s="4" t="s">
        <v>4</v>
      </c>
      <c r="F30" s="4" t="s">
        <v>4</v>
      </c>
      <c r="G30" s="5" t="s">
        <v>4</v>
      </c>
    </row>
    <row r="31" spans="1:7" x14ac:dyDescent="0.3">
      <c r="A31" s="6"/>
      <c r="B31" s="7"/>
      <c r="C31" s="7">
        <v>3610</v>
      </c>
      <c r="D31" s="7">
        <f>35*10^4</f>
        <v>350000</v>
      </c>
      <c r="E31" s="7">
        <f>28*10^4</f>
        <v>280000</v>
      </c>
      <c r="F31" s="7">
        <f>30*10^5</f>
        <v>3000000</v>
      </c>
      <c r="G31" s="8">
        <f>180*10^5</f>
        <v>18000000</v>
      </c>
    </row>
    <row r="32" spans="1:7" x14ac:dyDescent="0.3">
      <c r="A32" s="6"/>
      <c r="B32" s="7">
        <v>2</v>
      </c>
      <c r="C32" s="7" t="s">
        <v>15</v>
      </c>
      <c r="D32" s="7" t="s">
        <v>4</v>
      </c>
      <c r="E32" s="7" t="s">
        <v>4</v>
      </c>
      <c r="F32" s="7" t="s">
        <v>4</v>
      </c>
      <c r="G32" s="8" t="s">
        <v>4</v>
      </c>
    </row>
    <row r="33" spans="1:7" x14ac:dyDescent="0.3">
      <c r="A33" s="6"/>
      <c r="B33" s="7"/>
      <c r="C33" s="7">
        <v>3610</v>
      </c>
      <c r="D33" s="7">
        <f>20*10^4</f>
        <v>200000</v>
      </c>
      <c r="E33" s="7">
        <f>70*10^3</f>
        <v>70000</v>
      </c>
      <c r="F33" s="7">
        <f>35*10^5</f>
        <v>3500000</v>
      </c>
      <c r="G33" s="8">
        <f>130*10^5</f>
        <v>13000000</v>
      </c>
    </row>
    <row r="34" spans="1:7" x14ac:dyDescent="0.3">
      <c r="A34" s="6"/>
      <c r="B34" s="7">
        <v>3</v>
      </c>
      <c r="C34" s="7" t="s">
        <v>15</v>
      </c>
      <c r="D34" s="7" t="s">
        <v>4</v>
      </c>
      <c r="E34" s="7" t="s">
        <v>4</v>
      </c>
      <c r="F34" s="7" t="s">
        <v>4</v>
      </c>
      <c r="G34" s="8" t="s">
        <v>4</v>
      </c>
    </row>
    <row r="35" spans="1:7" x14ac:dyDescent="0.3">
      <c r="A35" s="9"/>
      <c r="B35" s="10"/>
      <c r="C35" s="10">
        <v>3610</v>
      </c>
      <c r="D35" s="10">
        <f>50*10^4</f>
        <v>500000</v>
      </c>
      <c r="E35" s="10">
        <f>29*10^4</f>
        <v>290000</v>
      </c>
      <c r="F35" s="25">
        <f>14*10^5</f>
        <v>1400000</v>
      </c>
      <c r="G35" s="23">
        <f>31*10^6</f>
        <v>31000000</v>
      </c>
    </row>
    <row r="36" spans="1:7" x14ac:dyDescent="0.3">
      <c r="A36" s="12" t="s">
        <v>7</v>
      </c>
      <c r="B36" s="4">
        <v>1</v>
      </c>
      <c r="C36" s="4" t="s">
        <v>15</v>
      </c>
      <c r="D36" s="4" t="s">
        <v>4</v>
      </c>
      <c r="E36" s="4" t="s">
        <v>4</v>
      </c>
      <c r="F36" s="4" t="s">
        <v>4</v>
      </c>
      <c r="G36" s="5" t="s">
        <v>4</v>
      </c>
    </row>
    <row r="37" spans="1:7" x14ac:dyDescent="0.3">
      <c r="A37" s="14"/>
      <c r="B37" s="7"/>
      <c r="C37" s="7">
        <v>3610</v>
      </c>
      <c r="D37" s="7">
        <f>25*10^6</f>
        <v>25000000</v>
      </c>
      <c r="E37" s="7">
        <f>198*10^6</f>
        <v>198000000</v>
      </c>
      <c r="F37" s="7">
        <f>152*10^6</f>
        <v>152000000</v>
      </c>
      <c r="G37" s="8">
        <f>29*10^7</f>
        <v>290000000</v>
      </c>
    </row>
    <row r="38" spans="1:7" x14ac:dyDescent="0.3">
      <c r="A38" s="14"/>
      <c r="B38" s="7">
        <v>2</v>
      </c>
      <c r="C38" s="7" t="s">
        <v>15</v>
      </c>
      <c r="D38" s="7" t="s">
        <v>4</v>
      </c>
      <c r="E38" s="7" t="s">
        <v>4</v>
      </c>
      <c r="F38" s="7" t="s">
        <v>4</v>
      </c>
      <c r="G38" s="8" t="s">
        <v>4</v>
      </c>
    </row>
    <row r="39" spans="1:7" x14ac:dyDescent="0.3">
      <c r="A39" s="14"/>
      <c r="B39" s="7"/>
      <c r="C39" s="7">
        <v>3610</v>
      </c>
      <c r="D39" s="7">
        <f>35*10^6</f>
        <v>35000000</v>
      </c>
      <c r="E39" s="7">
        <f>25*10^7</f>
        <v>250000000</v>
      </c>
      <c r="F39" s="7">
        <f>80*10^6</f>
        <v>80000000</v>
      </c>
      <c r="G39" s="8">
        <f>240*10^6</f>
        <v>240000000</v>
      </c>
    </row>
    <row r="40" spans="1:7" x14ac:dyDescent="0.3">
      <c r="A40" s="14"/>
      <c r="B40" s="7">
        <v>3</v>
      </c>
      <c r="C40" s="7" t="s">
        <v>15</v>
      </c>
      <c r="D40" s="7" t="s">
        <v>4</v>
      </c>
      <c r="E40" s="7" t="s">
        <v>4</v>
      </c>
      <c r="F40" s="7" t="s">
        <v>4</v>
      </c>
      <c r="G40" s="8" t="s">
        <v>4</v>
      </c>
    </row>
    <row r="41" spans="1:7" x14ac:dyDescent="0.3">
      <c r="A41" s="16"/>
      <c r="B41" s="10"/>
      <c r="C41" s="10">
        <v>3610</v>
      </c>
      <c r="D41" s="10">
        <f>120*10^5</f>
        <v>12000000</v>
      </c>
      <c r="E41" s="10">
        <f>188*10^6</f>
        <v>188000000</v>
      </c>
      <c r="F41" s="10">
        <f>114*10^6</f>
        <v>114000000</v>
      </c>
      <c r="G41" s="11">
        <f>140*10^6</f>
        <v>140000000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Figure 2</vt:lpstr>
      <vt:lpstr>Figure 3</vt:lpstr>
      <vt:lpstr>Figure 5</vt:lpstr>
      <vt:lpstr>Figure 6</vt:lpstr>
      <vt:lpstr>Figure 7</vt:lpstr>
      <vt:lpstr>Figure 8</vt:lpstr>
      <vt:lpstr>Figure 9</vt:lpstr>
      <vt:lpstr>Supplementary Figure 2</vt:lpstr>
      <vt:lpstr>Supplementary Figure 5</vt:lpstr>
      <vt:lpstr>Supplementary Figure 6</vt:lpstr>
      <vt:lpstr>Supplementary Figure 7</vt:lpstr>
      <vt:lpstr>Supplementary Figure 8</vt:lpstr>
      <vt:lpstr>Supplementary Figure 19</vt:lpstr>
      <vt:lpstr>Supplementary Figure 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molina santiago</dc:creator>
  <cp:lastModifiedBy>carlos molina santiago</cp:lastModifiedBy>
  <dcterms:created xsi:type="dcterms:W3CDTF">2019-03-25T14:11:42Z</dcterms:created>
  <dcterms:modified xsi:type="dcterms:W3CDTF">2019-03-26T19:41:37Z</dcterms:modified>
</cp:coreProperties>
</file>