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rmied/Dropbox/WORK/PROJECTS/ANCESTRY_projects/PAPER_PRS_ancestry/SUBMISSION/THIRD_sub_Nature/RESUB/FINAL_NCOMMS_RESUB_2/SUBMITTED/"/>
    </mc:Choice>
  </mc:AlternateContent>
  <xr:revisionPtr revIDLastSave="0" documentId="13_ncr:1_{3A0EA0F6-6864-8D46-9136-E9329DBD430E}" xr6:coauthVersionLast="36" xr6:coauthVersionMax="36" xr10:uidLastSave="{00000000-0000-0000-0000-000000000000}"/>
  <bookViews>
    <workbookView xWindow="18400" yWindow="4380" windowWidth="51180" windowHeight="22340" xr2:uid="{E8EDA668-870E-49DA-8274-B45882A9638F}"/>
  </bookViews>
  <sheets>
    <sheet name="MAIN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5" i="1" l="1"/>
  <c r="R15" i="1" l="1"/>
  <c r="S34" i="1" l="1"/>
  <c r="J32" i="1" l="1"/>
  <c r="I33" i="1"/>
  <c r="K33" i="1"/>
  <c r="M33" i="1"/>
  <c r="J33" i="1"/>
  <c r="M31" i="1"/>
  <c r="K31" i="1"/>
  <c r="J31" i="1"/>
  <c r="I31" i="1"/>
  <c r="R27" i="1"/>
  <c r="R18" i="1"/>
  <c r="R12" i="1"/>
  <c r="R7" i="1"/>
  <c r="I35" i="1" l="1"/>
  <c r="Q31" i="1"/>
  <c r="R32" i="1"/>
  <c r="Q32" i="1"/>
  <c r="Q33" i="1"/>
  <c r="R31" i="1"/>
  <c r="R33" i="1"/>
  <c r="S15" i="1"/>
  <c r="P10" i="1"/>
  <c r="R10" i="1" s="1"/>
  <c r="S12" i="1"/>
  <c r="M11" i="1"/>
  <c r="R11" i="1" s="1"/>
  <c r="S11" i="1" s="1"/>
  <c r="M9" i="1"/>
  <c r="J8" i="1"/>
  <c r="I8" i="1"/>
  <c r="Q7" i="1"/>
  <c r="S7" i="1" s="1"/>
  <c r="Q6" i="1"/>
  <c r="J5" i="1"/>
  <c r="I5" i="1"/>
  <c r="R9" i="1" l="1"/>
  <c r="R6" i="1"/>
  <c r="S6" i="1" s="1"/>
  <c r="S33" i="1"/>
  <c r="S32" i="1"/>
  <c r="R35" i="1"/>
  <c r="Q35" i="1"/>
  <c r="Q10" i="1"/>
  <c r="S10" i="1" s="1"/>
  <c r="Q5" i="1"/>
  <c r="R8" i="1"/>
  <c r="Q8" i="1"/>
  <c r="R5" i="1"/>
  <c r="Q9" i="1"/>
  <c r="S9" i="1" l="1"/>
  <c r="S35" i="1"/>
  <c r="S5" i="1"/>
  <c r="S8" i="1"/>
  <c r="R21" i="1"/>
  <c r="R20" i="1"/>
  <c r="S20" i="1" s="1"/>
  <c r="S27" i="1" l="1"/>
  <c r="R14" i="1"/>
  <c r="S14" i="1" s="1"/>
  <c r="R36" i="1"/>
  <c r="S36" i="1" s="1"/>
  <c r="S31" i="1"/>
  <c r="S18" i="1"/>
  <c r="R28" i="1"/>
  <c r="S28" i="1" s="1"/>
  <c r="R23" i="1"/>
  <c r="S23" i="1" s="1"/>
  <c r="R26" i="1"/>
  <c r="S26" i="1" s="1"/>
  <c r="R25" i="1"/>
  <c r="S25" i="1" s="1"/>
  <c r="R24" i="1"/>
  <c r="S24" i="1" s="1"/>
  <c r="R13" i="1"/>
  <c r="S13" i="1" s="1"/>
  <c r="R16" i="1"/>
  <c r="S16" i="1" s="1"/>
  <c r="R17" i="1"/>
  <c r="S17" i="1" s="1"/>
  <c r="R29" i="1"/>
  <c r="S29" i="1" s="1"/>
  <c r="R30" i="1"/>
  <c r="S30" i="1" s="1"/>
  <c r="R4" i="1"/>
  <c r="S4" i="1" s="1"/>
  <c r="R19" i="1"/>
  <c r="S19" i="1" s="1"/>
</calcChain>
</file>

<file path=xl/sharedStrings.xml><?xml version="1.0" encoding="utf-8"?>
<sst xmlns="http://schemas.openxmlformats.org/spreadsheetml/2006/main" count="477" uniqueCount="233">
  <si>
    <t>Wang Z</t>
  </si>
  <si>
    <t>2017 Jun</t>
  </si>
  <si>
    <t>Genetic associations with lipoprotein subfraction measures differ by ethnicity in the multi-ethnic study of atherosclerosis (MESA).</t>
  </si>
  <si>
    <t>2017 Jan</t>
  </si>
  <si>
    <t>Hoffmann TJ</t>
  </si>
  <si>
    <t>Genome-wide association analyses using electronic health records identify new loci influencing blood pressure variation.</t>
  </si>
  <si>
    <t>Vassos E</t>
  </si>
  <si>
    <t>2016 Aug</t>
  </si>
  <si>
    <t>An Examination of Polygenic Score Risk Prediction in Individuals With First-Episode Psychosis.</t>
  </si>
  <si>
    <t>Joseph PG</t>
  </si>
  <si>
    <t>2016 Dec</t>
  </si>
  <si>
    <t>Impact of a Genetic Risk Score on Myocardial Infarction Risk Across Different Ethnic Populations.</t>
  </si>
  <si>
    <t>Walter S</t>
  </si>
  <si>
    <t>2016 Jul</t>
  </si>
  <si>
    <t>Association of a Genetic Risk Score With Body Mass Index Across Different Birth Cohorts.</t>
  </si>
  <si>
    <t>Fan Q</t>
  </si>
  <si>
    <t>2016 May</t>
  </si>
  <si>
    <t>Childhood gene-environment interactions and age-dependent effects of genetic variants associated with refractive error and myopia: The CREAM Consortium.</t>
  </si>
  <si>
    <t>Marden JR</t>
  </si>
  <si>
    <t>2016 Jan</t>
  </si>
  <si>
    <t>Using an Alzheimer Disease Polygenic Risk Score to Predict Memory Decline in Black and White Americans Over 14 Years of Follow-up.</t>
  </si>
  <si>
    <t>2015 Aug</t>
  </si>
  <si>
    <t>A large multiethnic genome-wide association study of prostate cancer identifies novel riskvariants and substantial ethnic differences.</t>
  </si>
  <si>
    <t>Johnson L</t>
  </si>
  <si>
    <t>2015 May</t>
  </si>
  <si>
    <t>An Examination of the Relationship between Lipid Levels and Associated Genetic Markers across Racial/Ethnic Populations in the Multi-Ethnic Study of Atherosclerosis.</t>
  </si>
  <si>
    <t>Dauriz M</t>
  </si>
  <si>
    <t>2015 Jun</t>
  </si>
  <si>
    <t>Association of a 62 Variants Type 2 Diabetes Genetic Risk Score With Markers of Subclinical Atherosclerosis: A Transethnic, Multicenter Study.</t>
  </si>
  <si>
    <t>2014 Sep</t>
  </si>
  <si>
    <t>Validation of a polygenic risk score for dementia in black and white individuals.</t>
  </si>
  <si>
    <t>Keaton JM</t>
  </si>
  <si>
    <t>2014 Dec</t>
  </si>
  <si>
    <t>A comparison of type 2 diabetes risk allele load between African Americans and European Americans.</t>
  </si>
  <si>
    <t>Domingue BW</t>
  </si>
  <si>
    <t>2014 Jul</t>
  </si>
  <si>
    <t>Polygenic risk predicts obesity in both white and black young adults.</t>
  </si>
  <si>
    <t>Villegas R</t>
  </si>
  <si>
    <t>2014 Jun</t>
  </si>
  <si>
    <t>Gene-carbohydrate and gene-fiber interactions and type 2 diabetes in diverse populations from the National Health and Nutrition Examination Surveys (NHANES) as part of the Epidemiologic Architecture for Genes Linked to Environment (EAGLE) study.</t>
  </si>
  <si>
    <t>Klimentidis YC</t>
  </si>
  <si>
    <t>Multiple metabolic genetic risk scores and type 2 diabetes risk in three racial/ethnic groups.</t>
  </si>
  <si>
    <t>Vassy JL</t>
  </si>
  <si>
    <t>Polygenic type 2 diabetes prediction at the limit of common variant detection.</t>
  </si>
  <si>
    <t>Lencz T</t>
  </si>
  <si>
    <t>2014 Feb</t>
  </si>
  <si>
    <t>Molecular genetic evidence for overlap between general cognitive ability and risk for schizophrenia: a report from the Cognitive Genomics consorTium (COGENT).</t>
  </si>
  <si>
    <t>Belsky DW</t>
  </si>
  <si>
    <t>2013 May</t>
  </si>
  <si>
    <t>Development and evaluation of a genetic risk score for obesity.</t>
  </si>
  <si>
    <t>Fritsche LG</t>
  </si>
  <si>
    <t>2013 Apr</t>
  </si>
  <si>
    <t>Seven new loci associated with age-related macular degeneration.</t>
  </si>
  <si>
    <t>Murphy RA</t>
  </si>
  <si>
    <t>2013 Jun</t>
  </si>
  <si>
    <t>Candidate gene association study of BMI-related loci, weight, and adiposity in old age.</t>
  </si>
  <si>
    <t>Kiryluk K</t>
  </si>
  <si>
    <t>2012 Jun</t>
  </si>
  <si>
    <t>Geographic differences in genetic susceptibility to IgA nephropathy: GWAS replication study and geospatial risk analysis.</t>
  </si>
  <si>
    <t>International Consortium for Blood Pressure Genome-Wide Association Studies</t>
  </si>
  <si>
    <t>2011 Sep</t>
  </si>
  <si>
    <t>Genetic variants in novel pathways influence blood pressure and cardiovascular disease risk</t>
  </si>
  <si>
    <t>Chang MH</t>
  </si>
  <si>
    <t>2011 Oct</t>
  </si>
  <si>
    <t>Racial/ethnic variation in the association of lipid-related genetic variants with blood lipids in the US adult population.</t>
  </si>
  <si>
    <t>Kurreeman F</t>
  </si>
  <si>
    <t>Genetic basis of autoantibody positive and negative rheumatoid arthritis risk in a multi-ethnic cohort derived from electronic health records.</t>
  </si>
  <si>
    <t>Chen F</t>
  </si>
  <si>
    <t>2011 Feb</t>
  </si>
  <si>
    <t>Caution in generalizing known genetic risk markers for breast cancer across all ethnic/racial populations.</t>
  </si>
  <si>
    <t>First Author</t>
  </si>
  <si>
    <t>Sample name</t>
  </si>
  <si>
    <t>N</t>
  </si>
  <si>
    <t>Cohort name</t>
  </si>
  <si>
    <t>2009 Aug</t>
  </si>
  <si>
    <t>Common polygenic variaion contributes to risk of schizophrenia and bipolar disorder.</t>
  </si>
  <si>
    <t>Purcell S</t>
  </si>
  <si>
    <t>% ethnicity in discovery set</t>
  </si>
  <si>
    <t>European (93.65%; 77096), East Asian (6.35%; 5219)</t>
  </si>
  <si>
    <t>WGHS</t>
  </si>
  <si>
    <t>non-Hispanic whites (81%; 80792), Latinos (8%; 8231), East Asians (7%; 7243), African Americans (3%; 3058), and South Asians (1%; 461)</t>
  </si>
  <si>
    <t>N total</t>
  </si>
  <si>
    <t>ARIC</t>
  </si>
  <si>
    <t>NA</t>
  </si>
  <si>
    <t>NHANES III</t>
  </si>
  <si>
    <t>East Asian</t>
  </si>
  <si>
    <t>European Ancestry</t>
  </si>
  <si>
    <t>African ancestry</t>
  </si>
  <si>
    <t>Total of actual sample sizes</t>
  </si>
  <si>
    <t>Percentage of reported total</t>
  </si>
  <si>
    <t>HEALTH ABC (note: Reykjavik  study not included here)</t>
  </si>
  <si>
    <t>South Asian</t>
  </si>
  <si>
    <t>MESA (CARDIA and GENOA not used because no significant predictions)</t>
  </si>
  <si>
    <t>Wake Forest School of Medicine</t>
  </si>
  <si>
    <t>CARDIA</t>
  </si>
  <si>
    <t>NHANES</t>
  </si>
  <si>
    <t>INTERHEART (data from 262 centers)</t>
  </si>
  <si>
    <t>Arab</t>
  </si>
  <si>
    <t>Partners Healthcare biobank and linked electronic health record</t>
  </si>
  <si>
    <t>MEC study of people living in Hawaii and California</t>
  </si>
  <si>
    <t>Native Hawaiian or Native American</t>
  </si>
  <si>
    <t>Hispanic / Latino &amp; Americas</t>
  </si>
  <si>
    <t>MESA</t>
  </si>
  <si>
    <t>MGS</t>
  </si>
  <si>
    <t>Phenotype</t>
  </si>
  <si>
    <t>Schizophrenia</t>
  </si>
  <si>
    <t>First episode psychosis</t>
  </si>
  <si>
    <t>Schizophrenia (cognitive ability)</t>
  </si>
  <si>
    <t>Dementia (Alzheimer's disease)</t>
  </si>
  <si>
    <t xml:space="preserve">Dementia probablity score </t>
  </si>
  <si>
    <t>BMI (Obesity)</t>
  </si>
  <si>
    <t>BMI</t>
  </si>
  <si>
    <t>HDL-C (blood lipid levels and CAD)</t>
  </si>
  <si>
    <t>HDL</t>
  </si>
  <si>
    <t>VLDL (large)</t>
  </si>
  <si>
    <t>Systolic blood pressure</t>
  </si>
  <si>
    <t>Type II Diabetes</t>
  </si>
  <si>
    <t>Myocardial Infarction (MI)</t>
  </si>
  <si>
    <t>Coronary Artery Calcium Score</t>
  </si>
  <si>
    <t>Rheumatoid arthritis (seropositive, ACPA+)</t>
  </si>
  <si>
    <t>Breast cancer</t>
  </si>
  <si>
    <t>Prostate cancer</t>
  </si>
  <si>
    <t>IgAN</t>
  </si>
  <si>
    <t>Age-related macular degeneration</t>
  </si>
  <si>
    <t>Refractive error</t>
  </si>
  <si>
    <t>PGC-schizophrenia without MGS; xx cohorts</t>
  </si>
  <si>
    <t>not given</t>
  </si>
  <si>
    <t xml:space="preserve">not given </t>
  </si>
  <si>
    <t>Cohort names</t>
  </si>
  <si>
    <t>HRS</t>
  </si>
  <si>
    <t>GAP</t>
  </si>
  <si>
    <t>SLESS</t>
  </si>
  <si>
    <t>IMPACT</t>
  </si>
  <si>
    <t>GAP = Mental Health Genetics and Psychosis Study, UK, South London</t>
  </si>
  <si>
    <t>IMPACT = Improving Physical Health and Reducing Substance Use in Psychosis from UK, South London</t>
  </si>
  <si>
    <t>SLESS = South London Ethnicity and Stroke Study from UK, South London</t>
  </si>
  <si>
    <t xml:space="preserve">A Japanese cohort </t>
  </si>
  <si>
    <t xml:space="preserve">An Ashkenazi Jewish cohort </t>
  </si>
  <si>
    <t xml:space="preserve">MGS </t>
  </si>
  <si>
    <t>Ashkenazi Jewish</t>
  </si>
  <si>
    <t>Add Health Sibling Pairs</t>
  </si>
  <si>
    <t>Add Health Sibling Pairs = National Longitudinal Study of Adolescent Health Sibling Pairs, US</t>
  </si>
  <si>
    <t>RPGEH</t>
  </si>
  <si>
    <t xml:space="preserve">ProHealth </t>
  </si>
  <si>
    <t>CMHS</t>
  </si>
  <si>
    <t xml:space="preserve">MGS =  Molecular Genetics of Schizophrenia cohorts, US </t>
  </si>
  <si>
    <t xml:space="preserve">UKBB </t>
  </si>
  <si>
    <t xml:space="preserve">GERA </t>
  </si>
  <si>
    <t>HEALTH ABC = Health, Aging and Body Composition Study</t>
  </si>
  <si>
    <t>NHANES III = Third National Health and Nutrition Examination Survey</t>
  </si>
  <si>
    <t>NHANES = National Health and Nutrition Examination Survey</t>
  </si>
  <si>
    <t>GERA = Genetic Epidemiology Research on Adult Health and Aging</t>
  </si>
  <si>
    <t>MESA = Multi-ethnic study of atherosclerosis</t>
  </si>
  <si>
    <t>UKBB = UK Biobank</t>
  </si>
  <si>
    <t>CARDIA =  Coronary Artery Risk Development in Young Adults Studies</t>
  </si>
  <si>
    <t>MEC = Multiethnic Cohort study, which was initiated in 1993–1996 and consists of subjects mainly from European-American, African-American, Native Hawaiian, Japanese and Latino population.</t>
  </si>
  <si>
    <t xml:space="preserve">RPGEH = Research Program on Genes, Environment and Health of Kaiser Permanente Northern California </t>
  </si>
  <si>
    <t>CMHS = California Men’s Health Study</t>
  </si>
  <si>
    <t>JPN1 = Japanese (Tokai)</t>
  </si>
  <si>
    <t>TCR1 = Chinese (Singapore)</t>
  </si>
  <si>
    <t>HOK2 = Chinese (Hong Kong)</t>
  </si>
  <si>
    <t>AFAM = African American validation dataset</t>
  </si>
  <si>
    <t>HRS = Health and Retirement Study</t>
  </si>
  <si>
    <t>STARR = Starr County Health Studies’ Genetics of Diabetes Study</t>
  </si>
  <si>
    <t>NW =  Northwestern NUgene Project</t>
  </si>
  <si>
    <t>MESA = Multi-Ethnic Study of Atherosclerosis</t>
  </si>
  <si>
    <t>FHS = Framingham Heart Study</t>
  </si>
  <si>
    <t>Look AHEAD =  Action for Health in Diabetes</t>
  </si>
  <si>
    <t>82315 minus WTCCC2</t>
  </si>
  <si>
    <t>WTCCC2 = Wellcome trust Case Control Consortium 2</t>
  </si>
  <si>
    <t>PGC-SCZ-2</t>
  </si>
  <si>
    <t>PGC-SCZ-2 = Psychiatric Genomics Consortium, schizophrenia group, second wave</t>
  </si>
  <si>
    <t>COGENT</t>
  </si>
  <si>
    <t>COGENT = The Cognitive Genomics consorTium</t>
  </si>
  <si>
    <t>AlzGene</t>
  </si>
  <si>
    <t>I-GAP</t>
  </si>
  <si>
    <t>I-GAP = International Genomics of Alzheimer’s Project</t>
  </si>
  <si>
    <t xml:space="preserve">GIANT = The Genetic Investigation of ANthropometric Traits </t>
  </si>
  <si>
    <t>Teslovich et al, 2010</t>
  </si>
  <si>
    <t>GERA</t>
  </si>
  <si>
    <t>European (100%; 4896)</t>
  </si>
  <si>
    <t>European (100%; 54162)</t>
  </si>
  <si>
    <t>European (100%; 24996)</t>
  </si>
  <si>
    <t>European (39%; 24996) , African American (61%, 39144)</t>
  </si>
  <si>
    <t>European (100%; 47615)</t>
  </si>
  <si>
    <t>European (100%; 2296)</t>
  </si>
  <si>
    <t>European (100%; &gt;100000)</t>
  </si>
  <si>
    <t>European (100%, 17296)</t>
  </si>
  <si>
    <t>European, African American, and East Asian</t>
  </si>
  <si>
    <t>24 studies</t>
  </si>
  <si>
    <t>DIAGRAM</t>
  </si>
  <si>
    <t>European (100%, 63033)</t>
  </si>
  <si>
    <t>17 studies</t>
  </si>
  <si>
    <t xml:space="preserve">Non-Hispanic white, Non-Hispanic Black and Mexican American </t>
  </si>
  <si>
    <t xml:space="preserve">European </t>
  </si>
  <si>
    <t>European (100%, 25000)</t>
  </si>
  <si>
    <t>Stahl et al, 2010</t>
  </si>
  <si>
    <t>7 studies</t>
  </si>
  <si>
    <t>21 studies</t>
  </si>
  <si>
    <t>Majority European studies with multiple Japanese/Latino and African American studies</t>
  </si>
  <si>
    <t>&gt;100000</t>
  </si>
  <si>
    <t>5 European, 1 East Asian and 1 African American only study</t>
  </si>
  <si>
    <t>Gharavi et al, 2011</t>
  </si>
  <si>
    <t>18 studies</t>
  </si>
  <si>
    <t>Majority European and minority number of Asian studies</t>
  </si>
  <si>
    <t>13 studies</t>
  </si>
  <si>
    <t>East-Asian (100%)</t>
  </si>
  <si>
    <t>European (100%)</t>
  </si>
  <si>
    <t>DIAGRAM = DIAbetes Genetics Replication And Meta-analysis)</t>
  </si>
  <si>
    <t>European (100%, 69395)</t>
  </si>
  <si>
    <t>Schunkert et al (100% European, 90000), CD4 (European; 8,424, South Asian; 6,996 cases,  15,062 controls)</t>
  </si>
  <si>
    <t>&gt;77100</t>
  </si>
  <si>
    <t>East-Asian (100%; 2092)</t>
  </si>
  <si>
    <t>Target SNPs from 16 studies, allele weights from GIANT and DeCODE</t>
  </si>
  <si>
    <t>2011 Jan</t>
  </si>
  <si>
    <t>ARIC,FHS,NW,MESA,STARR</t>
  </si>
  <si>
    <t>ARIC = Atherosclerosis Risk in Communities Study</t>
  </si>
  <si>
    <t>Test set</t>
  </si>
  <si>
    <t>Training set</t>
  </si>
  <si>
    <t>29 studies (Ehret et al, 2011)</t>
  </si>
  <si>
    <t>66 studies</t>
  </si>
  <si>
    <t>15 studies</t>
  </si>
  <si>
    <t>12 studies</t>
  </si>
  <si>
    <t>8 studies</t>
  </si>
  <si>
    <t>GIANT + 34 studies (Speliotes et al, 2010)</t>
  </si>
  <si>
    <t>GIANT + 34 studies (Speliotes et al, 2010) + 36 studies (Monda et al, 2013)</t>
  </si>
  <si>
    <t>34 studies (Speliotes et al, 2010)</t>
  </si>
  <si>
    <t>Paper</t>
  </si>
  <si>
    <t xml:space="preserve">Year </t>
  </si>
  <si>
    <t>McCarthy et al, 2010 and Grarup et al, 2010</t>
  </si>
  <si>
    <t>Schunkert et al, 2011 and Coronary Artery Disease (C4D) Genetics Consortium, 2011</t>
  </si>
  <si>
    <t>AlzGene = Alzheimer Research Forum</t>
  </si>
  <si>
    <t>Supplementary Data 2. Dataset information for the 26 studies with matched cross-ancestry polygenic scoring analyses.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</si>
</sst>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sz val="12"/>
      <color rgb="FF282323"/>
      <name val="Times New Roman"/>
      <family val="1"/>
    </font>
    <font>
      <sz val="14"/>
      <name val="Times New Roman"/>
      <family val="1"/>
    </font>
    <font>
      <sz val="14"/>
      <color theme="1"/>
      <name val="Times New Roman"/>
      <family val="1"/>
    </font>
    <font>
      <b/>
      <sz val="14"/>
      <name val="Times New Roman"/>
      <family val="1"/>
    </font>
    <font>
      <b/>
      <sz val="16"/>
      <name val="Times New Roman"/>
      <family val="1"/>
    </font>
    <font>
      <b/>
      <sz val="16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6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1" fontId="1" fillId="0" borderId="0" xfId="0" applyNumberFormat="1" applyFont="1" applyAlignment="1">
      <alignment horizontal="left" wrapText="1"/>
    </xf>
    <xf numFmtId="3" fontId="1" fillId="0" borderId="0" xfId="0" applyNumberFormat="1" applyFont="1" applyAlignment="1">
      <alignment horizontal="left"/>
    </xf>
    <xf numFmtId="3" fontId="5" fillId="0" borderId="0" xfId="0" applyNumberFormat="1" applyFont="1"/>
    <xf numFmtId="0" fontId="5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6" fillId="2" borderId="2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6" fillId="3" borderId="3" xfId="0" applyFont="1" applyFill="1" applyBorder="1" applyAlignment="1">
      <alignment vertical="center"/>
    </xf>
    <xf numFmtId="0" fontId="6" fillId="3" borderId="0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left" vertical="center"/>
    </xf>
    <xf numFmtId="0" fontId="6" fillId="3" borderId="2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left" vertical="center"/>
    </xf>
    <xf numFmtId="3" fontId="6" fillId="2" borderId="1" xfId="0" applyNumberFormat="1" applyFont="1" applyFill="1" applyBorder="1" applyAlignment="1">
      <alignment horizontal="left" vertical="center"/>
    </xf>
    <xf numFmtId="3" fontId="6" fillId="3" borderId="0" xfId="0" applyNumberFormat="1" applyFont="1" applyFill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1" fontId="6" fillId="2" borderId="6" xfId="0" applyNumberFormat="1" applyFont="1" applyFill="1" applyBorder="1" applyAlignment="1">
      <alignment horizontal="right" vertical="center" wrapText="1"/>
    </xf>
    <xf numFmtId="1" fontId="6" fillId="3" borderId="7" xfId="0" applyNumberFormat="1" applyFont="1" applyFill="1" applyBorder="1" applyAlignment="1">
      <alignment horizontal="right" vertical="center" wrapText="1"/>
    </xf>
    <xf numFmtId="1" fontId="6" fillId="2" borderId="7" xfId="0" applyNumberFormat="1" applyFont="1" applyFill="1" applyBorder="1" applyAlignment="1">
      <alignment horizontal="right" vertical="center" wrapText="1"/>
    </xf>
    <xf numFmtId="1" fontId="6" fillId="2" borderId="8" xfId="0" applyNumberFormat="1" applyFont="1" applyFill="1" applyBorder="1" applyAlignment="1">
      <alignment horizontal="right" vertical="center" wrapText="1"/>
    </xf>
    <xf numFmtId="1" fontId="6" fillId="3" borderId="6" xfId="0" applyNumberFormat="1" applyFont="1" applyFill="1" applyBorder="1" applyAlignment="1">
      <alignment horizontal="right" vertical="center" wrapText="1"/>
    </xf>
    <xf numFmtId="164" fontId="6" fillId="2" borderId="1" xfId="1" applyNumberFormat="1" applyFont="1" applyFill="1" applyBorder="1" applyAlignment="1">
      <alignment horizontal="right" vertical="center"/>
    </xf>
    <xf numFmtId="164" fontId="6" fillId="2" borderId="1" xfId="1" applyNumberFormat="1" applyFont="1" applyFill="1" applyBorder="1" applyAlignment="1">
      <alignment horizontal="right" vertical="center" wrapText="1"/>
    </xf>
    <xf numFmtId="164" fontId="6" fillId="3" borderId="0" xfId="1" applyNumberFormat="1" applyFont="1" applyFill="1" applyBorder="1" applyAlignment="1">
      <alignment horizontal="right" vertical="center"/>
    </xf>
    <xf numFmtId="164" fontId="6" fillId="3" borderId="0" xfId="1" applyNumberFormat="1" applyFont="1" applyFill="1" applyBorder="1" applyAlignment="1">
      <alignment horizontal="right" vertical="center" wrapText="1"/>
    </xf>
    <xf numFmtId="164" fontId="6" fillId="2" borderId="0" xfId="1" applyNumberFormat="1" applyFont="1" applyFill="1" applyBorder="1" applyAlignment="1">
      <alignment horizontal="right" vertical="center"/>
    </xf>
    <xf numFmtId="164" fontId="6" fillId="2" borderId="0" xfId="1" applyNumberFormat="1" applyFont="1" applyFill="1" applyBorder="1" applyAlignment="1">
      <alignment horizontal="right" vertical="center" wrapText="1"/>
    </xf>
    <xf numFmtId="164" fontId="6" fillId="2" borderId="5" xfId="1" applyNumberFormat="1" applyFont="1" applyFill="1" applyBorder="1" applyAlignment="1">
      <alignment horizontal="right" vertical="center"/>
    </xf>
    <xf numFmtId="164" fontId="6" fillId="2" borderId="5" xfId="1" applyNumberFormat="1" applyFont="1" applyFill="1" applyBorder="1" applyAlignment="1">
      <alignment horizontal="right" vertical="center" wrapText="1"/>
    </xf>
    <xf numFmtId="164" fontId="6" fillId="3" borderId="1" xfId="1" applyNumberFormat="1" applyFont="1" applyFill="1" applyBorder="1" applyAlignment="1">
      <alignment horizontal="right" vertical="center"/>
    </xf>
    <xf numFmtId="164" fontId="6" fillId="3" borderId="1" xfId="1" applyNumberFormat="1" applyFont="1" applyFill="1" applyBorder="1" applyAlignment="1">
      <alignment horizontal="right" vertical="center" wrapText="1"/>
    </xf>
    <xf numFmtId="0" fontId="8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left"/>
    </xf>
    <xf numFmtId="0" fontId="8" fillId="0" borderId="0" xfId="0" applyFont="1" applyBorder="1" applyAlignment="1">
      <alignment horizontal="center" vertical="center"/>
    </xf>
    <xf numFmtId="1" fontId="8" fillId="0" borderId="0" xfId="0" applyNumberFormat="1" applyFont="1" applyBorder="1" applyAlignment="1">
      <alignment horizontal="center" vertical="center" wrapText="1"/>
    </xf>
    <xf numFmtId="3" fontId="6" fillId="2" borderId="0" xfId="0" applyNumberFormat="1" applyFont="1" applyFill="1" applyBorder="1" applyAlignment="1">
      <alignment horizontal="left" vertical="center"/>
    </xf>
    <xf numFmtId="0" fontId="10" fillId="0" borderId="0" xfId="0" applyFont="1"/>
    <xf numFmtId="0" fontId="9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5220A-632E-4783-A4FD-025162CCA979}">
  <dimension ref="A1:U72"/>
  <sheetViews>
    <sheetView tabSelected="1" zoomScale="97" zoomScaleNormal="97" workbookViewId="0">
      <pane xSplit="3" ySplit="3" topLeftCell="D4" activePane="bottomRight" state="frozen"/>
      <selection pane="topRight" activeCell="D1" sqref="D1"/>
      <selection pane="bottomLeft" activeCell="A3" sqref="A3"/>
      <selection pane="bottomRight"/>
    </sheetView>
  </sheetViews>
  <sheetFormatPr baseColWidth="10" defaultColWidth="9.1640625" defaultRowHeight="16" x14ac:dyDescent="0.2"/>
  <cols>
    <col min="1" max="1" width="28.83203125" style="1" customWidth="1"/>
    <col min="2" max="2" width="19.1640625" style="1" bestFit="1" customWidth="1"/>
    <col min="3" max="3" width="63" style="1" customWidth="1"/>
    <col min="4" max="4" width="41.1640625" style="1" bestFit="1" customWidth="1"/>
    <col min="5" max="5" width="51.5" style="1" customWidth="1"/>
    <col min="6" max="6" width="61.5" style="1" customWidth="1"/>
    <col min="7" max="7" width="22.6640625" style="1" bestFit="1" customWidth="1"/>
    <col min="8" max="8" width="36.83203125" style="1" customWidth="1"/>
    <col min="9" max="9" width="24.1640625" style="1" bestFit="1" customWidth="1"/>
    <col min="10" max="10" width="43.5" style="1" bestFit="1" customWidth="1"/>
    <col min="11" max="11" width="36.6640625" style="1" bestFit="1" customWidth="1"/>
    <col min="12" max="12" width="15.5" style="1" bestFit="1" customWidth="1"/>
    <col min="13" max="13" width="14" style="1" bestFit="1" customWidth="1"/>
    <col min="14" max="14" width="42.5" style="1" bestFit="1" customWidth="1"/>
    <col min="15" max="15" width="8.83203125" style="1" customWidth="1"/>
    <col min="16" max="16" width="22.5" style="1" bestFit="1" customWidth="1"/>
    <col min="17" max="17" width="13.5" style="1" bestFit="1" customWidth="1"/>
    <col min="18" max="18" width="34.33203125" style="1" bestFit="1" customWidth="1"/>
    <col min="19" max="19" width="33" style="3" customWidth="1"/>
    <col min="20" max="20" width="173.5" style="3" bestFit="1" customWidth="1"/>
    <col min="21" max="21" width="21.83203125" style="4" customWidth="1"/>
    <col min="22" max="22" width="76.5" style="1" bestFit="1" customWidth="1"/>
    <col min="23" max="16384" width="9.1640625" style="1"/>
  </cols>
  <sheetData>
    <row r="1" spans="1:20" ht="70" customHeight="1" x14ac:dyDescent="0.2">
      <c r="A1" s="59" t="s">
        <v>232</v>
      </c>
    </row>
    <row r="2" spans="1:20" ht="54" customHeight="1" x14ac:dyDescent="0.2">
      <c r="A2" s="61"/>
      <c r="B2" s="61"/>
      <c r="C2" s="61"/>
      <c r="D2" s="61"/>
      <c r="E2" s="60" t="s">
        <v>218</v>
      </c>
      <c r="F2" s="60"/>
      <c r="G2" s="60"/>
      <c r="H2" s="60" t="s">
        <v>217</v>
      </c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</row>
    <row r="3" spans="1:20" s="8" customFormat="1" ht="55" customHeight="1" thickBot="1" x14ac:dyDescent="0.25">
      <c r="A3" s="36" t="s">
        <v>70</v>
      </c>
      <c r="B3" s="36" t="s">
        <v>228</v>
      </c>
      <c r="C3" s="36" t="s">
        <v>227</v>
      </c>
      <c r="D3" s="37" t="s">
        <v>104</v>
      </c>
      <c r="E3" s="37" t="s">
        <v>71</v>
      </c>
      <c r="F3" s="37" t="s">
        <v>77</v>
      </c>
      <c r="G3" s="37" t="s">
        <v>72</v>
      </c>
      <c r="H3" s="56" t="s">
        <v>73</v>
      </c>
      <c r="I3" s="37" t="s">
        <v>86</v>
      </c>
      <c r="J3" s="37" t="s">
        <v>87</v>
      </c>
      <c r="K3" s="37" t="s">
        <v>101</v>
      </c>
      <c r="L3" s="37" t="s">
        <v>91</v>
      </c>
      <c r="M3" s="37" t="s">
        <v>85</v>
      </c>
      <c r="N3" s="37" t="s">
        <v>100</v>
      </c>
      <c r="O3" s="37" t="s">
        <v>97</v>
      </c>
      <c r="P3" s="37" t="s">
        <v>139</v>
      </c>
      <c r="Q3" s="37" t="s">
        <v>81</v>
      </c>
      <c r="R3" s="37" t="s">
        <v>88</v>
      </c>
      <c r="S3" s="57" t="s">
        <v>89</v>
      </c>
    </row>
    <row r="4" spans="1:20" s="8" customFormat="1" ht="18" x14ac:dyDescent="0.2">
      <c r="A4" s="12" t="s">
        <v>76</v>
      </c>
      <c r="B4" s="13" t="s">
        <v>74</v>
      </c>
      <c r="C4" s="14" t="s">
        <v>75</v>
      </c>
      <c r="D4" s="15" t="s">
        <v>105</v>
      </c>
      <c r="E4" s="14" t="s">
        <v>125</v>
      </c>
      <c r="F4" s="14"/>
      <c r="G4" s="14"/>
      <c r="H4" s="14" t="s">
        <v>103</v>
      </c>
      <c r="I4" s="43">
        <v>5343</v>
      </c>
      <c r="J4" s="43">
        <v>2260</v>
      </c>
      <c r="K4" s="43" t="s">
        <v>83</v>
      </c>
      <c r="L4" s="43" t="s">
        <v>83</v>
      </c>
      <c r="M4" s="43" t="s">
        <v>83</v>
      </c>
      <c r="N4" s="43" t="s">
        <v>83</v>
      </c>
      <c r="O4" s="43" t="s">
        <v>83</v>
      </c>
      <c r="P4" s="43" t="s">
        <v>83</v>
      </c>
      <c r="Q4" s="44">
        <v>7603</v>
      </c>
      <c r="R4" s="44">
        <f>SUM(I4:O4)</f>
        <v>7603</v>
      </c>
      <c r="S4" s="38">
        <f t="shared" ref="S4:S5" si="0">100*(R4/Q4)</f>
        <v>100</v>
      </c>
    </row>
    <row r="5" spans="1:20" s="8" customFormat="1" ht="18" x14ac:dyDescent="0.2">
      <c r="A5" s="16" t="s">
        <v>6</v>
      </c>
      <c r="B5" s="17" t="s">
        <v>7</v>
      </c>
      <c r="C5" s="18" t="s">
        <v>8</v>
      </c>
      <c r="D5" s="19" t="s">
        <v>106</v>
      </c>
      <c r="E5" s="18" t="s">
        <v>170</v>
      </c>
      <c r="F5" s="18" t="s">
        <v>78</v>
      </c>
      <c r="G5" s="18" t="s">
        <v>168</v>
      </c>
      <c r="H5" s="18" t="s">
        <v>130</v>
      </c>
      <c r="I5" s="45">
        <f>171+168</f>
        <v>339</v>
      </c>
      <c r="J5" s="45">
        <f>205+70</f>
        <v>275</v>
      </c>
      <c r="K5" s="45" t="s">
        <v>83</v>
      </c>
      <c r="L5" s="45" t="s">
        <v>83</v>
      </c>
      <c r="M5" s="45" t="s">
        <v>83</v>
      </c>
      <c r="N5" s="45" t="s">
        <v>83</v>
      </c>
      <c r="O5" s="45" t="s">
        <v>83</v>
      </c>
      <c r="P5" s="45" t="s">
        <v>83</v>
      </c>
      <c r="Q5" s="46">
        <f>I5+J5+96</f>
        <v>710</v>
      </c>
      <c r="R5" s="46">
        <f>SUM(I5:P5)</f>
        <v>614</v>
      </c>
      <c r="S5" s="39">
        <f t="shared" si="0"/>
        <v>86.478873239436609</v>
      </c>
    </row>
    <row r="6" spans="1:20" s="8" customFormat="1" ht="18" x14ac:dyDescent="0.2">
      <c r="A6" s="20" t="s">
        <v>6</v>
      </c>
      <c r="B6" s="21" t="s">
        <v>7</v>
      </c>
      <c r="C6" s="22" t="s">
        <v>8</v>
      </c>
      <c r="D6" s="23" t="s">
        <v>106</v>
      </c>
      <c r="E6" s="22" t="s">
        <v>170</v>
      </c>
      <c r="F6" s="22" t="s">
        <v>78</v>
      </c>
      <c r="G6" s="22" t="s">
        <v>168</v>
      </c>
      <c r="H6" s="22" t="s">
        <v>132</v>
      </c>
      <c r="I6" s="47">
        <v>54</v>
      </c>
      <c r="J6" s="47">
        <v>92</v>
      </c>
      <c r="K6" s="47" t="s">
        <v>83</v>
      </c>
      <c r="L6" s="47" t="s">
        <v>83</v>
      </c>
      <c r="M6" s="47" t="s">
        <v>83</v>
      </c>
      <c r="N6" s="47" t="s">
        <v>83</v>
      </c>
      <c r="O6" s="47" t="s">
        <v>83</v>
      </c>
      <c r="P6" s="47" t="s">
        <v>83</v>
      </c>
      <c r="Q6" s="48">
        <f>I6+J6+27</f>
        <v>173</v>
      </c>
      <c r="R6" s="48">
        <f t="shared" ref="R6:R12" si="1">SUM(I6:P6)</f>
        <v>146</v>
      </c>
      <c r="S6" s="40">
        <f t="shared" ref="S6" si="2">100*(R6/Q6)</f>
        <v>84.393063583815035</v>
      </c>
    </row>
    <row r="7" spans="1:20" s="8" customFormat="1" ht="18" x14ac:dyDescent="0.2">
      <c r="A7" s="16" t="s">
        <v>6</v>
      </c>
      <c r="B7" s="17" t="s">
        <v>7</v>
      </c>
      <c r="C7" s="18" t="s">
        <v>8</v>
      </c>
      <c r="D7" s="19" t="s">
        <v>106</v>
      </c>
      <c r="E7" s="18" t="s">
        <v>170</v>
      </c>
      <c r="F7" s="18" t="s">
        <v>78</v>
      </c>
      <c r="G7" s="18" t="s">
        <v>168</v>
      </c>
      <c r="H7" s="18" t="s">
        <v>131</v>
      </c>
      <c r="I7" s="45" t="s">
        <v>83</v>
      </c>
      <c r="J7" s="45">
        <v>828</v>
      </c>
      <c r="K7" s="45" t="s">
        <v>83</v>
      </c>
      <c r="L7" s="45" t="s">
        <v>83</v>
      </c>
      <c r="M7" s="45" t="s">
        <v>83</v>
      </c>
      <c r="N7" s="45" t="s">
        <v>83</v>
      </c>
      <c r="O7" s="45" t="s">
        <v>83</v>
      </c>
      <c r="P7" s="45" t="s">
        <v>83</v>
      </c>
      <c r="Q7" s="46">
        <f>J7</f>
        <v>828</v>
      </c>
      <c r="R7" s="46">
        <f t="shared" si="1"/>
        <v>828</v>
      </c>
      <c r="S7" s="39">
        <f t="shared" ref="S7:S10" si="3">100*(R7/Q7)</f>
        <v>100</v>
      </c>
    </row>
    <row r="8" spans="1:20" s="8" customFormat="1" ht="18" x14ac:dyDescent="0.2">
      <c r="A8" s="20" t="s">
        <v>44</v>
      </c>
      <c r="B8" s="21" t="s">
        <v>45</v>
      </c>
      <c r="C8" s="22" t="s">
        <v>46</v>
      </c>
      <c r="D8" s="23" t="s">
        <v>107</v>
      </c>
      <c r="E8" s="22" t="s">
        <v>172</v>
      </c>
      <c r="F8" s="22" t="s">
        <v>180</v>
      </c>
      <c r="G8" s="22">
        <v>4896</v>
      </c>
      <c r="H8" s="22" t="s">
        <v>138</v>
      </c>
      <c r="I8" s="47">
        <f>2681+2653</f>
        <v>5334</v>
      </c>
      <c r="J8" s="47">
        <f>1286+973</f>
        <v>2259</v>
      </c>
      <c r="K8" s="47" t="s">
        <v>83</v>
      </c>
      <c r="L8" s="47" t="s">
        <v>83</v>
      </c>
      <c r="M8" s="47" t="s">
        <v>83</v>
      </c>
      <c r="N8" s="47" t="s">
        <v>83</v>
      </c>
      <c r="O8" s="47" t="s">
        <v>83</v>
      </c>
      <c r="P8" s="47" t="s">
        <v>83</v>
      </c>
      <c r="Q8" s="47">
        <f>I8+J8</f>
        <v>7593</v>
      </c>
      <c r="R8" s="48">
        <f t="shared" si="1"/>
        <v>7593</v>
      </c>
      <c r="S8" s="40">
        <f t="shared" si="3"/>
        <v>100</v>
      </c>
      <c r="T8" s="9"/>
    </row>
    <row r="9" spans="1:20" s="8" customFormat="1" ht="18" x14ac:dyDescent="0.2">
      <c r="A9" s="16" t="s">
        <v>44</v>
      </c>
      <c r="B9" s="17" t="s">
        <v>45</v>
      </c>
      <c r="C9" s="18" t="s">
        <v>46</v>
      </c>
      <c r="D9" s="19" t="s">
        <v>107</v>
      </c>
      <c r="E9" s="18" t="s">
        <v>172</v>
      </c>
      <c r="F9" s="18" t="s">
        <v>180</v>
      </c>
      <c r="G9" s="18">
        <v>4896</v>
      </c>
      <c r="H9" s="18" t="s">
        <v>136</v>
      </c>
      <c r="I9" s="45" t="s">
        <v>83</v>
      </c>
      <c r="J9" s="45" t="s">
        <v>83</v>
      </c>
      <c r="K9" s="45" t="s">
        <v>83</v>
      </c>
      <c r="L9" s="45" t="s">
        <v>83</v>
      </c>
      <c r="M9" s="45">
        <f>575+564</f>
        <v>1139</v>
      </c>
      <c r="N9" s="45" t="s">
        <v>83</v>
      </c>
      <c r="O9" s="45" t="s">
        <v>83</v>
      </c>
      <c r="P9" s="45" t="s">
        <v>83</v>
      </c>
      <c r="Q9" s="45">
        <f>M9</f>
        <v>1139</v>
      </c>
      <c r="R9" s="46">
        <f t="shared" si="1"/>
        <v>1139</v>
      </c>
      <c r="S9" s="39">
        <f t="shared" si="3"/>
        <v>100</v>
      </c>
      <c r="T9" s="9"/>
    </row>
    <row r="10" spans="1:20" s="8" customFormat="1" ht="19" thickBot="1" x14ac:dyDescent="0.25">
      <c r="A10" s="20" t="s">
        <v>44</v>
      </c>
      <c r="B10" s="21" t="s">
        <v>45</v>
      </c>
      <c r="C10" s="22" t="s">
        <v>46</v>
      </c>
      <c r="D10" s="23" t="s">
        <v>107</v>
      </c>
      <c r="E10" s="22" t="s">
        <v>172</v>
      </c>
      <c r="F10" s="22" t="s">
        <v>180</v>
      </c>
      <c r="G10" s="22">
        <v>4896</v>
      </c>
      <c r="H10" s="22" t="s">
        <v>137</v>
      </c>
      <c r="I10" s="47" t="s">
        <v>83</v>
      </c>
      <c r="J10" s="47" t="s">
        <v>83</v>
      </c>
      <c r="K10" s="47" t="s">
        <v>83</v>
      </c>
      <c r="L10" s="47" t="s">
        <v>83</v>
      </c>
      <c r="M10" s="47" t="s">
        <v>83</v>
      </c>
      <c r="N10" s="47" t="s">
        <v>83</v>
      </c>
      <c r="O10" s="47" t="s">
        <v>83</v>
      </c>
      <c r="P10" s="47">
        <f>904+1640</f>
        <v>2544</v>
      </c>
      <c r="Q10" s="47">
        <f>P10</f>
        <v>2544</v>
      </c>
      <c r="R10" s="48">
        <f t="shared" si="1"/>
        <v>2544</v>
      </c>
      <c r="S10" s="40">
        <f t="shared" si="3"/>
        <v>100</v>
      </c>
      <c r="T10" s="9"/>
    </row>
    <row r="11" spans="1:20" s="8" customFormat="1" ht="18" x14ac:dyDescent="0.2">
      <c r="A11" s="28" t="s">
        <v>18</v>
      </c>
      <c r="B11" s="29" t="s">
        <v>29</v>
      </c>
      <c r="C11" s="30" t="s">
        <v>30</v>
      </c>
      <c r="D11" s="31" t="s">
        <v>108</v>
      </c>
      <c r="E11" s="30" t="s">
        <v>174</v>
      </c>
      <c r="F11" s="30" t="s">
        <v>83</v>
      </c>
      <c r="G11" s="30" t="s">
        <v>83</v>
      </c>
      <c r="H11" s="30" t="s">
        <v>129</v>
      </c>
      <c r="I11" s="51">
        <v>8942</v>
      </c>
      <c r="J11" s="51">
        <v>1459</v>
      </c>
      <c r="K11" s="51" t="s">
        <v>83</v>
      </c>
      <c r="L11" s="51" t="s">
        <v>83</v>
      </c>
      <c r="M11" s="51">
        <f>575+564</f>
        <v>1139</v>
      </c>
      <c r="N11" s="51" t="s">
        <v>83</v>
      </c>
      <c r="O11" s="51" t="s">
        <v>83</v>
      </c>
      <c r="P11" s="51" t="s">
        <v>83</v>
      </c>
      <c r="Q11" s="52">
        <v>12123</v>
      </c>
      <c r="R11" s="52">
        <f t="shared" si="1"/>
        <v>11540</v>
      </c>
      <c r="S11" s="42">
        <f>100*(R11/Q11)</f>
        <v>95.190959333498299</v>
      </c>
    </row>
    <row r="12" spans="1:20" s="8" customFormat="1" ht="19" thickBot="1" x14ac:dyDescent="0.25">
      <c r="A12" s="20" t="s">
        <v>18</v>
      </c>
      <c r="B12" s="21" t="s">
        <v>19</v>
      </c>
      <c r="C12" s="22" t="s">
        <v>20</v>
      </c>
      <c r="D12" s="23" t="s">
        <v>109</v>
      </c>
      <c r="E12" s="22" t="s">
        <v>175</v>
      </c>
      <c r="F12" s="22" t="s">
        <v>181</v>
      </c>
      <c r="G12" s="22">
        <v>54162</v>
      </c>
      <c r="H12" s="22" t="s">
        <v>129</v>
      </c>
      <c r="I12" s="47">
        <v>7172</v>
      </c>
      <c r="J12" s="47">
        <v>1081</v>
      </c>
      <c r="K12" s="47" t="s">
        <v>83</v>
      </c>
      <c r="L12" s="47" t="s">
        <v>83</v>
      </c>
      <c r="M12" s="47" t="s">
        <v>83</v>
      </c>
      <c r="N12" s="47" t="s">
        <v>83</v>
      </c>
      <c r="O12" s="47" t="s">
        <v>83</v>
      </c>
      <c r="P12" s="47" t="s">
        <v>83</v>
      </c>
      <c r="Q12" s="48">
        <v>12123</v>
      </c>
      <c r="R12" s="48">
        <f t="shared" si="1"/>
        <v>8253</v>
      </c>
      <c r="S12" s="40">
        <f>100*(R12/Q12)</f>
        <v>68.077208611729773</v>
      </c>
    </row>
    <row r="13" spans="1:20" s="8" customFormat="1" ht="18" x14ac:dyDescent="0.2">
      <c r="A13" s="28" t="s">
        <v>47</v>
      </c>
      <c r="B13" s="29" t="s">
        <v>48</v>
      </c>
      <c r="C13" s="30" t="s">
        <v>49</v>
      </c>
      <c r="D13" s="31" t="s">
        <v>110</v>
      </c>
      <c r="E13" s="30" t="s">
        <v>213</v>
      </c>
      <c r="F13" s="30" t="s">
        <v>207</v>
      </c>
      <c r="G13" s="30" t="s">
        <v>83</v>
      </c>
      <c r="H13" s="30" t="s">
        <v>82</v>
      </c>
      <c r="I13" s="51">
        <v>8286</v>
      </c>
      <c r="J13" s="51">
        <v>2442</v>
      </c>
      <c r="K13" s="51" t="s">
        <v>83</v>
      </c>
      <c r="L13" s="51" t="s">
        <v>83</v>
      </c>
      <c r="M13" s="51" t="s">
        <v>83</v>
      </c>
      <c r="N13" s="51" t="s">
        <v>83</v>
      </c>
      <c r="O13" s="51" t="s">
        <v>83</v>
      </c>
      <c r="P13" s="51" t="s">
        <v>83</v>
      </c>
      <c r="Q13" s="52">
        <v>10745</v>
      </c>
      <c r="R13" s="52">
        <f>SUM(I13:O13)</f>
        <v>10728</v>
      </c>
      <c r="S13" s="42">
        <f>100*(R13/Q13)</f>
        <v>99.841786877617494</v>
      </c>
    </row>
    <row r="14" spans="1:20" s="8" customFormat="1" ht="18" x14ac:dyDescent="0.2">
      <c r="A14" s="20" t="s">
        <v>12</v>
      </c>
      <c r="B14" s="21" t="s">
        <v>13</v>
      </c>
      <c r="C14" s="22" t="s">
        <v>14</v>
      </c>
      <c r="D14" s="23" t="s">
        <v>111</v>
      </c>
      <c r="E14" s="22" t="s">
        <v>224</v>
      </c>
      <c r="F14" s="22" t="s">
        <v>182</v>
      </c>
      <c r="G14" s="22">
        <v>24996</v>
      </c>
      <c r="H14" s="22" t="s">
        <v>129</v>
      </c>
      <c r="I14" s="47">
        <v>7482</v>
      </c>
      <c r="J14" s="47">
        <v>1306</v>
      </c>
      <c r="K14" s="47" t="s">
        <v>83</v>
      </c>
      <c r="L14" s="47" t="s">
        <v>83</v>
      </c>
      <c r="M14" s="47" t="s">
        <v>83</v>
      </c>
      <c r="N14" s="47" t="s">
        <v>83</v>
      </c>
      <c r="O14" s="47" t="s">
        <v>83</v>
      </c>
      <c r="P14" s="47" t="s">
        <v>83</v>
      </c>
      <c r="Q14" s="48">
        <v>8788</v>
      </c>
      <c r="R14" s="48">
        <f>SUM(I14:O14)</f>
        <v>8788</v>
      </c>
      <c r="S14" s="40">
        <f t="shared" ref="S14:S20" si="4">100*(R14/Q14)</f>
        <v>100</v>
      </c>
    </row>
    <row r="15" spans="1:20" s="8" customFormat="1" ht="18" x14ac:dyDescent="0.2">
      <c r="A15" s="16" t="s">
        <v>34</v>
      </c>
      <c r="B15" s="17" t="s">
        <v>35</v>
      </c>
      <c r="C15" s="18" t="s">
        <v>36</v>
      </c>
      <c r="D15" s="19" t="s">
        <v>111</v>
      </c>
      <c r="E15" s="18" t="s">
        <v>225</v>
      </c>
      <c r="F15" s="18" t="s">
        <v>183</v>
      </c>
      <c r="G15" s="18">
        <v>64140</v>
      </c>
      <c r="H15" s="18" t="s">
        <v>140</v>
      </c>
      <c r="I15" s="45">
        <v>773</v>
      </c>
      <c r="J15" s="45">
        <v>530</v>
      </c>
      <c r="K15" s="45" t="s">
        <v>83</v>
      </c>
      <c r="L15" s="45" t="s">
        <v>83</v>
      </c>
      <c r="M15" s="45" t="s">
        <v>83</v>
      </c>
      <c r="N15" s="45" t="s">
        <v>83</v>
      </c>
      <c r="O15" s="45" t="s">
        <v>83</v>
      </c>
      <c r="P15" s="45" t="s">
        <v>83</v>
      </c>
      <c r="Q15" s="46">
        <v>1595</v>
      </c>
      <c r="R15" s="46">
        <f>SUM(I15:P15)</f>
        <v>1303</v>
      </c>
      <c r="S15" s="39">
        <f>100*(R15/Q15)</f>
        <v>81.692789968652036</v>
      </c>
    </row>
    <row r="16" spans="1:20" s="10" customFormat="1" ht="18" x14ac:dyDescent="0.2">
      <c r="A16" s="20" t="s">
        <v>53</v>
      </c>
      <c r="B16" s="21" t="s">
        <v>54</v>
      </c>
      <c r="C16" s="22" t="s">
        <v>55</v>
      </c>
      <c r="D16" s="23" t="s">
        <v>111</v>
      </c>
      <c r="E16" s="22" t="s">
        <v>226</v>
      </c>
      <c r="F16" s="22" t="s">
        <v>184</v>
      </c>
      <c r="G16" s="22">
        <v>47615</v>
      </c>
      <c r="H16" s="22" t="s">
        <v>90</v>
      </c>
      <c r="I16" s="47">
        <v>1630</v>
      </c>
      <c r="J16" s="47">
        <v>1080</v>
      </c>
      <c r="K16" s="47" t="s">
        <v>83</v>
      </c>
      <c r="L16" s="47" t="s">
        <v>83</v>
      </c>
      <c r="M16" s="47" t="s">
        <v>83</v>
      </c>
      <c r="N16" s="47" t="s">
        <v>83</v>
      </c>
      <c r="O16" s="47" t="s">
        <v>83</v>
      </c>
      <c r="P16" s="47" t="s">
        <v>83</v>
      </c>
      <c r="Q16" s="48">
        <v>2710</v>
      </c>
      <c r="R16" s="48">
        <f t="shared" ref="Q16:R33" si="5">SUM(I16:O16)</f>
        <v>2710</v>
      </c>
      <c r="S16" s="40">
        <f t="shared" si="4"/>
        <v>100</v>
      </c>
    </row>
    <row r="17" spans="1:19" s="10" customFormat="1" ht="18" x14ac:dyDescent="0.2">
      <c r="A17" s="18" t="s">
        <v>62</v>
      </c>
      <c r="B17" s="17" t="s">
        <v>63</v>
      </c>
      <c r="C17" s="18" t="s">
        <v>64</v>
      </c>
      <c r="D17" s="19" t="s">
        <v>112</v>
      </c>
      <c r="E17" s="18" t="s">
        <v>84</v>
      </c>
      <c r="F17" s="18" t="s">
        <v>185</v>
      </c>
      <c r="G17" s="18">
        <v>2296</v>
      </c>
      <c r="H17" s="18" t="s">
        <v>84</v>
      </c>
      <c r="I17" s="45">
        <v>1812</v>
      </c>
      <c r="J17" s="45">
        <v>1351</v>
      </c>
      <c r="K17" s="45">
        <v>1228</v>
      </c>
      <c r="L17" s="45" t="s">
        <v>83</v>
      </c>
      <c r="M17" s="45" t="s">
        <v>83</v>
      </c>
      <c r="N17" s="45" t="s">
        <v>83</v>
      </c>
      <c r="O17" s="45" t="s">
        <v>83</v>
      </c>
      <c r="P17" s="45" t="s">
        <v>83</v>
      </c>
      <c r="Q17" s="46">
        <v>5708</v>
      </c>
      <c r="R17" s="46">
        <f t="shared" si="5"/>
        <v>4391</v>
      </c>
      <c r="S17" s="39">
        <f t="shared" si="4"/>
        <v>76.927119831814991</v>
      </c>
    </row>
    <row r="18" spans="1:19" s="10" customFormat="1" ht="18" x14ac:dyDescent="0.2">
      <c r="A18" s="20" t="s">
        <v>23</v>
      </c>
      <c r="B18" s="21" t="s">
        <v>24</v>
      </c>
      <c r="C18" s="22" t="s">
        <v>25</v>
      </c>
      <c r="D18" s="23" t="s">
        <v>113</v>
      </c>
      <c r="E18" s="22" t="s">
        <v>178</v>
      </c>
      <c r="F18" s="22" t="s">
        <v>186</v>
      </c>
      <c r="G18" s="22" t="s">
        <v>200</v>
      </c>
      <c r="H18" s="22" t="s">
        <v>102</v>
      </c>
      <c r="I18" s="47">
        <v>2063</v>
      </c>
      <c r="J18" s="47">
        <v>1355</v>
      </c>
      <c r="K18" s="47">
        <v>1256</v>
      </c>
      <c r="L18" s="47" t="s">
        <v>83</v>
      </c>
      <c r="M18" s="47">
        <v>666</v>
      </c>
      <c r="N18" s="47" t="s">
        <v>83</v>
      </c>
      <c r="O18" s="47" t="s">
        <v>83</v>
      </c>
      <c r="P18" s="47" t="s">
        <v>83</v>
      </c>
      <c r="Q18" s="48">
        <v>6358</v>
      </c>
      <c r="R18" s="48">
        <f t="shared" si="5"/>
        <v>5340</v>
      </c>
      <c r="S18" s="40">
        <f t="shared" si="4"/>
        <v>83.988675684177423</v>
      </c>
    </row>
    <row r="19" spans="1:19" s="10" customFormat="1" ht="19" thickBot="1" x14ac:dyDescent="0.25">
      <c r="A19" s="16" t="s">
        <v>0</v>
      </c>
      <c r="B19" s="17" t="s">
        <v>1</v>
      </c>
      <c r="C19" s="18" t="s">
        <v>2</v>
      </c>
      <c r="D19" s="19" t="s">
        <v>114</v>
      </c>
      <c r="E19" s="18" t="s">
        <v>79</v>
      </c>
      <c r="F19" s="18" t="s">
        <v>187</v>
      </c>
      <c r="G19" s="18">
        <v>17296</v>
      </c>
      <c r="H19" s="18" t="s">
        <v>102</v>
      </c>
      <c r="I19" s="45">
        <v>2506</v>
      </c>
      <c r="J19" s="45">
        <v>1610</v>
      </c>
      <c r="K19" s="45">
        <v>1448</v>
      </c>
      <c r="L19" s="45" t="s">
        <v>83</v>
      </c>
      <c r="M19" s="45" t="s">
        <v>83</v>
      </c>
      <c r="N19" s="45" t="s">
        <v>83</v>
      </c>
      <c r="O19" s="45" t="s">
        <v>83</v>
      </c>
      <c r="P19" s="45" t="s">
        <v>83</v>
      </c>
      <c r="Q19" s="46">
        <v>6429</v>
      </c>
      <c r="R19" s="46">
        <f t="shared" si="5"/>
        <v>5564</v>
      </c>
      <c r="S19" s="39">
        <f t="shared" si="4"/>
        <v>86.545341421682991</v>
      </c>
    </row>
    <row r="20" spans="1:19" s="10" customFormat="1" ht="18" x14ac:dyDescent="0.2">
      <c r="A20" s="12" t="s">
        <v>4</v>
      </c>
      <c r="B20" s="13" t="s">
        <v>3</v>
      </c>
      <c r="C20" s="14" t="s">
        <v>5</v>
      </c>
      <c r="D20" s="15" t="s">
        <v>115</v>
      </c>
      <c r="E20" s="14" t="s">
        <v>179</v>
      </c>
      <c r="F20" s="14" t="s">
        <v>80</v>
      </c>
      <c r="G20" s="32">
        <v>99785</v>
      </c>
      <c r="H20" s="14" t="s">
        <v>147</v>
      </c>
      <c r="I20" s="43">
        <v>80792</v>
      </c>
      <c r="J20" s="43">
        <v>3058</v>
      </c>
      <c r="K20" s="43">
        <v>8231</v>
      </c>
      <c r="L20" s="43">
        <v>461</v>
      </c>
      <c r="M20" s="43" t="s">
        <v>83</v>
      </c>
      <c r="N20" s="43" t="s">
        <v>83</v>
      </c>
      <c r="O20" s="43" t="s">
        <v>83</v>
      </c>
      <c r="P20" s="43" t="s">
        <v>83</v>
      </c>
      <c r="Q20" s="44">
        <v>99785</v>
      </c>
      <c r="R20" s="44">
        <f t="shared" si="5"/>
        <v>92542</v>
      </c>
      <c r="S20" s="38">
        <f t="shared" si="4"/>
        <v>92.741393997093752</v>
      </c>
    </row>
    <row r="21" spans="1:19" s="10" customFormat="1" ht="18" x14ac:dyDescent="0.2">
      <c r="A21" s="16" t="s">
        <v>4</v>
      </c>
      <c r="B21" s="17" t="s">
        <v>3</v>
      </c>
      <c r="C21" s="18" t="s">
        <v>5</v>
      </c>
      <c r="D21" s="19" t="s">
        <v>115</v>
      </c>
      <c r="E21" s="18" t="s">
        <v>179</v>
      </c>
      <c r="F21" s="18" t="s">
        <v>80</v>
      </c>
      <c r="G21" s="33">
        <v>99785</v>
      </c>
      <c r="H21" s="18" t="s">
        <v>146</v>
      </c>
      <c r="I21" s="45">
        <v>145341</v>
      </c>
      <c r="J21" s="45" t="s">
        <v>126</v>
      </c>
      <c r="K21" s="45" t="s">
        <v>83</v>
      </c>
      <c r="L21" s="45" t="s">
        <v>127</v>
      </c>
      <c r="M21" s="45" t="s">
        <v>127</v>
      </c>
      <c r="N21" s="45" t="s">
        <v>83</v>
      </c>
      <c r="O21" s="45" t="s">
        <v>83</v>
      </c>
      <c r="P21" s="45" t="s">
        <v>83</v>
      </c>
      <c r="Q21" s="45" t="s">
        <v>126</v>
      </c>
      <c r="R21" s="46">
        <f t="shared" si="5"/>
        <v>145341</v>
      </c>
      <c r="S21" s="39"/>
    </row>
    <row r="22" spans="1:19" s="11" customFormat="1" ht="19" thickBot="1" x14ac:dyDescent="0.25">
      <c r="A22" s="20" t="s">
        <v>59</v>
      </c>
      <c r="B22" s="21" t="s">
        <v>60</v>
      </c>
      <c r="C22" s="22" t="s">
        <v>61</v>
      </c>
      <c r="D22" s="23" t="s">
        <v>115</v>
      </c>
      <c r="E22" s="22" t="s">
        <v>219</v>
      </c>
      <c r="F22" s="22" t="s">
        <v>209</v>
      </c>
      <c r="G22" s="58">
        <v>69395</v>
      </c>
      <c r="H22" s="22" t="s">
        <v>220</v>
      </c>
      <c r="I22" s="47">
        <v>130994</v>
      </c>
      <c r="J22" s="47">
        <v>18198</v>
      </c>
      <c r="K22" s="47" t="s">
        <v>83</v>
      </c>
      <c r="L22" s="47">
        <v>23977</v>
      </c>
      <c r="M22" s="47">
        <v>29719</v>
      </c>
      <c r="N22" s="47" t="s">
        <v>83</v>
      </c>
      <c r="O22" s="47" t="s">
        <v>83</v>
      </c>
      <c r="P22" s="47" t="s">
        <v>83</v>
      </c>
      <c r="Q22" s="48">
        <v>276980</v>
      </c>
      <c r="R22" s="48">
        <v>202888</v>
      </c>
      <c r="S22" s="40">
        <v>73.250054155534698</v>
      </c>
    </row>
    <row r="23" spans="1:19" s="10" customFormat="1" ht="18" x14ac:dyDescent="0.2">
      <c r="A23" s="28" t="s">
        <v>31</v>
      </c>
      <c r="B23" s="29" t="s">
        <v>32</v>
      </c>
      <c r="C23" s="30" t="s">
        <v>33</v>
      </c>
      <c r="D23" s="31" t="s">
        <v>116</v>
      </c>
      <c r="E23" s="30" t="s">
        <v>189</v>
      </c>
      <c r="F23" s="30" t="s">
        <v>188</v>
      </c>
      <c r="G23" s="30" t="s">
        <v>83</v>
      </c>
      <c r="H23" s="30" t="s">
        <v>93</v>
      </c>
      <c r="I23" s="51">
        <v>1990</v>
      </c>
      <c r="J23" s="51">
        <v>1644</v>
      </c>
      <c r="K23" s="51" t="s">
        <v>83</v>
      </c>
      <c r="L23" s="51" t="s">
        <v>83</v>
      </c>
      <c r="M23" s="51" t="s">
        <v>83</v>
      </c>
      <c r="N23" s="51" t="s">
        <v>83</v>
      </c>
      <c r="O23" s="51" t="s">
        <v>83</v>
      </c>
      <c r="P23" s="51" t="s">
        <v>83</v>
      </c>
      <c r="Q23" s="52">
        <v>3634</v>
      </c>
      <c r="R23" s="52">
        <f t="shared" si="5"/>
        <v>3634</v>
      </c>
      <c r="S23" s="42">
        <f t="shared" ref="S23:S33" si="6">100*(R23/Q23)</f>
        <v>100</v>
      </c>
    </row>
    <row r="24" spans="1:19" s="10" customFormat="1" ht="18" x14ac:dyDescent="0.2">
      <c r="A24" s="20" t="s">
        <v>42</v>
      </c>
      <c r="B24" s="21" t="s">
        <v>38</v>
      </c>
      <c r="C24" s="22" t="s">
        <v>43</v>
      </c>
      <c r="D24" s="23" t="s">
        <v>116</v>
      </c>
      <c r="E24" s="22" t="s">
        <v>190</v>
      </c>
      <c r="F24" s="22" t="s">
        <v>191</v>
      </c>
      <c r="G24" s="22">
        <v>63033</v>
      </c>
      <c r="H24" s="22" t="s">
        <v>94</v>
      </c>
      <c r="I24" s="47">
        <v>1650</v>
      </c>
      <c r="J24" s="47">
        <v>820</v>
      </c>
      <c r="K24" s="47" t="s">
        <v>83</v>
      </c>
      <c r="L24" s="47" t="s">
        <v>83</v>
      </c>
      <c r="M24" s="47" t="s">
        <v>83</v>
      </c>
      <c r="N24" s="47" t="s">
        <v>83</v>
      </c>
      <c r="O24" s="47" t="s">
        <v>83</v>
      </c>
      <c r="P24" s="47" t="s">
        <v>83</v>
      </c>
      <c r="Q24" s="48">
        <v>2470</v>
      </c>
      <c r="R24" s="48">
        <f t="shared" si="5"/>
        <v>2470</v>
      </c>
      <c r="S24" s="40">
        <f t="shared" si="6"/>
        <v>100</v>
      </c>
    </row>
    <row r="25" spans="1:19" s="10" customFormat="1" ht="18" x14ac:dyDescent="0.2">
      <c r="A25" s="16" t="s">
        <v>40</v>
      </c>
      <c r="B25" s="17" t="s">
        <v>29</v>
      </c>
      <c r="C25" s="18" t="s">
        <v>41</v>
      </c>
      <c r="D25" s="19" t="s">
        <v>116</v>
      </c>
      <c r="E25" s="18" t="s">
        <v>192</v>
      </c>
      <c r="F25" s="18" t="s">
        <v>83</v>
      </c>
      <c r="G25" s="18" t="s">
        <v>83</v>
      </c>
      <c r="H25" s="18" t="s">
        <v>215</v>
      </c>
      <c r="I25" s="45">
        <v>21498</v>
      </c>
      <c r="J25" s="45">
        <v>5825</v>
      </c>
      <c r="K25" s="45">
        <v>3070</v>
      </c>
      <c r="L25" s="45" t="s">
        <v>83</v>
      </c>
      <c r="M25" s="45" t="s">
        <v>83</v>
      </c>
      <c r="N25" s="45" t="s">
        <v>83</v>
      </c>
      <c r="O25" s="45" t="s">
        <v>83</v>
      </c>
      <c r="P25" s="45" t="s">
        <v>83</v>
      </c>
      <c r="Q25" s="46">
        <v>30393</v>
      </c>
      <c r="R25" s="46">
        <f t="shared" si="5"/>
        <v>30393</v>
      </c>
      <c r="S25" s="39">
        <f t="shared" si="6"/>
        <v>100</v>
      </c>
    </row>
    <row r="26" spans="1:19" s="10" customFormat="1" ht="19" thickBot="1" x14ac:dyDescent="0.25">
      <c r="A26" s="20" t="s">
        <v>37</v>
      </c>
      <c r="B26" s="21" t="s">
        <v>38</v>
      </c>
      <c r="C26" s="22" t="s">
        <v>39</v>
      </c>
      <c r="D26" s="23" t="s">
        <v>116</v>
      </c>
      <c r="E26" s="22" t="s">
        <v>95</v>
      </c>
      <c r="F26" s="22" t="s">
        <v>193</v>
      </c>
      <c r="G26" s="22" t="s">
        <v>83</v>
      </c>
      <c r="H26" s="22" t="s">
        <v>95</v>
      </c>
      <c r="I26" s="47">
        <v>6414</v>
      </c>
      <c r="J26" s="47">
        <v>3073</v>
      </c>
      <c r="K26" s="47">
        <v>3633</v>
      </c>
      <c r="L26" s="47" t="s">
        <v>83</v>
      </c>
      <c r="M26" s="47" t="s">
        <v>83</v>
      </c>
      <c r="N26" s="47" t="s">
        <v>83</v>
      </c>
      <c r="O26" s="47" t="s">
        <v>83</v>
      </c>
      <c r="P26" s="47" t="s">
        <v>83</v>
      </c>
      <c r="Q26" s="48">
        <v>13120</v>
      </c>
      <c r="R26" s="48">
        <f t="shared" si="5"/>
        <v>13120</v>
      </c>
      <c r="S26" s="40">
        <f t="shared" si="6"/>
        <v>100</v>
      </c>
    </row>
    <row r="27" spans="1:19" s="8" customFormat="1" ht="18" x14ac:dyDescent="0.2">
      <c r="A27" s="28" t="s">
        <v>9</v>
      </c>
      <c r="B27" s="29" t="s">
        <v>10</v>
      </c>
      <c r="C27" s="30" t="s">
        <v>11</v>
      </c>
      <c r="D27" s="31" t="s">
        <v>117</v>
      </c>
      <c r="E27" s="30" t="s">
        <v>230</v>
      </c>
      <c r="F27" s="30" t="s">
        <v>210</v>
      </c>
      <c r="G27" s="30">
        <v>117477</v>
      </c>
      <c r="H27" s="30" t="s">
        <v>96</v>
      </c>
      <c r="I27" s="51">
        <v>1801</v>
      </c>
      <c r="J27" s="51">
        <v>741</v>
      </c>
      <c r="K27" s="51">
        <v>1384</v>
      </c>
      <c r="L27" s="51">
        <v>1724</v>
      </c>
      <c r="M27" s="51">
        <v>1144</v>
      </c>
      <c r="N27" s="51" t="s">
        <v>83</v>
      </c>
      <c r="O27" s="51">
        <v>1331</v>
      </c>
      <c r="P27" s="51" t="s">
        <v>83</v>
      </c>
      <c r="Q27" s="52">
        <v>9438</v>
      </c>
      <c r="R27" s="52">
        <f t="shared" si="5"/>
        <v>8125</v>
      </c>
      <c r="S27" s="42">
        <f t="shared" si="6"/>
        <v>86.088154269972449</v>
      </c>
    </row>
    <row r="28" spans="1:19" s="8" customFormat="1" ht="19" thickBot="1" x14ac:dyDescent="0.25">
      <c r="A28" s="20" t="s">
        <v>26</v>
      </c>
      <c r="B28" s="21" t="s">
        <v>27</v>
      </c>
      <c r="C28" s="22" t="s">
        <v>28</v>
      </c>
      <c r="D28" s="23" t="s">
        <v>118</v>
      </c>
      <c r="E28" s="22" t="s">
        <v>229</v>
      </c>
      <c r="F28" s="22" t="s">
        <v>194</v>
      </c>
      <c r="G28" s="22" t="s">
        <v>83</v>
      </c>
      <c r="H28" s="22" t="s">
        <v>92</v>
      </c>
      <c r="I28" s="47">
        <v>2526</v>
      </c>
      <c r="J28" s="47">
        <v>1611</v>
      </c>
      <c r="K28" s="47">
        <v>1446</v>
      </c>
      <c r="L28" s="47" t="s">
        <v>83</v>
      </c>
      <c r="M28" s="47">
        <v>773</v>
      </c>
      <c r="N28" s="47" t="s">
        <v>83</v>
      </c>
      <c r="O28" s="47" t="s">
        <v>83</v>
      </c>
      <c r="P28" s="47" t="s">
        <v>83</v>
      </c>
      <c r="Q28" s="48">
        <v>6356</v>
      </c>
      <c r="R28" s="48">
        <f t="shared" si="5"/>
        <v>6356</v>
      </c>
      <c r="S28" s="40">
        <f t="shared" si="6"/>
        <v>100</v>
      </c>
    </row>
    <row r="29" spans="1:19" s="8" customFormat="1" ht="18" x14ac:dyDescent="0.2">
      <c r="A29" s="28" t="s">
        <v>65</v>
      </c>
      <c r="B29" s="29" t="s">
        <v>214</v>
      </c>
      <c r="C29" s="30" t="s">
        <v>66</v>
      </c>
      <c r="D29" s="31" t="s">
        <v>119</v>
      </c>
      <c r="E29" s="30" t="s">
        <v>196</v>
      </c>
      <c r="F29" s="30" t="s">
        <v>195</v>
      </c>
      <c r="G29" s="30">
        <v>25708</v>
      </c>
      <c r="H29" s="30" t="s">
        <v>98</v>
      </c>
      <c r="I29" s="51">
        <v>2100</v>
      </c>
      <c r="J29" s="51">
        <v>253</v>
      </c>
      <c r="K29" s="51">
        <v>134</v>
      </c>
      <c r="L29" s="51" t="s">
        <v>83</v>
      </c>
      <c r="M29" s="51">
        <v>44</v>
      </c>
      <c r="N29" s="51" t="s">
        <v>83</v>
      </c>
      <c r="O29" s="51" t="s">
        <v>83</v>
      </c>
      <c r="P29" s="51" t="s">
        <v>83</v>
      </c>
      <c r="Q29" s="52">
        <v>2531</v>
      </c>
      <c r="R29" s="52">
        <f t="shared" si="5"/>
        <v>2531</v>
      </c>
      <c r="S29" s="42">
        <f t="shared" si="6"/>
        <v>100</v>
      </c>
    </row>
    <row r="30" spans="1:19" s="8" customFormat="1" ht="18" x14ac:dyDescent="0.2">
      <c r="A30" s="20" t="s">
        <v>67</v>
      </c>
      <c r="B30" s="21" t="s">
        <v>68</v>
      </c>
      <c r="C30" s="22" t="s">
        <v>69</v>
      </c>
      <c r="D30" s="23" t="s">
        <v>120</v>
      </c>
      <c r="E30" s="22" t="s">
        <v>197</v>
      </c>
      <c r="F30" s="22" t="s">
        <v>201</v>
      </c>
      <c r="G30" s="22" t="s">
        <v>83</v>
      </c>
      <c r="H30" s="22" t="s">
        <v>99</v>
      </c>
      <c r="I30" s="47">
        <v>1075</v>
      </c>
      <c r="J30" s="47">
        <v>1561</v>
      </c>
      <c r="K30" s="47">
        <v>786</v>
      </c>
      <c r="L30" s="47" t="s">
        <v>83</v>
      </c>
      <c r="M30" s="47">
        <v>1111</v>
      </c>
      <c r="N30" s="47">
        <v>433</v>
      </c>
      <c r="O30" s="47" t="s">
        <v>83</v>
      </c>
      <c r="P30" s="47" t="s">
        <v>83</v>
      </c>
      <c r="Q30" s="48">
        <v>4966</v>
      </c>
      <c r="R30" s="48">
        <f t="shared" si="5"/>
        <v>4966</v>
      </c>
      <c r="S30" s="40">
        <f t="shared" si="6"/>
        <v>100</v>
      </c>
    </row>
    <row r="31" spans="1:19" s="8" customFormat="1" ht="18" x14ac:dyDescent="0.2">
      <c r="A31" s="16" t="s">
        <v>4</v>
      </c>
      <c r="B31" s="17" t="s">
        <v>21</v>
      </c>
      <c r="C31" s="18" t="s">
        <v>22</v>
      </c>
      <c r="D31" s="19" t="s">
        <v>121</v>
      </c>
      <c r="E31" s="18" t="s">
        <v>198</v>
      </c>
      <c r="F31" s="18" t="s">
        <v>199</v>
      </c>
      <c r="G31" s="18" t="s">
        <v>83</v>
      </c>
      <c r="H31" s="18" t="s">
        <v>142</v>
      </c>
      <c r="I31" s="45">
        <f>4183+22857</f>
        <v>27040</v>
      </c>
      <c r="J31" s="45">
        <f>86+622</f>
        <v>708</v>
      </c>
      <c r="K31" s="45">
        <f>206+2181</f>
        <v>2387</v>
      </c>
      <c r="L31" s="45" t="s">
        <v>83</v>
      </c>
      <c r="M31" s="45">
        <f>165+1941</f>
        <v>2106</v>
      </c>
      <c r="N31" s="45" t="s">
        <v>83</v>
      </c>
      <c r="O31" s="45" t="s">
        <v>83</v>
      </c>
      <c r="P31" s="45" t="s">
        <v>83</v>
      </c>
      <c r="Q31" s="46">
        <f t="shared" si="5"/>
        <v>32241</v>
      </c>
      <c r="R31" s="46">
        <f t="shared" si="5"/>
        <v>32241</v>
      </c>
      <c r="S31" s="39">
        <f t="shared" si="6"/>
        <v>100</v>
      </c>
    </row>
    <row r="32" spans="1:19" s="8" customFormat="1" ht="18" x14ac:dyDescent="0.2">
      <c r="A32" s="20" t="s">
        <v>4</v>
      </c>
      <c r="B32" s="21" t="s">
        <v>21</v>
      </c>
      <c r="C32" s="22" t="s">
        <v>22</v>
      </c>
      <c r="D32" s="23" t="s">
        <v>121</v>
      </c>
      <c r="E32" s="22" t="s">
        <v>198</v>
      </c>
      <c r="F32" s="22" t="s">
        <v>199</v>
      </c>
      <c r="G32" s="22" t="s">
        <v>83</v>
      </c>
      <c r="H32" s="22" t="s">
        <v>143</v>
      </c>
      <c r="I32" s="47">
        <v>1</v>
      </c>
      <c r="J32" s="47">
        <f>398+91</f>
        <v>489</v>
      </c>
      <c r="K32" s="47">
        <v>1</v>
      </c>
      <c r="L32" s="47" t="s">
        <v>83</v>
      </c>
      <c r="M32" s="47" t="s">
        <v>83</v>
      </c>
      <c r="N32" s="47" t="s">
        <v>83</v>
      </c>
      <c r="O32" s="47" t="s">
        <v>83</v>
      </c>
      <c r="P32" s="47" t="s">
        <v>83</v>
      </c>
      <c r="Q32" s="48">
        <f t="shared" si="5"/>
        <v>491</v>
      </c>
      <c r="R32" s="48">
        <f t="shared" si="5"/>
        <v>491</v>
      </c>
      <c r="S32" s="40">
        <f t="shared" si="6"/>
        <v>100</v>
      </c>
    </row>
    <row r="33" spans="1:19" s="8" customFormat="1" ht="18" x14ac:dyDescent="0.2">
      <c r="A33" s="16" t="s">
        <v>4</v>
      </c>
      <c r="B33" s="17" t="s">
        <v>21</v>
      </c>
      <c r="C33" s="18" t="s">
        <v>22</v>
      </c>
      <c r="D33" s="19" t="s">
        <v>121</v>
      </c>
      <c r="E33" s="18" t="s">
        <v>198</v>
      </c>
      <c r="F33" s="18" t="s">
        <v>199</v>
      </c>
      <c r="G33" s="18" t="s">
        <v>83</v>
      </c>
      <c r="H33" s="18" t="s">
        <v>144</v>
      </c>
      <c r="I33" s="45">
        <f>2222+8009</f>
        <v>10231</v>
      </c>
      <c r="J33" s="45">
        <f>117+937</f>
        <v>1054</v>
      </c>
      <c r="K33" s="45">
        <f>281+960</f>
        <v>1241</v>
      </c>
      <c r="L33" s="45" t="s">
        <v>83</v>
      </c>
      <c r="M33" s="45">
        <f>123+997</f>
        <v>1120</v>
      </c>
      <c r="N33" s="45" t="s">
        <v>83</v>
      </c>
      <c r="O33" s="45" t="s">
        <v>83</v>
      </c>
      <c r="P33" s="45" t="s">
        <v>83</v>
      </c>
      <c r="Q33" s="46">
        <f t="shared" si="5"/>
        <v>13646</v>
      </c>
      <c r="R33" s="46">
        <f t="shared" si="5"/>
        <v>13646</v>
      </c>
      <c r="S33" s="39">
        <f t="shared" si="6"/>
        <v>100</v>
      </c>
    </row>
    <row r="34" spans="1:19" s="8" customFormat="1" ht="19" thickBot="1" x14ac:dyDescent="0.25">
      <c r="A34" s="20" t="s">
        <v>56</v>
      </c>
      <c r="B34" s="21" t="s">
        <v>57</v>
      </c>
      <c r="C34" s="22" t="s">
        <v>58</v>
      </c>
      <c r="D34" s="23" t="s">
        <v>122</v>
      </c>
      <c r="E34" s="22" t="s">
        <v>202</v>
      </c>
      <c r="F34" s="22" t="s">
        <v>212</v>
      </c>
      <c r="G34" s="22">
        <v>2092</v>
      </c>
      <c r="H34" s="22" t="s">
        <v>221</v>
      </c>
      <c r="I34" s="47">
        <v>5386</v>
      </c>
      <c r="J34" s="47">
        <v>85</v>
      </c>
      <c r="K34" s="47" t="s">
        <v>83</v>
      </c>
      <c r="L34" s="47" t="s">
        <v>83</v>
      </c>
      <c r="M34" s="47">
        <v>4582</v>
      </c>
      <c r="N34" s="47" t="s">
        <v>83</v>
      </c>
      <c r="O34" s="47" t="s">
        <v>83</v>
      </c>
      <c r="P34" s="47" t="s">
        <v>83</v>
      </c>
      <c r="Q34" s="48">
        <v>10962</v>
      </c>
      <c r="R34" s="48">
        <v>10053</v>
      </c>
      <c r="S34" s="40">
        <f t="shared" ref="S34" si="7">100*(R34/Q34)</f>
        <v>91.707717569786539</v>
      </c>
    </row>
    <row r="35" spans="1:19" s="8" customFormat="1" ht="18" x14ac:dyDescent="0.2">
      <c r="A35" s="28" t="s">
        <v>50</v>
      </c>
      <c r="B35" s="29" t="s">
        <v>51</v>
      </c>
      <c r="C35" s="30" t="s">
        <v>52</v>
      </c>
      <c r="D35" s="31" t="s">
        <v>123</v>
      </c>
      <c r="E35" s="30" t="s">
        <v>203</v>
      </c>
      <c r="F35" s="30" t="s">
        <v>204</v>
      </c>
      <c r="G35" s="30" t="s">
        <v>211</v>
      </c>
      <c r="H35" s="30" t="s">
        <v>222</v>
      </c>
      <c r="I35" s="51">
        <f>SUM(I23:I33)</f>
        <v>76326</v>
      </c>
      <c r="J35" s="51" t="s">
        <v>83</v>
      </c>
      <c r="K35" s="51" t="s">
        <v>83</v>
      </c>
      <c r="L35" s="51" t="s">
        <v>83</v>
      </c>
      <c r="M35" s="51">
        <f>M34</f>
        <v>4582</v>
      </c>
      <c r="N35" s="51" t="s">
        <v>83</v>
      </c>
      <c r="O35" s="51" t="s">
        <v>83</v>
      </c>
      <c r="P35" s="51" t="s">
        <v>83</v>
      </c>
      <c r="Q35" s="52">
        <f>SUM(I35:M35)+110+119+150+601+743+1598</f>
        <v>84229</v>
      </c>
      <c r="R35" s="52">
        <f>SUM(I35:M35)</f>
        <v>80908</v>
      </c>
      <c r="S35" s="42">
        <f>R35/Q35*100</f>
        <v>96.057177456695442</v>
      </c>
    </row>
    <row r="36" spans="1:19" s="8" customFormat="1" ht="18" customHeight="1" thickBot="1" x14ac:dyDescent="0.25">
      <c r="A36" s="24" t="s">
        <v>15</v>
      </c>
      <c r="B36" s="25" t="s">
        <v>16</v>
      </c>
      <c r="C36" s="26" t="s">
        <v>17</v>
      </c>
      <c r="D36" s="27" t="s">
        <v>124</v>
      </c>
      <c r="E36" s="26" t="s">
        <v>205</v>
      </c>
      <c r="F36" s="26" t="s">
        <v>206</v>
      </c>
      <c r="G36" s="26" t="s">
        <v>83</v>
      </c>
      <c r="H36" s="26" t="s">
        <v>223</v>
      </c>
      <c r="I36" s="49">
        <v>3143</v>
      </c>
      <c r="J36" s="49" t="s">
        <v>83</v>
      </c>
      <c r="K36" s="49" t="s">
        <v>83</v>
      </c>
      <c r="L36" s="49" t="s">
        <v>83</v>
      </c>
      <c r="M36" s="49">
        <v>2456</v>
      </c>
      <c r="N36" s="49" t="s">
        <v>83</v>
      </c>
      <c r="O36" s="49" t="s">
        <v>83</v>
      </c>
      <c r="P36" s="49" t="s">
        <v>83</v>
      </c>
      <c r="Q36" s="50">
        <v>5599</v>
      </c>
      <c r="R36" s="50">
        <f>SUM(I36:O36)</f>
        <v>5599</v>
      </c>
      <c r="S36" s="41">
        <f>100*(R36/Q36)</f>
        <v>100</v>
      </c>
    </row>
    <row r="39" spans="1:19" ht="18" x14ac:dyDescent="0.2">
      <c r="A39" s="53" t="s">
        <v>128</v>
      </c>
    </row>
    <row r="40" spans="1:19" ht="18" x14ac:dyDescent="0.2">
      <c r="A40" s="54" t="s">
        <v>145</v>
      </c>
    </row>
    <row r="41" spans="1:19" ht="18" x14ac:dyDescent="0.2">
      <c r="A41" s="55" t="s">
        <v>158</v>
      </c>
      <c r="H41" s="54"/>
      <c r="M41" s="6"/>
      <c r="N41" s="7"/>
      <c r="O41" s="5"/>
    </row>
    <row r="42" spans="1:19" ht="18" x14ac:dyDescent="0.2">
      <c r="A42" s="55" t="s">
        <v>159</v>
      </c>
      <c r="H42" s="54"/>
      <c r="O42" s="5"/>
    </row>
    <row r="43" spans="1:19" ht="18" x14ac:dyDescent="0.2">
      <c r="A43" s="55" t="s">
        <v>160</v>
      </c>
      <c r="H43" s="54"/>
    </row>
    <row r="44" spans="1:19" ht="18" x14ac:dyDescent="0.2">
      <c r="A44" s="55" t="s">
        <v>161</v>
      </c>
      <c r="H44" s="54"/>
    </row>
    <row r="45" spans="1:19" ht="18" x14ac:dyDescent="0.2">
      <c r="A45" s="34" t="s">
        <v>133</v>
      </c>
      <c r="H45" s="54"/>
    </row>
    <row r="46" spans="1:19" ht="18" x14ac:dyDescent="0.2">
      <c r="A46" s="34" t="s">
        <v>134</v>
      </c>
    </row>
    <row r="47" spans="1:19" ht="18" x14ac:dyDescent="0.2">
      <c r="A47" s="34" t="s">
        <v>135</v>
      </c>
    </row>
    <row r="48" spans="1:19" ht="18" x14ac:dyDescent="0.2">
      <c r="A48" s="34" t="s">
        <v>162</v>
      </c>
    </row>
    <row r="49" spans="1:9" ht="18" x14ac:dyDescent="0.2">
      <c r="A49" s="34" t="s">
        <v>216</v>
      </c>
    </row>
    <row r="50" spans="1:9" ht="18" x14ac:dyDescent="0.2">
      <c r="A50" s="34" t="s">
        <v>141</v>
      </c>
    </row>
    <row r="51" spans="1:9" ht="18" x14ac:dyDescent="0.2">
      <c r="A51" s="34" t="s">
        <v>148</v>
      </c>
    </row>
    <row r="52" spans="1:9" ht="18" x14ac:dyDescent="0.2">
      <c r="A52" s="34" t="s">
        <v>149</v>
      </c>
    </row>
    <row r="53" spans="1:9" ht="18" x14ac:dyDescent="0.2">
      <c r="A53" s="55" t="s">
        <v>152</v>
      </c>
    </row>
    <row r="54" spans="1:9" ht="18" x14ac:dyDescent="0.2">
      <c r="A54" s="55" t="s">
        <v>151</v>
      </c>
    </row>
    <row r="55" spans="1:9" ht="18" x14ac:dyDescent="0.2">
      <c r="A55" s="55" t="s">
        <v>153</v>
      </c>
    </row>
    <row r="56" spans="1:9" ht="18" x14ac:dyDescent="0.2">
      <c r="A56" s="34" t="s">
        <v>154</v>
      </c>
    </row>
    <row r="57" spans="1:9" ht="18" x14ac:dyDescent="0.2">
      <c r="A57" s="34" t="s">
        <v>150</v>
      </c>
    </row>
    <row r="58" spans="1:9" ht="18" x14ac:dyDescent="0.2">
      <c r="A58" s="34" t="s">
        <v>155</v>
      </c>
    </row>
    <row r="59" spans="1:9" ht="18" x14ac:dyDescent="0.2">
      <c r="A59" s="34" t="s">
        <v>156</v>
      </c>
    </row>
    <row r="60" spans="1:9" ht="18" x14ac:dyDescent="0.2">
      <c r="A60" s="34" t="s">
        <v>157</v>
      </c>
    </row>
    <row r="61" spans="1:9" ht="18" x14ac:dyDescent="0.2">
      <c r="A61" s="34" t="s">
        <v>167</v>
      </c>
    </row>
    <row r="62" spans="1:9" ht="18" x14ac:dyDescent="0.2">
      <c r="A62" s="34" t="s">
        <v>169</v>
      </c>
    </row>
    <row r="63" spans="1:9" ht="18" x14ac:dyDescent="0.2">
      <c r="A63" s="34" t="s">
        <v>171</v>
      </c>
      <c r="I63" s="2"/>
    </row>
    <row r="64" spans="1:9" ht="38" x14ac:dyDescent="0.2">
      <c r="A64" s="35" t="s">
        <v>173</v>
      </c>
    </row>
    <row r="65" spans="1:1" ht="18" x14ac:dyDescent="0.2">
      <c r="A65" s="34" t="s">
        <v>231</v>
      </c>
    </row>
    <row r="66" spans="1:1" ht="18" x14ac:dyDescent="0.2">
      <c r="A66" s="34" t="s">
        <v>176</v>
      </c>
    </row>
    <row r="67" spans="1:1" ht="18" x14ac:dyDescent="0.2">
      <c r="A67" s="34" t="s">
        <v>177</v>
      </c>
    </row>
    <row r="68" spans="1:1" ht="18" x14ac:dyDescent="0.2">
      <c r="A68" s="34" t="s">
        <v>208</v>
      </c>
    </row>
    <row r="69" spans="1:1" ht="18" x14ac:dyDescent="0.2">
      <c r="A69" s="54" t="s">
        <v>166</v>
      </c>
    </row>
    <row r="70" spans="1:1" ht="18" x14ac:dyDescent="0.2">
      <c r="A70" s="54" t="s">
        <v>165</v>
      </c>
    </row>
    <row r="71" spans="1:1" ht="18" x14ac:dyDescent="0.2">
      <c r="A71" s="54" t="s">
        <v>164</v>
      </c>
    </row>
    <row r="72" spans="1:1" ht="18" x14ac:dyDescent="0.2">
      <c r="A72" s="54" t="s">
        <v>163</v>
      </c>
    </row>
  </sheetData>
  <mergeCells count="3">
    <mergeCell ref="E2:G2"/>
    <mergeCell ref="H2:S2"/>
    <mergeCell ref="A2:D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gagarin</dc:creator>
  <cp:lastModifiedBy>Laramie Duncan</cp:lastModifiedBy>
  <dcterms:created xsi:type="dcterms:W3CDTF">2019-01-25T22:48:35Z</dcterms:created>
  <dcterms:modified xsi:type="dcterms:W3CDTF">2019-06-16T20:55:55Z</dcterms:modified>
</cp:coreProperties>
</file>