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Labs\Brockdorff\Guifeng_SilencingPaper_Figures\FINAL_Submission\"/>
    </mc:Choice>
  </mc:AlternateContent>
  <bookViews>
    <workbookView xWindow="0" yWindow="0" windowWidth="26535" windowHeight="12150" activeTab="1"/>
  </bookViews>
  <sheets>
    <sheet name="ChIPCalibration" sheetId="1" r:id="rId1"/>
    <sheet name="Fig.5a" sheetId="2" r:id="rId2"/>
    <sheet name="Fig.S1b" sheetId="3" r:id="rId3"/>
    <sheet name="Fig.S2d" sheetId="5" r:id="rId4"/>
    <sheet name="FigS2e. iXist-chr3" sheetId="10" r:id="rId5"/>
    <sheet name="FigS2e. iXist-chrX" sheetId="9" r:id="rId6"/>
    <sheet name="Fig.S3b" sheetId="6" r:id="rId7"/>
    <sheet name="FigS3d" sheetId="11" r:id="rId8"/>
    <sheet name="Fig.S4d" sheetId="7" r:id="rId9"/>
    <sheet name="Fig.S6a" sheetId="8" r:id="rId10"/>
  </sheets>
  <externalReferences>
    <externalReference r:id="rId11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9" i="6" l="1"/>
  <c r="F50" i="6" s="1"/>
  <c r="F48" i="6"/>
  <c r="F43" i="6"/>
  <c r="F42" i="6"/>
  <c r="F41" i="6"/>
  <c r="F35" i="6"/>
  <c r="F36" i="6" s="1"/>
  <c r="F34" i="6"/>
  <c r="F28" i="6"/>
  <c r="F29" i="6" s="1"/>
  <c r="F27" i="6"/>
  <c r="F21" i="6"/>
  <c r="F20" i="6"/>
  <c r="F22" i="6" s="1"/>
  <c r="F14" i="6"/>
  <c r="F15" i="6" s="1"/>
  <c r="F13" i="6"/>
  <c r="F7" i="6"/>
  <c r="F6" i="6"/>
  <c r="F8" i="6" s="1"/>
  <c r="E9" i="11" l="1"/>
  <c r="D9" i="11"/>
  <c r="E8" i="11"/>
  <c r="D8" i="11"/>
  <c r="E7" i="11"/>
  <c r="D7" i="11"/>
  <c r="E6" i="11"/>
  <c r="D6" i="11"/>
  <c r="E5" i="11"/>
  <c r="D5" i="11"/>
  <c r="E4" i="11"/>
  <c r="D4" i="11"/>
  <c r="E3" i="11"/>
  <c r="D3" i="11"/>
  <c r="E2" i="11"/>
  <c r="D2" i="11"/>
  <c r="G20" i="10"/>
  <c r="F20" i="10"/>
  <c r="G19" i="10"/>
  <c r="F19" i="10"/>
  <c r="G18" i="10"/>
  <c r="F18" i="10"/>
  <c r="G17" i="10"/>
  <c r="F17" i="10"/>
  <c r="G16" i="10"/>
  <c r="F16" i="10"/>
  <c r="G15" i="10"/>
  <c r="F15" i="10"/>
  <c r="G14" i="10"/>
  <c r="F14" i="10"/>
  <c r="G13" i="10"/>
  <c r="F13" i="10"/>
  <c r="G12" i="10"/>
  <c r="F12" i="10"/>
  <c r="G11" i="10"/>
  <c r="F11" i="10"/>
  <c r="G10" i="10"/>
  <c r="F10" i="10"/>
  <c r="G9" i="10"/>
  <c r="F9" i="10"/>
  <c r="F41" i="9"/>
  <c r="E41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F26" i="9"/>
  <c r="E26" i="9"/>
  <c r="F25" i="9"/>
  <c r="E25" i="9"/>
  <c r="N18" i="9"/>
  <c r="M18" i="9"/>
  <c r="N17" i="9"/>
  <c r="M17" i="9"/>
  <c r="N16" i="9"/>
  <c r="M16" i="9"/>
  <c r="N15" i="9"/>
  <c r="M15" i="9"/>
  <c r="N14" i="9"/>
  <c r="M14" i="9"/>
  <c r="N13" i="9"/>
  <c r="M13" i="9"/>
  <c r="B8" i="6" l="1"/>
  <c r="B15" i="6"/>
  <c r="B22" i="6"/>
  <c r="B29" i="6"/>
  <c r="B43" i="6"/>
  <c r="B50" i="6"/>
  <c r="B36" i="6"/>
  <c r="F14" i="7" l="1"/>
  <c r="F13" i="7"/>
  <c r="F15" i="7" s="1"/>
  <c r="G7" i="7"/>
  <c r="F7" i="7"/>
  <c r="H7" i="7" s="1"/>
  <c r="G6" i="7"/>
  <c r="G8" i="7" s="1"/>
  <c r="B22" i="7"/>
  <c r="F20" i="7" s="1"/>
  <c r="B15" i="7"/>
  <c r="C8" i="7"/>
  <c r="B8" i="7"/>
  <c r="F6" i="7" s="1"/>
  <c r="I5" i="8"/>
  <c r="I7" i="8" s="1"/>
  <c r="K5" i="8"/>
  <c r="I6" i="8"/>
  <c r="K6" i="8"/>
  <c r="K7" i="8"/>
  <c r="C7" i="8"/>
  <c r="D7" i="8"/>
  <c r="J5" i="8" s="1"/>
  <c r="E7" i="8"/>
  <c r="B7" i="8"/>
  <c r="H5" i="8" s="1"/>
  <c r="L49" i="5"/>
  <c r="L48" i="5"/>
  <c r="L47" i="5"/>
  <c r="K48" i="5"/>
  <c r="K49" i="5" s="1"/>
  <c r="J48" i="5"/>
  <c r="I48" i="5"/>
  <c r="M48" i="5" s="1"/>
  <c r="H48" i="5"/>
  <c r="K47" i="5"/>
  <c r="J47" i="5"/>
  <c r="J49" i="5" s="1"/>
  <c r="I47" i="5"/>
  <c r="I49" i="5" s="1"/>
  <c r="H47" i="5"/>
  <c r="M47" i="5" s="1"/>
  <c r="F49" i="5"/>
  <c r="E49" i="5"/>
  <c r="D49" i="5"/>
  <c r="C49" i="5"/>
  <c r="B49" i="5"/>
  <c r="I41" i="5"/>
  <c r="H41" i="5"/>
  <c r="J40" i="5"/>
  <c r="E42" i="5"/>
  <c r="K41" i="5" s="1"/>
  <c r="D42" i="5"/>
  <c r="J41" i="5" s="1"/>
  <c r="C42" i="5"/>
  <c r="I40" i="5" s="1"/>
  <c r="I42" i="5" s="1"/>
  <c r="B42" i="5"/>
  <c r="H40" i="5" s="1"/>
  <c r="D35" i="5"/>
  <c r="J33" i="5" s="1"/>
  <c r="C35" i="5"/>
  <c r="I33" i="5" s="1"/>
  <c r="B35" i="5"/>
  <c r="H34" i="5" s="1"/>
  <c r="D28" i="5"/>
  <c r="J27" i="5" s="1"/>
  <c r="C28" i="5"/>
  <c r="I26" i="5" s="1"/>
  <c r="B28" i="5"/>
  <c r="H27" i="5" s="1"/>
  <c r="B21" i="5"/>
  <c r="H20" i="5" s="1"/>
  <c r="C14" i="5"/>
  <c r="I13" i="5" s="1"/>
  <c r="B14" i="5"/>
  <c r="H13" i="5" s="1"/>
  <c r="C7" i="5"/>
  <c r="I5" i="5" s="1"/>
  <c r="B7" i="5"/>
  <c r="H5" i="5" s="1"/>
  <c r="C20" i="3"/>
  <c r="E14" i="3"/>
  <c r="D14" i="3"/>
  <c r="C14" i="3"/>
  <c r="B14" i="3"/>
  <c r="E19" i="3" s="1"/>
  <c r="F7" i="3"/>
  <c r="F20" i="3" s="1"/>
  <c r="E7" i="3"/>
  <c r="E20" i="3" s="1"/>
  <c r="D7" i="3"/>
  <c r="D20" i="3" s="1"/>
  <c r="C7" i="3"/>
  <c r="B7" i="3"/>
  <c r="B20" i="3" s="1"/>
  <c r="C31" i="2"/>
  <c r="B31" i="2"/>
  <c r="E30" i="2"/>
  <c r="D30" i="2"/>
  <c r="B30" i="2"/>
  <c r="D29" i="2"/>
  <c r="D32" i="2" s="1"/>
  <c r="C29" i="2"/>
  <c r="C32" i="2" s="1"/>
  <c r="B29" i="2"/>
  <c r="B32" i="2" s="1"/>
  <c r="B33" i="2" s="1"/>
  <c r="E25" i="2"/>
  <c r="E24" i="2"/>
  <c r="D31" i="2" s="1"/>
  <c r="E23" i="2"/>
  <c r="C30" i="2" s="1"/>
  <c r="E22" i="2"/>
  <c r="E29" i="2" s="1"/>
  <c r="E8" i="2"/>
  <c r="E15" i="2" s="1"/>
  <c r="E7" i="2"/>
  <c r="B14" i="2" s="1"/>
  <c r="E6" i="2"/>
  <c r="E13" i="2" s="1"/>
  <c r="F21" i="7" l="1"/>
  <c r="F22" i="7" s="1"/>
  <c r="F8" i="7"/>
  <c r="H6" i="7"/>
  <c r="J6" i="8"/>
  <c r="J7" i="8" s="1"/>
  <c r="M5" i="8"/>
  <c r="H6" i="8"/>
  <c r="H7" i="8" s="1"/>
  <c r="L5" i="8"/>
  <c r="N48" i="5"/>
  <c r="H49" i="5"/>
  <c r="N47" i="5"/>
  <c r="I34" i="5"/>
  <c r="K40" i="5"/>
  <c r="M40" i="5"/>
  <c r="L40" i="5"/>
  <c r="L41" i="5"/>
  <c r="M41" i="5"/>
  <c r="K42" i="5"/>
  <c r="J42" i="5"/>
  <c r="H42" i="5"/>
  <c r="J34" i="5"/>
  <c r="K34" i="5" s="1"/>
  <c r="J13" i="5"/>
  <c r="I35" i="5"/>
  <c r="H33" i="5"/>
  <c r="J26" i="5"/>
  <c r="J28" i="5" s="1"/>
  <c r="H26" i="5"/>
  <c r="I27" i="5"/>
  <c r="L27" i="5" s="1"/>
  <c r="J5" i="5"/>
  <c r="H19" i="5"/>
  <c r="H21" i="5" s="1"/>
  <c r="H6" i="5"/>
  <c r="H7" i="5" s="1"/>
  <c r="H12" i="5"/>
  <c r="H14" i="5" s="1"/>
  <c r="I12" i="5"/>
  <c r="I14" i="5" s="1"/>
  <c r="I6" i="5"/>
  <c r="I7" i="5" s="1"/>
  <c r="H20" i="3"/>
  <c r="G20" i="3"/>
  <c r="B19" i="3"/>
  <c r="C19" i="3"/>
  <c r="D19" i="3"/>
  <c r="C33" i="2"/>
  <c r="D33" i="2"/>
  <c r="E31" i="2"/>
  <c r="B13" i="2"/>
  <c r="B15" i="2"/>
  <c r="C13" i="2"/>
  <c r="C15" i="2"/>
  <c r="D13" i="2"/>
  <c r="D15" i="2"/>
  <c r="C14" i="2"/>
  <c r="D14" i="2"/>
  <c r="E9" i="2"/>
  <c r="E14" i="2"/>
  <c r="M6" i="8" l="1"/>
  <c r="L6" i="8"/>
  <c r="J35" i="5"/>
  <c r="L34" i="5"/>
  <c r="I28" i="5"/>
  <c r="H28" i="5"/>
  <c r="L26" i="5"/>
  <c r="K26" i="5"/>
  <c r="H35" i="5"/>
  <c r="L33" i="5"/>
  <c r="K33" i="5"/>
  <c r="K27" i="5"/>
  <c r="J12" i="5"/>
  <c r="J6" i="5"/>
  <c r="G19" i="3"/>
  <c r="H19" i="3"/>
  <c r="B16" i="2"/>
  <c r="B17" i="2"/>
  <c r="D16" i="2"/>
  <c r="D17" i="2"/>
  <c r="C16" i="2"/>
  <c r="C17" i="2" s="1"/>
  <c r="D36" i="1" l="1"/>
  <c r="D3" i="1"/>
  <c r="M68" i="1" l="1"/>
  <c r="G13" i="1"/>
  <c r="G32" i="1"/>
  <c r="G31" i="1"/>
  <c r="G30" i="1"/>
  <c r="G16" i="1"/>
  <c r="G15" i="1"/>
  <c r="G14" i="1"/>
  <c r="G11" i="1"/>
  <c r="G9" i="1"/>
  <c r="G6" i="1"/>
  <c r="G39" i="1"/>
  <c r="G4" i="1"/>
  <c r="G20" i="1"/>
  <c r="G22" i="1"/>
  <c r="G25" i="1"/>
  <c r="G27" i="1"/>
  <c r="G66" i="1"/>
  <c r="E42" i="1"/>
  <c r="E36" i="1"/>
  <c r="E49" i="1"/>
  <c r="E3" i="1"/>
  <c r="E5" i="1"/>
  <c r="M6" i="1"/>
  <c r="M63" i="1"/>
  <c r="N63" i="1" s="1"/>
  <c r="M64" i="1"/>
  <c r="N64" i="1" s="1"/>
  <c r="M65" i="1"/>
  <c r="M66" i="1"/>
  <c r="M67" i="1"/>
  <c r="M37" i="1"/>
  <c r="N37" i="1" s="1"/>
  <c r="M50" i="1"/>
  <c r="N50" i="1" s="1"/>
  <c r="M60" i="1"/>
  <c r="M58" i="1"/>
  <c r="M56" i="1"/>
  <c r="M54" i="1"/>
  <c r="M52" i="1"/>
  <c r="M47" i="1"/>
  <c r="M45" i="1"/>
  <c r="M43" i="1"/>
  <c r="N43" i="1" s="1"/>
  <c r="M41" i="1"/>
  <c r="M25" i="1"/>
  <c r="M39" i="1"/>
  <c r="M22" i="1"/>
  <c r="M20" i="1"/>
  <c r="D13" i="1"/>
  <c r="D14" i="1"/>
  <c r="D15" i="1"/>
  <c r="D16" i="1"/>
  <c r="D8" i="1"/>
  <c r="D9" i="1"/>
  <c r="D10" i="1"/>
  <c r="D11" i="1"/>
  <c r="D4" i="1"/>
  <c r="D5" i="1"/>
  <c r="D6" i="1"/>
  <c r="M4" i="1"/>
  <c r="N45" i="1" l="1"/>
  <c r="N47" i="1"/>
  <c r="N58" i="1"/>
  <c r="N41" i="1"/>
  <c r="F13" i="1"/>
  <c r="H13" i="1" s="1"/>
  <c r="F4" i="1"/>
  <c r="H4" i="1" s="1"/>
  <c r="I4" i="1" s="1"/>
  <c r="F6" i="1"/>
  <c r="H6" i="1" s="1"/>
  <c r="F14" i="1"/>
  <c r="H14" i="1" s="1"/>
  <c r="N54" i="1"/>
  <c r="N66" i="1"/>
  <c r="N67" i="1"/>
  <c r="N68" i="1"/>
  <c r="N56" i="1"/>
  <c r="N65" i="1"/>
  <c r="N39" i="1"/>
  <c r="N60" i="1"/>
  <c r="N52" i="1"/>
  <c r="H37" i="1"/>
  <c r="I37" i="1" s="1"/>
  <c r="J37" i="1" s="1"/>
  <c r="G68" i="1"/>
  <c r="G67" i="1"/>
  <c r="G65" i="1"/>
  <c r="G64" i="1"/>
  <c r="G47" i="1"/>
  <c r="G60" i="1"/>
  <c r="G52" i="1"/>
  <c r="G63" i="1"/>
  <c r="E66" i="1"/>
  <c r="E63" i="1"/>
  <c r="F63" i="1" s="1"/>
  <c r="D63" i="1"/>
  <c r="O63" i="1" s="1"/>
  <c r="D64" i="1"/>
  <c r="O64" i="1" s="1"/>
  <c r="D65" i="1"/>
  <c r="O65" i="1" s="1"/>
  <c r="D66" i="1"/>
  <c r="O66" i="1" s="1"/>
  <c r="D67" i="1"/>
  <c r="O67" i="1" s="1"/>
  <c r="D68" i="1"/>
  <c r="O68" i="1" s="1"/>
  <c r="D37" i="1"/>
  <c r="O37" i="1" s="1"/>
  <c r="D38" i="1"/>
  <c r="D39" i="1"/>
  <c r="O39" i="1" s="1"/>
  <c r="D40" i="1"/>
  <c r="D41" i="1"/>
  <c r="O41" i="1" s="1"/>
  <c r="D42" i="1"/>
  <c r="D43" i="1"/>
  <c r="O43" i="1" s="1"/>
  <c r="D44" i="1"/>
  <c r="D45" i="1"/>
  <c r="O45" i="1" s="1"/>
  <c r="D46" i="1"/>
  <c r="D47" i="1"/>
  <c r="O47" i="1" s="1"/>
  <c r="D49" i="1"/>
  <c r="D50" i="1"/>
  <c r="O50" i="1" s="1"/>
  <c r="D51" i="1"/>
  <c r="D52" i="1"/>
  <c r="D53" i="1"/>
  <c r="D54" i="1"/>
  <c r="D55" i="1"/>
  <c r="D56" i="1"/>
  <c r="O56" i="1" s="1"/>
  <c r="D57" i="1"/>
  <c r="D58" i="1"/>
  <c r="O58" i="1" s="1"/>
  <c r="D59" i="1"/>
  <c r="D60" i="1"/>
  <c r="G58" i="1"/>
  <c r="G56" i="1"/>
  <c r="G54" i="1"/>
  <c r="G45" i="1"/>
  <c r="G43" i="1"/>
  <c r="G41" i="1"/>
  <c r="E59" i="1"/>
  <c r="F59" i="1" s="1"/>
  <c r="E57" i="1"/>
  <c r="E55" i="1"/>
  <c r="E53" i="1"/>
  <c r="E51" i="1"/>
  <c r="F51" i="1" s="1"/>
  <c r="F49" i="1"/>
  <c r="H50" i="1" s="1"/>
  <c r="I50" i="1" s="1"/>
  <c r="J50" i="1" s="1"/>
  <c r="E46" i="1"/>
  <c r="E68" i="1" s="1"/>
  <c r="E44" i="1"/>
  <c r="E67" i="1" s="1"/>
  <c r="E40" i="1"/>
  <c r="F40" i="1" s="1"/>
  <c r="E38" i="1"/>
  <c r="F38" i="1" s="1"/>
  <c r="E64" i="1" l="1"/>
  <c r="E65" i="1"/>
  <c r="F65" i="1" s="1"/>
  <c r="H65" i="1" s="1"/>
  <c r="I65" i="1" s="1"/>
  <c r="H63" i="1"/>
  <c r="I63" i="1" s="1"/>
  <c r="J63" i="1" s="1"/>
  <c r="O54" i="1"/>
  <c r="O52" i="1"/>
  <c r="F67" i="1"/>
  <c r="H67" i="1" s="1"/>
  <c r="I67" i="1" s="1"/>
  <c r="F68" i="1"/>
  <c r="H68" i="1" s="1"/>
  <c r="I68" i="1" s="1"/>
  <c r="F64" i="1"/>
  <c r="H64" i="1" s="1"/>
  <c r="I64" i="1" s="1"/>
  <c r="F66" i="1"/>
  <c r="H66" i="1" s="1"/>
  <c r="I66" i="1" s="1"/>
  <c r="O60" i="1"/>
  <c r="J66" i="1"/>
  <c r="F46" i="1"/>
  <c r="H47" i="1" s="1"/>
  <c r="F53" i="1"/>
  <c r="H54" i="1" s="1"/>
  <c r="F55" i="1"/>
  <c r="H56" i="1" s="1"/>
  <c r="F57" i="1"/>
  <c r="H58" i="1" s="1"/>
  <c r="H39" i="1"/>
  <c r="I39" i="1" s="1"/>
  <c r="H41" i="1"/>
  <c r="J41" i="1" s="1"/>
  <c r="F42" i="1"/>
  <c r="H43" i="1" s="1"/>
  <c r="I43" i="1" s="1"/>
  <c r="F44" i="1"/>
  <c r="H45" i="1" s="1"/>
  <c r="I45" i="1" s="1"/>
  <c r="H52" i="1"/>
  <c r="I52" i="1" s="1"/>
  <c r="H60" i="1"/>
  <c r="J67" i="1" l="1"/>
  <c r="J65" i="1"/>
  <c r="J45" i="1"/>
  <c r="J68" i="1"/>
  <c r="J43" i="1"/>
  <c r="I56" i="1"/>
  <c r="J56" i="1"/>
  <c r="I54" i="1"/>
  <c r="J54" i="1"/>
  <c r="I60" i="1"/>
  <c r="J60" i="1"/>
  <c r="I58" i="1"/>
  <c r="J58" i="1"/>
  <c r="J39" i="1"/>
  <c r="I47" i="1"/>
  <c r="J47" i="1"/>
  <c r="J52" i="1"/>
  <c r="J64" i="1"/>
  <c r="I41" i="1"/>
  <c r="M11" i="1" l="1"/>
  <c r="M9" i="1"/>
  <c r="N4" i="1"/>
  <c r="O4" i="1" s="1"/>
  <c r="M27" i="1"/>
  <c r="M13" i="1"/>
  <c r="N13" i="1" s="1"/>
  <c r="M16" i="1"/>
  <c r="M15" i="1"/>
  <c r="M14" i="1"/>
  <c r="M31" i="1"/>
  <c r="M32" i="1"/>
  <c r="M30" i="1"/>
  <c r="M29" i="1"/>
  <c r="N29" i="1" s="1"/>
  <c r="O29" i="1" s="1"/>
  <c r="I13" i="1"/>
  <c r="J13" i="1" s="1"/>
  <c r="J4" i="1"/>
  <c r="E21" i="1"/>
  <c r="D19" i="1"/>
  <c r="E10" i="1"/>
  <c r="E8" i="1"/>
  <c r="E19" i="1"/>
  <c r="D20" i="1"/>
  <c r="D21" i="1"/>
  <c r="D22" i="1"/>
  <c r="F22" i="1" l="1"/>
  <c r="H22" i="1" s="1"/>
  <c r="F30" i="1"/>
  <c r="H30" i="1" s="1"/>
  <c r="F20" i="1"/>
  <c r="H20" i="1" s="1"/>
  <c r="F29" i="1"/>
  <c r="H29" i="1" s="1"/>
  <c r="I29" i="1" s="1"/>
  <c r="J29" i="1" s="1"/>
  <c r="F15" i="1"/>
  <c r="H15" i="1" s="1"/>
  <c r="I15" i="1" s="1"/>
  <c r="F9" i="1"/>
  <c r="H9" i="1" s="1"/>
  <c r="I9" i="1" s="1"/>
  <c r="F16" i="1"/>
  <c r="H16" i="1" s="1"/>
  <c r="I16" i="1" s="1"/>
  <c r="F11" i="1"/>
  <c r="H11" i="1" s="1"/>
  <c r="I11" i="1" s="1"/>
  <c r="N15" i="1"/>
  <c r="O15" i="1" s="1"/>
  <c r="N27" i="1"/>
  <c r="N11" i="1"/>
  <c r="O11" i="1" s="1"/>
  <c r="N31" i="1"/>
  <c r="O31" i="1" s="1"/>
  <c r="O13" i="1"/>
  <c r="N22" i="1"/>
  <c r="O22" i="1" s="1"/>
  <c r="N6" i="1"/>
  <c r="O6" i="1" s="1"/>
  <c r="N25" i="1"/>
  <c r="N16" i="1"/>
  <c r="O16" i="1" s="1"/>
  <c r="N9" i="1"/>
  <c r="O9" i="1" s="1"/>
  <c r="N14" i="1"/>
  <c r="O14" i="1" s="1"/>
  <c r="N32" i="1"/>
  <c r="O32" i="1" s="1"/>
  <c r="N30" i="1"/>
  <c r="O30" i="1" s="1"/>
  <c r="I20" i="1"/>
  <c r="J20" i="1" s="1"/>
  <c r="I22" i="1"/>
  <c r="I30" i="1" l="1"/>
  <c r="J30" i="1"/>
  <c r="I6" i="1"/>
  <c r="J6" i="1"/>
  <c r="J9" i="1"/>
  <c r="J16" i="1"/>
  <c r="I14" i="1"/>
  <c r="J14" i="1"/>
  <c r="J15" i="1"/>
  <c r="J22" i="1"/>
  <c r="J11" i="1"/>
  <c r="D27" i="1"/>
  <c r="O27" i="1" s="1"/>
  <c r="E26" i="1"/>
  <c r="D26" i="1"/>
  <c r="D25" i="1"/>
  <c r="O25" i="1" s="1"/>
  <c r="E24" i="1"/>
  <c r="D24" i="1"/>
  <c r="N20" i="1"/>
  <c r="O20" i="1" s="1"/>
  <c r="F32" i="1" l="1"/>
  <c r="H32" i="1" s="1"/>
  <c r="F27" i="1"/>
  <c r="H27" i="1" s="1"/>
  <c r="F31" i="1"/>
  <c r="H31" i="1" s="1"/>
  <c r="F25" i="1"/>
  <c r="H25" i="1" s="1"/>
  <c r="I25" i="1" s="1"/>
  <c r="I32" i="1"/>
  <c r="J32" i="1"/>
  <c r="J31" i="1"/>
  <c r="I31" i="1"/>
  <c r="J27" i="1"/>
  <c r="I27" i="1"/>
  <c r="J25" i="1" l="1"/>
</calcChain>
</file>

<file path=xl/sharedStrings.xml><?xml version="1.0" encoding="utf-8"?>
<sst xmlns="http://schemas.openxmlformats.org/spreadsheetml/2006/main" count="594" uniqueCount="312">
  <si>
    <t>dm6</t>
  </si>
  <si>
    <t>mm10</t>
  </si>
  <si>
    <t>dm6/(dm6+mm10)</t>
  </si>
  <si>
    <t>NormIP</t>
  </si>
  <si>
    <t>NormInput</t>
  </si>
  <si>
    <t>NormFactor</t>
  </si>
  <si>
    <t>NormLibSize</t>
  </si>
  <si>
    <t>Factor for .bigwig division:</t>
  </si>
  <si>
    <t xml:space="preserve">ORi </t>
  </si>
  <si>
    <t>NormORi</t>
  </si>
  <si>
    <t>WT_NoDox_input</t>
  </si>
  <si>
    <t>WT_NoDox_K27me3</t>
  </si>
  <si>
    <t>WT_Dox_input</t>
  </si>
  <si>
    <t>WT_Dox_K27me3</t>
  </si>
  <si>
    <t>DelB_NoDox_input</t>
  </si>
  <si>
    <t>DelB_NoDox_K27me3</t>
  </si>
  <si>
    <t>DelB_Dox_input</t>
  </si>
  <si>
    <t>DelB_Dox_K27me3</t>
  </si>
  <si>
    <t>WT_NoDox_uH2A</t>
  </si>
  <si>
    <t>WT_Dox_uH2A</t>
  </si>
  <si>
    <t>DelB_NoDox_uH2A</t>
  </si>
  <si>
    <t>DelB_Dox_uH2A</t>
  </si>
  <si>
    <t>Sample</t>
  </si>
  <si>
    <t>iXist-ChrX REPLICATE "2" - 30.06.2018</t>
  </si>
  <si>
    <t>iXist-ChrX REPLICATE "1" - 28.07.2018</t>
  </si>
  <si>
    <t>iXist-Chr3 K27me3</t>
  </si>
  <si>
    <t>WT_NoDox_Input_Rep1</t>
  </si>
  <si>
    <t>WT_NoDox_K27me3_Rep1</t>
  </si>
  <si>
    <t>WT_Dox_Input_Rep1</t>
  </si>
  <si>
    <t>WT_Dox_K27me3_Rep1</t>
  </si>
  <si>
    <t>B7_NoDox_Input_Rep1</t>
  </si>
  <si>
    <t>B7_NoDox_K27me3_Rep1</t>
  </si>
  <si>
    <t>B7_Dox_Input_Rep1</t>
  </si>
  <si>
    <t>B7_Dox_K27me3_Rep1</t>
  </si>
  <si>
    <t>Suz12KO_NoDox_Input_Rep1</t>
  </si>
  <si>
    <t>Suz12KO_NoDox_K27me3_Rep1</t>
  </si>
  <si>
    <t>Suz12KO_Dox_Input_Rep1</t>
  </si>
  <si>
    <t>Suz12KO_Dox_K27me3_Rep1</t>
  </si>
  <si>
    <t>WT_NoDox_Input_Rep2</t>
  </si>
  <si>
    <t>WT_NoDox_K27me3_Rep2</t>
  </si>
  <si>
    <t>WT_Dox_Input_Rep2</t>
  </si>
  <si>
    <t>WT_Dox_K27me3_Rep2</t>
  </si>
  <si>
    <t>B7_NoDox_Input_Rep2</t>
  </si>
  <si>
    <t>B7_NoDox_K27me3_Rep2</t>
  </si>
  <si>
    <t>B7_Dox_Input_Rep2</t>
  </si>
  <si>
    <t>B7_Dox_K27me3_Rep2</t>
  </si>
  <si>
    <t>Suz12KO_NoDox_Input_Rep2</t>
  </si>
  <si>
    <t>Suz12KO_NoDox_K27me3_Rep2</t>
  </si>
  <si>
    <t>Suz12KO_Dox_Input_Rep2</t>
  </si>
  <si>
    <t>Suz12KO_Dox_K27me3_Rep2</t>
  </si>
  <si>
    <t>Division Factor</t>
  </si>
  <si>
    <t>WT_NoDox_uH2A_Rep1</t>
  </si>
  <si>
    <t>WT_Dox_uH2A_Rep1</t>
  </si>
  <si>
    <t>B7_NoDox_uH2A_Rep1</t>
  </si>
  <si>
    <t>B7_Dox_uH2A_Rep1</t>
  </si>
  <si>
    <t>Suz12KO_NoDox_uH2A_Rep1</t>
  </si>
  <si>
    <t>Suz12KO_Dox_uH2A_Rep1</t>
  </si>
  <si>
    <t>iXist-Chr3 uH2A</t>
  </si>
  <si>
    <t>mm10LibSize</t>
  </si>
  <si>
    <t>LibSize (Not /2)</t>
  </si>
  <si>
    <t>(formula from Hu et al, 2015)</t>
  </si>
  <si>
    <t>Sanity Check:</t>
  </si>
  <si>
    <t>(NormORi / LibSize)</t>
  </si>
  <si>
    <t>pcgf3/5 line</t>
  </si>
  <si>
    <t>gfp positive, no aux</t>
  </si>
  <si>
    <t>GFP+uH2A+</t>
  </si>
  <si>
    <t>GFP+uH2A-</t>
  </si>
  <si>
    <t>No domain</t>
  </si>
  <si>
    <t>Total</t>
  </si>
  <si>
    <t>rep1</t>
  </si>
  <si>
    <t>rep2</t>
  </si>
  <si>
    <t>rep3</t>
  </si>
  <si>
    <t>-auxin</t>
  </si>
  <si>
    <t>average</t>
  </si>
  <si>
    <t>StDev</t>
  </si>
  <si>
    <t>gfp positive, aux</t>
  </si>
  <si>
    <t>+auxin</t>
  </si>
  <si>
    <t>cell number</t>
  </si>
  <si>
    <t>%</t>
  </si>
  <si>
    <t>Cell number</t>
  </si>
  <si>
    <t>rep4</t>
  </si>
  <si>
    <t>rep5</t>
  </si>
  <si>
    <t>Xist domain</t>
  </si>
  <si>
    <t>no domain</t>
  </si>
  <si>
    <t>PS Xist/Tsix</t>
  </si>
  <si>
    <t>total</t>
  </si>
  <si>
    <t>Summary (%)</t>
  </si>
  <si>
    <t>Cell line</t>
  </si>
  <si>
    <t>exp1</t>
  </si>
  <si>
    <t>exp2</t>
  </si>
  <si>
    <t>exp3</t>
  </si>
  <si>
    <t>exp4</t>
  </si>
  <si>
    <t>exp5</t>
  </si>
  <si>
    <t>Average</t>
  </si>
  <si>
    <t>Fig.S1b</t>
  </si>
  <si>
    <t>iXist-ChrX undif cells 24hrs dox induction</t>
  </si>
  <si>
    <t>iXist-ChrX without dox control</t>
  </si>
  <si>
    <t>iXist-ChrX-dox</t>
  </si>
  <si>
    <t>iXist-ChrX +dox</t>
  </si>
  <si>
    <t>iXist-Chr3 wt Undif cells 24 hrs induction</t>
  </si>
  <si>
    <t>iXist-Chr3 LBR KO 4F-9F undif  cells 24hrs  induction</t>
  </si>
  <si>
    <t>iXist-Chr3 Spen KO 3E5 undif  cells 24hrs  induction</t>
  </si>
  <si>
    <t>iXist-ChrX LBR LE11 undif  cells 24hrs  induction</t>
  </si>
  <si>
    <r>
      <t xml:space="preserve">iXist-ChrX </t>
    </r>
    <r>
      <rPr>
        <b/>
        <sz val="11"/>
        <color rgb="FFFF0000"/>
        <rFont val="Symbol"/>
        <family val="1"/>
        <charset val="2"/>
      </rPr>
      <t>D</t>
    </r>
    <r>
      <rPr>
        <b/>
        <sz val="11"/>
        <color rgb="FFFF0000"/>
        <rFont val="Calibri"/>
        <family val="2"/>
        <scheme val="minor"/>
      </rPr>
      <t>LBS 1G1 undif  cells 24hrs  induction</t>
    </r>
  </si>
  <si>
    <t>iXist-ChrX Spen KO D4 undif  cells 24hrs  induction</t>
  </si>
  <si>
    <t>iXist-ChrX Spen KO C3 undif  cells 24hrs  induction</t>
  </si>
  <si>
    <t>Median</t>
  </si>
  <si>
    <t>St Dev</t>
  </si>
  <si>
    <r>
      <t xml:space="preserve">Xist </t>
    </r>
    <r>
      <rPr>
        <b/>
        <sz val="11"/>
        <color rgb="FFFF0000"/>
        <rFont val="Symbol"/>
        <family val="1"/>
        <charset val="2"/>
      </rPr>
      <t>D</t>
    </r>
    <r>
      <rPr>
        <b/>
        <sz val="11"/>
        <color rgb="FFFF0000"/>
        <rFont val="Calibri"/>
        <family val="2"/>
        <scheme val="minor"/>
      </rPr>
      <t>A undif  cells 24hrs  induction</t>
    </r>
  </si>
  <si>
    <t>Fig.S2d</t>
  </si>
  <si>
    <t>Fig.S3b</t>
  </si>
  <si>
    <t>Fig.S4d</t>
  </si>
  <si>
    <t>Fig.S6a</t>
  </si>
  <si>
    <t>iXist-Chr3 Mettl3KO undif cells 24hrs dox induction</t>
  </si>
  <si>
    <t>iXist-Chr3 Wtap KO undif cells 24hrs dox induction</t>
  </si>
  <si>
    <t>iXist-Chr3Rbm15 KO undif cells 24hrs dox induction</t>
  </si>
  <si>
    <t>iXist-ChrX wt undif cells 24hrs dox induction</t>
  </si>
  <si>
    <t>iXist-ChrX Wtap KO #4 undif cells 24hrs dox induction</t>
  </si>
  <si>
    <r>
      <t xml:space="preserve">iXist-ChrX </t>
    </r>
    <r>
      <rPr>
        <b/>
        <sz val="11"/>
        <color rgb="FFFF0000"/>
        <rFont val="Symbol"/>
        <family val="1"/>
        <charset val="2"/>
      </rPr>
      <t>D</t>
    </r>
    <r>
      <rPr>
        <b/>
        <sz val="11"/>
        <color rgb="FFFF0000"/>
        <rFont val="Calibri"/>
        <family val="2"/>
        <scheme val="minor"/>
      </rPr>
      <t>m6A/3A undif cells 24hrs dox induction</t>
    </r>
  </si>
  <si>
    <r>
      <t xml:space="preserve">iXist-ChrX </t>
    </r>
    <r>
      <rPr>
        <b/>
        <sz val="11"/>
        <color rgb="FFFF0000"/>
        <rFont val="Symbol"/>
        <family val="1"/>
        <charset val="2"/>
      </rPr>
      <t>D</t>
    </r>
    <r>
      <rPr>
        <b/>
        <sz val="11"/>
        <color rgb="FFFF0000"/>
        <rFont val="Calibri"/>
        <family val="2"/>
        <scheme val="minor"/>
      </rPr>
      <t>m6A/11G undif cells 24hrs dox induction</t>
    </r>
  </si>
  <si>
    <t>Geneid</t>
  </si>
  <si>
    <t>Xist</t>
  </si>
  <si>
    <t>chrs</t>
  </si>
  <si>
    <t>chrX</t>
  </si>
  <si>
    <t>start</t>
  </si>
  <si>
    <t>stop</t>
  </si>
  <si>
    <t>strand</t>
  </si>
  <si>
    <t>-</t>
  </si>
  <si>
    <t>Length</t>
  </si>
  <si>
    <t>WT_NoDox</t>
  </si>
  <si>
    <t>WT_Undiff_6d</t>
  </si>
  <si>
    <t>WT_DoxA</t>
  </si>
  <si>
    <t>WTDox_Undiff_6d</t>
  </si>
  <si>
    <t>WT_DoxB</t>
  </si>
  <si>
    <t>DelA_Undiff_6d</t>
  </si>
  <si>
    <t>B2_NoDox</t>
  </si>
  <si>
    <t>Tatyana</t>
  </si>
  <si>
    <t>DelADox_Undiff_6d</t>
  </si>
  <si>
    <t>B2_Dox</t>
  </si>
  <si>
    <t>DelB_Undiff_6d</t>
  </si>
  <si>
    <t>DeltaA1H12_NoDox</t>
  </si>
  <si>
    <t>DelBDox_Undiff_6d</t>
  </si>
  <si>
    <t>DeltaA1H12_DoxA</t>
  </si>
  <si>
    <t>WT_Diff_6d</t>
  </si>
  <si>
    <t>WT_NoDox_Diff_6d_Rep2</t>
  </si>
  <si>
    <t>WT_NoDox_Diff_6d_Rep3</t>
  </si>
  <si>
    <t>DeltaA1H12_DoxB</t>
  </si>
  <si>
    <t>WTDox_Diff_6d</t>
  </si>
  <si>
    <t>WT_Dox_Diff_6d_Rep2</t>
  </si>
  <si>
    <t>WT_Dox_Diff_6d_Rep3</t>
  </si>
  <si>
    <t>DeltaBE8_NoDox</t>
  </si>
  <si>
    <t>DelA_Diff_6d</t>
  </si>
  <si>
    <t>DelA_NoDox_Diff_6d_Rep2</t>
  </si>
  <si>
    <t>DelA_NoDox_Diff_6d_Rep3</t>
  </si>
  <si>
    <t>DeltaBE8_DoxA</t>
  </si>
  <si>
    <t>DelADox_Diff_6d</t>
  </si>
  <si>
    <t>DelA_Dox_Diff_6d_Rep2</t>
  </si>
  <si>
    <t>DelA_Dox_Diff_6d_Rep3</t>
  </si>
  <si>
    <t>DeltaBE8_DoxB</t>
  </si>
  <si>
    <t>DelB_Diff_6d</t>
  </si>
  <si>
    <t>DelB_NoDox_Diff_6d_Rep2</t>
  </si>
  <si>
    <t>DelB_NoDox_Diff_6d_Rep3</t>
  </si>
  <si>
    <t>LE11_NoDox</t>
  </si>
  <si>
    <t>DelBDox_Diff_6d</t>
  </si>
  <si>
    <t>DelB_Dox_Diff_6d_Rep2</t>
  </si>
  <si>
    <t>DelB_Dox_Diff_6d_Rep3</t>
  </si>
  <si>
    <t>LE11_Dox</t>
  </si>
  <si>
    <t>LH4_NoDox</t>
  </si>
  <si>
    <t>LBRKO_LH11</t>
  </si>
  <si>
    <t>LH4_Dox</t>
  </si>
  <si>
    <t>LBRKO_LH4</t>
  </si>
  <si>
    <t>DelLBS_1G1_NoDox</t>
  </si>
  <si>
    <t>DelLBS_LC7</t>
  </si>
  <si>
    <t>DelLBS_1G1_Dox</t>
  </si>
  <si>
    <t>DelLBS_1G1</t>
  </si>
  <si>
    <t>DelLBS_1C7_NoDox</t>
  </si>
  <si>
    <t>SEM</t>
  </si>
  <si>
    <t>DelLBS_1C7_Dox</t>
  </si>
  <si>
    <t>SpC3_NoDox</t>
  </si>
  <si>
    <t>WT_Dox</t>
  </si>
  <si>
    <t>SpC3_Dox</t>
  </si>
  <si>
    <t>DeltaA1H12_Dox</t>
  </si>
  <si>
    <t>SpC4_NoDox</t>
  </si>
  <si>
    <t>DeltaBE8_Dox</t>
  </si>
  <si>
    <t>SpenKO</t>
  </si>
  <si>
    <t>SpC4_Dox</t>
  </si>
  <si>
    <t>LBRKO_Dox</t>
  </si>
  <si>
    <t>Rbm15</t>
  </si>
  <si>
    <t>SpD4_NoDox</t>
  </si>
  <si>
    <t>DelLBS</t>
  </si>
  <si>
    <t>WtapKO</t>
  </si>
  <si>
    <t>SpD4_Dox</t>
  </si>
  <si>
    <t>Delm6A_3A</t>
  </si>
  <si>
    <t>WT_NoDox_ChrRNA_Rep1</t>
  </si>
  <si>
    <t>Delm6A_11G</t>
  </si>
  <si>
    <t>WT_NoDox_ChrRNA_Rep2</t>
  </si>
  <si>
    <t>WT_Dox_ChrRNA_Rep1</t>
  </si>
  <si>
    <t>WT_Dox_ChrRNA_Rep2</t>
  </si>
  <si>
    <t>Delm6A3A_NoDox_ChrRNA_Rep1</t>
  </si>
  <si>
    <t>Delm6A3A_NoDox_ChrRNA_Rep2</t>
  </si>
  <si>
    <t>Delm6A3A_Dox_ChrRNA_Rep1</t>
  </si>
  <si>
    <t>Delm6A3A_Dox_ChrRNA_Rep2</t>
  </si>
  <si>
    <t>WTB2_NoDox_Rep1</t>
  </si>
  <si>
    <t>WTB2_24hrDox_Rep1</t>
  </si>
  <si>
    <t>Deltam6A_11G_NoDox_Rep1</t>
  </si>
  <si>
    <t>Deltam6A_11G_NoDox_Rep2</t>
  </si>
  <si>
    <t>Deltam6A_11G_24hrDox_Rep1</t>
  </si>
  <si>
    <t>Deltam6A_11G_24hrDox_Rep2</t>
  </si>
  <si>
    <t>Rbm15KO_E10_NoDox1</t>
  </si>
  <si>
    <t>Rbm15KO_E10_NoDox2</t>
  </si>
  <si>
    <t>Rbm15KO_E10_NoDox3</t>
  </si>
  <si>
    <t>Rbm15KO_E10_DoxA</t>
  </si>
  <si>
    <t>Rbm15KO_E10_DoxB</t>
  </si>
  <si>
    <t>Rbm15KO_E10_Dox</t>
  </si>
  <si>
    <t>Rbm15KO_A8_NoDox1</t>
  </si>
  <si>
    <t>Rbm15KO_A8_NoDox2</t>
  </si>
  <si>
    <t>Rbm15KO_A8_NoDox3</t>
  </si>
  <si>
    <t>Rbm15KO_A8_Dox1</t>
  </si>
  <si>
    <t>Rbm15KO_A8_Dox2</t>
  </si>
  <si>
    <t>Rbm15KO_A8_Dox3</t>
  </si>
  <si>
    <t>Rbm15KO_A8_Dox4</t>
  </si>
  <si>
    <t>WtapKO_C4_NoDox</t>
  </si>
  <si>
    <t>WtapKO_C4_Dox1</t>
  </si>
  <si>
    <t>WtapKO_C4_Dox2</t>
  </si>
  <si>
    <t>WtapKO_C6_NoDox</t>
  </si>
  <si>
    <t>WtapKO_C6_Dox1</t>
  </si>
  <si>
    <t>WtapKO_C6_Dox2</t>
  </si>
  <si>
    <t>WT_day6_diff_dox1</t>
  </si>
  <si>
    <t>WT_day6_diff_dox2</t>
  </si>
  <si>
    <t>SpenC3_day6_diff_dox</t>
  </si>
  <si>
    <t>WT_HC_NoDox</t>
  </si>
  <si>
    <t>WT_HC_DoxA</t>
  </si>
  <si>
    <t>AVERAGE</t>
  </si>
  <si>
    <t>WT_HC_DoxB</t>
  </si>
  <si>
    <t>WT_QP_NoDox</t>
  </si>
  <si>
    <t>WT_QP_Dox</t>
  </si>
  <si>
    <t>WT_TIR_Dox</t>
  </si>
  <si>
    <t>WT_TN_NoDox</t>
  </si>
  <si>
    <t>Pcgf3/5DKO_Dox</t>
  </si>
  <si>
    <t>WT_TN_Dox</t>
  </si>
  <si>
    <t>Suz12KO</t>
  </si>
  <si>
    <t>WT_TIR_NoDox</t>
  </si>
  <si>
    <t>WT_TIR_DoxA</t>
  </si>
  <si>
    <t>Mettl3KO</t>
  </si>
  <si>
    <t>WT_TIR_DoxB</t>
  </si>
  <si>
    <t>B7mut_NoDox</t>
  </si>
  <si>
    <t>Pcgf3and5_DKO</t>
  </si>
  <si>
    <t>Rbm15KO</t>
  </si>
  <si>
    <t>B7mut_DoxA</t>
  </si>
  <si>
    <t>LBRKO</t>
  </si>
  <si>
    <t>B7mut_DoxB</t>
  </si>
  <si>
    <t>WT_Diff_3day</t>
  </si>
  <si>
    <t>C10mut_NoDox</t>
  </si>
  <si>
    <t>Suz12KO_diff_3day</t>
  </si>
  <si>
    <t>C10mut_DoxA</t>
  </si>
  <si>
    <t>C10mut_DoxB</t>
  </si>
  <si>
    <t>Suz12KO_NoDox</t>
  </si>
  <si>
    <t>Suz12KO_DoxA</t>
  </si>
  <si>
    <t>Suz12KO_DoxB</t>
  </si>
  <si>
    <t>X2E5_NoDox</t>
  </si>
  <si>
    <t>X2E5_Dox</t>
  </si>
  <si>
    <t>X2G9_NoDox</t>
  </si>
  <si>
    <t>X2G9_Dox</t>
  </si>
  <si>
    <t>X3E5_NoDox</t>
  </si>
  <si>
    <t>X3E5_Dox</t>
  </si>
  <si>
    <t>X3H6_NoDox</t>
  </si>
  <si>
    <t>X3H6_Dox</t>
  </si>
  <si>
    <t>Mettl3KO_NoDox</t>
  </si>
  <si>
    <t>Mettl3KO_DoxA</t>
  </si>
  <si>
    <t>Mettl3KO_DoxB</t>
  </si>
  <si>
    <t>WtapKO_NoDox</t>
  </si>
  <si>
    <t>WtapKO_DoxA</t>
  </si>
  <si>
    <t>WtapKO_DoxB</t>
  </si>
  <si>
    <t>Ythdc1KO_NoDox</t>
  </si>
  <si>
    <t>Ythdc1KO_DoxA</t>
  </si>
  <si>
    <t>Ythdc1KO_DoxB</t>
  </si>
  <si>
    <t>Rbm15KO_NoDox</t>
  </si>
  <si>
    <t>Rbm15KO_DoxA</t>
  </si>
  <si>
    <t>Rbm15KO_DoxB</t>
  </si>
  <si>
    <t>Rbm15bKO_NoDox</t>
  </si>
  <si>
    <t>Rbm15bKO_DoxA</t>
  </si>
  <si>
    <t>Rbm15bKO_DoxB</t>
  </si>
  <si>
    <t>LBRKO_4C7A_NoDox</t>
  </si>
  <si>
    <t>LBRKO_4C7A_Dox</t>
  </si>
  <si>
    <t>LBRKO_4C8E_NoDox</t>
  </si>
  <si>
    <t>LBRKO_4C8E_Dox</t>
  </si>
  <si>
    <t>LBRKO_4F9F_NoDox</t>
  </si>
  <si>
    <t>LBRKO_4F9F_Dox</t>
  </si>
  <si>
    <t>WT_MA_NoDox1</t>
  </si>
  <si>
    <t>WT_MA_NoDox2</t>
  </si>
  <si>
    <t>WT_MA_NoDox3</t>
  </si>
  <si>
    <t>WT_MA_Dox1</t>
  </si>
  <si>
    <t>WT_MA_Dox2</t>
  </si>
  <si>
    <t>WT_MA_Dox3</t>
  </si>
  <si>
    <t>Suz12KO_MA_NoDox1</t>
  </si>
  <si>
    <t>Suz12KO_MA_NoDox2</t>
  </si>
  <si>
    <t>Suz12KO_MA_NoDox3</t>
  </si>
  <si>
    <t>Suz12KO_MA_Dox1</t>
  </si>
  <si>
    <t>Suz12KO_MA_Dox2</t>
  </si>
  <si>
    <t>Suz12KO_MA_Dox3</t>
  </si>
  <si>
    <t>Sample name</t>
  </si>
  <si>
    <t>stdev</t>
  </si>
  <si>
    <t>P4D7</t>
  </si>
  <si>
    <t>P4D7F4_WtapKO</t>
  </si>
  <si>
    <t>P4D7F4_Mettl3KO</t>
  </si>
  <si>
    <t>P4D7F4_Rbm15KO</t>
  </si>
  <si>
    <t>iXist-ChrX</t>
  </si>
  <si>
    <t>iXist-ChrX#WtapKO4</t>
  </si>
  <si>
    <t>iXist-ChrX#WtapKO6</t>
  </si>
  <si>
    <t>iXist-ChrX#Rbm15KO</t>
  </si>
  <si>
    <t>P4D7F4=iXist-chr3</t>
  </si>
  <si>
    <r>
      <t xml:space="preserve">Xist </t>
    </r>
    <r>
      <rPr>
        <b/>
        <sz val="11"/>
        <color rgb="FFFF0000"/>
        <rFont val="Symbol"/>
        <family val="1"/>
        <charset val="2"/>
      </rPr>
      <t>D</t>
    </r>
    <r>
      <rPr>
        <b/>
        <sz val="11"/>
        <color rgb="FFFF0000"/>
        <rFont val="Calibri"/>
        <family val="2"/>
        <scheme val="minor"/>
      </rPr>
      <t>PID undif  cells 24hrs  induction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</si>
</sst>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0000"/>
    <numFmt numFmtId="165" formatCode="0.0000000"/>
    <numFmt numFmtId="166" formatCode="0.000000"/>
    <numFmt numFmtId="167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Symbol"/>
      <family val="1"/>
      <charset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C00000"/>
      </left>
      <right/>
      <top/>
      <bottom/>
      <diagonal/>
    </border>
    <border>
      <left style="thin">
        <color rgb="FFC00000"/>
      </left>
      <right/>
      <top style="thin">
        <color rgb="FFC00000"/>
      </top>
      <bottom/>
      <diagonal/>
    </border>
    <border>
      <left style="thin">
        <color rgb="FFC00000"/>
      </left>
      <right/>
      <top/>
      <bottom style="thin">
        <color rgb="FFC00000"/>
      </bottom>
      <diagonal/>
    </border>
    <border>
      <left/>
      <right style="thin">
        <color rgb="FFC00000"/>
      </right>
      <top/>
      <bottom/>
      <diagonal/>
    </border>
    <border>
      <left/>
      <right/>
      <top/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0" fillId="3" borderId="0" xfId="0" applyFill="1"/>
    <xf numFmtId="0" fontId="0" fillId="0" borderId="0" xfId="0" applyFont="1"/>
    <xf numFmtId="0" fontId="2" fillId="0" borderId="0" xfId="0" applyFont="1"/>
    <xf numFmtId="0" fontId="3" fillId="0" borderId="0" xfId="0" applyFont="1"/>
    <xf numFmtId="0" fontId="0" fillId="3" borderId="0" xfId="0" applyFont="1" applyFill="1"/>
    <xf numFmtId="164" fontId="0" fillId="2" borderId="0" xfId="0" applyNumberFormat="1" applyFont="1" applyFill="1"/>
    <xf numFmtId="0" fontId="1" fillId="2" borderId="0" xfId="0" applyFont="1" applyFill="1"/>
    <xf numFmtId="164" fontId="0" fillId="3" borderId="0" xfId="0" applyNumberFormat="1" applyFont="1" applyFill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165" fontId="0" fillId="0" borderId="0" xfId="0" applyNumberFormat="1" applyFont="1"/>
    <xf numFmtId="0" fontId="0" fillId="2" borderId="0" xfId="0" applyFont="1" applyFill="1"/>
    <xf numFmtId="167" fontId="0" fillId="0" borderId="0" xfId="0" applyNumberFormat="1" applyFont="1"/>
    <xf numFmtId="166" fontId="0" fillId="0" borderId="0" xfId="0" applyNumberFormat="1" applyFont="1"/>
    <xf numFmtId="167" fontId="1" fillId="3" borderId="0" xfId="0" applyNumberFormat="1" applyFont="1" applyFill="1"/>
    <xf numFmtId="0" fontId="4" fillId="0" borderId="0" xfId="0" applyFont="1"/>
    <xf numFmtId="164" fontId="1" fillId="3" borderId="0" xfId="0" applyNumberFormat="1" applyFont="1" applyFill="1"/>
    <xf numFmtId="167" fontId="1" fillId="0" borderId="0" xfId="0" applyNumberFormat="1" applyFont="1"/>
    <xf numFmtId="0" fontId="1" fillId="3" borderId="2" xfId="0" applyFont="1" applyFill="1" applyBorder="1" applyAlignment="1">
      <alignment horizontal="center"/>
    </xf>
    <xf numFmtId="0" fontId="0" fillId="3" borderId="3" xfId="0" applyFont="1" applyFill="1" applyBorder="1"/>
    <xf numFmtId="0" fontId="0" fillId="0" borderId="1" xfId="0" applyFont="1" applyBorder="1"/>
    <xf numFmtId="0" fontId="0" fillId="0" borderId="0" xfId="0" applyFont="1" applyBorder="1"/>
    <xf numFmtId="0" fontId="1" fillId="3" borderId="0" xfId="0" applyFont="1" applyFill="1" applyBorder="1"/>
    <xf numFmtId="0" fontId="1" fillId="3" borderId="1" xfId="0" applyFont="1" applyFill="1" applyBorder="1"/>
    <xf numFmtId="0" fontId="0" fillId="3" borderId="4" xfId="0" applyFont="1" applyFill="1" applyBorder="1"/>
    <xf numFmtId="0" fontId="1" fillId="3" borderId="4" xfId="0" applyFont="1" applyFill="1" applyBorder="1"/>
    <xf numFmtId="0" fontId="0" fillId="0" borderId="4" xfId="0" applyFont="1" applyBorder="1"/>
    <xf numFmtId="0" fontId="0" fillId="0" borderId="3" xfId="0" applyFont="1" applyBorder="1"/>
    <xf numFmtId="0" fontId="0" fillId="0" borderId="5" xfId="0" applyFont="1" applyBorder="1"/>
    <xf numFmtId="0" fontId="0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2" borderId="0" xfId="0" applyFont="1" applyFill="1" applyAlignment="1">
      <alignment horizontal="left"/>
    </xf>
    <xf numFmtId="0" fontId="0" fillId="3" borderId="4" xfId="0" applyFont="1" applyFill="1" applyBorder="1" applyAlignment="1">
      <alignment horizontal="center" vertical="top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9" fontId="0" fillId="4" borderId="9" xfId="0" applyNumberFormat="1" applyFill="1" applyBorder="1"/>
    <xf numFmtId="0" fontId="6" fillId="0" borderId="9" xfId="0" applyFont="1" applyBorder="1" applyAlignment="1">
      <alignment vertical="center"/>
    </xf>
    <xf numFmtId="0" fontId="0" fillId="0" borderId="9" xfId="0" applyBorder="1"/>
    <xf numFmtId="167" fontId="0" fillId="0" borderId="9" xfId="0" applyNumberFormat="1" applyBorder="1"/>
    <xf numFmtId="0" fontId="0" fillId="0" borderId="0" xfId="0" applyBorder="1"/>
    <xf numFmtId="0" fontId="7" fillId="0" borderId="0" xfId="0" applyFont="1"/>
    <xf numFmtId="0" fontId="7" fillId="0" borderId="9" xfId="0" applyFont="1" applyBorder="1"/>
    <xf numFmtId="0" fontId="0" fillId="0" borderId="9" xfId="0" applyFont="1" applyBorder="1"/>
    <xf numFmtId="1" fontId="0" fillId="0" borderId="9" xfId="0" applyNumberFormat="1" applyBorder="1"/>
    <xf numFmtId="0" fontId="7" fillId="0" borderId="9" xfId="0" applyFont="1" applyBorder="1" applyAlignment="1">
      <alignment vertical="center"/>
    </xf>
    <xf numFmtId="0" fontId="8" fillId="0" borderId="9" xfId="0" applyFont="1" applyBorder="1" applyAlignment="1">
      <alignment horizontal="right" vertical="center" wrapText="1"/>
    </xf>
    <xf numFmtId="0" fontId="0" fillId="0" borderId="9" xfId="0" applyFill="1" applyBorder="1"/>
    <xf numFmtId="167" fontId="0" fillId="0" borderId="0" xfId="0" applyNumberFormat="1"/>
    <xf numFmtId="0" fontId="7" fillId="0" borderId="0" xfId="0" applyFont="1" applyFill="1"/>
    <xf numFmtId="0" fontId="1" fillId="0" borderId="0" xfId="0" applyFont="1" applyFill="1"/>
    <xf numFmtId="0" fontId="7" fillId="0" borderId="9" xfId="0" applyFont="1" applyFill="1" applyBorder="1"/>
    <xf numFmtId="0" fontId="0" fillId="0" borderId="9" xfId="0" applyFont="1" applyFill="1" applyBorder="1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/>
    <xf numFmtId="11" fontId="12" fillId="0" borderId="0" xfId="0" applyNumberFormat="1" applyFont="1"/>
    <xf numFmtId="0" fontId="13" fillId="0" borderId="0" xfId="0" applyFont="1" applyAlignment="1">
      <alignment horizontal="left" vertical="top"/>
    </xf>
    <xf numFmtId="0" fontId="14" fillId="0" borderId="0" xfId="0" applyFont="1" applyFill="1"/>
    <xf numFmtId="0" fontId="14" fillId="0" borderId="0" xfId="0" applyFont="1"/>
    <xf numFmtId="0" fontId="15" fillId="0" borderId="0" xfId="0" applyFont="1"/>
    <xf numFmtId="0" fontId="6" fillId="0" borderId="9" xfId="0" applyFont="1" applyFill="1" applyBorder="1" applyAlignment="1">
      <alignment vertical="center"/>
    </xf>
    <xf numFmtId="167" fontId="0" fillId="0" borderId="9" xfId="0" applyNumberFormat="1" applyFill="1" applyBorder="1"/>
    <xf numFmtId="0" fontId="6" fillId="0" borderId="0" xfId="0" applyFont="1" applyFill="1" applyBorder="1" applyAlignment="1">
      <alignment vertical="center"/>
    </xf>
    <xf numFmtId="167" fontId="0" fillId="0" borderId="0" xfId="0" applyNumberForma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866287082897437E-2"/>
          <c:y val="0.11826079120608426"/>
          <c:w val="0.86486351706036746"/>
          <c:h val="0.623829833770778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'FigS2e. iXist-chr3'!$F$8</c:f>
              <c:strCache>
                <c:ptCount val="1"/>
                <c:pt idx="0">
                  <c:v>AVERAGE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'FigS2e. iXist-chr3'!$G$9:$G$20</c:f>
                <c:numCache>
                  <c:formatCode>General</c:formatCode>
                  <c:ptCount val="12"/>
                  <c:pt idx="0">
                    <c:v>9.08305588524283</c:v>
                  </c:pt>
                  <c:pt idx="1">
                    <c:v>3438.700808793978</c:v>
                  </c:pt>
                  <c:pt idx="2">
                    <c:v>1063.3557000000021</c:v>
                  </c:pt>
                  <c:pt idx="3">
                    <c:v>362.91044717640204</c:v>
                  </c:pt>
                  <c:pt idx="4">
                    <c:v>327.08204999999998</c:v>
                  </c:pt>
                  <c:pt idx="5">
                    <c:v>122.65395318676295</c:v>
                  </c:pt>
                  <c:pt idx="6">
                    <c:v>514.21954999999912</c:v>
                  </c:pt>
                  <c:pt idx="7">
                    <c:v>997.28964999999971</c:v>
                  </c:pt>
                  <c:pt idx="8">
                    <c:v>7545.0062026664373</c:v>
                  </c:pt>
                  <c:pt idx="9">
                    <c:v>632.8939175632205</c:v>
                  </c:pt>
                  <c:pt idx="10">
                    <c:v>151.44777517646506</c:v>
                  </c:pt>
                  <c:pt idx="11">
                    <c:v>37.511647727709402</c:v>
                  </c:pt>
                </c:numCache>
              </c:numRef>
            </c:plus>
            <c:minus>
              <c:numRef>
                <c:f>'FigS2e. iXist-chr3'!$G$9:$G$20</c:f>
                <c:numCache>
                  <c:formatCode>General</c:formatCode>
                  <c:ptCount val="12"/>
                  <c:pt idx="0">
                    <c:v>9.08305588524283</c:v>
                  </c:pt>
                  <c:pt idx="1">
                    <c:v>3438.700808793978</c:v>
                  </c:pt>
                  <c:pt idx="2">
                    <c:v>1063.3557000000021</c:v>
                  </c:pt>
                  <c:pt idx="3">
                    <c:v>362.91044717640204</c:v>
                  </c:pt>
                  <c:pt idx="4">
                    <c:v>327.08204999999998</c:v>
                  </c:pt>
                  <c:pt idx="5">
                    <c:v>122.65395318676295</c:v>
                  </c:pt>
                  <c:pt idx="6">
                    <c:v>514.21954999999912</c:v>
                  </c:pt>
                  <c:pt idx="7">
                    <c:v>997.28964999999971</c:v>
                  </c:pt>
                  <c:pt idx="8">
                    <c:v>7545.0062026664373</c:v>
                  </c:pt>
                  <c:pt idx="9">
                    <c:v>632.8939175632205</c:v>
                  </c:pt>
                  <c:pt idx="10">
                    <c:v>151.44777517646506</c:v>
                  </c:pt>
                  <c:pt idx="11">
                    <c:v>37.511647727709402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'FigS2e. iXist-chr3'!$E$9:$E$20</c:f>
              <c:strCache>
                <c:ptCount val="12"/>
                <c:pt idx="0">
                  <c:v>WT_NoDox</c:v>
                </c:pt>
                <c:pt idx="1">
                  <c:v>WT_Dox</c:v>
                </c:pt>
                <c:pt idx="2">
                  <c:v>WT_TIR_Dox</c:v>
                </c:pt>
                <c:pt idx="3">
                  <c:v>Pcgf3/5DKO_Dox</c:v>
                </c:pt>
                <c:pt idx="4">
                  <c:v>Suz12KO</c:v>
                </c:pt>
                <c:pt idx="5">
                  <c:v>SpenKO</c:v>
                </c:pt>
                <c:pt idx="6">
                  <c:v>Mettl3KO</c:v>
                </c:pt>
                <c:pt idx="7">
                  <c:v>WtapKO</c:v>
                </c:pt>
                <c:pt idx="8">
                  <c:v>Rbm15KO</c:v>
                </c:pt>
                <c:pt idx="9">
                  <c:v>LBRKO</c:v>
                </c:pt>
                <c:pt idx="10">
                  <c:v>WT_Diff_3day</c:v>
                </c:pt>
                <c:pt idx="11">
                  <c:v>Suz12KO_diff_3day</c:v>
                </c:pt>
              </c:strCache>
            </c:strRef>
          </c:cat>
          <c:val>
            <c:numRef>
              <c:f>'FigS2e. iXist-chr3'!$F$9:$F$20</c:f>
              <c:numCache>
                <c:formatCode>General</c:formatCode>
                <c:ptCount val="12"/>
                <c:pt idx="0">
                  <c:v>24.306133333333335</c:v>
                </c:pt>
                <c:pt idx="1">
                  <c:v>9736.7828750000008</c:v>
                </c:pt>
                <c:pt idx="2">
                  <c:v>7416.2940999999992</c:v>
                </c:pt>
                <c:pt idx="3">
                  <c:v>4515.7780750000002</c:v>
                </c:pt>
                <c:pt idx="4">
                  <c:v>4004.7038499999999</c:v>
                </c:pt>
                <c:pt idx="5">
                  <c:v>2830.3913750000002</c:v>
                </c:pt>
                <c:pt idx="6">
                  <c:v>5035.7269500000002</c:v>
                </c:pt>
                <c:pt idx="7">
                  <c:v>4210.7993500000002</c:v>
                </c:pt>
                <c:pt idx="8">
                  <c:v>10670.250100000001</c:v>
                </c:pt>
                <c:pt idx="9">
                  <c:v>11778.0164</c:v>
                </c:pt>
                <c:pt idx="10">
                  <c:v>3884.8887333333332</c:v>
                </c:pt>
                <c:pt idx="11">
                  <c:v>5348.5753333333332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86-4E2B-89C2-68376B89A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2420224"/>
        <c:axId val="452420616"/>
      </c:barChart>
      <c:catAx>
        <c:axId val="45242022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2420616"/>
        <c:crosses val="autoZero"/>
        <c:auto val="1"/>
        <c:lblAlgn val="ctr"/>
        <c:lblOffset val="100"/>
        <c:noMultiLvlLbl val="0"/>
      </c:catAx>
      <c:valAx>
        <c:axId val="452420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2420224"/>
        <c:crosses val="autoZero"/>
        <c:crossBetween val="between"/>
        <c:majorUnit val="400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814558308207074E-2"/>
          <c:y val="8.4552715207018361E-2"/>
          <c:w val="0.90425755456062962"/>
          <c:h val="0.709480633469867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'FigS2e. iXist-chrX'!$I$24</c:f>
              <c:strCache>
                <c:ptCount val="1"/>
                <c:pt idx="0">
                  <c:v>Average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>
              <a:solidFill>
                <a:schemeClr val="bg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'FigS2e. iXist-chrX'!$J$25:$J$41</c:f>
                <c:numCache>
                  <c:formatCode>General</c:formatCode>
                  <c:ptCount val="17"/>
                  <c:pt idx="0">
                    <c:v>25.903081800291634</c:v>
                  </c:pt>
                  <c:pt idx="1">
                    <c:v>218.93635060037082</c:v>
                  </c:pt>
                  <c:pt idx="2">
                    <c:v>31.9221</c:v>
                  </c:pt>
                  <c:pt idx="3">
                    <c:v>207.39018341093546</c:v>
                  </c:pt>
                  <c:pt idx="4">
                    <c:v>225.82388147669113</c:v>
                  </c:pt>
                  <c:pt idx="5">
                    <c:v>327.38818016165789</c:v>
                  </c:pt>
                  <c:pt idx="6">
                    <c:v>309.27224999999999</c:v>
                  </c:pt>
                  <c:pt idx="7">
                    <c:v>223.52909999999974</c:v>
                  </c:pt>
                  <c:pt idx="8">
                    <c:v>175.03799999999998</c:v>
                  </c:pt>
                  <c:pt idx="9">
                    <c:v>338.03969999999953</c:v>
                  </c:pt>
                  <c:pt idx="10">
                    <c:v>411.91654999999986</c:v>
                  </c:pt>
                  <c:pt idx="14">
                    <c:v>2394.6661385760999</c:v>
                  </c:pt>
                  <c:pt idx="15">
                    <c:v>172.49327569406884</c:v>
                  </c:pt>
                  <c:pt idx="16">
                    <c:v>2036.7005200286826</c:v>
                  </c:pt>
                </c:numCache>
              </c:numRef>
            </c:plus>
            <c:minus>
              <c:numRef>
                <c:f>'FigS2e. iXist-chrX'!$J$25:$J$41</c:f>
                <c:numCache>
                  <c:formatCode>General</c:formatCode>
                  <c:ptCount val="17"/>
                  <c:pt idx="0">
                    <c:v>25.903081800291634</c:v>
                  </c:pt>
                  <c:pt idx="1">
                    <c:v>218.93635060037082</c:v>
                  </c:pt>
                  <c:pt idx="2">
                    <c:v>31.9221</c:v>
                  </c:pt>
                  <c:pt idx="3">
                    <c:v>207.39018341093546</c:v>
                  </c:pt>
                  <c:pt idx="4">
                    <c:v>225.82388147669113</c:v>
                  </c:pt>
                  <c:pt idx="5">
                    <c:v>327.38818016165789</c:v>
                  </c:pt>
                  <c:pt idx="6">
                    <c:v>309.27224999999999</c:v>
                  </c:pt>
                  <c:pt idx="7">
                    <c:v>223.52909999999974</c:v>
                  </c:pt>
                  <c:pt idx="8">
                    <c:v>175.03799999999998</c:v>
                  </c:pt>
                  <c:pt idx="9">
                    <c:v>338.03969999999953</c:v>
                  </c:pt>
                  <c:pt idx="10">
                    <c:v>411.91654999999986</c:v>
                  </c:pt>
                  <c:pt idx="14">
                    <c:v>2394.6661385760999</c:v>
                  </c:pt>
                  <c:pt idx="15">
                    <c:v>172.49327569406884</c:v>
                  </c:pt>
                  <c:pt idx="16">
                    <c:v>2036.7005200286826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'FigS2e. iXist-chrX'!$H$25:$H$41</c:f>
              <c:strCache>
                <c:ptCount val="17"/>
                <c:pt idx="0">
                  <c:v>WT_NoDox</c:v>
                </c:pt>
                <c:pt idx="1">
                  <c:v>WT_Dox</c:v>
                </c:pt>
                <c:pt idx="2">
                  <c:v>DeltaA1H12_Dox</c:v>
                </c:pt>
                <c:pt idx="3">
                  <c:v>SpenKO</c:v>
                </c:pt>
                <c:pt idx="4">
                  <c:v>Rbm15</c:v>
                </c:pt>
                <c:pt idx="5">
                  <c:v>WtapKO</c:v>
                </c:pt>
                <c:pt idx="6">
                  <c:v>Delm6A_3A</c:v>
                </c:pt>
                <c:pt idx="7">
                  <c:v>Delm6A_11G</c:v>
                </c:pt>
                <c:pt idx="8">
                  <c:v>LBRKO_Dox</c:v>
                </c:pt>
                <c:pt idx="9">
                  <c:v>DelLBS</c:v>
                </c:pt>
                <c:pt idx="10">
                  <c:v>DeltaBE8_Dox</c:v>
                </c:pt>
                <c:pt idx="11">
                  <c:v>WTDox_Undiff_6d</c:v>
                </c:pt>
                <c:pt idx="12">
                  <c:v>DelADox_Undiff_6d</c:v>
                </c:pt>
                <c:pt idx="13">
                  <c:v>DelBDox_Undiff_6d</c:v>
                </c:pt>
                <c:pt idx="14">
                  <c:v>WTDox_Diff_6d</c:v>
                </c:pt>
                <c:pt idx="15">
                  <c:v>DelADox_Diff_6d</c:v>
                </c:pt>
                <c:pt idx="16">
                  <c:v>DelBDox_Diff_6d</c:v>
                </c:pt>
              </c:strCache>
            </c:strRef>
          </c:cat>
          <c:val>
            <c:numRef>
              <c:f>'FigS2e. iXist-chrX'!$I$25:$I$41</c:f>
              <c:numCache>
                <c:formatCode>General</c:formatCode>
                <c:ptCount val="17"/>
                <c:pt idx="0">
                  <c:v>87.006740000000008</c:v>
                </c:pt>
                <c:pt idx="1">
                  <c:v>4043.4127833333328</c:v>
                </c:pt>
                <c:pt idx="2">
                  <c:v>603.52260000000001</c:v>
                </c:pt>
                <c:pt idx="3">
                  <c:v>1548.3046333333332</c:v>
                </c:pt>
                <c:pt idx="4">
                  <c:v>3359.4758000000002</c:v>
                </c:pt>
                <c:pt idx="5">
                  <c:v>4486.0082499999999</c:v>
                </c:pt>
                <c:pt idx="6">
                  <c:v>1892.7674499999998</c:v>
                </c:pt>
                <c:pt idx="7">
                  <c:v>4067.7786999999998</c:v>
                </c:pt>
                <c:pt idx="8">
                  <c:v>2427.7874999999999</c:v>
                </c:pt>
                <c:pt idx="9">
                  <c:v>1862.325</c:v>
                </c:pt>
                <c:pt idx="10">
                  <c:v>5810.4191499999997</c:v>
                </c:pt>
                <c:pt idx="11">
                  <c:v>10182.6857</c:v>
                </c:pt>
                <c:pt idx="12">
                  <c:v>974.87339999999995</c:v>
                </c:pt>
                <c:pt idx="13">
                  <c:v>14584.0381</c:v>
                </c:pt>
                <c:pt idx="14">
                  <c:v>11800.150766666668</c:v>
                </c:pt>
                <c:pt idx="15">
                  <c:v>709.83329999999989</c:v>
                </c:pt>
                <c:pt idx="16">
                  <c:v>17946.099666666665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DF-4489-A060-270D7DA43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2419048"/>
        <c:axId val="452419440"/>
      </c:barChart>
      <c:catAx>
        <c:axId val="45241904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2419440"/>
        <c:crosses val="autoZero"/>
        <c:auto val="1"/>
        <c:lblAlgn val="ctr"/>
        <c:lblOffset val="100"/>
        <c:noMultiLvlLbl val="0"/>
      </c:catAx>
      <c:valAx>
        <c:axId val="452419440"/>
        <c:scaling>
          <c:orientation val="minMax"/>
          <c:max val="7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241904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68802568781198"/>
          <c:y val="5.5627980217025773E-2"/>
          <c:w val="0.83355832086751158"/>
          <c:h val="0.7042907459898303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[1]Sheet1!$E$2:$E$9</c:f>
                <c:numCache>
                  <c:formatCode>General</c:formatCode>
                  <c:ptCount val="8"/>
                  <c:pt idx="0">
                    <c:v>2.6990479684743608E-4</c:v>
                  </c:pt>
                  <c:pt idx="1">
                    <c:v>3.7293187236080668E-5</c:v>
                  </c:pt>
                  <c:pt idx="2">
                    <c:v>1.838069854154879E-5</c:v>
                  </c:pt>
                  <c:pt idx="3">
                    <c:v>2.8239530144402361E-4</c:v>
                  </c:pt>
                  <c:pt idx="4">
                    <c:v>4.0890979550067992E-4</c:v>
                  </c:pt>
                  <c:pt idx="5">
                    <c:v>1.5085596535291672E-6</c:v>
                  </c:pt>
                  <c:pt idx="6">
                    <c:v>2.7069301477499987E-4</c:v>
                  </c:pt>
                  <c:pt idx="7">
                    <c:v>5.2789364394804027E-4</c:v>
                  </c:pt>
                </c:numCache>
              </c:numRef>
            </c:plus>
            <c:minus>
              <c:numRef>
                <c:f>[1]Sheet1!$E$2:$E$9</c:f>
                <c:numCache>
                  <c:formatCode>General</c:formatCode>
                  <c:ptCount val="8"/>
                  <c:pt idx="0">
                    <c:v>2.6990479684743608E-4</c:v>
                  </c:pt>
                  <c:pt idx="1">
                    <c:v>3.7293187236080668E-5</c:v>
                  </c:pt>
                  <c:pt idx="2">
                    <c:v>1.838069854154879E-5</c:v>
                  </c:pt>
                  <c:pt idx="3">
                    <c:v>2.8239530144402361E-4</c:v>
                  </c:pt>
                  <c:pt idx="4">
                    <c:v>4.0890979550067992E-4</c:v>
                  </c:pt>
                  <c:pt idx="5">
                    <c:v>1.5085596535291672E-6</c:v>
                  </c:pt>
                  <c:pt idx="6">
                    <c:v>2.7069301477499987E-4</c:v>
                  </c:pt>
                  <c:pt idx="7">
                    <c:v>5.2789364394804027E-4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[1]Sheet1!$A$2:$A$9</c:f>
              <c:strCache>
                <c:ptCount val="8"/>
                <c:pt idx="0">
                  <c:v>P4D7</c:v>
                </c:pt>
                <c:pt idx="1">
                  <c:v>P4D7F4_WtapKO</c:v>
                </c:pt>
                <c:pt idx="2">
                  <c:v>P4D7F4_Mettl3KO</c:v>
                </c:pt>
                <c:pt idx="3">
                  <c:v>P4D7F4_Rbm15KO</c:v>
                </c:pt>
                <c:pt idx="4">
                  <c:v>iXist-ChrX</c:v>
                </c:pt>
                <c:pt idx="5">
                  <c:v>iXist-ChrX#WtapKO4</c:v>
                </c:pt>
                <c:pt idx="6">
                  <c:v>iXist-ChrX#WtapKO6</c:v>
                </c:pt>
                <c:pt idx="7">
                  <c:v>iXist-ChrX#Rbm15KO</c:v>
                </c:pt>
              </c:strCache>
            </c:strRef>
          </c:cat>
          <c:val>
            <c:numRef>
              <c:f>[1]Sheet1!$D$2:$D$9</c:f>
              <c:numCache>
                <c:formatCode>General</c:formatCode>
                <c:ptCount val="8"/>
                <c:pt idx="0">
                  <c:v>1.4068173749259413E-3</c:v>
                </c:pt>
                <c:pt idx="1">
                  <c:v>2.5162204968867707E-4</c:v>
                </c:pt>
                <c:pt idx="2">
                  <c:v>4.8356773780739842E-4</c:v>
                </c:pt>
                <c:pt idx="3">
                  <c:v>1.3632455230738628E-3</c:v>
                </c:pt>
                <c:pt idx="4">
                  <c:v>1.3900977535021561E-3</c:v>
                </c:pt>
                <c:pt idx="5">
                  <c:v>2.6492847536165997E-4</c:v>
                </c:pt>
                <c:pt idx="6">
                  <c:v>5.7479678948286019E-4</c:v>
                </c:pt>
                <c:pt idx="7">
                  <c:v>1.1317342782956998E-3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8B-4984-ABD6-A595D252E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7458120"/>
        <c:axId val="647455768"/>
      </c:barChart>
      <c:catAx>
        <c:axId val="6474581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7455768"/>
        <c:crosses val="autoZero"/>
        <c:auto val="1"/>
        <c:lblAlgn val="ctr"/>
        <c:lblOffset val="100"/>
        <c:noMultiLvlLbl val="0"/>
      </c:catAx>
      <c:valAx>
        <c:axId val="647455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7458120"/>
        <c:crosses val="autoZero"/>
        <c:crossBetween val="between"/>
        <c:majorUnit val="5.0000000000000012E-4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1252536</xdr:colOff>
      <xdr:row>22</xdr:row>
      <xdr:rowOff>61912</xdr:rowOff>
    </xdr:from>
    <xdr:to>
      <xdr:col>16</xdr:col>
      <xdr:colOff>409575</xdr:colOff>
      <xdr:row>52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C3F09FD-6F05-472F-A9FD-50ACE33DE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780013</xdr:colOff>
      <xdr:row>47</xdr:row>
      <xdr:rowOff>58184</xdr:rowOff>
    </xdr:from>
    <xdr:to>
      <xdr:col>11</xdr:col>
      <xdr:colOff>45139</xdr:colOff>
      <xdr:row>71</xdr:row>
      <xdr:rowOff>15323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20DA349-4F2B-4560-8C75-AF1F75134A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142875</xdr:colOff>
      <xdr:row>0</xdr:row>
      <xdr:rowOff>147637</xdr:rowOff>
    </xdr:from>
    <xdr:to>
      <xdr:col>11</xdr:col>
      <xdr:colOff>361950</xdr:colOff>
      <xdr:row>19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EE25D48-7663-495B-A418-7B23BC1E82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ioc1387\Desktop\20180919_RNA_methods_chang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lueList_Helper"/>
    </sheetNames>
    <sheetDataSet>
      <sheetData sheetId="0">
        <row r="2">
          <cell r="A2" t="str">
            <v>P4D7</v>
          </cell>
          <cell r="D2">
            <v>1.4068173749259413E-3</v>
          </cell>
          <cell r="E2">
            <v>2.6990479684743608E-4</v>
          </cell>
        </row>
        <row r="3">
          <cell r="A3" t="str">
            <v>P4D7F4_WtapKO</v>
          </cell>
          <cell r="D3">
            <v>2.5162204968867707E-4</v>
          </cell>
          <cell r="E3">
            <v>3.7293187236080668E-5</v>
          </cell>
        </row>
        <row r="4">
          <cell r="A4" t="str">
            <v>P4D7F4_Mettl3KO</v>
          </cell>
          <cell r="D4">
            <v>4.8356773780739842E-4</v>
          </cell>
          <cell r="E4">
            <v>1.838069854154879E-5</v>
          </cell>
        </row>
        <row r="5">
          <cell r="A5" t="str">
            <v>P4D7F4_Rbm15KO</v>
          </cell>
          <cell r="D5">
            <v>1.3632455230738628E-3</v>
          </cell>
          <cell r="E5">
            <v>2.8239530144402361E-4</v>
          </cell>
        </row>
        <row r="6">
          <cell r="A6" t="str">
            <v>iXist-ChrX</v>
          </cell>
          <cell r="D6">
            <v>1.3900977535021561E-3</v>
          </cell>
          <cell r="E6">
            <v>4.0890979550067992E-4</v>
          </cell>
        </row>
        <row r="7">
          <cell r="A7" t="str">
            <v>iXist-ChrX#WtapKO4</v>
          </cell>
          <cell r="D7">
            <v>2.6492847536165997E-4</v>
          </cell>
          <cell r="E7">
            <v>1.5085596535291672E-6</v>
          </cell>
        </row>
        <row r="8">
          <cell r="A8" t="str">
            <v>iXist-ChrX#WtapKO6</v>
          </cell>
          <cell r="D8">
            <v>5.7479678948286019E-4</v>
          </cell>
          <cell r="E8">
            <v>2.7069301477499987E-4</v>
          </cell>
        </row>
        <row r="9">
          <cell r="A9" t="str">
            <v>iXist-ChrX#Rbm15KO</v>
          </cell>
          <cell r="D9">
            <v>1.1317342782956998E-3</v>
          </cell>
          <cell r="E9">
            <v>5.2789364394804027E-4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5"/>
  <sheetViews>
    <sheetView workbookViewId="0">
      <selection activeCell="P10" sqref="P10"/>
    </sheetView>
  </sheetViews>
  <sheetFormatPr defaultRowHeight="15" x14ac:dyDescent="0.25"/>
  <cols>
    <col min="1" max="1" width="33.7109375" customWidth="1"/>
    <col min="2" max="2" width="11.5703125" customWidth="1"/>
    <col min="3" max="3" width="11.42578125" customWidth="1"/>
    <col min="4" max="4" width="16.5703125" customWidth="1"/>
    <col min="5" max="5" width="17.7109375" customWidth="1"/>
    <col min="6" max="6" width="11.7109375" customWidth="1"/>
    <col min="7" max="7" width="9.5703125" customWidth="1"/>
    <col min="8" max="8" width="11.85546875" customWidth="1"/>
    <col min="9" max="9" width="12.42578125" customWidth="1"/>
    <col min="10" max="10" width="14.140625" customWidth="1"/>
    <col min="11" max="11" width="5.5703125" style="2" customWidth="1"/>
    <col min="12" max="12" width="16.5703125" customWidth="1"/>
    <col min="13" max="13" width="13.140625" customWidth="1"/>
    <col min="14" max="14" width="11.7109375" customWidth="1"/>
    <col min="15" max="15" width="25.140625" customWidth="1"/>
  </cols>
  <sheetData>
    <row r="1" spans="1:15" ht="16.5" customHeight="1" x14ac:dyDescent="0.25">
      <c r="A1" s="34" t="s">
        <v>22</v>
      </c>
      <c r="B1" s="34" t="s">
        <v>0</v>
      </c>
      <c r="C1" s="34" t="s">
        <v>1</v>
      </c>
      <c r="D1" s="34" t="s">
        <v>58</v>
      </c>
      <c r="E1" s="34" t="s">
        <v>2</v>
      </c>
      <c r="F1" s="34" t="s">
        <v>4</v>
      </c>
      <c r="G1" s="34" t="s">
        <v>3</v>
      </c>
      <c r="H1" s="34" t="s">
        <v>5</v>
      </c>
      <c r="I1" s="34" t="s">
        <v>6</v>
      </c>
      <c r="J1" s="34" t="s">
        <v>50</v>
      </c>
      <c r="K1" s="11"/>
      <c r="L1" s="20" t="s">
        <v>61</v>
      </c>
      <c r="M1" s="32" t="s">
        <v>8</v>
      </c>
      <c r="N1" s="32" t="s">
        <v>9</v>
      </c>
      <c r="O1" s="33" t="s">
        <v>7</v>
      </c>
    </row>
    <row r="2" spans="1:15" x14ac:dyDescent="0.25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8"/>
      <c r="K2" s="10"/>
      <c r="L2" s="21" t="s">
        <v>60</v>
      </c>
      <c r="M2" s="24"/>
      <c r="N2" s="24"/>
      <c r="O2" s="35" t="s">
        <v>62</v>
      </c>
    </row>
    <row r="3" spans="1:15" x14ac:dyDescent="0.25">
      <c r="A3" s="3" t="s">
        <v>10</v>
      </c>
      <c r="B3" s="3">
        <v>215557</v>
      </c>
      <c r="C3" s="3">
        <v>14573519</v>
      </c>
      <c r="D3" s="12">
        <f>(C3/2)/10000000</f>
        <v>0.72867594999999996</v>
      </c>
      <c r="E3" s="3">
        <f>B3/(B3+C3)</f>
        <v>1.4575420398137112E-2</v>
      </c>
      <c r="F3" s="3"/>
      <c r="G3" s="3"/>
      <c r="H3" s="3"/>
      <c r="I3" s="3"/>
      <c r="J3" s="13"/>
      <c r="K3" s="6"/>
      <c r="L3" s="6"/>
      <c r="M3" s="22"/>
      <c r="N3" s="23"/>
      <c r="O3" s="26"/>
    </row>
    <row r="4" spans="1:15" s="2" customFormat="1" x14ac:dyDescent="0.25">
      <c r="A4" s="3" t="s">
        <v>11</v>
      </c>
      <c r="B4" s="3">
        <v>1646725</v>
      </c>
      <c r="C4" s="3">
        <v>51613125</v>
      </c>
      <c r="D4" s="12">
        <f t="shared" ref="D4:D6" si="0">(C4/2)/10000000</f>
        <v>2.5806562500000001</v>
      </c>
      <c r="E4" s="3"/>
      <c r="F4" s="3">
        <f>E3/E3</f>
        <v>1</v>
      </c>
      <c r="G4" s="3">
        <f>B4/B4</f>
        <v>1</v>
      </c>
      <c r="H4" s="3">
        <f>F4*G4</f>
        <v>1</v>
      </c>
      <c r="I4" s="14">
        <f>(C4*H4)/2</f>
        <v>25806562.5</v>
      </c>
      <c r="J4" s="7">
        <f>I4/10000000</f>
        <v>2.5806562500000001</v>
      </c>
      <c r="K4" s="9"/>
      <c r="L4" s="6"/>
      <c r="M4" s="22">
        <f>(B3*C4)/(B4*C3)</f>
        <v>0.46359289915961038</v>
      </c>
      <c r="N4" s="23">
        <f>M4/M4</f>
        <v>1</v>
      </c>
      <c r="O4" s="26">
        <f>D4/N4</f>
        <v>2.5806562500000001</v>
      </c>
    </row>
    <row r="5" spans="1:15" x14ac:dyDescent="0.25">
      <c r="A5" s="3" t="s">
        <v>12</v>
      </c>
      <c r="B5" s="3">
        <v>315663</v>
      </c>
      <c r="C5" s="3">
        <v>19154820</v>
      </c>
      <c r="D5" s="12">
        <f t="shared" si="0"/>
        <v>0.95774099999999995</v>
      </c>
      <c r="E5" s="3">
        <f>B5/(B5+C5)</f>
        <v>1.6212386718911904E-2</v>
      </c>
      <c r="F5" s="3"/>
      <c r="G5" s="3"/>
      <c r="H5" s="3"/>
      <c r="I5" s="14"/>
      <c r="J5" s="7"/>
      <c r="K5" s="9"/>
      <c r="L5" s="6"/>
      <c r="M5" s="22"/>
      <c r="N5" s="23"/>
      <c r="O5" s="26"/>
    </row>
    <row r="6" spans="1:15" x14ac:dyDescent="0.25">
      <c r="A6" s="3" t="s">
        <v>13</v>
      </c>
      <c r="B6" s="3">
        <v>2009848</v>
      </c>
      <c r="C6" s="3">
        <v>66544989</v>
      </c>
      <c r="D6" s="12">
        <f t="shared" si="0"/>
        <v>3.3272494500000001</v>
      </c>
      <c r="E6" s="3"/>
      <c r="F6" s="15">
        <f>E5/E3</f>
        <v>1.112310058719405</v>
      </c>
      <c r="G6" s="15">
        <f>B4/B6</f>
        <v>0.81932812829626922</v>
      </c>
      <c r="H6" s="15">
        <f>F6*G6</f>
        <v>0.91134691849568339</v>
      </c>
      <c r="I6" s="14">
        <f>(C6*H6)/2</f>
        <v>30322785.333239574</v>
      </c>
      <c r="J6" s="7">
        <f>J4/H6</f>
        <v>2.8316947121078386</v>
      </c>
      <c r="K6" s="9"/>
      <c r="L6" s="6"/>
      <c r="M6" s="22">
        <f>(B5*C6)/(C5*B6)</f>
        <v>0.54562938087346502</v>
      </c>
      <c r="N6" s="23">
        <f>M6/M4</f>
        <v>1.1769580204152572</v>
      </c>
      <c r="O6" s="26">
        <f>D6/N6</f>
        <v>2.8269907611709648</v>
      </c>
    </row>
    <row r="7" spans="1:15" x14ac:dyDescent="0.25">
      <c r="A7" s="3"/>
      <c r="B7" s="3"/>
      <c r="C7" s="3"/>
      <c r="D7" s="12"/>
      <c r="E7" s="3"/>
      <c r="F7" s="15"/>
      <c r="G7" s="15"/>
      <c r="H7" s="15"/>
      <c r="I7" s="16"/>
      <c r="J7" s="7"/>
      <c r="K7" s="9"/>
      <c r="L7" s="6"/>
      <c r="M7" s="22"/>
      <c r="N7" s="23"/>
      <c r="O7" s="27"/>
    </row>
    <row r="8" spans="1:15" x14ac:dyDescent="0.25">
      <c r="A8" s="17" t="s">
        <v>14</v>
      </c>
      <c r="B8" s="3">
        <v>189644</v>
      </c>
      <c r="C8" s="3">
        <v>13901863</v>
      </c>
      <c r="D8" s="12">
        <f>(C8/2)/10000000</f>
        <v>0.69509315000000005</v>
      </c>
      <c r="E8" s="3">
        <f>B8/(B8+C8)</f>
        <v>1.3458035396781906E-2</v>
      </c>
      <c r="F8" s="15"/>
      <c r="G8" s="15"/>
      <c r="H8" s="15"/>
      <c r="I8" s="14"/>
      <c r="J8" s="7"/>
      <c r="K8" s="9"/>
      <c r="L8" s="6"/>
      <c r="M8" s="22"/>
      <c r="N8" s="23"/>
      <c r="O8" s="26"/>
    </row>
    <row r="9" spans="1:15" x14ac:dyDescent="0.25">
      <c r="A9" s="17" t="s">
        <v>15</v>
      </c>
      <c r="B9" s="3">
        <v>873646</v>
      </c>
      <c r="C9" s="3">
        <v>41363156</v>
      </c>
      <c r="D9" s="12">
        <f t="shared" ref="D9:D11" si="1">(C9/2)/10000000</f>
        <v>2.0681577999999998</v>
      </c>
      <c r="E9" s="3"/>
      <c r="F9" s="15">
        <f>E8/E3</f>
        <v>0.92333771714069945</v>
      </c>
      <c r="G9" s="15">
        <f>B4/B9</f>
        <v>1.8848881583616248</v>
      </c>
      <c r="H9" s="15">
        <f>F9*G9</f>
        <v>1.7403883292071598</v>
      </c>
      <c r="I9" s="14">
        <f>(C9*H9)/2</f>
        <v>35993976.980787553</v>
      </c>
      <c r="J9" s="7">
        <f>J4/H9</f>
        <v>1.4828048468789878</v>
      </c>
      <c r="K9" s="9"/>
      <c r="L9" s="6"/>
      <c r="M9" s="22">
        <f>(B8*C9)/(B9*C8)</f>
        <v>0.64586875859544923</v>
      </c>
      <c r="N9" s="23">
        <f>M9/M4</f>
        <v>1.3931808700397783</v>
      </c>
      <c r="O9" s="26">
        <f>D9/N9</f>
        <v>1.4844862174578592</v>
      </c>
    </row>
    <row r="10" spans="1:15" x14ac:dyDescent="0.25">
      <c r="A10" s="17" t="s">
        <v>16</v>
      </c>
      <c r="B10" s="3">
        <v>271950</v>
      </c>
      <c r="C10" s="3">
        <v>17589589</v>
      </c>
      <c r="D10" s="12">
        <f t="shared" si="1"/>
        <v>0.87947945000000005</v>
      </c>
      <c r="E10" s="3">
        <f>B10/(B10+C10)</f>
        <v>1.5225451737389482E-2</v>
      </c>
      <c r="F10" s="15"/>
      <c r="G10" s="15"/>
      <c r="H10" s="15"/>
      <c r="I10" s="14"/>
      <c r="J10" s="7"/>
      <c r="K10" s="9"/>
      <c r="L10" s="6"/>
      <c r="M10" s="22"/>
      <c r="N10" s="23"/>
      <c r="O10" s="26"/>
    </row>
    <row r="11" spans="1:15" x14ac:dyDescent="0.25">
      <c r="A11" s="17" t="s">
        <v>17</v>
      </c>
      <c r="B11" s="3">
        <v>1117888</v>
      </c>
      <c r="C11" s="3">
        <v>51302057</v>
      </c>
      <c r="D11" s="12">
        <f t="shared" si="1"/>
        <v>2.5651028500000002</v>
      </c>
      <c r="E11" s="3"/>
      <c r="F11" s="15">
        <f>E10/E3</f>
        <v>1.0445977763588521</v>
      </c>
      <c r="G11" s="15">
        <f>B4/B11</f>
        <v>1.4730679638747353</v>
      </c>
      <c r="H11" s="15">
        <f>F11*G11</f>
        <v>1.5387635194890104</v>
      </c>
      <c r="I11" s="14">
        <f>(C11*H11)/2</f>
        <v>39470866.893172912</v>
      </c>
      <c r="J11" s="7">
        <f>J4/H11</f>
        <v>1.6770973689686766</v>
      </c>
      <c r="K11" s="9"/>
      <c r="L11" s="6"/>
      <c r="M11" s="22">
        <f>(B10*C11)/(B11*C10)</f>
        <v>0.70952851846866904</v>
      </c>
      <c r="N11" s="23">
        <f>M11/M4</f>
        <v>1.5304991076327628</v>
      </c>
      <c r="O11" s="26">
        <f>D11/N11</f>
        <v>1.6759910784707799</v>
      </c>
    </row>
    <row r="12" spans="1:15" x14ac:dyDescent="0.25">
      <c r="A12" s="3"/>
      <c r="B12" s="3"/>
      <c r="C12" s="3"/>
      <c r="D12" s="12"/>
      <c r="E12" s="3"/>
      <c r="F12" s="3"/>
      <c r="G12" s="3"/>
      <c r="H12" s="3"/>
      <c r="I12" s="14"/>
      <c r="J12" s="7"/>
      <c r="K12" s="9"/>
      <c r="L12" s="6"/>
      <c r="M12" s="22"/>
      <c r="N12" s="23"/>
      <c r="O12" s="27"/>
    </row>
    <row r="13" spans="1:15" x14ac:dyDescent="0.25">
      <c r="A13" s="3" t="s">
        <v>18</v>
      </c>
      <c r="B13" s="3">
        <v>458804</v>
      </c>
      <c r="C13" s="3">
        <v>63484174</v>
      </c>
      <c r="D13" s="12">
        <f>(C13/2)/10000000</f>
        <v>3.1742086999999999</v>
      </c>
      <c r="E13" s="3"/>
      <c r="F13" s="3">
        <f>E3/E3</f>
        <v>1</v>
      </c>
      <c r="G13" s="3">
        <f>B13/B13</f>
        <v>1</v>
      </c>
      <c r="H13" s="3">
        <f>F13*G13</f>
        <v>1</v>
      </c>
      <c r="I13" s="14">
        <f>(C13*H13)/2</f>
        <v>31742087</v>
      </c>
      <c r="J13" s="7">
        <f>I13/10000000</f>
        <v>3.1742086999999999</v>
      </c>
      <c r="K13" s="9"/>
      <c r="L13" s="6"/>
      <c r="M13" s="22">
        <f>(B3*C13)/(B13*C3)</f>
        <v>2.046614171141286</v>
      </c>
      <c r="N13" s="23">
        <f>M13/M13</f>
        <v>1</v>
      </c>
      <c r="O13" s="26">
        <f>D13/N13</f>
        <v>3.1742086999999999</v>
      </c>
    </row>
    <row r="14" spans="1:15" x14ac:dyDescent="0.25">
      <c r="A14" s="3" t="s">
        <v>19</v>
      </c>
      <c r="B14" s="3">
        <v>456706</v>
      </c>
      <c r="C14" s="3">
        <v>69874593</v>
      </c>
      <c r="D14" s="12">
        <f t="shared" ref="D14:D16" si="2">(C14/2)/10000000</f>
        <v>3.4937296500000001</v>
      </c>
      <c r="E14" s="3"/>
      <c r="F14" s="15">
        <f>E5/E3</f>
        <v>1.112310058719405</v>
      </c>
      <c r="G14" s="15">
        <f>B13/B14</f>
        <v>1.0045937649165984</v>
      </c>
      <c r="H14" s="15">
        <f>F14*G14</f>
        <v>1.1174197496435296</v>
      </c>
      <c r="I14" s="14">
        <f>(C14*H14)/2</f>
        <v>39039625.108251765</v>
      </c>
      <c r="J14" s="7">
        <f>J13/H14</f>
        <v>2.8406592070818606</v>
      </c>
      <c r="K14" s="9"/>
      <c r="L14" s="6"/>
      <c r="M14" s="22">
        <f>(B5*C14)/(B14*C5)</f>
        <v>2.5213212172197976</v>
      </c>
      <c r="N14" s="23">
        <f>M14/M13</f>
        <v>1.2319475027448838</v>
      </c>
      <c r="O14" s="26">
        <f>D14/N14</f>
        <v>2.8359403645168917</v>
      </c>
    </row>
    <row r="15" spans="1:15" x14ac:dyDescent="0.25">
      <c r="A15" s="17" t="s">
        <v>20</v>
      </c>
      <c r="B15" s="3">
        <v>716720</v>
      </c>
      <c r="C15" s="3">
        <v>97528016</v>
      </c>
      <c r="D15" s="12">
        <f t="shared" si="2"/>
        <v>4.8764007999999999</v>
      </c>
      <c r="E15" s="3"/>
      <c r="F15" s="15">
        <f>E8/E3</f>
        <v>0.92333771714069945</v>
      </c>
      <c r="G15" s="15">
        <f>B13/B15</f>
        <v>0.64014398928451832</v>
      </c>
      <c r="H15" s="15">
        <f t="shared" ref="H15:H16" si="3">F15*G15</f>
        <v>0.59106908970730754</v>
      </c>
      <c r="I15" s="14">
        <f>(C15*H15)/2</f>
        <v>28822897.819039863</v>
      </c>
      <c r="J15" s="7">
        <f>J13/H15</f>
        <v>5.3702837033346498</v>
      </c>
      <c r="K15" s="9"/>
      <c r="L15" s="6"/>
      <c r="M15" s="22">
        <f>(B8*C15)/(B15*C8)</f>
        <v>1.8562906132182828</v>
      </c>
      <c r="N15" s="23">
        <f>M15/M13</f>
        <v>0.90700564834999164</v>
      </c>
      <c r="O15" s="26">
        <f>D15/N15</f>
        <v>5.3763731338068954</v>
      </c>
    </row>
    <row r="16" spans="1:15" x14ac:dyDescent="0.25">
      <c r="A16" s="17" t="s">
        <v>21</v>
      </c>
      <c r="B16" s="3">
        <v>572002</v>
      </c>
      <c r="C16" s="3">
        <v>79365876</v>
      </c>
      <c r="D16" s="12">
        <f t="shared" si="2"/>
        <v>3.9682938000000001</v>
      </c>
      <c r="E16" s="3"/>
      <c r="F16" s="15">
        <f>E10/E3</f>
        <v>1.0445977763588521</v>
      </c>
      <c r="G16" s="15">
        <f>B13/B16</f>
        <v>0.80210209055213089</v>
      </c>
      <c r="H16" s="15">
        <f t="shared" si="3"/>
        <v>0.8378740602035426</v>
      </c>
      <c r="I16" s="14">
        <f>(C16*H16)/2</f>
        <v>33249304.382865448</v>
      </c>
      <c r="J16" s="7">
        <f>J13/H16</f>
        <v>3.7884078894015381</v>
      </c>
      <c r="K16" s="9"/>
      <c r="L16" s="6"/>
      <c r="M16" s="22">
        <f>(B10*C16)/(B16*C10)</f>
        <v>2.1452091375237501</v>
      </c>
      <c r="N16" s="23">
        <f>M16/M13</f>
        <v>1.0481746719888503</v>
      </c>
      <c r="O16" s="26">
        <f>D16/N16</f>
        <v>3.7859088814561739</v>
      </c>
    </row>
    <row r="17" spans="1:15" x14ac:dyDescent="0.25">
      <c r="A17" s="3"/>
      <c r="B17" s="10"/>
      <c r="C17" s="10"/>
      <c r="D17" s="12"/>
      <c r="E17" s="10"/>
      <c r="F17" s="10"/>
      <c r="G17" s="10"/>
      <c r="H17" s="10"/>
      <c r="I17" s="16"/>
      <c r="J17" s="18"/>
      <c r="K17" s="18"/>
      <c r="L17" s="10"/>
      <c r="M17" s="25"/>
      <c r="N17" s="24"/>
      <c r="O17" s="27"/>
    </row>
    <row r="18" spans="1:15" x14ac:dyDescent="0.25">
      <c r="A18" s="10" t="s">
        <v>24</v>
      </c>
      <c r="B18" s="3"/>
      <c r="C18" s="3"/>
      <c r="D18" s="12"/>
      <c r="E18" s="3"/>
      <c r="F18" s="3"/>
      <c r="G18" s="3"/>
      <c r="H18" s="10"/>
      <c r="I18" s="14"/>
      <c r="J18" s="7"/>
      <c r="K18" s="9"/>
      <c r="L18" s="3"/>
      <c r="M18" s="22"/>
      <c r="N18" s="23"/>
      <c r="O18" s="28"/>
    </row>
    <row r="19" spans="1:15" x14ac:dyDescent="0.25">
      <c r="A19" s="3" t="s">
        <v>10</v>
      </c>
      <c r="B19" s="3">
        <v>174303</v>
      </c>
      <c r="C19" s="3">
        <v>10689385</v>
      </c>
      <c r="D19" s="12">
        <f>(C19/2)/10000000</f>
        <v>0.53446925000000001</v>
      </c>
      <c r="E19" s="3">
        <f>B19/(B19+C19)</f>
        <v>1.6044551353094825E-2</v>
      </c>
      <c r="F19" s="3"/>
      <c r="G19" s="3"/>
      <c r="H19" s="3"/>
      <c r="I19" s="14"/>
      <c r="J19" s="7"/>
      <c r="K19" s="9"/>
      <c r="L19" s="3"/>
      <c r="M19" s="22"/>
      <c r="N19" s="23"/>
      <c r="O19" s="26"/>
    </row>
    <row r="20" spans="1:15" x14ac:dyDescent="0.25">
      <c r="A20" s="3" t="s">
        <v>11</v>
      </c>
      <c r="B20" s="3">
        <v>1997420</v>
      </c>
      <c r="C20" s="3">
        <v>58439266</v>
      </c>
      <c r="D20" s="12">
        <f t="shared" ref="D20:D22" si="4">(C20/2)/10000000</f>
        <v>2.9219632999999998</v>
      </c>
      <c r="E20" s="3"/>
      <c r="F20" s="3">
        <f>E19/E19</f>
        <v>1</v>
      </c>
      <c r="G20" s="3">
        <f>B20/B20</f>
        <v>1</v>
      </c>
      <c r="H20" s="3">
        <f>F20*G20</f>
        <v>1</v>
      </c>
      <c r="I20" s="14">
        <f>(C20*H20)/2</f>
        <v>29219633</v>
      </c>
      <c r="J20" s="7">
        <f>I20/10000000</f>
        <v>2.9219632999999998</v>
      </c>
      <c r="K20" s="9"/>
      <c r="L20" s="3"/>
      <c r="M20" s="22">
        <f>(B19*C20)/(B20*C19)</f>
        <v>0.47707592504384133</v>
      </c>
      <c r="N20" s="23">
        <f>M20/M20</f>
        <v>1</v>
      </c>
      <c r="O20" s="26">
        <f>D20/N20</f>
        <v>2.9219632999999998</v>
      </c>
    </row>
    <row r="21" spans="1:15" x14ac:dyDescent="0.25">
      <c r="A21" s="3" t="s">
        <v>12</v>
      </c>
      <c r="B21" s="3">
        <v>182278</v>
      </c>
      <c r="C21" s="3">
        <v>11109248</v>
      </c>
      <c r="D21" s="12">
        <f t="shared" si="4"/>
        <v>0.55546240000000002</v>
      </c>
      <c r="E21" s="3">
        <f>B21/(B21+C21)</f>
        <v>1.6142902208257769E-2</v>
      </c>
      <c r="F21" s="3"/>
      <c r="G21" s="3"/>
      <c r="H21" s="3"/>
      <c r="I21" s="19"/>
      <c r="J21" s="7"/>
      <c r="K21" s="9"/>
      <c r="L21" s="3"/>
      <c r="M21" s="22"/>
      <c r="N21" s="23"/>
      <c r="O21" s="26"/>
    </row>
    <row r="22" spans="1:15" x14ac:dyDescent="0.25">
      <c r="A22" s="3" t="s">
        <v>13</v>
      </c>
      <c r="B22" s="3">
        <v>1757293</v>
      </c>
      <c r="C22" s="3">
        <v>55366858</v>
      </c>
      <c r="D22" s="12">
        <f t="shared" si="4"/>
        <v>2.7683428999999999</v>
      </c>
      <c r="E22" s="3"/>
      <c r="F22" s="15">
        <f>E21/E19</f>
        <v>1.0061298601000752</v>
      </c>
      <c r="G22" s="15">
        <f>B20/B22</f>
        <v>1.1366459662674353</v>
      </c>
      <c r="H22" s="15">
        <f>F22*G22</f>
        <v>1.1436134470239694</v>
      </c>
      <c r="I22" s="14">
        <f>(C22*H22)/2</f>
        <v>31659141.664133318</v>
      </c>
      <c r="J22" s="7">
        <f>$J$20/H22</f>
        <v>2.555027057091571</v>
      </c>
      <c r="K22" s="9"/>
      <c r="L22" s="3"/>
      <c r="M22" s="22">
        <f>(B21*C22)/(C21*B22)</f>
        <v>0.51695803783246197</v>
      </c>
      <c r="N22" s="23">
        <f>M22/M20</f>
        <v>1.0835969930466636</v>
      </c>
      <c r="O22" s="26">
        <f>D22/N22</f>
        <v>2.5547716704311538</v>
      </c>
    </row>
    <row r="23" spans="1:15" x14ac:dyDescent="0.25">
      <c r="A23" s="3"/>
      <c r="B23" s="3"/>
      <c r="C23" s="3"/>
      <c r="D23" s="12"/>
      <c r="E23" s="3"/>
      <c r="F23" s="15"/>
      <c r="G23" s="15"/>
      <c r="H23" s="15"/>
      <c r="I23" s="14"/>
      <c r="J23" s="7"/>
      <c r="K23" s="9"/>
      <c r="L23" s="3"/>
      <c r="M23" s="22"/>
      <c r="N23" s="23"/>
      <c r="O23" s="27"/>
    </row>
    <row r="24" spans="1:15" x14ac:dyDescent="0.25">
      <c r="A24" s="17" t="s">
        <v>14</v>
      </c>
      <c r="B24" s="3">
        <v>182393</v>
      </c>
      <c r="C24" s="3">
        <v>10274791</v>
      </c>
      <c r="D24" s="12">
        <f t="shared" ref="D24:D27" si="5">(C24/2)/10000000</f>
        <v>0.51373955000000004</v>
      </c>
      <c r="E24" s="3">
        <f t="shared" ref="E24:E26" si="6">B24/(B24+C24)</f>
        <v>1.7441884928103016E-2</v>
      </c>
      <c r="F24" s="15"/>
      <c r="G24" s="15"/>
      <c r="H24" s="15"/>
      <c r="I24" s="14"/>
      <c r="J24" s="7"/>
      <c r="K24" s="9"/>
      <c r="L24" s="3"/>
      <c r="M24" s="22"/>
      <c r="N24" s="23"/>
      <c r="O24" s="26"/>
    </row>
    <row r="25" spans="1:15" x14ac:dyDescent="0.25">
      <c r="A25" s="17" t="s">
        <v>15</v>
      </c>
      <c r="B25" s="3">
        <v>2595783</v>
      </c>
      <c r="C25" s="3">
        <v>87639525</v>
      </c>
      <c r="D25" s="12">
        <f t="shared" si="5"/>
        <v>4.3819762500000001</v>
      </c>
      <c r="E25" s="3"/>
      <c r="F25" s="15">
        <f>E24/E19</f>
        <v>1.0870908474943839</v>
      </c>
      <c r="G25" s="15">
        <f>B20/B25</f>
        <v>0.76948650946554464</v>
      </c>
      <c r="H25" s="15">
        <f>F25*G25</f>
        <v>0.83650174171039415</v>
      </c>
      <c r="I25" s="14">
        <f>(C25*H25)/2</f>
        <v>36655307.652585812</v>
      </c>
      <c r="J25" s="7">
        <f>J20/H25</f>
        <v>3.4930749743873393</v>
      </c>
      <c r="K25" s="9"/>
      <c r="L25" s="3"/>
      <c r="M25" s="22">
        <f>(B24*C25)/(B25*C24)</f>
        <v>0.59933108188688777</v>
      </c>
      <c r="N25" s="23">
        <f>M25/M20</f>
        <v>1.2562593298578453</v>
      </c>
      <c r="O25" s="26">
        <f>D25/N25</f>
        <v>3.4881143931451257</v>
      </c>
    </row>
    <row r="26" spans="1:15" x14ac:dyDescent="0.25">
      <c r="A26" s="17" t="s">
        <v>16</v>
      </c>
      <c r="B26" s="3">
        <v>195874</v>
      </c>
      <c r="C26" s="3">
        <v>10638549</v>
      </c>
      <c r="D26" s="12">
        <f t="shared" si="5"/>
        <v>0.53192744999999997</v>
      </c>
      <c r="E26" s="3">
        <f t="shared" si="6"/>
        <v>1.807885846805132E-2</v>
      </c>
      <c r="F26" s="15"/>
      <c r="G26" s="15"/>
      <c r="H26" s="15"/>
      <c r="I26" s="14"/>
      <c r="J26" s="7"/>
      <c r="K26" s="9"/>
      <c r="L26" s="3"/>
      <c r="M26" s="22"/>
      <c r="N26" s="23"/>
      <c r="O26" s="26"/>
    </row>
    <row r="27" spans="1:15" x14ac:dyDescent="0.25">
      <c r="A27" s="17" t="s">
        <v>17</v>
      </c>
      <c r="B27" s="3">
        <v>1861546</v>
      </c>
      <c r="C27" s="3">
        <v>61778231</v>
      </c>
      <c r="D27" s="12">
        <f t="shared" si="5"/>
        <v>3.0889115500000002</v>
      </c>
      <c r="E27" s="3"/>
      <c r="F27" s="15">
        <f>E26/E19</f>
        <v>1.126791149854377</v>
      </c>
      <c r="G27" s="15">
        <f>B20/B27</f>
        <v>1.072989869710445</v>
      </c>
      <c r="H27" s="15">
        <f>F27*G27</f>
        <v>1.2090354890731305</v>
      </c>
      <c r="I27" s="14">
        <f>(C27*H27)/2</f>
        <v>37346036.86557892</v>
      </c>
      <c r="J27" s="7">
        <f>J20/H27</f>
        <v>2.4167721513617701</v>
      </c>
      <c r="K27" s="9"/>
      <c r="L27" s="3"/>
      <c r="M27" s="22">
        <f>(B26*C27)/(B27*C26)</f>
        <v>0.61102093425732107</v>
      </c>
      <c r="N27" s="23">
        <f>M27/M20</f>
        <v>1.2807624576762509</v>
      </c>
      <c r="O27" s="26">
        <f>D27/N27</f>
        <v>2.4117755259662759</v>
      </c>
    </row>
    <row r="28" spans="1:15" x14ac:dyDescent="0.25">
      <c r="A28" s="3"/>
      <c r="B28" s="3"/>
      <c r="C28" s="3"/>
      <c r="D28" s="12"/>
      <c r="E28" s="3"/>
      <c r="F28" s="3"/>
      <c r="G28" s="3"/>
      <c r="H28" s="3"/>
      <c r="I28" s="14"/>
      <c r="J28" s="7"/>
      <c r="K28" s="9"/>
      <c r="L28" s="3"/>
      <c r="M28" s="22"/>
      <c r="N28" s="23"/>
      <c r="O28" s="27"/>
    </row>
    <row r="29" spans="1:15" x14ac:dyDescent="0.25">
      <c r="A29" s="3" t="s">
        <v>18</v>
      </c>
      <c r="B29" s="3">
        <v>371131</v>
      </c>
      <c r="C29" s="3">
        <v>52613721</v>
      </c>
      <c r="D29" s="12">
        <v>2.63068605</v>
      </c>
      <c r="E29" s="3"/>
      <c r="F29" s="3">
        <f>E19/E19</f>
        <v>1</v>
      </c>
      <c r="G29" s="3">
        <v>1</v>
      </c>
      <c r="H29" s="3">
        <f>F29*G29</f>
        <v>1</v>
      </c>
      <c r="I29" s="14">
        <f>(C29*H29)/2</f>
        <v>26306860.5</v>
      </c>
      <c r="J29" s="7">
        <f>I29/10000000</f>
        <v>2.63068605</v>
      </c>
      <c r="K29" s="9"/>
      <c r="L29" s="3"/>
      <c r="M29" s="22">
        <f>(B19*C29)/(B29*C19)</f>
        <v>2.3116598408581277</v>
      </c>
      <c r="N29" s="23">
        <f>M29/M29</f>
        <v>1</v>
      </c>
      <c r="O29" s="26">
        <f>D29/N29</f>
        <v>2.63068605</v>
      </c>
    </row>
    <row r="30" spans="1:15" x14ac:dyDescent="0.25">
      <c r="A30" s="3" t="s">
        <v>19</v>
      </c>
      <c r="B30" s="3">
        <v>399320</v>
      </c>
      <c r="C30" s="3">
        <v>67008232</v>
      </c>
      <c r="D30" s="12">
        <v>3.3504116000000002</v>
      </c>
      <c r="E30" s="3"/>
      <c r="F30" s="15">
        <f>E21/E19</f>
        <v>1.0061298601000752</v>
      </c>
      <c r="G30" s="15">
        <f>B29/B30</f>
        <v>0.929407492737654</v>
      </c>
      <c r="H30" s="15">
        <f>F30*G30</f>
        <v>0.93510463064409743</v>
      </c>
      <c r="I30" s="14">
        <f>(C30*H30)/2</f>
        <v>31329854.017236996</v>
      </c>
      <c r="J30" s="7">
        <f>J29/H30</f>
        <v>2.8132531524178113</v>
      </c>
      <c r="K30" s="9"/>
      <c r="L30" s="3"/>
      <c r="M30" s="22">
        <f>(B21*C30)/(B30*C21)</f>
        <v>2.753320001160982</v>
      </c>
      <c r="N30" s="23">
        <f>M30/M29</f>
        <v>1.1910575909554679</v>
      </c>
      <c r="O30" s="26">
        <f>D30/N30</f>
        <v>2.8129719548760828</v>
      </c>
    </row>
    <row r="31" spans="1:15" x14ac:dyDescent="0.25">
      <c r="A31" s="17" t="s">
        <v>20</v>
      </c>
      <c r="B31" s="3">
        <v>669538</v>
      </c>
      <c r="C31" s="3">
        <v>73079575</v>
      </c>
      <c r="D31" s="12">
        <v>3.6539787499999998</v>
      </c>
      <c r="E31" s="3"/>
      <c r="F31" s="15">
        <f>E24/E19</f>
        <v>1.0870908474943839</v>
      </c>
      <c r="G31" s="15">
        <f>B29/B31</f>
        <v>0.55430909074615631</v>
      </c>
      <c r="H31" s="15">
        <f t="shared" ref="H31:H32" si="7">F31*G31</f>
        <v>0.60258433923308041</v>
      </c>
      <c r="I31" s="14">
        <f>(C31*H31)/2</f>
        <v>22018303.706404671</v>
      </c>
      <c r="J31" s="7">
        <f>J29/H31</f>
        <v>4.3656727842414886</v>
      </c>
      <c r="K31" s="9"/>
      <c r="L31" s="1"/>
      <c r="M31" s="22">
        <f>(B24*C31)/(B31*C24)</f>
        <v>1.9375635347186684</v>
      </c>
      <c r="N31" s="23">
        <f>M31/M29</f>
        <v>0.83816982951929975</v>
      </c>
      <c r="O31" s="26">
        <f>D31/N31</f>
        <v>4.3594730104943045</v>
      </c>
    </row>
    <row r="32" spans="1:15" x14ac:dyDescent="0.25">
      <c r="A32" s="17" t="s">
        <v>21</v>
      </c>
      <c r="B32" s="3">
        <v>612979</v>
      </c>
      <c r="C32" s="3">
        <v>74319533</v>
      </c>
      <c r="D32" s="12">
        <v>3.71597665</v>
      </c>
      <c r="E32" s="1"/>
      <c r="F32" s="15">
        <f>E26/E19</f>
        <v>1.126791149854377</v>
      </c>
      <c r="G32" s="15">
        <f>B29/B32</f>
        <v>0.60545467299858557</v>
      </c>
      <c r="H32" s="15">
        <f t="shared" si="7"/>
        <v>0.68222096717278202</v>
      </c>
      <c r="I32" s="14">
        <f>(C32*H32)/2</f>
        <v>25351171.841544744</v>
      </c>
      <c r="J32" s="7">
        <f>J29/H32</f>
        <v>3.856061564483904</v>
      </c>
      <c r="K32" s="9"/>
      <c r="L32" s="3"/>
      <c r="M32" s="22">
        <f>(B26*C32)/(B32*C26)</f>
        <v>2.2322959418845323</v>
      </c>
      <c r="N32" s="23">
        <f>M32/M29</f>
        <v>0.96566800289088628</v>
      </c>
      <c r="O32" s="26">
        <f>D32/N32</f>
        <v>3.8480892386157683</v>
      </c>
    </row>
    <row r="33" spans="1: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6"/>
      <c r="L33" s="3"/>
      <c r="M33" s="22"/>
      <c r="N33" s="23"/>
      <c r="O33" s="28"/>
    </row>
    <row r="34" spans="1:15" x14ac:dyDescent="0.25">
      <c r="A34" s="8" t="s">
        <v>22</v>
      </c>
      <c r="B34" s="8" t="s">
        <v>0</v>
      </c>
      <c r="C34" s="8" t="s">
        <v>1</v>
      </c>
      <c r="D34" s="8" t="s">
        <v>59</v>
      </c>
      <c r="E34" s="8" t="s">
        <v>2</v>
      </c>
      <c r="F34" s="8" t="s">
        <v>4</v>
      </c>
      <c r="G34" s="8" t="s">
        <v>3</v>
      </c>
      <c r="H34" s="8" t="s">
        <v>5</v>
      </c>
      <c r="I34" s="8" t="s">
        <v>6</v>
      </c>
      <c r="J34" s="8" t="s">
        <v>50</v>
      </c>
      <c r="K34" s="10"/>
      <c r="L34" s="3"/>
      <c r="M34" s="22"/>
      <c r="N34" s="23"/>
      <c r="O34" s="28"/>
    </row>
    <row r="35" spans="1:15" x14ac:dyDescent="0.25">
      <c r="A35" s="1" t="s">
        <v>25</v>
      </c>
      <c r="B35" s="3"/>
      <c r="C35" s="3"/>
      <c r="D35" s="3"/>
      <c r="E35" s="3"/>
      <c r="F35" s="3"/>
      <c r="G35" s="3"/>
      <c r="H35" s="3"/>
      <c r="I35" s="3"/>
      <c r="J35" s="13"/>
      <c r="K35" s="6"/>
      <c r="L35" s="3"/>
      <c r="M35" s="22"/>
      <c r="N35" s="23"/>
      <c r="O35" s="28"/>
    </row>
    <row r="36" spans="1:15" x14ac:dyDescent="0.25">
      <c r="A36" s="3" t="s">
        <v>26</v>
      </c>
      <c r="B36" s="3">
        <v>73769</v>
      </c>
      <c r="C36" s="3">
        <v>4816504</v>
      </c>
      <c r="D36" s="3">
        <f>C36/10000000</f>
        <v>0.48165039999999998</v>
      </c>
      <c r="E36" s="3">
        <f>B36/(B36+C36)</f>
        <v>1.5084842911632949E-2</v>
      </c>
      <c r="F36" s="3">
        <v>1</v>
      </c>
      <c r="G36" s="3"/>
      <c r="H36" s="3"/>
      <c r="I36" s="3"/>
      <c r="J36" s="8"/>
      <c r="K36" s="10"/>
      <c r="L36" s="3"/>
      <c r="M36" s="22"/>
      <c r="N36" s="23"/>
      <c r="O36" s="28"/>
    </row>
    <row r="37" spans="1:15" x14ac:dyDescent="0.25">
      <c r="A37" s="3" t="s">
        <v>27</v>
      </c>
      <c r="B37" s="3">
        <v>720102</v>
      </c>
      <c r="C37" s="3">
        <v>29949514</v>
      </c>
      <c r="D37" s="3">
        <f t="shared" ref="D37:D68" si="8">C37/10000000</f>
        <v>2.9949514000000002</v>
      </c>
      <c r="E37" s="3"/>
      <c r="F37" s="3"/>
      <c r="G37" s="3">
        <v>1</v>
      </c>
      <c r="H37" s="3">
        <f>F36*G37</f>
        <v>1</v>
      </c>
      <c r="I37" s="3">
        <f>C37*H37</f>
        <v>29949514</v>
      </c>
      <c r="J37" s="7">
        <f>I37/10000000</f>
        <v>2.9949514000000002</v>
      </c>
      <c r="K37" s="9"/>
      <c r="L37" s="3"/>
      <c r="M37" s="22">
        <f>(B36*C37)/(B37*C36)</f>
        <v>0.63699750781649012</v>
      </c>
      <c r="N37" s="23">
        <f>M37/M37</f>
        <v>1</v>
      </c>
      <c r="O37" s="28">
        <f>D37/N37</f>
        <v>2.9949514000000002</v>
      </c>
    </row>
    <row r="38" spans="1:15" x14ac:dyDescent="0.25">
      <c r="A38" s="3" t="s">
        <v>28</v>
      </c>
      <c r="B38" s="3">
        <v>63823</v>
      </c>
      <c r="C38" s="3">
        <v>4876692</v>
      </c>
      <c r="D38" s="3">
        <f t="shared" si="8"/>
        <v>0.48766920000000002</v>
      </c>
      <c r="E38" s="3">
        <f>B38/(B38+C38)</f>
        <v>1.2918288882839137E-2</v>
      </c>
      <c r="F38" s="3">
        <f>E38/E36</f>
        <v>0.85637543317583809</v>
      </c>
      <c r="G38" s="3"/>
      <c r="H38" s="3"/>
      <c r="I38" s="3"/>
      <c r="J38" s="7"/>
      <c r="K38" s="9"/>
      <c r="L38" s="3"/>
      <c r="M38" s="22"/>
      <c r="N38" s="23"/>
      <c r="O38" s="28"/>
    </row>
    <row r="39" spans="1:15" x14ac:dyDescent="0.25">
      <c r="A39" s="6" t="s">
        <v>29</v>
      </c>
      <c r="B39" s="6">
        <v>616200</v>
      </c>
      <c r="C39" s="6">
        <v>30192488</v>
      </c>
      <c r="D39" s="3">
        <f t="shared" si="8"/>
        <v>3.0192488000000002</v>
      </c>
      <c r="E39" s="6"/>
      <c r="F39" s="6"/>
      <c r="G39" s="6">
        <f>B37/B39</f>
        <v>1.1686173320350535</v>
      </c>
      <c r="H39" s="6">
        <f t="shared" ref="H39:H60" si="9">F38*G39</f>
        <v>1.0007751739383111</v>
      </c>
      <c r="I39" s="6">
        <f>C39*H39</f>
        <v>30215892.429830369</v>
      </c>
      <c r="J39" s="7">
        <f>J37/H39</f>
        <v>2.992631589984478</v>
      </c>
      <c r="K39" s="9"/>
      <c r="L39" s="3"/>
      <c r="M39" s="22">
        <f>(B38*C39)/(B39*C38)</f>
        <v>0.64125253541109828</v>
      </c>
      <c r="N39" s="23">
        <f>M39/M37</f>
        <v>1.0066798182762027</v>
      </c>
      <c r="O39" s="28">
        <f>D39/N39</f>
        <v>2.9992145915570636</v>
      </c>
    </row>
    <row r="40" spans="1:15" x14ac:dyDescent="0.25">
      <c r="A40" s="4" t="s">
        <v>30</v>
      </c>
      <c r="B40" s="3">
        <v>71321</v>
      </c>
      <c r="C40" s="3">
        <v>4740212</v>
      </c>
      <c r="D40" s="3">
        <f t="shared" si="8"/>
        <v>0.47402119999999998</v>
      </c>
      <c r="E40" s="3">
        <f>B40/(B40+C40)</f>
        <v>1.4822926497646384E-2</v>
      </c>
      <c r="F40" s="3">
        <f>E40/E36</f>
        <v>0.98263711359005379</v>
      </c>
      <c r="G40" s="3"/>
      <c r="H40" s="3"/>
      <c r="I40" s="3"/>
      <c r="J40" s="7"/>
      <c r="K40" s="9"/>
      <c r="L40" s="3"/>
      <c r="M40" s="22"/>
      <c r="N40" s="23"/>
      <c r="O40" s="28"/>
    </row>
    <row r="41" spans="1:15" x14ac:dyDescent="0.25">
      <c r="A41" s="4" t="s">
        <v>31</v>
      </c>
      <c r="B41" s="3">
        <v>1008629</v>
      </c>
      <c r="C41" s="3">
        <v>32055237</v>
      </c>
      <c r="D41" s="3">
        <f t="shared" si="8"/>
        <v>3.2055237000000001</v>
      </c>
      <c r="E41" s="3"/>
      <c r="F41" s="3"/>
      <c r="G41" s="3">
        <f>B37/B41</f>
        <v>0.71394139966231385</v>
      </c>
      <c r="H41" s="3">
        <f t="shared" si="9"/>
        <v>0.70154531623661909</v>
      </c>
      <c r="I41" s="3">
        <f>C41*H41</f>
        <v>22488201.378204774</v>
      </c>
      <c r="J41" s="7">
        <f>J37/H41</f>
        <v>4.2690776072259524</v>
      </c>
      <c r="K41" s="9"/>
      <c r="L41" s="3"/>
      <c r="M41" s="22">
        <f>(B40*C41)/(B41*C40)</f>
        <v>0.47817536698404323</v>
      </c>
      <c r="N41" s="23">
        <f>M41/M37</f>
        <v>0.75067070297204164</v>
      </c>
      <c r="O41" s="28">
        <f>D41/N41</f>
        <v>4.2702128740455034</v>
      </c>
    </row>
    <row r="42" spans="1:15" x14ac:dyDescent="0.25">
      <c r="A42" s="4" t="s">
        <v>32</v>
      </c>
      <c r="B42" s="3">
        <v>61331</v>
      </c>
      <c r="C42" s="3">
        <v>4265005</v>
      </c>
      <c r="D42" s="3">
        <f t="shared" si="8"/>
        <v>0.4265005</v>
      </c>
      <c r="E42" s="3">
        <f>B42/(B42+C42)</f>
        <v>1.4176198982233466E-2</v>
      </c>
      <c r="F42" s="3">
        <f>E42/E36</f>
        <v>0.93976444204806631</v>
      </c>
      <c r="G42" s="3"/>
      <c r="H42" s="3"/>
      <c r="I42" s="3"/>
      <c r="J42" s="7"/>
      <c r="K42" s="9"/>
      <c r="L42" s="3"/>
      <c r="M42" s="22"/>
      <c r="N42" s="23"/>
      <c r="O42" s="28"/>
    </row>
    <row r="43" spans="1:15" x14ac:dyDescent="0.25">
      <c r="A43" s="4" t="s">
        <v>33</v>
      </c>
      <c r="B43" s="3">
        <v>840296</v>
      </c>
      <c r="C43" s="3">
        <v>27357907</v>
      </c>
      <c r="D43" s="3">
        <f t="shared" si="8"/>
        <v>2.7357906999999999</v>
      </c>
      <c r="E43" s="3"/>
      <c r="F43" s="3"/>
      <c r="G43" s="3">
        <f>B37/B43</f>
        <v>0.85696230851985489</v>
      </c>
      <c r="H43" s="3">
        <f t="shared" si="9"/>
        <v>0.80534270572238431</v>
      </c>
      <c r="I43" s="3">
        <f>C43*H43</f>
        <v>22032490.846281357</v>
      </c>
      <c r="J43" s="7">
        <f>J37/H43</f>
        <v>3.7188533263159798</v>
      </c>
      <c r="K43" s="9"/>
      <c r="L43" s="3"/>
      <c r="M43" s="22">
        <f>(B42*C43)/(B43*C42)</f>
        <v>0.46817807749791057</v>
      </c>
      <c r="N43" s="23">
        <f>M43/M37</f>
        <v>0.73497630956632565</v>
      </c>
      <c r="O43" s="28">
        <f>D43/N43</f>
        <v>3.7222841939140312</v>
      </c>
    </row>
    <row r="44" spans="1:15" x14ac:dyDescent="0.25">
      <c r="A44" s="5" t="s">
        <v>34</v>
      </c>
      <c r="B44" s="3">
        <v>70553</v>
      </c>
      <c r="C44" s="3">
        <v>4799784</v>
      </c>
      <c r="D44" s="3">
        <f t="shared" si="8"/>
        <v>0.47997840000000003</v>
      </c>
      <c r="E44" s="3">
        <f>B44/(B44+C44)</f>
        <v>1.4486266556092526E-2</v>
      </c>
      <c r="F44" s="3">
        <f>E44/E36</f>
        <v>0.96031935108327704</v>
      </c>
      <c r="G44" s="3"/>
      <c r="H44" s="3"/>
      <c r="I44" s="3"/>
      <c r="J44" s="7"/>
      <c r="K44" s="9"/>
      <c r="L44" s="3"/>
      <c r="M44" s="22"/>
      <c r="N44" s="23"/>
      <c r="O44" s="28"/>
    </row>
    <row r="45" spans="1:15" x14ac:dyDescent="0.25">
      <c r="A45" s="5" t="s">
        <v>35</v>
      </c>
      <c r="B45" s="3">
        <v>13310092</v>
      </c>
      <c r="C45" s="3">
        <v>19902144</v>
      </c>
      <c r="D45" s="3">
        <f t="shared" si="8"/>
        <v>1.9902143999999999</v>
      </c>
      <c r="E45" s="3"/>
      <c r="F45" s="3"/>
      <c r="G45" s="3">
        <f>B37/B45</f>
        <v>5.410195511796613E-2</v>
      </c>
      <c r="H45" s="3">
        <f t="shared" si="9"/>
        <v>5.1955154431221812E-2</v>
      </c>
      <c r="I45" s="3">
        <f>C45*H45</f>
        <v>1034018.9650324145</v>
      </c>
      <c r="J45" s="7">
        <f>J37/H45</f>
        <v>57.644933073285621</v>
      </c>
      <c r="K45" s="9"/>
      <c r="L45" s="3"/>
      <c r="M45" s="22">
        <f>(B44*C45)/(B45*C44)</f>
        <v>2.1979236311408121E-2</v>
      </c>
      <c r="N45" s="23">
        <f>M45/M37</f>
        <v>3.4504430616610862E-2</v>
      </c>
      <c r="O45" s="28">
        <f t="shared" ref="O45" si="10">D45/N45</f>
        <v>57.679966440074686</v>
      </c>
    </row>
    <row r="46" spans="1:15" x14ac:dyDescent="0.25">
      <c r="A46" s="5" t="s">
        <v>36</v>
      </c>
      <c r="B46" s="3">
        <v>77355</v>
      </c>
      <c r="C46" s="3">
        <v>5750611</v>
      </c>
      <c r="D46" s="3">
        <f t="shared" si="8"/>
        <v>0.57506109999999999</v>
      </c>
      <c r="E46" s="3">
        <f>B46/(B46+C46)</f>
        <v>1.3273069884072763E-2</v>
      </c>
      <c r="F46" s="3">
        <f>E46/E36</f>
        <v>0.87989447167772594</v>
      </c>
      <c r="G46" s="3"/>
      <c r="H46" s="3"/>
      <c r="I46" s="3"/>
      <c r="J46" s="7"/>
      <c r="K46" s="9"/>
      <c r="L46" s="3"/>
      <c r="M46" s="22"/>
      <c r="N46" s="23"/>
      <c r="O46" s="28"/>
    </row>
    <row r="47" spans="1:15" x14ac:dyDescent="0.25">
      <c r="A47" s="5" t="s">
        <v>37</v>
      </c>
      <c r="B47" s="3">
        <v>10931829</v>
      </c>
      <c r="C47" s="3">
        <v>20098760</v>
      </c>
      <c r="D47" s="3">
        <f t="shared" si="8"/>
        <v>2.0098760000000002</v>
      </c>
      <c r="E47" s="3"/>
      <c r="F47" s="3"/>
      <c r="G47" s="3">
        <f>B37/B47</f>
        <v>6.587205123680584E-2</v>
      </c>
      <c r="H47" s="3">
        <f>F46*G47</f>
        <v>5.7960453721337367E-2</v>
      </c>
      <c r="I47" s="3">
        <f>C47*H47</f>
        <v>1164933.2488362666</v>
      </c>
      <c r="J47" s="7">
        <f>J37/H47</f>
        <v>51.672324968316261</v>
      </c>
      <c r="K47" s="9"/>
      <c r="L47" s="3"/>
      <c r="M47" s="22">
        <f>(B46*C47)/(B47*C46)</f>
        <v>2.4731521447080674E-2</v>
      </c>
      <c r="N47" s="23">
        <f>M47/M37</f>
        <v>3.8825146320989178E-2</v>
      </c>
      <c r="O47" s="28">
        <f t="shared" ref="O47" si="11">D47/N47</f>
        <v>51.767377343107285</v>
      </c>
    </row>
    <row r="48" spans="1:15" x14ac:dyDescent="0.25">
      <c r="A48" s="5"/>
      <c r="B48" s="3"/>
      <c r="C48" s="3"/>
      <c r="D48" s="3"/>
      <c r="E48" s="3"/>
      <c r="F48" s="3"/>
      <c r="G48" s="3"/>
      <c r="H48" s="3"/>
      <c r="I48" s="3"/>
      <c r="J48" s="7"/>
      <c r="K48" s="9"/>
      <c r="L48" s="3"/>
      <c r="M48" s="22"/>
      <c r="N48" s="23"/>
      <c r="O48" s="28"/>
    </row>
    <row r="49" spans="1:15" x14ac:dyDescent="0.25">
      <c r="A49" s="3" t="s">
        <v>38</v>
      </c>
      <c r="B49" s="3">
        <v>63379</v>
      </c>
      <c r="C49" s="3">
        <v>4553517</v>
      </c>
      <c r="D49" s="3">
        <f t="shared" si="8"/>
        <v>0.45535170000000003</v>
      </c>
      <c r="E49" s="3">
        <f>B49/(B49+C49)</f>
        <v>1.3727621328269036E-2</v>
      </c>
      <c r="F49" s="3">
        <f>E49/E49</f>
        <v>1</v>
      </c>
      <c r="G49" s="3"/>
      <c r="H49" s="3"/>
      <c r="I49" s="3"/>
      <c r="J49" s="7"/>
      <c r="K49" s="9"/>
      <c r="L49" s="3"/>
      <c r="M49" s="22"/>
      <c r="N49" s="23"/>
      <c r="O49" s="28"/>
    </row>
    <row r="50" spans="1:15" x14ac:dyDescent="0.25">
      <c r="A50" s="3" t="s">
        <v>39</v>
      </c>
      <c r="B50" s="3">
        <v>511320</v>
      </c>
      <c r="C50" s="3">
        <v>25407828</v>
      </c>
      <c r="D50" s="3">
        <f t="shared" si="8"/>
        <v>2.5407828000000001</v>
      </c>
      <c r="E50" s="3"/>
      <c r="F50" s="3"/>
      <c r="G50" s="3">
        <v>1</v>
      </c>
      <c r="H50" s="3">
        <f t="shared" si="9"/>
        <v>1</v>
      </c>
      <c r="I50" s="3">
        <f>C50*H50</f>
        <v>25407828</v>
      </c>
      <c r="J50" s="7">
        <f>I50/10000000</f>
        <v>2.5407828000000001</v>
      </c>
      <c r="K50" s="9"/>
      <c r="L50" s="3"/>
      <c r="M50" s="22">
        <f>(B49*C50)/(B50*C49)</f>
        <v>0.69162897745287655</v>
      </c>
      <c r="N50" s="23">
        <f>M50/M50</f>
        <v>1</v>
      </c>
      <c r="O50" s="28">
        <f>D50/N50</f>
        <v>2.5407828000000001</v>
      </c>
    </row>
    <row r="51" spans="1:15" x14ac:dyDescent="0.25">
      <c r="A51" s="3" t="s">
        <v>40</v>
      </c>
      <c r="B51" s="3">
        <v>59372</v>
      </c>
      <c r="C51" s="3">
        <v>4470897</v>
      </c>
      <c r="D51" s="3">
        <f t="shared" si="8"/>
        <v>0.44708969999999998</v>
      </c>
      <c r="E51" s="3">
        <f>B51/(B51+C51)</f>
        <v>1.3105623529198819E-2</v>
      </c>
      <c r="F51" s="3">
        <f>E51/E49</f>
        <v>0.95469005269038498</v>
      </c>
      <c r="G51" s="3"/>
      <c r="H51" s="3"/>
      <c r="I51" s="3"/>
      <c r="J51" s="7"/>
      <c r="K51" s="9"/>
      <c r="L51" s="3"/>
      <c r="M51" s="22"/>
      <c r="N51" s="23"/>
      <c r="O51" s="28"/>
    </row>
    <row r="52" spans="1:15" x14ac:dyDescent="0.25">
      <c r="A52" s="3" t="s">
        <v>41</v>
      </c>
      <c r="B52" s="3">
        <v>439860</v>
      </c>
      <c r="C52" s="3">
        <v>24133871</v>
      </c>
      <c r="D52" s="3">
        <f t="shared" si="8"/>
        <v>2.4133871</v>
      </c>
      <c r="E52" s="3"/>
      <c r="F52" s="3"/>
      <c r="G52" s="3">
        <f>B50/B52</f>
        <v>1.1624607829764015</v>
      </c>
      <c r="H52" s="3">
        <f t="shared" si="9"/>
        <v>1.1097897461502471</v>
      </c>
      <c r="I52" s="3">
        <f>C52*H52</f>
        <v>26783522.570712809</v>
      </c>
      <c r="J52" s="7">
        <f>J50/H52</f>
        <v>2.2894271719609316</v>
      </c>
      <c r="K52" s="9"/>
      <c r="L52" s="3"/>
      <c r="M52" s="22">
        <f>(B51*C52)/(B52*C51)</f>
        <v>0.72861738792071784</v>
      </c>
      <c r="N52" s="23">
        <f>M52/M50</f>
        <v>1.0534801341089868</v>
      </c>
      <c r="O52" s="28">
        <f>D52/N52</f>
        <v>2.2908710110999828</v>
      </c>
    </row>
    <row r="53" spans="1:15" x14ac:dyDescent="0.25">
      <c r="A53" s="4" t="s">
        <v>42</v>
      </c>
      <c r="B53" s="3">
        <v>60125</v>
      </c>
      <c r="C53" s="3">
        <v>4059037</v>
      </c>
      <c r="D53" s="3">
        <f t="shared" si="8"/>
        <v>0.40590369999999998</v>
      </c>
      <c r="E53" s="3">
        <f>B53/(B53+C53)</f>
        <v>1.4596415484508742E-2</v>
      </c>
      <c r="F53" s="3">
        <f>E53/E49</f>
        <v>1.063288033335434</v>
      </c>
      <c r="G53" s="3"/>
      <c r="H53" s="3"/>
      <c r="I53" s="3"/>
      <c r="J53" s="7"/>
      <c r="K53" s="9"/>
      <c r="L53" s="3"/>
      <c r="M53" s="22"/>
      <c r="N53" s="23"/>
      <c r="O53" s="28"/>
    </row>
    <row r="54" spans="1:15" x14ac:dyDescent="0.25">
      <c r="A54" s="4" t="s">
        <v>43</v>
      </c>
      <c r="B54" s="3">
        <v>843039</v>
      </c>
      <c r="C54" s="3">
        <v>29556998</v>
      </c>
      <c r="D54" s="3">
        <f t="shared" si="8"/>
        <v>2.9556998000000001</v>
      </c>
      <c r="E54" s="3"/>
      <c r="F54" s="3"/>
      <c r="G54" s="3">
        <f>B50/B54</f>
        <v>0.60651998306128185</v>
      </c>
      <c r="H54" s="3">
        <f t="shared" si="9"/>
        <v>0.64490543996787109</v>
      </c>
      <c r="I54" s="3">
        <f>C54*H54</f>
        <v>19061468.799319487</v>
      </c>
      <c r="J54" s="7">
        <f>J50/H54</f>
        <v>3.9397757291775686</v>
      </c>
      <c r="K54" s="9"/>
      <c r="L54" s="3"/>
      <c r="M54" s="22">
        <f>(B53*C54)/(B54*C53)</f>
        <v>0.51933158358464371</v>
      </c>
      <c r="N54" s="23">
        <f>M54/M50</f>
        <v>0.75088175960647607</v>
      </c>
      <c r="O54" s="28">
        <f>D54/N54</f>
        <v>3.9363052333952422</v>
      </c>
    </row>
    <row r="55" spans="1:15" x14ac:dyDescent="0.25">
      <c r="A55" s="4" t="s">
        <v>44</v>
      </c>
      <c r="B55" s="3">
        <v>62875</v>
      </c>
      <c r="C55" s="3">
        <v>4939879</v>
      </c>
      <c r="D55" s="3">
        <f t="shared" si="8"/>
        <v>0.49398789999999998</v>
      </c>
      <c r="E55" s="3">
        <f>B55/(B55+C55)</f>
        <v>1.2568077502911397E-2</v>
      </c>
      <c r="F55" s="3">
        <f>E55/E49</f>
        <v>0.91553206505122542</v>
      </c>
      <c r="G55" s="3"/>
      <c r="H55" s="3"/>
      <c r="I55" s="3"/>
      <c r="J55" s="7"/>
      <c r="K55" s="9"/>
      <c r="L55" s="3"/>
      <c r="M55" s="22"/>
      <c r="N55" s="23"/>
      <c r="O55" s="28"/>
    </row>
    <row r="56" spans="1:15" x14ac:dyDescent="0.25">
      <c r="A56" s="4" t="s">
        <v>45</v>
      </c>
      <c r="B56" s="3">
        <v>671388</v>
      </c>
      <c r="C56" s="3">
        <v>28366677</v>
      </c>
      <c r="D56" s="3">
        <f t="shared" si="8"/>
        <v>2.8366677</v>
      </c>
      <c r="E56" s="3"/>
      <c r="F56" s="3"/>
      <c r="G56" s="3">
        <f>B50/B56</f>
        <v>0.76158644479794102</v>
      </c>
      <c r="H56" s="3">
        <f t="shared" si="9"/>
        <v>0.69725681052088007</v>
      </c>
      <c r="I56" s="3">
        <f>C56*H56</f>
        <v>19778858.730096005</v>
      </c>
      <c r="J56" s="7">
        <f>J50/H56</f>
        <v>3.6439698568192238</v>
      </c>
      <c r="K56" s="9"/>
      <c r="L56" s="3"/>
      <c r="M56" s="22">
        <f>(B55*C56)/(B56*C55)</f>
        <v>0.53777000584696355</v>
      </c>
      <c r="N56" s="23">
        <f>M56/M50</f>
        <v>0.77754117218664975</v>
      </c>
      <c r="O56" s="28">
        <f>D56/N56</f>
        <v>3.648254010810188</v>
      </c>
    </row>
    <row r="57" spans="1:15" x14ac:dyDescent="0.25">
      <c r="A57" s="5" t="s">
        <v>46</v>
      </c>
      <c r="B57" s="3">
        <v>54077</v>
      </c>
      <c r="C57" s="3">
        <v>4795740</v>
      </c>
      <c r="D57" s="3">
        <f t="shared" si="8"/>
        <v>0.479574</v>
      </c>
      <c r="E57" s="3">
        <f>B57/(B57+C57)</f>
        <v>1.1150317630541523E-2</v>
      </c>
      <c r="F57" s="3">
        <f>E57/E49</f>
        <v>0.81225416726639166</v>
      </c>
      <c r="G57" s="3"/>
      <c r="H57" s="3"/>
      <c r="I57" s="3"/>
      <c r="J57" s="7"/>
      <c r="K57" s="9"/>
      <c r="L57" s="3"/>
      <c r="M57" s="22"/>
      <c r="N57" s="23"/>
      <c r="O57" s="28"/>
    </row>
    <row r="58" spans="1:15" x14ac:dyDescent="0.25">
      <c r="A58" s="5" t="s">
        <v>47</v>
      </c>
      <c r="B58" s="3">
        <v>9438235</v>
      </c>
      <c r="C58" s="3">
        <v>14072993</v>
      </c>
      <c r="D58" s="3">
        <f t="shared" si="8"/>
        <v>1.4072993</v>
      </c>
      <c r="E58" s="3"/>
      <c r="F58" s="3"/>
      <c r="G58" s="3">
        <f>B50/B58</f>
        <v>5.4175383427092036E-2</v>
      </c>
      <c r="H58" s="3">
        <f t="shared" si="9"/>
        <v>4.4004180951910117E-2</v>
      </c>
      <c r="I58" s="3">
        <f>C58*H58</f>
        <v>619270.53050696442</v>
      </c>
      <c r="J58" s="7">
        <f>J50/H58</f>
        <v>57.739577127380002</v>
      </c>
      <c r="K58" s="9"/>
      <c r="L58" s="3"/>
      <c r="M58" s="22">
        <f>(B57*C58)/(B58*C57)</f>
        <v>1.6813287749299265E-2</v>
      </c>
      <c r="N58" s="23">
        <f>M58/M50</f>
        <v>2.4309692475898065E-2</v>
      </c>
      <c r="O58" s="28">
        <f t="shared" ref="O58" si="12">D58/N58</f>
        <v>57.8904608273129</v>
      </c>
    </row>
    <row r="59" spans="1:15" x14ac:dyDescent="0.25">
      <c r="A59" s="5" t="s">
        <v>48</v>
      </c>
      <c r="B59" s="3">
        <v>61661</v>
      </c>
      <c r="C59" s="3">
        <v>4822412</v>
      </c>
      <c r="D59" s="3">
        <f t="shared" si="8"/>
        <v>0.48224119999999998</v>
      </c>
      <c r="E59" s="3">
        <f>B59/(B59+C59)</f>
        <v>1.2624913673485224E-2</v>
      </c>
      <c r="F59" s="3">
        <f>E59/E49</f>
        <v>0.91967234319663038</v>
      </c>
      <c r="G59" s="3"/>
      <c r="H59" s="3"/>
      <c r="I59" s="3"/>
      <c r="J59" s="7"/>
      <c r="K59" s="9"/>
      <c r="L59" s="3"/>
      <c r="M59" s="22"/>
      <c r="N59" s="23"/>
      <c r="O59" s="28"/>
    </row>
    <row r="60" spans="1:15" x14ac:dyDescent="0.25">
      <c r="A60" s="5" t="s">
        <v>49</v>
      </c>
      <c r="B60" s="3">
        <v>9066777</v>
      </c>
      <c r="C60" s="3">
        <v>13934331</v>
      </c>
      <c r="D60" s="3">
        <f t="shared" si="8"/>
        <v>1.3934331</v>
      </c>
      <c r="E60" s="3"/>
      <c r="F60" s="3"/>
      <c r="G60" s="3">
        <f>B50/B60</f>
        <v>5.6394901959097486E-2</v>
      </c>
      <c r="H60" s="3">
        <f t="shared" si="9"/>
        <v>5.1864831629067423E-2</v>
      </c>
      <c r="I60" s="3">
        <f>C60*H60</f>
        <v>722701.73117869475</v>
      </c>
      <c r="J60" s="7">
        <f>J50/H60</f>
        <v>48.988548120071968</v>
      </c>
      <c r="K60" s="9"/>
      <c r="L60" s="3"/>
      <c r="M60" s="22">
        <f>(B59*C60)/(B60*C59)</f>
        <v>1.9650764039057276E-2</v>
      </c>
      <c r="N60" s="23">
        <f>M60/M50</f>
        <v>2.8412291386961386E-2</v>
      </c>
      <c r="O60" s="28">
        <f t="shared" ref="O60" si="13">D60/N60</f>
        <v>49.043320055469266</v>
      </c>
    </row>
    <row r="61" spans="1:15" x14ac:dyDescent="0.25">
      <c r="A61" s="3"/>
      <c r="B61" s="3"/>
      <c r="C61" s="3"/>
      <c r="D61" s="3"/>
      <c r="E61" s="3"/>
      <c r="F61" s="3"/>
      <c r="G61" s="3"/>
      <c r="H61" s="3"/>
      <c r="I61" s="3"/>
      <c r="J61" s="9"/>
      <c r="K61" s="9"/>
      <c r="L61" s="3"/>
      <c r="M61" s="22"/>
      <c r="N61" s="23"/>
      <c r="O61" s="28"/>
    </row>
    <row r="62" spans="1:15" x14ac:dyDescent="0.25">
      <c r="A62" s="1" t="s">
        <v>57</v>
      </c>
      <c r="B62" s="3"/>
      <c r="C62" s="3"/>
      <c r="D62" s="3"/>
      <c r="E62" s="3"/>
      <c r="F62" s="3"/>
      <c r="G62" s="3"/>
      <c r="H62" s="3"/>
      <c r="I62" s="3"/>
      <c r="J62" s="7"/>
      <c r="K62" s="9"/>
      <c r="L62" s="3"/>
      <c r="M62" s="22"/>
      <c r="N62" s="23"/>
      <c r="O62" s="28"/>
    </row>
    <row r="63" spans="1:15" x14ac:dyDescent="0.25">
      <c r="A63" s="3" t="s">
        <v>51</v>
      </c>
      <c r="B63" s="3">
        <v>188835</v>
      </c>
      <c r="C63" s="3">
        <v>31095766</v>
      </c>
      <c r="D63" s="3">
        <f t="shared" si="8"/>
        <v>3.1095766</v>
      </c>
      <c r="E63" s="3">
        <f>E36</f>
        <v>1.5084842911632949E-2</v>
      </c>
      <c r="F63" s="3">
        <f>E63/E63</f>
        <v>1</v>
      </c>
      <c r="G63" s="3">
        <f>C63/C63</f>
        <v>1</v>
      </c>
      <c r="H63" s="3">
        <f>F63*G63</f>
        <v>1</v>
      </c>
      <c r="I63" s="3">
        <f>C63*H63</f>
        <v>31095766</v>
      </c>
      <c r="J63" s="7">
        <f>I63/10000000</f>
        <v>3.1095766</v>
      </c>
      <c r="K63" s="9"/>
      <c r="L63" s="3"/>
      <c r="M63" s="22">
        <f>(B36*C63)/(B63*C36)</f>
        <v>2.5220909158890543</v>
      </c>
      <c r="N63" s="23">
        <f>M63/M63</f>
        <v>1</v>
      </c>
      <c r="O63" s="28">
        <f t="shared" ref="O63:O68" si="14">D63/N63</f>
        <v>3.1095766</v>
      </c>
    </row>
    <row r="64" spans="1:15" x14ac:dyDescent="0.25">
      <c r="A64" s="3" t="s">
        <v>52</v>
      </c>
      <c r="B64" s="3">
        <v>153988</v>
      </c>
      <c r="C64" s="3">
        <v>34917668</v>
      </c>
      <c r="D64" s="3">
        <f t="shared" si="8"/>
        <v>3.4917668000000002</v>
      </c>
      <c r="E64" s="3">
        <f>E38</f>
        <v>1.2918288882839137E-2</v>
      </c>
      <c r="F64" s="3">
        <f>E64/E63</f>
        <v>0.85637543317583809</v>
      </c>
      <c r="G64" s="3">
        <f>B63/B64</f>
        <v>1.2262968543003352</v>
      </c>
      <c r="H64" s="3">
        <f t="shared" ref="H64:H68" si="15">F64*G64</f>
        <v>1.0501704998036172</v>
      </c>
      <c r="I64" s="3">
        <f>C64*H64</f>
        <v>36669504.855536774</v>
      </c>
      <c r="J64" s="7">
        <f>J63/H64</f>
        <v>2.9610207110002551</v>
      </c>
      <c r="K64" s="9"/>
      <c r="L64" s="3"/>
      <c r="M64" s="22">
        <f>(B38*C64)/(B64*C38)</f>
        <v>2.9676333283881804</v>
      </c>
      <c r="N64" s="23">
        <f>M64/M63</f>
        <v>1.1766559681462034</v>
      </c>
      <c r="O64" s="28">
        <f t="shared" si="14"/>
        <v>2.9675341769618564</v>
      </c>
    </row>
    <row r="65" spans="1:15" x14ac:dyDescent="0.25">
      <c r="A65" s="4" t="s">
        <v>53</v>
      </c>
      <c r="B65" s="3">
        <v>454587</v>
      </c>
      <c r="C65" s="3">
        <v>37026196</v>
      </c>
      <c r="D65" s="3">
        <f t="shared" si="8"/>
        <v>3.7026195999999998</v>
      </c>
      <c r="E65" s="3">
        <f>E40</f>
        <v>1.4822926497646384E-2</v>
      </c>
      <c r="F65" s="3">
        <f>E65/E63</f>
        <v>0.98263711359005379</v>
      </c>
      <c r="G65" s="3">
        <f>B63/B65</f>
        <v>0.41539903252842691</v>
      </c>
      <c r="H65" s="3">
        <f t="shared" si="15"/>
        <v>0.40818650631183429</v>
      </c>
      <c r="I65" s="3">
        <f t="shared" ref="I65:I68" si="16">C65*H65</f>
        <v>15113593.587257214</v>
      </c>
      <c r="J65" s="7">
        <f>J63/H65</f>
        <v>7.6180288958999478</v>
      </c>
      <c r="K65" s="9"/>
      <c r="L65" s="3"/>
      <c r="M65" s="22">
        <f>(B40*C65)/(B65*C40)</f>
        <v>1.2254955605939837</v>
      </c>
      <c r="N65" s="23">
        <f>M65/M63</f>
        <v>0.48590459323786434</v>
      </c>
      <c r="O65" s="28">
        <f t="shared" si="14"/>
        <v>7.6200547422844807</v>
      </c>
    </row>
    <row r="66" spans="1:15" x14ac:dyDescent="0.25">
      <c r="A66" s="4" t="s">
        <v>54</v>
      </c>
      <c r="B66" s="3">
        <v>364546</v>
      </c>
      <c r="C66" s="3">
        <v>33965494</v>
      </c>
      <c r="D66" s="3">
        <f t="shared" si="8"/>
        <v>3.3965494000000001</v>
      </c>
      <c r="E66" s="3">
        <f>E42</f>
        <v>1.4176198982233466E-2</v>
      </c>
      <c r="F66" s="3">
        <f>E66/E63</f>
        <v>0.93976444204806631</v>
      </c>
      <c r="G66" s="3">
        <f>B63/B66</f>
        <v>0.51800047181974296</v>
      </c>
      <c r="H66" s="3">
        <f t="shared" si="15"/>
        <v>0.48679842438031584</v>
      </c>
      <c r="I66" s="3">
        <f t="shared" si="16"/>
        <v>16534348.962499071</v>
      </c>
      <c r="J66" s="7">
        <f>J63/H66</f>
        <v>6.3878115545637311</v>
      </c>
      <c r="K66" s="9"/>
      <c r="L66" s="3"/>
      <c r="M66" s="22">
        <f>(B42*C66)/(B66*C42)</f>
        <v>1.3398188987250086</v>
      </c>
      <c r="N66" s="23">
        <f>M66/M63</f>
        <v>0.53123338666509301</v>
      </c>
      <c r="O66" s="28">
        <f t="shared" si="14"/>
        <v>6.3937046978963625</v>
      </c>
    </row>
    <row r="67" spans="1:15" x14ac:dyDescent="0.25">
      <c r="A67" s="5" t="s">
        <v>55</v>
      </c>
      <c r="B67" s="3">
        <v>188135</v>
      </c>
      <c r="C67" s="3">
        <v>33638373</v>
      </c>
      <c r="D67" s="3">
        <f t="shared" si="8"/>
        <v>3.3638373000000001</v>
      </c>
      <c r="E67" s="3">
        <f>E44</f>
        <v>1.4486266556092526E-2</v>
      </c>
      <c r="F67" s="3">
        <f>E67/E63</f>
        <v>0.96031935108327704</v>
      </c>
      <c r="G67" s="3">
        <f>B63/B67</f>
        <v>1.0037207324527599</v>
      </c>
      <c r="H67" s="3">
        <f t="shared" si="15"/>
        <v>0.96389244245786598</v>
      </c>
      <c r="I67" s="3">
        <f t="shared" si="16"/>
        <v>32423773.511278734</v>
      </c>
      <c r="J67" s="7">
        <f>J63/H67</f>
        <v>3.2260618125304235</v>
      </c>
      <c r="K67" s="9"/>
      <c r="L67" s="3"/>
      <c r="M67" s="22">
        <f>(B44*C67)/(B67*C44)</f>
        <v>2.6282046281493199</v>
      </c>
      <c r="N67" s="23">
        <f>M67/M63</f>
        <v>1.04207370622199</v>
      </c>
      <c r="O67" s="28">
        <f t="shared" si="14"/>
        <v>3.2280224324971227</v>
      </c>
    </row>
    <row r="68" spans="1:15" x14ac:dyDescent="0.25">
      <c r="A68" s="5" t="s">
        <v>56</v>
      </c>
      <c r="B68" s="3">
        <v>188361</v>
      </c>
      <c r="C68" s="3">
        <v>39324606</v>
      </c>
      <c r="D68" s="3">
        <f t="shared" si="8"/>
        <v>3.9324606000000002</v>
      </c>
      <c r="E68" s="3">
        <f>E46</f>
        <v>1.3273069884072763E-2</v>
      </c>
      <c r="F68" s="3">
        <f>E68/E63</f>
        <v>0.87989447167772594</v>
      </c>
      <c r="G68" s="3">
        <f>B63/B68</f>
        <v>1.0025164444869161</v>
      </c>
      <c r="H68" s="3">
        <f t="shared" si="15"/>
        <v>0.88210867727004738</v>
      </c>
      <c r="I68" s="3">
        <f t="shared" si="16"/>
        <v>34688576.182825767</v>
      </c>
      <c r="J68" s="7">
        <f>J63/H68</f>
        <v>3.5251626926781032</v>
      </c>
      <c r="K68" s="9"/>
      <c r="L68" s="3"/>
      <c r="M68" s="29">
        <f>(B46*C68)/(B68*C46)</f>
        <v>2.8083277561164572</v>
      </c>
      <c r="N68" s="30">
        <f>M68/M63</f>
        <v>1.1134918802586078</v>
      </c>
      <c r="O68" s="31">
        <f t="shared" si="14"/>
        <v>3.5316473067470313</v>
      </c>
    </row>
    <row r="69" spans="1:15" x14ac:dyDescent="0.25">
      <c r="B69" s="3"/>
      <c r="C69" s="3"/>
      <c r="D69" s="3"/>
    </row>
    <row r="70" spans="1:15" x14ac:dyDescent="0.25">
      <c r="B70" s="3"/>
      <c r="C70" s="3"/>
      <c r="D70" s="3"/>
    </row>
    <row r="71" spans="1:15" x14ac:dyDescent="0.25">
      <c r="B71" s="3"/>
      <c r="C71" s="3"/>
      <c r="D71" s="3"/>
    </row>
    <row r="72" spans="1:15" x14ac:dyDescent="0.25">
      <c r="A72" s="4"/>
      <c r="B72" s="3"/>
      <c r="C72" s="3"/>
      <c r="D72" s="3"/>
    </row>
    <row r="73" spans="1:15" x14ac:dyDescent="0.25">
      <c r="A73" s="4"/>
      <c r="B73" s="3"/>
      <c r="C73" s="3"/>
      <c r="D73" s="3"/>
    </row>
    <row r="74" spans="1:15" x14ac:dyDescent="0.25">
      <c r="A74" s="5"/>
      <c r="B74" s="3"/>
      <c r="C74" s="3"/>
      <c r="D74" s="3"/>
    </row>
    <row r="75" spans="1:15" x14ac:dyDescent="0.25">
      <c r="A75" s="5"/>
      <c r="B75" s="3"/>
      <c r="C75" s="3"/>
      <c r="D75" s="3"/>
    </row>
  </sheetData>
  <pageMargins left="0.7" right="0.7" top="0.75" bottom="0.75" header="0.3" footer="0.3"/>
  <pageSetup paperSize="9" scale="5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F24" sqref="F24"/>
    </sheetView>
  </sheetViews>
  <sheetFormatPr defaultRowHeight="15" x14ac:dyDescent="0.25"/>
  <cols>
    <col min="1" max="1" width="32.42578125" bestFit="1" customWidth="1"/>
  </cols>
  <sheetData>
    <row r="1" spans="1:13" x14ac:dyDescent="0.25">
      <c r="A1" t="s">
        <v>112</v>
      </c>
    </row>
    <row r="3" spans="1:13" x14ac:dyDescent="0.25">
      <c r="A3" s="43" t="s">
        <v>311</v>
      </c>
      <c r="H3" t="s">
        <v>78</v>
      </c>
    </row>
    <row r="4" spans="1:13" x14ac:dyDescent="0.25">
      <c r="A4" s="40"/>
      <c r="B4" s="40" t="s">
        <v>69</v>
      </c>
      <c r="C4" s="40" t="s">
        <v>70</v>
      </c>
      <c r="D4" s="40" t="s">
        <v>71</v>
      </c>
      <c r="E4" s="40" t="s">
        <v>80</v>
      </c>
      <c r="H4" s="40" t="s">
        <v>69</v>
      </c>
      <c r="I4" s="40" t="s">
        <v>70</v>
      </c>
      <c r="J4" s="40" t="s">
        <v>71</v>
      </c>
      <c r="K4" s="40" t="s">
        <v>80</v>
      </c>
      <c r="L4" s="49" t="s">
        <v>93</v>
      </c>
      <c r="M4" s="41" t="s">
        <v>107</v>
      </c>
    </row>
    <row r="5" spans="1:13" x14ac:dyDescent="0.25">
      <c r="A5" s="40" t="s">
        <v>82</v>
      </c>
      <c r="B5" s="40">
        <v>267</v>
      </c>
      <c r="C5" s="40">
        <v>48</v>
      </c>
      <c r="D5" s="40">
        <v>40</v>
      </c>
      <c r="E5" s="40">
        <v>35</v>
      </c>
      <c r="H5" s="41">
        <f>B5/B7*100</f>
        <v>88.704318936877087</v>
      </c>
      <c r="I5" s="41">
        <f>C5/C7*100</f>
        <v>96</v>
      </c>
      <c r="J5" s="41">
        <f>D5/D7*100</f>
        <v>80</v>
      </c>
      <c r="K5" s="41">
        <f>E5/E7*100</f>
        <v>87.5</v>
      </c>
      <c r="L5" s="41">
        <f>AVERAGE(H5:K5)</f>
        <v>88.051079734219272</v>
      </c>
      <c r="M5" s="41">
        <f>STDEV(H5:K5)</f>
        <v>6.5507157015563839</v>
      </c>
    </row>
    <row r="6" spans="1:13" x14ac:dyDescent="0.25">
      <c r="A6" s="40" t="s">
        <v>83</v>
      </c>
      <c r="B6" s="40">
        <v>34</v>
      </c>
      <c r="C6" s="40">
        <v>2</v>
      </c>
      <c r="D6" s="40">
        <v>10</v>
      </c>
      <c r="E6" s="40">
        <v>5</v>
      </c>
      <c r="H6" s="41">
        <f>B6/B7*100</f>
        <v>11.295681063122924</v>
      </c>
      <c r="I6" s="41">
        <f>C6/C7*100</f>
        <v>4</v>
      </c>
      <c r="J6" s="41">
        <f>D6/D7*100</f>
        <v>20</v>
      </c>
      <c r="K6" s="41">
        <f>E6/E7*100</f>
        <v>12.5</v>
      </c>
      <c r="L6" s="41">
        <f>AVERAGE(H6:K6)</f>
        <v>11.948920265780732</v>
      </c>
      <c r="M6" s="41">
        <f>STDEV(H6:K6)</f>
        <v>6.5507157015563813</v>
      </c>
    </row>
    <row r="7" spans="1:13" x14ac:dyDescent="0.25">
      <c r="A7" s="40" t="s">
        <v>68</v>
      </c>
      <c r="B7" s="40">
        <f>SUM(B5:B6)</f>
        <v>301</v>
      </c>
      <c r="C7" s="40">
        <f t="shared" ref="C7:E7" si="0">SUM(C5:C6)</f>
        <v>50</v>
      </c>
      <c r="D7" s="40">
        <f t="shared" si="0"/>
        <v>50</v>
      </c>
      <c r="E7" s="40">
        <f t="shared" si="0"/>
        <v>40</v>
      </c>
      <c r="H7" s="40">
        <f>H5+H6</f>
        <v>100.00000000000001</v>
      </c>
      <c r="I7" s="40">
        <f t="shared" ref="I7:K7" si="1">I5+I6</f>
        <v>100</v>
      </c>
      <c r="J7" s="40">
        <f t="shared" si="1"/>
        <v>100</v>
      </c>
      <c r="K7" s="40">
        <f t="shared" si="1"/>
        <v>100</v>
      </c>
      <c r="L7" s="40"/>
      <c r="M7" s="4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4"/>
  <sheetViews>
    <sheetView tabSelected="1" topLeftCell="A4" workbookViewId="0">
      <selection activeCell="E39" sqref="E39"/>
    </sheetView>
  </sheetViews>
  <sheetFormatPr defaultRowHeight="15" x14ac:dyDescent="0.25"/>
  <cols>
    <col min="1" max="1" width="13" customWidth="1"/>
    <col min="2" max="2" width="13.5703125" customWidth="1"/>
    <col min="3" max="3" width="13.7109375" customWidth="1"/>
    <col min="4" max="4" width="12.7109375" customWidth="1"/>
    <col min="5" max="5" width="17.5703125" customWidth="1"/>
  </cols>
  <sheetData>
    <row r="2" spans="1:5" ht="15.75" x14ac:dyDescent="0.25">
      <c r="A2" s="36" t="s">
        <v>63</v>
      </c>
    </row>
    <row r="4" spans="1:5" ht="15.75" x14ac:dyDescent="0.25">
      <c r="A4" s="37" t="s">
        <v>64</v>
      </c>
    </row>
    <row r="5" spans="1:5" x14ac:dyDescent="0.25">
      <c r="A5" s="38" t="s">
        <v>77</v>
      </c>
      <c r="B5" s="38" t="s">
        <v>65</v>
      </c>
      <c r="C5" s="38" t="s">
        <v>66</v>
      </c>
      <c r="D5" s="38" t="s">
        <v>67</v>
      </c>
      <c r="E5" s="38" t="s">
        <v>68</v>
      </c>
    </row>
    <row r="6" spans="1:5" ht="15.75" x14ac:dyDescent="0.25">
      <c r="A6" s="39" t="s">
        <v>69</v>
      </c>
      <c r="B6" s="40">
        <v>36</v>
      </c>
      <c r="C6" s="40">
        <v>3</v>
      </c>
      <c r="D6" s="40">
        <v>6</v>
      </c>
      <c r="E6" s="40">
        <f>SUM(B6:D6)</f>
        <v>45</v>
      </c>
    </row>
    <row r="7" spans="1:5" ht="15.75" x14ac:dyDescent="0.25">
      <c r="A7" s="39" t="s">
        <v>70</v>
      </c>
      <c r="B7" s="40">
        <v>47</v>
      </c>
      <c r="C7" s="40">
        <v>1</v>
      </c>
      <c r="D7" s="40">
        <v>2</v>
      </c>
      <c r="E7" s="40">
        <f>SUM(B7:D7)</f>
        <v>50</v>
      </c>
    </row>
    <row r="8" spans="1:5" ht="15.75" x14ac:dyDescent="0.25">
      <c r="A8" s="39" t="s">
        <v>71</v>
      </c>
      <c r="B8" s="40">
        <v>36</v>
      </c>
      <c r="C8" s="40">
        <v>3</v>
      </c>
      <c r="D8" s="40">
        <v>7</v>
      </c>
      <c r="E8" s="40">
        <f>SUM(B8:D8)</f>
        <v>46</v>
      </c>
    </row>
    <row r="9" spans="1:5" ht="15.75" x14ac:dyDescent="0.25">
      <c r="A9" s="37" t="s">
        <v>68</v>
      </c>
      <c r="E9">
        <f>SUM(E6:E8)</f>
        <v>141</v>
      </c>
    </row>
    <row r="10" spans="1:5" ht="15.75" x14ac:dyDescent="0.25">
      <c r="A10" s="37"/>
    </row>
    <row r="11" spans="1:5" ht="15.75" x14ac:dyDescent="0.25">
      <c r="A11" s="37" t="s">
        <v>78</v>
      </c>
    </row>
    <row r="12" spans="1:5" x14ac:dyDescent="0.25">
      <c r="A12" s="38" t="s">
        <v>72</v>
      </c>
      <c r="B12" s="38" t="s">
        <v>65</v>
      </c>
      <c r="C12" s="38" t="s">
        <v>66</v>
      </c>
      <c r="D12" s="38" t="s">
        <v>67</v>
      </c>
      <c r="E12" s="38" t="s">
        <v>68</v>
      </c>
    </row>
    <row r="13" spans="1:5" ht="15.75" x14ac:dyDescent="0.25">
      <c r="A13" s="39" t="s">
        <v>69</v>
      </c>
      <c r="B13" s="41">
        <f t="shared" ref="B13:E15" si="0">B6/$E6*100</f>
        <v>80</v>
      </c>
      <c r="C13" s="41">
        <f t="shared" si="0"/>
        <v>6.666666666666667</v>
      </c>
      <c r="D13" s="41">
        <f t="shared" si="0"/>
        <v>13.333333333333334</v>
      </c>
      <c r="E13" s="41">
        <f t="shared" si="0"/>
        <v>100</v>
      </c>
    </row>
    <row r="14" spans="1:5" ht="15.75" x14ac:dyDescent="0.25">
      <c r="A14" s="39" t="s">
        <v>70</v>
      </c>
      <c r="B14" s="41">
        <f t="shared" si="0"/>
        <v>94</v>
      </c>
      <c r="C14" s="41">
        <f t="shared" si="0"/>
        <v>2</v>
      </c>
      <c r="D14" s="41">
        <f t="shared" si="0"/>
        <v>4</v>
      </c>
      <c r="E14" s="41">
        <f t="shared" si="0"/>
        <v>100</v>
      </c>
    </row>
    <row r="15" spans="1:5" ht="15.75" x14ac:dyDescent="0.25">
      <c r="A15" s="39" t="s">
        <v>71</v>
      </c>
      <c r="B15" s="41">
        <f t="shared" si="0"/>
        <v>78.260869565217391</v>
      </c>
      <c r="C15" s="41">
        <f t="shared" si="0"/>
        <v>6.5217391304347823</v>
      </c>
      <c r="D15" s="41">
        <f t="shared" si="0"/>
        <v>15.217391304347828</v>
      </c>
      <c r="E15" s="41">
        <f t="shared" si="0"/>
        <v>100</v>
      </c>
    </row>
    <row r="16" spans="1:5" ht="15.75" x14ac:dyDescent="0.25">
      <c r="A16" s="63" t="s">
        <v>73</v>
      </c>
      <c r="B16" s="64">
        <f>AVERAGE(B13:B15)</f>
        <v>84.086956521739125</v>
      </c>
      <c r="C16" s="64">
        <f>AVERAGE(C13:C15)</f>
        <v>5.06280193236715</v>
      </c>
      <c r="D16" s="64">
        <f>AVERAGE(D13:D15)</f>
        <v>10.850241545893722</v>
      </c>
      <c r="E16" s="40"/>
    </row>
    <row r="17" spans="1:5" ht="15.75" x14ac:dyDescent="0.25">
      <c r="A17" s="63" t="s">
        <v>74</v>
      </c>
      <c r="B17" s="64">
        <f>STDEV(B13:B16)</f>
        <v>7.0454461376936983</v>
      </c>
      <c r="C17" s="64">
        <f>STDEV(C13:C16)</f>
        <v>2.1665360609928337</v>
      </c>
      <c r="D17" s="64">
        <f>STDEV(D13:D16)</f>
        <v>4.9045404499199892</v>
      </c>
      <c r="E17" s="40"/>
    </row>
    <row r="18" spans="1:5" ht="15.75" x14ac:dyDescent="0.25">
      <c r="A18" s="65"/>
      <c r="B18" s="66"/>
      <c r="C18" s="66"/>
      <c r="D18" s="66"/>
      <c r="E18" s="42"/>
    </row>
    <row r="19" spans="1:5" ht="15.75" x14ac:dyDescent="0.25">
      <c r="A19" s="37"/>
    </row>
    <row r="20" spans="1:5" ht="15.75" x14ac:dyDescent="0.25">
      <c r="A20" s="37" t="s">
        <v>75</v>
      </c>
    </row>
    <row r="21" spans="1:5" x14ac:dyDescent="0.25">
      <c r="A21" s="38" t="s">
        <v>79</v>
      </c>
      <c r="B21" s="38" t="s">
        <v>65</v>
      </c>
      <c r="C21" s="38" t="s">
        <v>66</v>
      </c>
      <c r="D21" s="38" t="s">
        <v>67</v>
      </c>
      <c r="E21" s="38" t="s">
        <v>68</v>
      </c>
    </row>
    <row r="22" spans="1:5" ht="15.75" x14ac:dyDescent="0.25">
      <c r="A22" s="39" t="s">
        <v>69</v>
      </c>
      <c r="B22" s="40">
        <v>0</v>
      </c>
      <c r="C22" s="40">
        <v>0</v>
      </c>
      <c r="D22" s="40">
        <v>40</v>
      </c>
      <c r="E22" s="40">
        <f>SUM(C22:D22)</f>
        <v>40</v>
      </c>
    </row>
    <row r="23" spans="1:5" ht="15.75" x14ac:dyDescent="0.25">
      <c r="A23" s="39" t="s">
        <v>70</v>
      </c>
      <c r="B23" s="40">
        <v>0</v>
      </c>
      <c r="C23" s="40">
        <v>0</v>
      </c>
      <c r="D23" s="40">
        <v>50</v>
      </c>
      <c r="E23" s="40">
        <f>SUM(C23:D23)</f>
        <v>50</v>
      </c>
    </row>
    <row r="24" spans="1:5" ht="15.75" x14ac:dyDescent="0.25">
      <c r="A24" s="39" t="s">
        <v>71</v>
      </c>
      <c r="B24" s="40">
        <v>0</v>
      </c>
      <c r="C24" s="40">
        <v>0</v>
      </c>
      <c r="D24" s="40">
        <v>50</v>
      </c>
      <c r="E24" s="40">
        <f>SUM(C24:D24)</f>
        <v>50</v>
      </c>
    </row>
    <row r="25" spans="1:5" ht="15.75" x14ac:dyDescent="0.25">
      <c r="A25" s="37" t="s">
        <v>68</v>
      </c>
      <c r="E25">
        <f>SUM(E22:E24)</f>
        <v>140</v>
      </c>
    </row>
    <row r="26" spans="1:5" ht="15.75" x14ac:dyDescent="0.25">
      <c r="A26" s="37"/>
    </row>
    <row r="27" spans="1:5" ht="15.75" x14ac:dyDescent="0.25">
      <c r="A27" s="37" t="s">
        <v>78</v>
      </c>
    </row>
    <row r="28" spans="1:5" x14ac:dyDescent="0.25">
      <c r="A28" s="38" t="s">
        <v>76</v>
      </c>
      <c r="B28" s="38" t="s">
        <v>65</v>
      </c>
      <c r="C28" s="38" t="s">
        <v>66</v>
      </c>
      <c r="D28" s="38" t="s">
        <v>67</v>
      </c>
      <c r="E28" s="38" t="s">
        <v>68</v>
      </c>
    </row>
    <row r="29" spans="1:5" ht="15.75" x14ac:dyDescent="0.25">
      <c r="A29" s="39" t="s">
        <v>69</v>
      </c>
      <c r="B29" s="41">
        <f t="shared" ref="B29:E31" si="1">B22/$E22*100</f>
        <v>0</v>
      </c>
      <c r="C29" s="41">
        <f t="shared" si="1"/>
        <v>0</v>
      </c>
      <c r="D29" s="41">
        <f t="shared" si="1"/>
        <v>100</v>
      </c>
      <c r="E29" s="41">
        <f t="shared" si="1"/>
        <v>100</v>
      </c>
    </row>
    <row r="30" spans="1:5" ht="15.75" x14ac:dyDescent="0.25">
      <c r="A30" s="39" t="s">
        <v>70</v>
      </c>
      <c r="B30" s="41">
        <f t="shared" si="1"/>
        <v>0</v>
      </c>
      <c r="C30" s="41">
        <f t="shared" si="1"/>
        <v>0</v>
      </c>
      <c r="D30" s="41">
        <f t="shared" si="1"/>
        <v>100</v>
      </c>
      <c r="E30" s="41">
        <f t="shared" si="1"/>
        <v>100</v>
      </c>
    </row>
    <row r="31" spans="1:5" ht="15.75" x14ac:dyDescent="0.25">
      <c r="A31" s="39" t="s">
        <v>71</v>
      </c>
      <c r="B31" s="41">
        <f t="shared" si="1"/>
        <v>0</v>
      </c>
      <c r="C31" s="41">
        <f t="shared" si="1"/>
        <v>0</v>
      </c>
      <c r="D31" s="41">
        <f t="shared" si="1"/>
        <v>100</v>
      </c>
      <c r="E31" s="41">
        <f t="shared" si="1"/>
        <v>100</v>
      </c>
    </row>
    <row r="32" spans="1:5" ht="15.75" x14ac:dyDescent="0.25">
      <c r="A32" s="63" t="s">
        <v>73</v>
      </c>
      <c r="B32" s="64">
        <f>AVERAGE(B29:B31)</f>
        <v>0</v>
      </c>
      <c r="C32" s="64">
        <f>AVERAGE(C29:C31)</f>
        <v>0</v>
      </c>
      <c r="D32" s="64">
        <f>AVERAGE(D29:D31)</f>
        <v>100</v>
      </c>
      <c r="E32" s="40"/>
    </row>
    <row r="33" spans="1:5" ht="15.75" x14ac:dyDescent="0.25">
      <c r="A33" s="63" t="s">
        <v>74</v>
      </c>
      <c r="B33" s="64">
        <f>STDEV(B29:B32)</f>
        <v>0</v>
      </c>
      <c r="C33" s="64">
        <f>STDEV(C29:C32)</f>
        <v>0</v>
      </c>
      <c r="D33" s="64">
        <f>STDEV(D29:D32)</f>
        <v>0</v>
      </c>
      <c r="E33" s="40"/>
    </row>
    <row r="34" spans="1:5" x14ac:dyDescent="0.25">
      <c r="A34" s="67"/>
      <c r="B34" s="67"/>
      <c r="C34" s="67"/>
      <c r="D34" s="6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F31" sqref="F31"/>
    </sheetView>
  </sheetViews>
  <sheetFormatPr defaultRowHeight="15" x14ac:dyDescent="0.25"/>
  <cols>
    <col min="1" max="2" width="17" customWidth="1"/>
  </cols>
  <sheetData>
    <row r="1" spans="1:6" x14ac:dyDescent="0.25">
      <c r="A1" t="s">
        <v>94</v>
      </c>
    </row>
    <row r="3" spans="1:6" x14ac:dyDescent="0.25">
      <c r="A3" s="43" t="s">
        <v>95</v>
      </c>
      <c r="B3" s="1"/>
      <c r="C3" s="1"/>
    </row>
    <row r="4" spans="1:6" x14ac:dyDescent="0.25">
      <c r="A4" s="44"/>
      <c r="B4" s="45" t="s">
        <v>69</v>
      </c>
      <c r="C4" s="45" t="s">
        <v>70</v>
      </c>
      <c r="D4" s="45" t="s">
        <v>71</v>
      </c>
      <c r="E4" s="40" t="s">
        <v>80</v>
      </c>
      <c r="F4" s="40" t="s">
        <v>81</v>
      </c>
    </row>
    <row r="5" spans="1:6" x14ac:dyDescent="0.25">
      <c r="A5" s="40" t="s">
        <v>82</v>
      </c>
      <c r="B5" s="40">
        <v>284</v>
      </c>
      <c r="C5" s="46">
        <v>300</v>
      </c>
      <c r="D5" s="40">
        <v>98</v>
      </c>
      <c r="E5" s="40">
        <v>188</v>
      </c>
      <c r="F5" s="40">
        <v>148</v>
      </c>
    </row>
    <row r="6" spans="1:6" x14ac:dyDescent="0.25">
      <c r="A6" s="40" t="s">
        <v>83</v>
      </c>
      <c r="B6" s="40">
        <v>16</v>
      </c>
      <c r="C6" s="46">
        <v>29</v>
      </c>
      <c r="D6" s="40">
        <v>3</v>
      </c>
      <c r="E6" s="40">
        <v>14</v>
      </c>
      <c r="F6" s="40">
        <v>10</v>
      </c>
    </row>
    <row r="7" spans="1:6" x14ac:dyDescent="0.25">
      <c r="A7" s="40" t="s">
        <v>68</v>
      </c>
      <c r="B7" s="40">
        <f>SUM(B5:B6)</f>
        <v>300</v>
      </c>
      <c r="C7" s="40">
        <f>SUM(C5:C6)</f>
        <v>329</v>
      </c>
      <c r="D7" s="40">
        <f>SUM(D5:D6)</f>
        <v>101</v>
      </c>
      <c r="E7" s="40">
        <f>SUM(E5:E6)</f>
        <v>202</v>
      </c>
      <c r="F7" s="40">
        <f>SUM(F5:F6)</f>
        <v>158</v>
      </c>
    </row>
    <row r="8" spans="1:6" x14ac:dyDescent="0.25">
      <c r="A8" s="42"/>
      <c r="B8" s="42"/>
      <c r="C8" s="42"/>
      <c r="D8" s="42"/>
      <c r="E8" s="42"/>
      <c r="F8" s="42"/>
    </row>
    <row r="9" spans="1:6" x14ac:dyDescent="0.25">
      <c r="A9" s="43" t="s">
        <v>96</v>
      </c>
      <c r="B9" s="42"/>
      <c r="C9" s="42"/>
      <c r="D9" s="42"/>
      <c r="E9" s="42"/>
      <c r="F9" s="42"/>
    </row>
    <row r="10" spans="1:6" x14ac:dyDescent="0.25">
      <c r="A10" s="44"/>
      <c r="B10" s="45" t="s">
        <v>69</v>
      </c>
      <c r="C10" s="45" t="s">
        <v>70</v>
      </c>
      <c r="D10" s="45" t="s">
        <v>71</v>
      </c>
      <c r="E10" s="40" t="s">
        <v>80</v>
      </c>
      <c r="F10" s="42"/>
    </row>
    <row r="11" spans="1:6" x14ac:dyDescent="0.25">
      <c r="A11" s="40" t="s">
        <v>84</v>
      </c>
      <c r="B11" s="40">
        <v>186</v>
      </c>
      <c r="C11" s="40">
        <v>87</v>
      </c>
      <c r="D11" s="40">
        <v>194</v>
      </c>
      <c r="E11" s="40">
        <v>192</v>
      </c>
      <c r="F11" s="42"/>
    </row>
    <row r="12" spans="1:6" x14ac:dyDescent="0.25">
      <c r="A12" s="40" t="s">
        <v>82</v>
      </c>
      <c r="B12" s="40">
        <v>12</v>
      </c>
      <c r="C12" s="40">
        <v>3</v>
      </c>
      <c r="D12" s="40">
        <v>6</v>
      </c>
      <c r="E12" s="40">
        <v>5</v>
      </c>
      <c r="F12" s="42"/>
    </row>
    <row r="13" spans="1:6" x14ac:dyDescent="0.25">
      <c r="A13" s="40" t="s">
        <v>83</v>
      </c>
      <c r="B13" s="40">
        <v>2</v>
      </c>
      <c r="C13" s="40">
        <v>0</v>
      </c>
      <c r="D13" s="40">
        <v>0</v>
      </c>
      <c r="E13" s="40">
        <v>3</v>
      </c>
      <c r="F13" s="42"/>
    </row>
    <row r="14" spans="1:6" x14ac:dyDescent="0.25">
      <c r="A14" s="40" t="s">
        <v>85</v>
      </c>
      <c r="B14" s="40">
        <f>SUM(B11:B13)</f>
        <v>200</v>
      </c>
      <c r="C14" s="40">
        <f>SUM(C11:C13)</f>
        <v>90</v>
      </c>
      <c r="D14" s="40">
        <f>SUM(D11:D13)</f>
        <v>200</v>
      </c>
      <c r="E14" s="40">
        <f>SUM(E11:E13)</f>
        <v>200</v>
      </c>
      <c r="F14" s="42"/>
    </row>
    <row r="15" spans="1:6" x14ac:dyDescent="0.25">
      <c r="A15" s="42"/>
      <c r="B15" s="42"/>
      <c r="C15" s="42"/>
      <c r="D15" s="42"/>
      <c r="E15" s="42"/>
      <c r="F15" s="42"/>
    </row>
    <row r="16" spans="1:6" x14ac:dyDescent="0.25">
      <c r="A16" s="42"/>
      <c r="B16" s="42"/>
      <c r="C16" s="42"/>
      <c r="D16" s="42"/>
      <c r="E16" s="42"/>
      <c r="F16" s="42"/>
    </row>
    <row r="17" spans="1:8" x14ac:dyDescent="0.25">
      <c r="A17" t="s">
        <v>86</v>
      </c>
      <c r="B17" t="s">
        <v>82</v>
      </c>
    </row>
    <row r="18" spans="1:8" x14ac:dyDescent="0.25">
      <c r="A18" s="40" t="s">
        <v>87</v>
      </c>
      <c r="B18" s="40" t="s">
        <v>88</v>
      </c>
      <c r="C18" s="40" t="s">
        <v>89</v>
      </c>
      <c r="D18" s="40" t="s">
        <v>90</v>
      </c>
      <c r="E18" s="40" t="s">
        <v>91</v>
      </c>
      <c r="F18" s="40" t="s">
        <v>92</v>
      </c>
      <c r="G18" s="40" t="s">
        <v>93</v>
      </c>
      <c r="H18" s="40" t="s">
        <v>74</v>
      </c>
    </row>
    <row r="19" spans="1:8" x14ac:dyDescent="0.25">
      <c r="A19" s="40" t="s">
        <v>97</v>
      </c>
      <c r="B19" s="40">
        <f>B12/$B14*100</f>
        <v>6</v>
      </c>
      <c r="C19" s="40">
        <f>C12/$B14*100</f>
        <v>1.5</v>
      </c>
      <c r="D19" s="40">
        <f>D12/$B14*100</f>
        <v>3</v>
      </c>
      <c r="E19" s="40">
        <f>E12/$B14*100</f>
        <v>2.5</v>
      </c>
      <c r="F19" s="40"/>
      <c r="G19" s="41">
        <f>AVERAGE(B19:E19)</f>
        <v>3.25</v>
      </c>
      <c r="H19" s="41">
        <f>STDEV(B19:E19)</f>
        <v>1.9364916731037085</v>
      </c>
    </row>
    <row r="20" spans="1:8" x14ac:dyDescent="0.25">
      <c r="A20" s="40" t="s">
        <v>98</v>
      </c>
      <c r="B20" s="46">
        <f>B5/B7*100</f>
        <v>94.666666666666671</v>
      </c>
      <c r="C20" s="46">
        <f>C5/C7*100</f>
        <v>91.1854103343465</v>
      </c>
      <c r="D20" s="46">
        <f>D5/D7*100</f>
        <v>97.029702970297024</v>
      </c>
      <c r="E20" s="46">
        <f>E5/E7*100</f>
        <v>93.069306930693074</v>
      </c>
      <c r="F20" s="46">
        <f>F5/F7*100</f>
        <v>93.670886075949369</v>
      </c>
      <c r="G20" s="41">
        <f>AVERAGE(B20:F20)</f>
        <v>93.924394595590528</v>
      </c>
      <c r="H20" s="41">
        <f>STDEV(B20:F20)</f>
        <v>2.150080475066857</v>
      </c>
    </row>
    <row r="21" spans="1:8" x14ac:dyDescent="0.25">
      <c r="A21" s="42"/>
      <c r="B21" s="42"/>
      <c r="C21" s="42"/>
      <c r="D21" s="42"/>
      <c r="E21" s="42"/>
      <c r="F21" s="42"/>
    </row>
    <row r="22" spans="1:8" x14ac:dyDescent="0.25">
      <c r="A22" s="42"/>
      <c r="B22" s="42"/>
      <c r="C22" s="42"/>
      <c r="D22" s="42"/>
      <c r="E22" s="42"/>
      <c r="F22" s="4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opLeftCell="A46" workbookViewId="0">
      <selection activeCell="A4" sqref="A4:C7"/>
    </sheetView>
  </sheetViews>
  <sheetFormatPr defaultRowHeight="15" x14ac:dyDescent="0.25"/>
  <cols>
    <col min="1" max="1" width="37.42578125" bestFit="1" customWidth="1"/>
  </cols>
  <sheetData>
    <row r="1" spans="1:10" x14ac:dyDescent="0.25">
      <c r="A1" t="s">
        <v>109</v>
      </c>
    </row>
    <row r="3" spans="1:10" x14ac:dyDescent="0.25">
      <c r="A3" s="43" t="s">
        <v>99</v>
      </c>
      <c r="B3" s="1"/>
      <c r="C3" s="1"/>
      <c r="H3" t="s">
        <v>78</v>
      </c>
    </row>
    <row r="4" spans="1:10" x14ac:dyDescent="0.25">
      <c r="A4" s="44"/>
      <c r="B4" s="45" t="s">
        <v>69</v>
      </c>
      <c r="C4" s="45" t="s">
        <v>70</v>
      </c>
      <c r="H4" s="40" t="s">
        <v>69</v>
      </c>
      <c r="I4" s="40" t="s">
        <v>70</v>
      </c>
      <c r="J4" s="49" t="s">
        <v>106</v>
      </c>
    </row>
    <row r="5" spans="1:10" x14ac:dyDescent="0.25">
      <c r="A5" s="40" t="s">
        <v>82</v>
      </c>
      <c r="B5" s="40">
        <v>304</v>
      </c>
      <c r="C5" s="40">
        <v>274</v>
      </c>
      <c r="H5" s="41">
        <f>B5/B7*100</f>
        <v>88.372093023255815</v>
      </c>
      <c r="I5" s="41">
        <f>C5/C7*100</f>
        <v>90.728476821192046</v>
      </c>
      <c r="J5" s="41">
        <f>MEDIAN(H5:I5)</f>
        <v>89.550284922223938</v>
      </c>
    </row>
    <row r="6" spans="1:10" x14ac:dyDescent="0.25">
      <c r="A6" s="40" t="s">
        <v>83</v>
      </c>
      <c r="B6" s="40">
        <v>40</v>
      </c>
      <c r="C6" s="40">
        <v>28</v>
      </c>
      <c r="H6" s="41">
        <f>B6/B7*100</f>
        <v>11.627906976744185</v>
      </c>
      <c r="I6" s="41">
        <f>C6/C7*100</f>
        <v>9.2715231788079464</v>
      </c>
      <c r="J6" s="41">
        <f>MEDIAN(H6:I6)</f>
        <v>10.449715077776066</v>
      </c>
    </row>
    <row r="7" spans="1:10" x14ac:dyDescent="0.25">
      <c r="A7" s="40" t="s">
        <v>68</v>
      </c>
      <c r="B7" s="40">
        <f>SUM(B5:B6)</f>
        <v>344</v>
      </c>
      <c r="C7" s="40">
        <f>SUM(C5:C6)</f>
        <v>302</v>
      </c>
      <c r="H7" s="40">
        <f>H5+H6</f>
        <v>100</v>
      </c>
      <c r="I7" s="40">
        <f>I5+I6</f>
        <v>100</v>
      </c>
      <c r="J7" s="40"/>
    </row>
    <row r="10" spans="1:10" x14ac:dyDescent="0.25">
      <c r="A10" s="43" t="s">
        <v>101</v>
      </c>
      <c r="H10" t="s">
        <v>78</v>
      </c>
    </row>
    <row r="11" spans="1:10" x14ac:dyDescent="0.25">
      <c r="A11" s="44"/>
      <c r="B11" s="45" t="s">
        <v>69</v>
      </c>
      <c r="C11" s="45" t="s">
        <v>70</v>
      </c>
      <c r="H11" s="40" t="s">
        <v>69</v>
      </c>
      <c r="I11" s="40" t="s">
        <v>70</v>
      </c>
      <c r="J11" s="49" t="s">
        <v>106</v>
      </c>
    </row>
    <row r="12" spans="1:10" x14ac:dyDescent="0.25">
      <c r="A12" s="40" t="s">
        <v>82</v>
      </c>
      <c r="B12" s="40">
        <v>258</v>
      </c>
      <c r="C12" s="40">
        <v>255</v>
      </c>
      <c r="H12" s="41">
        <f>B12/B14*100</f>
        <v>81.132075471698116</v>
      </c>
      <c r="I12" s="41">
        <f>C12/C14*100</f>
        <v>84.71760797342192</v>
      </c>
      <c r="J12" s="41">
        <f>MEDIAN(H12:I12)</f>
        <v>82.924841722560018</v>
      </c>
    </row>
    <row r="13" spans="1:10" x14ac:dyDescent="0.25">
      <c r="A13" s="40" t="s">
        <v>83</v>
      </c>
      <c r="B13" s="40">
        <v>60</v>
      </c>
      <c r="C13" s="40">
        <v>46</v>
      </c>
      <c r="H13" s="41">
        <f>B13/B14*100</f>
        <v>18.867924528301888</v>
      </c>
      <c r="I13" s="41">
        <f>C13/C14*100</f>
        <v>15.282392026578073</v>
      </c>
      <c r="J13" s="41">
        <f>MEDIAN(H13:I13)</f>
        <v>17.075158277439982</v>
      </c>
    </row>
    <row r="14" spans="1:10" x14ac:dyDescent="0.25">
      <c r="A14" s="40" t="s">
        <v>68</v>
      </c>
      <c r="B14" s="40">
        <f>SUM(B12:B13)</f>
        <v>318</v>
      </c>
      <c r="C14" s="40">
        <f>SUM(C12:C13)</f>
        <v>301</v>
      </c>
      <c r="H14" s="40">
        <f>H12+H13</f>
        <v>100</v>
      </c>
      <c r="I14" s="40">
        <f>I12+I13</f>
        <v>100</v>
      </c>
      <c r="J14" s="40"/>
    </row>
    <row r="17" spans="1:12" x14ac:dyDescent="0.25">
      <c r="A17" s="43" t="s">
        <v>95</v>
      </c>
      <c r="B17" s="1"/>
      <c r="H17" t="s">
        <v>78</v>
      </c>
    </row>
    <row r="18" spans="1:12" x14ac:dyDescent="0.25">
      <c r="A18" s="44"/>
      <c r="B18" s="45" t="s">
        <v>69</v>
      </c>
      <c r="H18" s="40" t="s">
        <v>69</v>
      </c>
    </row>
    <row r="19" spans="1:12" x14ac:dyDescent="0.25">
      <c r="A19" s="40" t="s">
        <v>82</v>
      </c>
      <c r="B19" s="40">
        <v>284</v>
      </c>
      <c r="H19" s="41">
        <f>B19/B21*100</f>
        <v>94.666666666666671</v>
      </c>
    </row>
    <row r="20" spans="1:12" x14ac:dyDescent="0.25">
      <c r="A20" s="40" t="s">
        <v>83</v>
      </c>
      <c r="B20" s="40">
        <v>16</v>
      </c>
      <c r="H20" s="41">
        <f>B20/B21*100</f>
        <v>5.3333333333333339</v>
      </c>
    </row>
    <row r="21" spans="1:12" x14ac:dyDescent="0.25">
      <c r="A21" s="40" t="s">
        <v>68</v>
      </c>
      <c r="B21" s="40">
        <f>SUM(B19:B20)</f>
        <v>300</v>
      </c>
      <c r="H21" s="40">
        <f>H19+H20</f>
        <v>100</v>
      </c>
    </row>
    <row r="24" spans="1:12" x14ac:dyDescent="0.25">
      <c r="A24" s="43" t="s">
        <v>104</v>
      </c>
      <c r="H24" t="s">
        <v>78</v>
      </c>
    </row>
    <row r="25" spans="1:12" x14ac:dyDescent="0.25">
      <c r="A25" s="44"/>
      <c r="B25" s="40" t="s">
        <v>69</v>
      </c>
      <c r="C25" s="40" t="s">
        <v>70</v>
      </c>
      <c r="D25" s="40" t="s">
        <v>71</v>
      </c>
      <c r="H25" s="40" t="s">
        <v>69</v>
      </c>
      <c r="I25" s="40" t="s">
        <v>70</v>
      </c>
      <c r="J25" s="40" t="s">
        <v>71</v>
      </c>
      <c r="K25" s="49" t="s">
        <v>93</v>
      </c>
      <c r="L25" s="40" t="s">
        <v>107</v>
      </c>
    </row>
    <row r="26" spans="1:12" x14ac:dyDescent="0.25">
      <c r="A26" s="40" t="s">
        <v>82</v>
      </c>
      <c r="B26" s="40">
        <v>169</v>
      </c>
      <c r="C26" s="40">
        <v>156</v>
      </c>
      <c r="D26" s="40">
        <v>233</v>
      </c>
      <c r="H26" s="41">
        <f>B26/B28*100</f>
        <v>84.079601990049753</v>
      </c>
      <c r="I26" s="41">
        <f>C26/C28*100</f>
        <v>77.611940298507463</v>
      </c>
      <c r="J26" s="41">
        <f>D26/D28*100</f>
        <v>77.666666666666657</v>
      </c>
      <c r="K26" s="41">
        <f>AVERAGE(H26:J26)</f>
        <v>79.7860696517413</v>
      </c>
      <c r="L26" s="41">
        <f>STDEV(H26:J26)</f>
        <v>3.7184087589879584</v>
      </c>
    </row>
    <row r="27" spans="1:12" x14ac:dyDescent="0.25">
      <c r="A27" s="40" t="s">
        <v>83</v>
      </c>
      <c r="B27" s="40">
        <v>32</v>
      </c>
      <c r="C27" s="40">
        <v>45</v>
      </c>
      <c r="D27" s="40">
        <v>67</v>
      </c>
      <c r="H27" s="41">
        <f>B27/B28*100</f>
        <v>15.920398009950249</v>
      </c>
      <c r="I27" s="41">
        <f>C27/C28*100</f>
        <v>22.388059701492537</v>
      </c>
      <c r="J27" s="41">
        <f>D27/D28*100</f>
        <v>22.333333333333332</v>
      </c>
      <c r="K27" s="41">
        <f>AVERAGE(H27:J27)</f>
        <v>20.213930348258703</v>
      </c>
      <c r="L27" s="41">
        <f>STDEV(H27:J27)</f>
        <v>3.7184087589879691</v>
      </c>
    </row>
    <row r="28" spans="1:12" x14ac:dyDescent="0.25">
      <c r="A28" s="40" t="s">
        <v>68</v>
      </c>
      <c r="B28" s="40">
        <f>SUM(B26:B27)</f>
        <v>201</v>
      </c>
      <c r="C28" s="40">
        <f>SUM(C26:C27)</f>
        <v>201</v>
      </c>
      <c r="D28" s="40">
        <f>SUM(D26:D27)</f>
        <v>300</v>
      </c>
      <c r="H28" s="40">
        <f>H26+H27</f>
        <v>100</v>
      </c>
      <c r="I28" s="40">
        <f>I26+I27</f>
        <v>100</v>
      </c>
      <c r="J28" s="40">
        <f>J26+J27</f>
        <v>99.999999999999986</v>
      </c>
      <c r="K28" s="40"/>
      <c r="L28" s="41"/>
    </row>
    <row r="29" spans="1:12" x14ac:dyDescent="0.25">
      <c r="B29" s="42"/>
      <c r="L29" s="50"/>
    </row>
    <row r="30" spans="1:12" x14ac:dyDescent="0.25">
      <c r="L30" s="50"/>
    </row>
    <row r="31" spans="1:12" x14ac:dyDescent="0.25">
      <c r="A31" s="43" t="s">
        <v>105</v>
      </c>
      <c r="H31" t="s">
        <v>78</v>
      </c>
      <c r="L31" s="50"/>
    </row>
    <row r="32" spans="1:12" x14ac:dyDescent="0.25">
      <c r="A32" s="44"/>
      <c r="B32" s="40" t="s">
        <v>69</v>
      </c>
      <c r="C32" s="40" t="s">
        <v>70</v>
      </c>
      <c r="D32" s="40" t="s">
        <v>71</v>
      </c>
      <c r="H32" s="40" t="s">
        <v>69</v>
      </c>
      <c r="I32" s="40" t="s">
        <v>70</v>
      </c>
      <c r="J32" s="40" t="s">
        <v>71</v>
      </c>
      <c r="K32" s="49" t="s">
        <v>93</v>
      </c>
      <c r="L32" s="41" t="s">
        <v>107</v>
      </c>
    </row>
    <row r="33" spans="1:14" x14ac:dyDescent="0.25">
      <c r="A33" s="40" t="s">
        <v>82</v>
      </c>
      <c r="B33" s="40">
        <v>155</v>
      </c>
      <c r="C33" s="40">
        <v>61</v>
      </c>
      <c r="D33" s="40">
        <v>56</v>
      </c>
      <c r="H33" s="41">
        <f>B33/B35*100</f>
        <v>77.5</v>
      </c>
      <c r="I33" s="41">
        <f>C33/C35*100</f>
        <v>61</v>
      </c>
      <c r="J33" s="41">
        <f>D33/D35*100</f>
        <v>57.142857142857139</v>
      </c>
      <c r="K33" s="41">
        <f>AVERAGE(H33:J33)</f>
        <v>65.214285714285708</v>
      </c>
      <c r="L33" s="41">
        <f>STDEV(H33:J33)</f>
        <v>10.813115618902591</v>
      </c>
    </row>
    <row r="34" spans="1:14" x14ac:dyDescent="0.25">
      <c r="A34" s="40" t="s">
        <v>83</v>
      </c>
      <c r="B34" s="40">
        <v>45</v>
      </c>
      <c r="C34" s="40">
        <v>39</v>
      </c>
      <c r="D34" s="40">
        <v>42</v>
      </c>
      <c r="H34" s="41">
        <f>B34/B35*100</f>
        <v>22.5</v>
      </c>
      <c r="I34" s="41">
        <f>C34/C35*100</f>
        <v>39</v>
      </c>
      <c r="J34" s="41">
        <f>D34/D35*100</f>
        <v>42.857142857142854</v>
      </c>
      <c r="K34" s="41">
        <f>AVERAGE(H34:J34)</f>
        <v>34.785714285714285</v>
      </c>
      <c r="L34" s="41">
        <f>STDEV(H34:J34)</f>
        <v>10.813115618902581</v>
      </c>
    </row>
    <row r="35" spans="1:14" x14ac:dyDescent="0.25">
      <c r="A35" s="40" t="s">
        <v>68</v>
      </c>
      <c r="B35" s="40">
        <f>SUM(B33:B34)</f>
        <v>200</v>
      </c>
      <c r="C35" s="40">
        <f t="shared" ref="C35:D35" si="0">SUM(C33:C34)</f>
        <v>100</v>
      </c>
      <c r="D35" s="40">
        <f t="shared" si="0"/>
        <v>98</v>
      </c>
      <c r="H35" s="40">
        <f>H33+H34</f>
        <v>100</v>
      </c>
      <c r="I35" s="40">
        <f>I33+I34</f>
        <v>100</v>
      </c>
      <c r="J35" s="40">
        <f>J33+J34</f>
        <v>100</v>
      </c>
      <c r="K35" s="40"/>
      <c r="L35" s="40"/>
    </row>
    <row r="38" spans="1:14" x14ac:dyDescent="0.25">
      <c r="A38" s="51" t="s">
        <v>95</v>
      </c>
      <c r="B38" s="52"/>
      <c r="C38" s="1"/>
      <c r="H38" t="s">
        <v>78</v>
      </c>
      <c r="L38" s="50"/>
    </row>
    <row r="39" spans="1:14" x14ac:dyDescent="0.25">
      <c r="A39" s="53"/>
      <c r="B39" s="54" t="s">
        <v>69</v>
      </c>
      <c r="C39" s="45" t="s">
        <v>70</v>
      </c>
      <c r="D39" s="45" t="s">
        <v>71</v>
      </c>
      <c r="E39" s="40" t="s">
        <v>80</v>
      </c>
      <c r="H39" s="40" t="s">
        <v>69</v>
      </c>
      <c r="I39" s="40" t="s">
        <v>70</v>
      </c>
      <c r="J39" s="40" t="s">
        <v>71</v>
      </c>
      <c r="K39" s="40" t="s">
        <v>80</v>
      </c>
      <c r="L39" s="49" t="s">
        <v>93</v>
      </c>
      <c r="M39" s="41" t="s">
        <v>107</v>
      </c>
    </row>
    <row r="40" spans="1:14" x14ac:dyDescent="0.25">
      <c r="A40" s="49" t="s">
        <v>82</v>
      </c>
      <c r="B40" s="46">
        <v>300</v>
      </c>
      <c r="C40" s="40">
        <v>98</v>
      </c>
      <c r="D40" s="40">
        <v>188</v>
      </c>
      <c r="E40" s="40">
        <v>148</v>
      </c>
      <c r="H40" s="41">
        <f>B40/B42*100</f>
        <v>91.1854103343465</v>
      </c>
      <c r="I40" s="41">
        <f>C40/C42*100</f>
        <v>97.029702970297024</v>
      </c>
      <c r="J40" s="41">
        <f>D40/D42*100</f>
        <v>93.069306930693074</v>
      </c>
      <c r="K40" s="41">
        <f>E40/E42*100</f>
        <v>93.670886075949369</v>
      </c>
      <c r="L40" s="41">
        <f>AVERAGE(H40:K40)</f>
        <v>93.738826577821499</v>
      </c>
      <c r="M40" s="41">
        <f>STDEV(H40:K40)</f>
        <v>2.4360264375057117</v>
      </c>
    </row>
    <row r="41" spans="1:14" x14ac:dyDescent="0.25">
      <c r="A41" s="49" t="s">
        <v>83</v>
      </c>
      <c r="B41" s="46">
        <v>29</v>
      </c>
      <c r="C41" s="40">
        <v>3</v>
      </c>
      <c r="D41" s="40">
        <v>14</v>
      </c>
      <c r="E41" s="40">
        <v>10</v>
      </c>
      <c r="H41" s="41">
        <f>B41/B42*100</f>
        <v>8.8145896656534948</v>
      </c>
      <c r="I41" s="41">
        <f>C41/C42*100</f>
        <v>2.9702970297029703</v>
      </c>
      <c r="J41" s="41">
        <f>D41/D42*100</f>
        <v>6.9306930693069315</v>
      </c>
      <c r="K41" s="41">
        <f>E41/E42*100</f>
        <v>6.3291139240506329</v>
      </c>
      <c r="L41" s="41">
        <f>AVERAGE(H41:K41)</f>
        <v>6.2611734221785067</v>
      </c>
      <c r="M41" s="41">
        <f>STDEV(H41:K41)</f>
        <v>2.4360264375057143</v>
      </c>
    </row>
    <row r="42" spans="1:14" x14ac:dyDescent="0.25">
      <c r="A42" s="49" t="s">
        <v>68</v>
      </c>
      <c r="B42" s="40">
        <f>SUM(B40:B41)</f>
        <v>329</v>
      </c>
      <c r="C42" s="40">
        <f>SUM(C40:C41)</f>
        <v>101</v>
      </c>
      <c r="D42" s="40">
        <f>SUM(D40:D41)</f>
        <v>202</v>
      </c>
      <c r="E42" s="40">
        <f>SUM(E40:E41)</f>
        <v>158</v>
      </c>
      <c r="H42" s="40">
        <f>H40+H41</f>
        <v>100</v>
      </c>
      <c r="I42" s="40">
        <f>I40+I41</f>
        <v>100</v>
      </c>
      <c r="J42" s="40">
        <f>J40+J41</f>
        <v>100</v>
      </c>
      <c r="K42" s="40">
        <f>K40+K41</f>
        <v>100</v>
      </c>
      <c r="L42" s="40"/>
      <c r="M42" s="40"/>
    </row>
    <row r="45" spans="1:14" x14ac:dyDescent="0.25">
      <c r="A45" s="47" t="s">
        <v>108</v>
      </c>
      <c r="H45" t="s">
        <v>78</v>
      </c>
      <c r="L45" s="50"/>
    </row>
    <row r="46" spans="1:14" ht="15.75" x14ac:dyDescent="0.25">
      <c r="A46" s="39"/>
      <c r="B46" s="39" t="s">
        <v>69</v>
      </c>
      <c r="C46" s="39" t="s">
        <v>70</v>
      </c>
      <c r="D46" s="39" t="s">
        <v>71</v>
      </c>
      <c r="E46" s="39" t="s">
        <v>80</v>
      </c>
      <c r="F46" s="39" t="s">
        <v>81</v>
      </c>
      <c r="H46" s="40" t="s">
        <v>69</v>
      </c>
      <c r="I46" s="40" t="s">
        <v>70</v>
      </c>
      <c r="J46" s="40" t="s">
        <v>71</v>
      </c>
      <c r="K46" s="40" t="s">
        <v>80</v>
      </c>
      <c r="L46" s="40" t="s">
        <v>81</v>
      </c>
      <c r="M46" s="49" t="s">
        <v>93</v>
      </c>
      <c r="N46" s="41" t="s">
        <v>107</v>
      </c>
    </row>
    <row r="47" spans="1:14" x14ac:dyDescent="0.25">
      <c r="A47" s="40" t="s">
        <v>82</v>
      </c>
      <c r="B47" s="40">
        <v>12</v>
      </c>
      <c r="C47" s="40">
        <v>10</v>
      </c>
      <c r="D47" s="40">
        <v>35</v>
      </c>
      <c r="E47" s="40">
        <v>114</v>
      </c>
      <c r="F47" s="48">
        <v>176</v>
      </c>
      <c r="H47" s="41">
        <f>B47/B49*100</f>
        <v>60</v>
      </c>
      <c r="I47" s="41">
        <f>C47/C49*100</f>
        <v>40</v>
      </c>
      <c r="J47" s="41">
        <f>D47/D49*100</f>
        <v>70</v>
      </c>
      <c r="K47" s="41">
        <f>E47/E49*100</f>
        <v>56.999999999999993</v>
      </c>
      <c r="L47" s="41">
        <f>F47/F49*100</f>
        <v>58.666666666666664</v>
      </c>
      <c r="M47" s="41">
        <f>AVERAGE(H47:K47)</f>
        <v>56.75</v>
      </c>
      <c r="N47" s="41">
        <f>STDEV(H47:K47)</f>
        <v>12.473304828045105</v>
      </c>
    </row>
    <row r="48" spans="1:14" x14ac:dyDescent="0.25">
      <c r="A48" s="40" t="s">
        <v>83</v>
      </c>
      <c r="B48" s="40">
        <v>8</v>
      </c>
      <c r="C48" s="40">
        <v>15</v>
      </c>
      <c r="D48" s="40">
        <v>15</v>
      </c>
      <c r="E48" s="40">
        <v>86</v>
      </c>
      <c r="F48" s="40">
        <v>124</v>
      </c>
      <c r="H48" s="41">
        <f>B48/B49*100</f>
        <v>40</v>
      </c>
      <c r="I48" s="41">
        <f>C48/C49*100</f>
        <v>60</v>
      </c>
      <c r="J48" s="41">
        <f>D48/D49*100</f>
        <v>30</v>
      </c>
      <c r="K48" s="41">
        <f>E48/E49*100</f>
        <v>43</v>
      </c>
      <c r="L48" s="41">
        <f>F48/F49*100</f>
        <v>41.333333333333336</v>
      </c>
      <c r="M48" s="41">
        <f>AVERAGE(H48:K48)</f>
        <v>43.25</v>
      </c>
      <c r="N48" s="41">
        <f>STDEV(H48:K48)</f>
        <v>12.473304828045105</v>
      </c>
    </row>
    <row r="49" spans="1:14" x14ac:dyDescent="0.25">
      <c r="A49" s="40" t="s">
        <v>68</v>
      </c>
      <c r="B49" s="40">
        <f>SUM(B47:B48)</f>
        <v>20</v>
      </c>
      <c r="C49" s="40">
        <f t="shared" ref="C49:F49" si="1">SUM(C47:C48)</f>
        <v>25</v>
      </c>
      <c r="D49" s="40">
        <f t="shared" si="1"/>
        <v>50</v>
      </c>
      <c r="E49" s="40">
        <f t="shared" si="1"/>
        <v>200</v>
      </c>
      <c r="F49" s="40">
        <f t="shared" si="1"/>
        <v>300</v>
      </c>
      <c r="H49" s="40">
        <f>H47+H48</f>
        <v>100</v>
      </c>
      <c r="I49" s="40">
        <f>I47+I48</f>
        <v>100</v>
      </c>
      <c r="J49" s="40">
        <f>J47+J48</f>
        <v>100</v>
      </c>
      <c r="K49" s="40">
        <f>K47+K48</f>
        <v>100</v>
      </c>
      <c r="L49" s="40">
        <f>L47+L48</f>
        <v>100</v>
      </c>
      <c r="M49" s="40"/>
      <c r="N49" s="4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opLeftCell="A31" workbookViewId="0">
      <selection activeCell="L14" sqref="L14"/>
    </sheetView>
  </sheetViews>
  <sheetFormatPr defaultRowHeight="15" x14ac:dyDescent="0.25"/>
  <cols>
    <col min="1" max="1" width="20.28515625" style="60" customWidth="1"/>
    <col min="2" max="2" width="15.5703125" style="60" customWidth="1"/>
    <col min="3" max="3" width="21.7109375" customWidth="1"/>
    <col min="5" max="5" width="12.7109375" customWidth="1"/>
    <col min="6" max="6" width="11.7109375" customWidth="1"/>
    <col min="7" max="7" width="13" customWidth="1"/>
  </cols>
  <sheetData>
    <row r="1" spans="1:7" x14ac:dyDescent="0.25">
      <c r="A1" s="60" t="s">
        <v>120</v>
      </c>
      <c r="B1" s="60" t="s">
        <v>121</v>
      </c>
    </row>
    <row r="2" spans="1:7" x14ac:dyDescent="0.25">
      <c r="A2" s="60" t="s">
        <v>122</v>
      </c>
      <c r="B2" s="60" t="s">
        <v>123</v>
      </c>
    </row>
    <row r="3" spans="1:7" x14ac:dyDescent="0.25">
      <c r="A3" s="60" t="s">
        <v>124</v>
      </c>
      <c r="B3" s="60">
        <v>103460372</v>
      </c>
    </row>
    <row r="4" spans="1:7" x14ac:dyDescent="0.25">
      <c r="A4" s="60" t="s">
        <v>125</v>
      </c>
      <c r="B4" s="60">
        <v>103483233</v>
      </c>
    </row>
    <row r="5" spans="1:7" x14ac:dyDescent="0.25">
      <c r="A5" s="60" t="s">
        <v>126</v>
      </c>
      <c r="B5" s="60" t="s">
        <v>127</v>
      </c>
    </row>
    <row r="6" spans="1:7" x14ac:dyDescent="0.25">
      <c r="A6" s="60" t="s">
        <v>128</v>
      </c>
      <c r="B6" s="60">
        <v>22862</v>
      </c>
    </row>
    <row r="7" spans="1:7" x14ac:dyDescent="0.25">
      <c r="A7" s="60" t="s">
        <v>230</v>
      </c>
      <c r="B7" s="60">
        <v>7.3253000000000004</v>
      </c>
    </row>
    <row r="8" spans="1:7" x14ac:dyDescent="0.25">
      <c r="A8" s="60" t="s">
        <v>231</v>
      </c>
      <c r="B8" s="60">
        <v>3600.2856999999999</v>
      </c>
      <c r="F8" t="s">
        <v>232</v>
      </c>
      <c r="G8" t="s">
        <v>176</v>
      </c>
    </row>
    <row r="9" spans="1:7" x14ac:dyDescent="0.25">
      <c r="A9" s="60" t="s">
        <v>233</v>
      </c>
      <c r="B9" s="60">
        <v>4406.8896000000004</v>
      </c>
      <c r="E9" t="s">
        <v>129</v>
      </c>
      <c r="F9">
        <f>AVERAGE(B7,B10,B12)</f>
        <v>24.306133333333335</v>
      </c>
      <c r="G9">
        <f>STDEV(B7,B10,B12)/SQRT(3)</f>
        <v>9.08305588524283</v>
      </c>
    </row>
    <row r="10" spans="1:7" x14ac:dyDescent="0.25">
      <c r="A10" s="60" t="s">
        <v>234</v>
      </c>
      <c r="B10" s="60">
        <v>27.206900000000001</v>
      </c>
      <c r="E10" t="s">
        <v>179</v>
      </c>
      <c r="F10">
        <f>AVERAGE(B8:B9,B11,B13)</f>
        <v>9736.7828750000008</v>
      </c>
      <c r="G10">
        <f>STDEV(B8:B9,B11,B13)/SQRT(4)</f>
        <v>3438.700808793978</v>
      </c>
    </row>
    <row r="11" spans="1:7" x14ac:dyDescent="0.25">
      <c r="A11" s="60" t="s">
        <v>235</v>
      </c>
      <c r="B11" s="60">
        <v>13223.5872</v>
      </c>
      <c r="E11" t="s">
        <v>236</v>
      </c>
      <c r="F11">
        <f>AVERAGE(B15:B16)</f>
        <v>7416.2940999999992</v>
      </c>
      <c r="G11">
        <f>STDEV(B15:B16)/SQRT(2)</f>
        <v>1063.3557000000021</v>
      </c>
    </row>
    <row r="12" spans="1:7" x14ac:dyDescent="0.25">
      <c r="A12" s="60" t="s">
        <v>237</v>
      </c>
      <c r="B12" s="60">
        <v>38.386200000000002</v>
      </c>
      <c r="E12" t="s">
        <v>238</v>
      </c>
      <c r="F12">
        <f>AVERAGE(B18:B19,B21:B22)</f>
        <v>4515.7780750000002</v>
      </c>
      <c r="G12">
        <f>STDEV(B18:B19,B21:B22)/SQRT(4)</f>
        <v>362.91044717640204</v>
      </c>
    </row>
    <row r="13" spans="1:7" x14ac:dyDescent="0.25">
      <c r="A13" s="60" t="s">
        <v>239</v>
      </c>
      <c r="B13" s="60">
        <v>17716.368999999999</v>
      </c>
      <c r="E13" t="s">
        <v>240</v>
      </c>
      <c r="F13">
        <f>AVERAGE(B24:B25)</f>
        <v>4004.7038499999999</v>
      </c>
      <c r="G13">
        <f>STDEV(B24:B25)/SQRT(2)</f>
        <v>327.08204999999998</v>
      </c>
    </row>
    <row r="14" spans="1:7" x14ac:dyDescent="0.25">
      <c r="A14" s="60" t="s">
        <v>241</v>
      </c>
      <c r="B14" s="60">
        <v>19.5276</v>
      </c>
      <c r="E14" t="s">
        <v>184</v>
      </c>
      <c r="F14">
        <f>AVERAGE(B27,B29,B31,B33)</f>
        <v>2830.3913750000002</v>
      </c>
      <c r="G14">
        <f>STDEV(B27,B29,B31,B33)/SQRT(4)</f>
        <v>122.65395318676295</v>
      </c>
    </row>
    <row r="15" spans="1:7" x14ac:dyDescent="0.25">
      <c r="A15" s="60" t="s">
        <v>242</v>
      </c>
      <c r="B15" s="60">
        <v>8479.6497999999992</v>
      </c>
      <c r="E15" t="s">
        <v>243</v>
      </c>
      <c r="F15">
        <f>AVERAGE(B35:B36)</f>
        <v>5035.7269500000002</v>
      </c>
      <c r="G15">
        <f>STDEV(B35:B36)/SQRT(2)</f>
        <v>514.21954999999912</v>
      </c>
    </row>
    <row r="16" spans="1:7" x14ac:dyDescent="0.25">
      <c r="A16" s="60" t="s">
        <v>244</v>
      </c>
      <c r="B16" s="60">
        <v>6352.9384</v>
      </c>
      <c r="E16" t="s">
        <v>190</v>
      </c>
      <c r="F16">
        <f>AVERAGE(B38:B39)</f>
        <v>4210.7993500000002</v>
      </c>
      <c r="G16">
        <f>STDEV(B38:B39)/SQRT(2)</f>
        <v>997.28964999999971</v>
      </c>
    </row>
    <row r="17" spans="1:7" x14ac:dyDescent="0.25">
      <c r="A17" s="60" t="s">
        <v>245</v>
      </c>
      <c r="B17" s="60">
        <v>17.496500000000001</v>
      </c>
      <c r="C17" t="s">
        <v>246</v>
      </c>
      <c r="E17" t="s">
        <v>247</v>
      </c>
      <c r="F17">
        <f>AVERAGE(B44:B45)</f>
        <v>10670.250100000001</v>
      </c>
      <c r="G17">
        <f>AVERAGE(B44:B45)/SQRT(2)</f>
        <v>7545.0062026664373</v>
      </c>
    </row>
    <row r="18" spans="1:7" x14ac:dyDescent="0.25">
      <c r="A18" s="60" t="s">
        <v>248</v>
      </c>
      <c r="B18" s="60">
        <v>4786.1274999999996</v>
      </c>
      <c r="C18" t="s">
        <v>246</v>
      </c>
      <c r="E18" t="s">
        <v>249</v>
      </c>
      <c r="F18">
        <f>AVERAGE(B50,B52,B54)</f>
        <v>11778.0164</v>
      </c>
      <c r="G18">
        <f>STDEV(B50,B52,B54)/SQRT(3)</f>
        <v>632.8939175632205</v>
      </c>
    </row>
    <row r="19" spans="1:7" x14ac:dyDescent="0.25">
      <c r="A19" s="60" t="s">
        <v>250</v>
      </c>
      <c r="B19" s="60">
        <v>5105.6331</v>
      </c>
      <c r="C19" t="s">
        <v>246</v>
      </c>
      <c r="E19" t="s">
        <v>251</v>
      </c>
      <c r="F19">
        <f>AVERAGE(B59:B61)</f>
        <v>3884.8887333333332</v>
      </c>
      <c r="G19">
        <f>STDEV(B59:B61)/SQRT(3)</f>
        <v>151.44777517646506</v>
      </c>
    </row>
    <row r="20" spans="1:7" x14ac:dyDescent="0.25">
      <c r="A20" s="60" t="s">
        <v>252</v>
      </c>
      <c r="B20" s="60">
        <v>15.2323</v>
      </c>
      <c r="C20" t="s">
        <v>246</v>
      </c>
      <c r="E20" t="s">
        <v>253</v>
      </c>
      <c r="F20">
        <f>AVERAGE(B65:B67)</f>
        <v>5348.5753333333332</v>
      </c>
      <c r="G20">
        <f>STDEV(B65:B67)/SQRT(3)</f>
        <v>37.511647727709402</v>
      </c>
    </row>
    <row r="21" spans="1:7" x14ac:dyDescent="0.25">
      <c r="A21" s="60" t="s">
        <v>254</v>
      </c>
      <c r="B21" s="60">
        <v>3457.4027000000001</v>
      </c>
      <c r="C21" t="s">
        <v>246</v>
      </c>
    </row>
    <row r="22" spans="1:7" x14ac:dyDescent="0.25">
      <c r="A22" s="60" t="s">
        <v>255</v>
      </c>
      <c r="B22" s="60">
        <v>4713.9489999999996</v>
      </c>
      <c r="C22" t="s">
        <v>246</v>
      </c>
    </row>
    <row r="23" spans="1:7" x14ac:dyDescent="0.25">
      <c r="A23" s="60" t="s">
        <v>256</v>
      </c>
      <c r="B23" s="60">
        <v>7.2534000000000001</v>
      </c>
    </row>
    <row r="24" spans="1:7" x14ac:dyDescent="0.25">
      <c r="A24" s="60" t="s">
        <v>257</v>
      </c>
      <c r="B24" s="60">
        <v>3677.6217999999999</v>
      </c>
    </row>
    <row r="25" spans="1:7" x14ac:dyDescent="0.25">
      <c r="A25" s="60" t="s">
        <v>258</v>
      </c>
      <c r="B25" s="60">
        <v>4331.7858999999999</v>
      </c>
    </row>
    <row r="26" spans="1:7" x14ac:dyDescent="0.25">
      <c r="A26" s="60" t="s">
        <v>259</v>
      </c>
      <c r="B26" s="60">
        <v>10.291600000000001</v>
      </c>
      <c r="C26" t="s">
        <v>184</v>
      </c>
    </row>
    <row r="27" spans="1:7" x14ac:dyDescent="0.25">
      <c r="A27" s="60" t="s">
        <v>260</v>
      </c>
      <c r="B27" s="60">
        <v>2483.0187999999998</v>
      </c>
      <c r="C27" t="s">
        <v>184</v>
      </c>
    </row>
    <row r="28" spans="1:7" x14ac:dyDescent="0.25">
      <c r="A28" s="60" t="s">
        <v>261</v>
      </c>
      <c r="B28" s="60">
        <v>12.331300000000001</v>
      </c>
      <c r="C28" t="s">
        <v>184</v>
      </c>
    </row>
    <row r="29" spans="1:7" x14ac:dyDescent="0.25">
      <c r="A29" s="60" t="s">
        <v>262</v>
      </c>
      <c r="B29" s="60">
        <v>2951.0655999999999</v>
      </c>
      <c r="C29" t="s">
        <v>184</v>
      </c>
    </row>
    <row r="30" spans="1:7" x14ac:dyDescent="0.25">
      <c r="A30" s="60" t="s">
        <v>263</v>
      </c>
      <c r="B30" s="60">
        <v>9.9420999999999999</v>
      </c>
      <c r="C30" t="s">
        <v>184</v>
      </c>
    </row>
    <row r="31" spans="1:7" x14ac:dyDescent="0.25">
      <c r="A31" s="60" t="s">
        <v>264</v>
      </c>
      <c r="B31" s="60">
        <v>2844.7408999999998</v>
      </c>
      <c r="C31" t="s">
        <v>184</v>
      </c>
    </row>
    <row r="32" spans="1:7" x14ac:dyDescent="0.25">
      <c r="A32" s="60" t="s">
        <v>265</v>
      </c>
      <c r="B32" s="60">
        <v>14.658099999999999</v>
      </c>
      <c r="C32" t="s">
        <v>184</v>
      </c>
    </row>
    <row r="33" spans="1:2" x14ac:dyDescent="0.25">
      <c r="A33" s="60" t="s">
        <v>266</v>
      </c>
      <c r="B33" s="60">
        <v>3042.7402000000002</v>
      </c>
    </row>
    <row r="34" spans="1:2" x14ac:dyDescent="0.25">
      <c r="A34" s="60" t="s">
        <v>267</v>
      </c>
      <c r="B34" s="60">
        <v>7.3836000000000004</v>
      </c>
    </row>
    <row r="35" spans="1:2" x14ac:dyDescent="0.25">
      <c r="A35" s="60" t="s">
        <v>268</v>
      </c>
      <c r="B35" s="60">
        <v>5549.9465</v>
      </c>
    </row>
    <row r="36" spans="1:2" x14ac:dyDescent="0.25">
      <c r="A36" s="60" t="s">
        <v>269</v>
      </c>
      <c r="B36" s="60">
        <v>4521.5074000000004</v>
      </c>
    </row>
    <row r="37" spans="1:2" x14ac:dyDescent="0.25">
      <c r="A37" s="60" t="s">
        <v>270</v>
      </c>
      <c r="B37" s="60">
        <v>16.8279</v>
      </c>
    </row>
    <row r="38" spans="1:2" x14ac:dyDescent="0.25">
      <c r="A38" s="60" t="s">
        <v>271</v>
      </c>
      <c r="B38" s="60">
        <v>3213.5097000000001</v>
      </c>
    </row>
    <row r="39" spans="1:2" x14ac:dyDescent="0.25">
      <c r="A39" s="60" t="s">
        <v>272</v>
      </c>
      <c r="B39" s="60">
        <v>5208.0889999999999</v>
      </c>
    </row>
    <row r="40" spans="1:2" x14ac:dyDescent="0.25">
      <c r="A40" s="60" t="s">
        <v>273</v>
      </c>
      <c r="B40" s="60">
        <v>9.0052000000000003</v>
      </c>
    </row>
    <row r="41" spans="1:2" x14ac:dyDescent="0.25">
      <c r="A41" s="60" t="s">
        <v>274</v>
      </c>
      <c r="B41" s="60">
        <v>2113.4353000000001</v>
      </c>
    </row>
    <row r="42" spans="1:2" x14ac:dyDescent="0.25">
      <c r="A42" s="60" t="s">
        <v>275</v>
      </c>
      <c r="B42" s="60">
        <v>1639.7950000000001</v>
      </c>
    </row>
    <row r="43" spans="1:2" x14ac:dyDescent="0.25">
      <c r="A43" s="60" t="s">
        <v>276</v>
      </c>
      <c r="B43" s="60">
        <v>14.2707</v>
      </c>
    </row>
    <row r="44" spans="1:2" x14ac:dyDescent="0.25">
      <c r="A44" s="60" t="s">
        <v>277</v>
      </c>
      <c r="B44" s="60">
        <v>5360.6594999999998</v>
      </c>
    </row>
    <row r="45" spans="1:2" x14ac:dyDescent="0.25">
      <c r="A45" s="60" t="s">
        <v>278</v>
      </c>
      <c r="B45" s="60">
        <v>15979.840700000001</v>
      </c>
    </row>
    <row r="46" spans="1:2" x14ac:dyDescent="0.25">
      <c r="A46" s="60" t="s">
        <v>279</v>
      </c>
      <c r="B46" s="60">
        <v>17.091999999999999</v>
      </c>
    </row>
    <row r="47" spans="1:2" x14ac:dyDescent="0.25">
      <c r="A47" s="60" t="s">
        <v>280</v>
      </c>
      <c r="B47" s="60">
        <v>1904.3028999999999</v>
      </c>
    </row>
    <row r="48" spans="1:2" x14ac:dyDescent="0.25">
      <c r="A48" s="60" t="s">
        <v>281</v>
      </c>
      <c r="B48" s="60">
        <v>9567.8155000000006</v>
      </c>
    </row>
    <row r="49" spans="1:2" x14ac:dyDescent="0.25">
      <c r="A49" s="60" t="s">
        <v>282</v>
      </c>
      <c r="B49" s="60">
        <v>27.042000000000002</v>
      </c>
    </row>
    <row r="50" spans="1:2" x14ac:dyDescent="0.25">
      <c r="A50" s="60" t="s">
        <v>283</v>
      </c>
      <c r="B50" s="60">
        <v>11338.337</v>
      </c>
    </row>
    <row r="51" spans="1:2" x14ac:dyDescent="0.25">
      <c r="A51" s="60" t="s">
        <v>284</v>
      </c>
      <c r="B51" s="60">
        <v>28.817499999999999</v>
      </c>
    </row>
    <row r="52" spans="1:2" x14ac:dyDescent="0.25">
      <c r="A52" s="60" t="s">
        <v>285</v>
      </c>
      <c r="B52" s="60">
        <v>13025.803400000001</v>
      </c>
    </row>
    <row r="53" spans="1:2" x14ac:dyDescent="0.25">
      <c r="A53" s="60" t="s">
        <v>286</v>
      </c>
      <c r="B53" s="60">
        <v>23.771599999999999</v>
      </c>
    </row>
    <row r="54" spans="1:2" x14ac:dyDescent="0.25">
      <c r="A54" s="60" t="s">
        <v>287</v>
      </c>
      <c r="B54" s="60">
        <v>10969.908799999999</v>
      </c>
    </row>
    <row r="56" spans="1:2" x14ac:dyDescent="0.25">
      <c r="A56" s="60" t="s">
        <v>288</v>
      </c>
      <c r="B56" s="60">
        <v>22.959900000000001</v>
      </c>
    </row>
    <row r="57" spans="1:2" x14ac:dyDescent="0.25">
      <c r="A57" s="60" t="s">
        <v>289</v>
      </c>
      <c r="B57" s="60">
        <v>24.0825</v>
      </c>
    </row>
    <row r="58" spans="1:2" x14ac:dyDescent="0.25">
      <c r="A58" s="60" t="s">
        <v>290</v>
      </c>
      <c r="B58" s="60">
        <v>13.700900000000001</v>
      </c>
    </row>
    <row r="59" spans="1:2" x14ac:dyDescent="0.25">
      <c r="A59" s="60" t="s">
        <v>291</v>
      </c>
      <c r="B59" s="60">
        <v>4025.6125000000002</v>
      </c>
    </row>
    <row r="60" spans="1:2" x14ac:dyDescent="0.25">
      <c r="A60" s="60" t="s">
        <v>292</v>
      </c>
      <c r="B60" s="60">
        <v>3582.2406000000001</v>
      </c>
    </row>
    <row r="61" spans="1:2" x14ac:dyDescent="0.25">
      <c r="A61" s="60" t="s">
        <v>293</v>
      </c>
      <c r="B61" s="60">
        <v>4046.8130999999998</v>
      </c>
    </row>
    <row r="62" spans="1:2" x14ac:dyDescent="0.25">
      <c r="A62" s="60" t="s">
        <v>294</v>
      </c>
      <c r="B62" s="60">
        <v>13.8286</v>
      </c>
    </row>
    <row r="63" spans="1:2" x14ac:dyDescent="0.25">
      <c r="A63" s="60" t="s">
        <v>295</v>
      </c>
      <c r="B63" s="60">
        <v>14.2399</v>
      </c>
    </row>
    <row r="64" spans="1:2" x14ac:dyDescent="0.25">
      <c r="A64" s="60" t="s">
        <v>296</v>
      </c>
      <c r="B64" s="60">
        <v>10.495799999999999</v>
      </c>
    </row>
    <row r="65" spans="1:2" x14ac:dyDescent="0.25">
      <c r="A65" s="60" t="s">
        <v>297</v>
      </c>
      <c r="B65" s="60">
        <v>5295.0645000000004</v>
      </c>
    </row>
    <row r="66" spans="1:2" x14ac:dyDescent="0.25">
      <c r="A66" s="60" t="s">
        <v>298</v>
      </c>
      <c r="B66" s="60">
        <v>5420.8698999999997</v>
      </c>
    </row>
    <row r="67" spans="1:2" x14ac:dyDescent="0.25">
      <c r="A67" s="60" t="s">
        <v>299</v>
      </c>
      <c r="B67" s="60">
        <v>5329.7915999999996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topLeftCell="A34" zoomScaleNormal="100" workbookViewId="0">
      <selection activeCell="D28" sqref="D28"/>
    </sheetView>
  </sheetViews>
  <sheetFormatPr defaultRowHeight="15" x14ac:dyDescent="0.25"/>
  <cols>
    <col min="1" max="1" width="31.85546875" style="61" customWidth="1"/>
    <col min="2" max="2" width="17" style="61" customWidth="1"/>
    <col min="3" max="3" width="33.85546875" style="61" customWidth="1"/>
    <col min="4" max="4" width="25" style="61" customWidth="1"/>
    <col min="5" max="5" width="15.140625" style="61" customWidth="1"/>
    <col min="6" max="6" width="13.28515625" style="61" customWidth="1"/>
    <col min="7" max="7" width="25.7109375" style="61" bestFit="1" customWidth="1"/>
    <col min="8" max="8" width="11" style="61" bestFit="1" customWidth="1"/>
    <col min="9" max="9" width="9.140625" style="61"/>
    <col min="10" max="10" width="25.7109375" style="61" bestFit="1" customWidth="1"/>
    <col min="11" max="11" width="11" style="61" bestFit="1" customWidth="1"/>
    <col min="12" max="16384" width="9.140625" style="61"/>
  </cols>
  <sheetData>
    <row r="1" spans="1:14" x14ac:dyDescent="0.25">
      <c r="A1" s="61" t="s">
        <v>120</v>
      </c>
      <c r="B1" s="61" t="s">
        <v>121</v>
      </c>
      <c r="D1" s="61" t="s">
        <v>120</v>
      </c>
      <c r="E1" s="61" t="s">
        <v>121</v>
      </c>
    </row>
    <row r="2" spans="1:14" x14ac:dyDescent="0.25">
      <c r="A2" s="61" t="s">
        <v>122</v>
      </c>
      <c r="B2" s="61" t="s">
        <v>123</v>
      </c>
      <c r="D2" s="61" t="s">
        <v>122</v>
      </c>
      <c r="E2" s="61" t="s">
        <v>123</v>
      </c>
    </row>
    <row r="3" spans="1:14" x14ac:dyDescent="0.25">
      <c r="A3" s="61" t="s">
        <v>124</v>
      </c>
      <c r="B3" s="61">
        <v>103460372</v>
      </c>
      <c r="D3" s="61" t="s">
        <v>124</v>
      </c>
      <c r="E3" s="61">
        <v>103460372</v>
      </c>
    </row>
    <row r="4" spans="1:14" x14ac:dyDescent="0.25">
      <c r="A4" s="61" t="s">
        <v>125</v>
      </c>
      <c r="B4" s="61">
        <v>103483233</v>
      </c>
      <c r="D4" s="61" t="s">
        <v>125</v>
      </c>
      <c r="E4" s="61">
        <v>103483233</v>
      </c>
    </row>
    <row r="5" spans="1:14" x14ac:dyDescent="0.25">
      <c r="A5" s="61" t="s">
        <v>126</v>
      </c>
      <c r="B5" s="61" t="s">
        <v>127</v>
      </c>
      <c r="D5" s="61" t="s">
        <v>126</v>
      </c>
      <c r="E5" s="61" t="s">
        <v>127</v>
      </c>
    </row>
    <row r="6" spans="1:14" x14ac:dyDescent="0.25">
      <c r="A6" s="61" t="s">
        <v>128</v>
      </c>
      <c r="B6" s="61">
        <v>22862</v>
      </c>
      <c r="D6" s="61" t="s">
        <v>128</v>
      </c>
      <c r="E6" s="61">
        <v>22862</v>
      </c>
    </row>
    <row r="7" spans="1:14" x14ac:dyDescent="0.25">
      <c r="A7" s="61" t="s">
        <v>129</v>
      </c>
      <c r="B7" s="61">
        <v>57.914700000000003</v>
      </c>
      <c r="D7" s="61" t="s">
        <v>130</v>
      </c>
      <c r="E7" s="61">
        <v>58.982799999999997</v>
      </c>
    </row>
    <row r="8" spans="1:14" x14ac:dyDescent="0.25">
      <c r="A8" s="61" t="s">
        <v>131</v>
      </c>
      <c r="B8" s="61">
        <v>4502.9894999999997</v>
      </c>
      <c r="D8" s="61" t="s">
        <v>132</v>
      </c>
      <c r="E8" s="61">
        <v>10182.6857</v>
      </c>
    </row>
    <row r="9" spans="1:14" x14ac:dyDescent="0.25">
      <c r="A9" s="61" t="s">
        <v>133</v>
      </c>
      <c r="B9" s="61">
        <v>4783.8167999999996</v>
      </c>
      <c r="D9" s="61" t="s">
        <v>134</v>
      </c>
      <c r="E9" s="61">
        <v>9.1770999999999994</v>
      </c>
    </row>
    <row r="10" spans="1:14" x14ac:dyDescent="0.25">
      <c r="A10" s="61" t="s">
        <v>135</v>
      </c>
      <c r="B10" s="61">
        <v>183.91419999999999</v>
      </c>
      <c r="D10" s="61" t="s">
        <v>137</v>
      </c>
      <c r="E10" s="61">
        <v>974.87339999999995</v>
      </c>
    </row>
    <row r="11" spans="1:14" x14ac:dyDescent="0.25">
      <c r="A11" s="61" t="s">
        <v>138</v>
      </c>
      <c r="B11" s="61">
        <v>3921.0612999999998</v>
      </c>
      <c r="D11" s="61" t="s">
        <v>139</v>
      </c>
      <c r="E11" s="61">
        <v>216.5309</v>
      </c>
    </row>
    <row r="12" spans="1:14" x14ac:dyDescent="0.25">
      <c r="A12" s="61" t="s">
        <v>140</v>
      </c>
      <c r="B12" s="61">
        <v>24.482600000000001</v>
      </c>
      <c r="D12" s="61" t="s">
        <v>141</v>
      </c>
      <c r="E12" s="61">
        <v>14584.0381</v>
      </c>
    </row>
    <row r="13" spans="1:14" x14ac:dyDescent="0.25">
      <c r="A13" s="61" t="s">
        <v>142</v>
      </c>
      <c r="B13" s="61">
        <v>571.60050000000001</v>
      </c>
      <c r="D13" s="61" t="s">
        <v>143</v>
      </c>
      <c r="E13" s="61">
        <v>131.62569999999999</v>
      </c>
      <c r="G13" s="61" t="s">
        <v>144</v>
      </c>
      <c r="H13" s="61">
        <v>171.3177</v>
      </c>
      <c r="J13" s="61" t="s">
        <v>145</v>
      </c>
      <c r="K13" s="61">
        <v>157.7081</v>
      </c>
      <c r="M13" s="61">
        <f>AVERAGE(E13,H13,K13)</f>
        <v>153.5505</v>
      </c>
      <c r="N13" s="61">
        <f>STDEV(E13,H13,K13)/SQRT(3)</f>
        <v>11.645141251755224</v>
      </c>
    </row>
    <row r="14" spans="1:14" x14ac:dyDescent="0.25">
      <c r="A14" s="61" t="s">
        <v>146</v>
      </c>
      <c r="B14" s="61">
        <v>635.44470000000001</v>
      </c>
      <c r="D14" s="61" t="s">
        <v>147</v>
      </c>
      <c r="E14" s="61">
        <v>7269.8230999999996</v>
      </c>
      <c r="G14" s="61" t="s">
        <v>148</v>
      </c>
      <c r="H14" s="61">
        <v>15410.816800000001</v>
      </c>
      <c r="J14" s="61" t="s">
        <v>149</v>
      </c>
      <c r="K14" s="61">
        <v>12719.812400000001</v>
      </c>
      <c r="M14" s="61">
        <f t="shared" ref="M14:M18" si="0">AVERAGE(E14,H14,K14)</f>
        <v>11800.150766666668</v>
      </c>
      <c r="N14" s="61">
        <f t="shared" ref="N14:N18" si="1">STDEV(E14,H14,K14)/SQRT(3)</f>
        <v>2394.6661385760963</v>
      </c>
    </row>
    <row r="15" spans="1:14" x14ac:dyDescent="0.25">
      <c r="A15" s="61" t="s">
        <v>150</v>
      </c>
      <c r="B15" s="61">
        <v>109.2974</v>
      </c>
      <c r="C15" s="60"/>
      <c r="D15" s="61" t="s">
        <v>151</v>
      </c>
      <c r="E15" s="61">
        <v>25.2117</v>
      </c>
      <c r="G15" s="61" t="s">
        <v>152</v>
      </c>
      <c r="H15" s="61">
        <v>25.398099999999999</v>
      </c>
      <c r="J15" s="61" t="s">
        <v>153</v>
      </c>
      <c r="K15" s="61">
        <v>10.891299999999999</v>
      </c>
      <c r="M15" s="61">
        <f t="shared" si="0"/>
        <v>20.500366666666668</v>
      </c>
      <c r="N15" s="61">
        <f t="shared" si="1"/>
        <v>4.8048346448597439</v>
      </c>
    </row>
    <row r="16" spans="1:14" x14ac:dyDescent="0.25">
      <c r="A16" s="61" t="s">
        <v>154</v>
      </c>
      <c r="B16" s="61">
        <v>5398.5025999999998</v>
      </c>
      <c r="C16" s="60"/>
      <c r="D16" s="61" t="s">
        <v>155</v>
      </c>
      <c r="E16" s="61">
        <v>370.57530000000003</v>
      </c>
      <c r="G16" s="61" t="s">
        <v>156</v>
      </c>
      <c r="H16" s="61">
        <v>825.24239999999998</v>
      </c>
      <c r="J16" s="61" t="s">
        <v>157</v>
      </c>
      <c r="K16" s="61">
        <v>933.68219999999997</v>
      </c>
      <c r="M16" s="61">
        <f t="shared" si="0"/>
        <v>709.83329999999989</v>
      </c>
      <c r="N16" s="61">
        <f t="shared" si="1"/>
        <v>172.49327569406884</v>
      </c>
    </row>
    <row r="17" spans="1:14" x14ac:dyDescent="0.25">
      <c r="A17" s="61" t="s">
        <v>158</v>
      </c>
      <c r="B17" s="61">
        <v>6222.3356999999996</v>
      </c>
      <c r="C17" s="60"/>
      <c r="D17" s="61" t="s">
        <v>159</v>
      </c>
      <c r="E17" s="61">
        <v>295.6438</v>
      </c>
      <c r="G17" s="61" t="s">
        <v>160</v>
      </c>
      <c r="H17" s="61">
        <v>99.425399999999996</v>
      </c>
      <c r="J17" s="61" t="s">
        <v>161</v>
      </c>
      <c r="K17" s="61">
        <v>164.38480000000001</v>
      </c>
      <c r="M17" s="61">
        <f t="shared" si="0"/>
        <v>186.4846666666667</v>
      </c>
      <c r="N17" s="61">
        <f t="shared" si="1"/>
        <v>57.711114483125719</v>
      </c>
    </row>
    <row r="18" spans="1:14" x14ac:dyDescent="0.25">
      <c r="A18" s="61" t="s">
        <v>162</v>
      </c>
      <c r="B18" s="61">
        <v>127.4276</v>
      </c>
      <c r="D18" s="61" t="s">
        <v>163</v>
      </c>
      <c r="E18" s="61">
        <v>13905.3017</v>
      </c>
      <c r="G18" s="61" t="s">
        <v>164</v>
      </c>
      <c r="H18" s="61">
        <v>20411.932000000001</v>
      </c>
      <c r="J18" s="61" t="s">
        <v>165</v>
      </c>
      <c r="K18" s="61">
        <v>19521.065299999998</v>
      </c>
      <c r="M18" s="61">
        <f t="shared" si="0"/>
        <v>17946.099666666665</v>
      </c>
      <c r="N18" s="61">
        <f t="shared" si="1"/>
        <v>2036.7005200286826</v>
      </c>
    </row>
    <row r="19" spans="1:14" x14ac:dyDescent="0.25">
      <c r="A19" s="61" t="s">
        <v>166</v>
      </c>
      <c r="B19" s="61">
        <v>2602.8254999999999</v>
      </c>
    </row>
    <row r="20" spans="1:14" x14ac:dyDescent="0.25">
      <c r="A20" s="61" t="s">
        <v>167</v>
      </c>
      <c r="B20" s="61">
        <v>264.84019999999998</v>
      </c>
      <c r="D20" s="60" t="s">
        <v>168</v>
      </c>
      <c r="E20" s="61">
        <v>11972.5923</v>
      </c>
      <c r="F20" s="61" t="s">
        <v>136</v>
      </c>
    </row>
    <row r="21" spans="1:14" x14ac:dyDescent="0.25">
      <c r="A21" s="61" t="s">
        <v>169</v>
      </c>
      <c r="B21" s="61">
        <v>2252.7494999999999</v>
      </c>
      <c r="D21" s="60" t="s">
        <v>170</v>
      </c>
      <c r="E21" s="61">
        <v>9425.9017999999996</v>
      </c>
      <c r="F21" s="61" t="s">
        <v>136</v>
      </c>
    </row>
    <row r="22" spans="1:14" x14ac:dyDescent="0.25">
      <c r="A22" s="61" t="s">
        <v>171</v>
      </c>
      <c r="B22" s="61">
        <v>17.0914</v>
      </c>
      <c r="D22" s="60" t="s">
        <v>172</v>
      </c>
      <c r="E22" s="61">
        <v>8551.5355</v>
      </c>
      <c r="F22" s="61" t="s">
        <v>136</v>
      </c>
    </row>
    <row r="23" spans="1:14" x14ac:dyDescent="0.25">
      <c r="A23" s="61" t="s">
        <v>173</v>
      </c>
      <c r="B23" s="61">
        <v>2200.3647000000001</v>
      </c>
      <c r="D23" s="60" t="s">
        <v>174</v>
      </c>
      <c r="E23" s="61">
        <v>9285.7569999999996</v>
      </c>
      <c r="F23" s="61" t="s">
        <v>136</v>
      </c>
    </row>
    <row r="24" spans="1:14" x14ac:dyDescent="0.25">
      <c r="A24" s="61" t="s">
        <v>175</v>
      </c>
      <c r="B24" s="61">
        <v>21.6358</v>
      </c>
      <c r="E24" s="62" t="s">
        <v>93</v>
      </c>
      <c r="F24" s="62" t="s">
        <v>176</v>
      </c>
      <c r="G24" s="62"/>
      <c r="H24" s="62"/>
      <c r="I24" s="62" t="s">
        <v>93</v>
      </c>
      <c r="J24" s="62" t="s">
        <v>176</v>
      </c>
    </row>
    <row r="25" spans="1:14" x14ac:dyDescent="0.25">
      <c r="A25" s="61" t="s">
        <v>177</v>
      </c>
      <c r="B25" s="61">
        <v>1524.2853</v>
      </c>
      <c r="D25" s="61" t="s">
        <v>129</v>
      </c>
      <c r="E25" s="61">
        <f>AVERAGE(B7,B10,B32,B33,B40)</f>
        <v>87.006740000000008</v>
      </c>
      <c r="F25" s="61">
        <f>STDEV(B7,B10,B32,B33,B40)/SQRT(5)</f>
        <v>25.903081800291634</v>
      </c>
      <c r="H25" s="61" t="s">
        <v>129</v>
      </c>
      <c r="I25" s="61">
        <v>87.006740000000008</v>
      </c>
      <c r="J25" s="61">
        <v>25.903081800291634</v>
      </c>
    </row>
    <row r="26" spans="1:14" x14ac:dyDescent="0.25">
      <c r="A26" s="61" t="s">
        <v>178</v>
      </c>
      <c r="B26" s="61">
        <v>112.0997</v>
      </c>
      <c r="D26" s="61" t="s">
        <v>179</v>
      </c>
      <c r="E26" s="61">
        <f>AVERAGE(B8,B9,B11,B34,B35,B41)</f>
        <v>4043.4127833333328</v>
      </c>
      <c r="F26" s="61">
        <f>STDEV(B8,B9,B11,B34,B35,B41)/SQRT(6)</f>
        <v>218.93635060037082</v>
      </c>
      <c r="H26" s="61" t="s">
        <v>179</v>
      </c>
      <c r="I26" s="61">
        <v>4043.4127833333328</v>
      </c>
      <c r="J26" s="61">
        <v>218.93635060037082</v>
      </c>
    </row>
    <row r="27" spans="1:14" x14ac:dyDescent="0.25">
      <c r="A27" s="61" t="s">
        <v>180</v>
      </c>
      <c r="B27" s="61">
        <v>1684.3653999999999</v>
      </c>
      <c r="D27" s="61" t="s">
        <v>181</v>
      </c>
      <c r="E27" s="61">
        <f>AVERAGE(B13:B14)</f>
        <v>603.52260000000001</v>
      </c>
      <c r="F27" s="61">
        <f>STDEV(B13:B14)/SQRT(2)</f>
        <v>31.9221</v>
      </c>
      <c r="H27" s="61" t="s">
        <v>181</v>
      </c>
      <c r="I27" s="61">
        <v>603.52260000000001</v>
      </c>
      <c r="J27" s="61">
        <v>31.9221</v>
      </c>
    </row>
    <row r="28" spans="1:14" x14ac:dyDescent="0.25">
      <c r="A28" s="61" t="s">
        <v>182</v>
      </c>
      <c r="B28" s="61">
        <v>147.6353</v>
      </c>
      <c r="D28" s="61" t="s">
        <v>183</v>
      </c>
      <c r="E28" s="61">
        <f>AVERAGE(B16:B17)</f>
        <v>5810.4191499999997</v>
      </c>
      <c r="F28" s="61">
        <f>STDEV(B16:B17)/SQRT(2)</f>
        <v>411.91654999999986</v>
      </c>
      <c r="H28" s="61" t="s">
        <v>184</v>
      </c>
      <c r="I28" s="61">
        <v>1548.3046333333332</v>
      </c>
      <c r="J28" s="61">
        <v>207.39018341093546</v>
      </c>
    </row>
    <row r="29" spans="1:14" x14ac:dyDescent="0.25">
      <c r="A29" s="61" t="s">
        <v>185</v>
      </c>
      <c r="B29" s="61">
        <v>1819.6084000000001</v>
      </c>
      <c r="D29" s="61" t="s">
        <v>186</v>
      </c>
      <c r="E29" s="61">
        <f>AVERAGE(B19,B21)</f>
        <v>2427.7874999999999</v>
      </c>
      <c r="F29" s="61">
        <f>STDEV(B19,B21)/SQRT(2)</f>
        <v>175.03799999999998</v>
      </c>
      <c r="H29" s="61" t="s">
        <v>187</v>
      </c>
      <c r="I29" s="61">
        <v>3359.4758000000002</v>
      </c>
      <c r="J29" s="61">
        <v>225.82388147669113</v>
      </c>
    </row>
    <row r="30" spans="1:14" x14ac:dyDescent="0.25">
      <c r="A30" s="61" t="s">
        <v>188</v>
      </c>
      <c r="B30" s="61">
        <v>134.59989999999999</v>
      </c>
      <c r="D30" s="61" t="s">
        <v>189</v>
      </c>
      <c r="E30" s="61">
        <f>AVERAGE(B23,B25)</f>
        <v>1862.325</v>
      </c>
      <c r="F30" s="61">
        <f>STDEV(B23,B25)/SQRT(2)</f>
        <v>338.03969999999953</v>
      </c>
      <c r="H30" s="61" t="s">
        <v>190</v>
      </c>
      <c r="I30" s="61">
        <v>4486.0082499999999</v>
      </c>
      <c r="J30" s="61">
        <v>327.38818016165789</v>
      </c>
    </row>
    <row r="31" spans="1:14" x14ac:dyDescent="0.25">
      <c r="A31" s="61" t="s">
        <v>191</v>
      </c>
      <c r="B31" s="61">
        <v>1140.9401</v>
      </c>
      <c r="D31" s="61" t="s">
        <v>184</v>
      </c>
      <c r="E31" s="61">
        <f>AVERAGE(B27,B29,B31)</f>
        <v>1548.3046333333332</v>
      </c>
      <c r="F31" s="61">
        <f>STDEV(B31,B29,B27)/SQRT(3)</f>
        <v>207.39018341093546</v>
      </c>
      <c r="H31" s="61" t="s">
        <v>192</v>
      </c>
      <c r="I31" s="61">
        <v>1892.7674499999998</v>
      </c>
      <c r="J31" s="61">
        <v>309.27224999999999</v>
      </c>
    </row>
    <row r="32" spans="1:14" x14ac:dyDescent="0.25">
      <c r="A32" s="61" t="s">
        <v>193</v>
      </c>
      <c r="B32" s="61">
        <v>97.368600000000001</v>
      </c>
      <c r="D32" s="61" t="s">
        <v>192</v>
      </c>
      <c r="E32" s="61">
        <f>AVERAGE(B38:B39)</f>
        <v>1892.7674499999998</v>
      </c>
      <c r="F32" s="61">
        <f>STDEV(B38:B39)/SQRT(2)</f>
        <v>309.27224999999999</v>
      </c>
      <c r="H32" s="61" t="s">
        <v>194</v>
      </c>
      <c r="I32" s="61">
        <v>4067.7786999999998</v>
      </c>
      <c r="J32" s="61">
        <v>223.52909999999974</v>
      </c>
    </row>
    <row r="33" spans="1:10" x14ac:dyDescent="0.25">
      <c r="A33" s="61" t="s">
        <v>195</v>
      </c>
      <c r="B33" s="61">
        <v>50.982300000000002</v>
      </c>
      <c r="D33" s="61" t="s">
        <v>194</v>
      </c>
      <c r="E33" s="61">
        <f>AVERAGE(B44:B45)</f>
        <v>4067.7786999999998</v>
      </c>
      <c r="F33" s="61">
        <f>STDEV(B44:B45)/SQRT(2)</f>
        <v>223.52909999999974</v>
      </c>
      <c r="H33" s="61" t="s">
        <v>186</v>
      </c>
      <c r="I33" s="61">
        <v>2427.7874999999999</v>
      </c>
      <c r="J33" s="61">
        <v>175.03799999999998</v>
      </c>
    </row>
    <row r="34" spans="1:10" x14ac:dyDescent="0.25">
      <c r="A34" s="61" t="s">
        <v>196</v>
      </c>
      <c r="B34" s="61">
        <v>3309.0585999999998</v>
      </c>
      <c r="D34" s="61" t="s">
        <v>187</v>
      </c>
      <c r="E34" s="61">
        <f>AVERAGE(B49:B51,B55:B58)</f>
        <v>3359.4758000000002</v>
      </c>
      <c r="F34" s="61">
        <f>STDEV(B49:B51,B55:B58)/SQRT(7)</f>
        <v>225.82388147669113</v>
      </c>
      <c r="H34" s="61" t="s">
        <v>189</v>
      </c>
      <c r="I34" s="61">
        <v>1862.325</v>
      </c>
      <c r="J34" s="61">
        <v>338.03969999999953</v>
      </c>
    </row>
    <row r="35" spans="1:10" x14ac:dyDescent="0.25">
      <c r="A35" s="61" t="s">
        <v>197</v>
      </c>
      <c r="B35" s="61">
        <v>4052.6343999999999</v>
      </c>
      <c r="D35" s="61" t="s">
        <v>132</v>
      </c>
      <c r="E35" s="61">
        <v>10182.6857</v>
      </c>
      <c r="H35" s="61" t="s">
        <v>183</v>
      </c>
      <c r="I35" s="61">
        <v>5810.4191499999997</v>
      </c>
      <c r="J35" s="61">
        <v>411.91654999999986</v>
      </c>
    </row>
    <row r="36" spans="1:10" x14ac:dyDescent="0.25">
      <c r="A36" s="61" t="s">
        <v>198</v>
      </c>
      <c r="B36" s="61">
        <v>98.656800000000004</v>
      </c>
      <c r="D36" s="61" t="s">
        <v>137</v>
      </c>
      <c r="E36" s="61">
        <v>974.87339999999995</v>
      </c>
      <c r="H36" s="61" t="s">
        <v>132</v>
      </c>
      <c r="I36" s="61">
        <v>10182.6857</v>
      </c>
    </row>
    <row r="37" spans="1:10" x14ac:dyDescent="0.25">
      <c r="A37" s="61" t="s">
        <v>199</v>
      </c>
      <c r="B37" s="61">
        <v>47.456200000000003</v>
      </c>
      <c r="D37" s="61" t="s">
        <v>141</v>
      </c>
      <c r="E37" s="61">
        <v>14584.0381</v>
      </c>
      <c r="H37" s="61" t="s">
        <v>137</v>
      </c>
      <c r="I37" s="61">
        <v>974.87339999999995</v>
      </c>
    </row>
    <row r="38" spans="1:10" x14ac:dyDescent="0.25">
      <c r="A38" s="61" t="s">
        <v>200</v>
      </c>
      <c r="B38" s="61">
        <v>2202.0396999999998</v>
      </c>
      <c r="D38" s="61" t="s">
        <v>147</v>
      </c>
      <c r="E38" s="61">
        <v>11800.150766666668</v>
      </c>
      <c r="F38" s="61">
        <v>2394.6661385760963</v>
      </c>
      <c r="H38" s="61" t="s">
        <v>141</v>
      </c>
      <c r="I38" s="61">
        <v>14584.0381</v>
      </c>
    </row>
    <row r="39" spans="1:10" x14ac:dyDescent="0.25">
      <c r="A39" s="61" t="s">
        <v>201</v>
      </c>
      <c r="B39" s="61">
        <v>1583.4952000000001</v>
      </c>
      <c r="D39" s="61" t="s">
        <v>155</v>
      </c>
      <c r="E39" s="61">
        <v>709.83329999999989</v>
      </c>
      <c r="F39" s="61">
        <v>172.49327569406884</v>
      </c>
      <c r="H39" s="61" t="s">
        <v>147</v>
      </c>
      <c r="I39" s="61">
        <v>11800.150766666668</v>
      </c>
      <c r="J39" s="61">
        <v>2394.6661385760999</v>
      </c>
    </row>
    <row r="40" spans="1:10" x14ac:dyDescent="0.25">
      <c r="A40" s="61" t="s">
        <v>202</v>
      </c>
      <c r="B40" s="61">
        <v>44.853900000000003</v>
      </c>
      <c r="D40" s="61" t="s">
        <v>163</v>
      </c>
      <c r="E40" s="61">
        <v>17946.099666666665</v>
      </c>
      <c r="F40" s="61">
        <v>2036.7005200286826</v>
      </c>
      <c r="H40" s="61" t="s">
        <v>155</v>
      </c>
      <c r="I40" s="61">
        <v>709.83329999999989</v>
      </c>
      <c r="J40" s="61">
        <v>172.49327569406884</v>
      </c>
    </row>
    <row r="41" spans="1:10" x14ac:dyDescent="0.25">
      <c r="A41" s="61" t="s">
        <v>203</v>
      </c>
      <c r="B41" s="61">
        <v>3690.9160999999999</v>
      </c>
      <c r="D41" s="61" t="s">
        <v>190</v>
      </c>
      <c r="E41" s="61">
        <f>AVERAGE(B60:B61,B63:B64)</f>
        <v>4486.0082499999999</v>
      </c>
      <c r="F41" s="61">
        <f>STDEV(B60:B61,B63:B64)/2</f>
        <v>327.38818016165789</v>
      </c>
      <c r="H41" s="61" t="s">
        <v>163</v>
      </c>
      <c r="I41" s="61">
        <v>17946.099666666665</v>
      </c>
      <c r="J41" s="61">
        <v>2036.7005200286826</v>
      </c>
    </row>
    <row r="42" spans="1:10" x14ac:dyDescent="0.25">
      <c r="A42" s="61" t="s">
        <v>204</v>
      </c>
      <c r="B42" s="61">
        <v>64.677199999999999</v>
      </c>
    </row>
    <row r="43" spans="1:10" x14ac:dyDescent="0.25">
      <c r="A43" s="61" t="s">
        <v>205</v>
      </c>
      <c r="B43" s="61">
        <v>37.992199999999997</v>
      </c>
    </row>
    <row r="44" spans="1:10" x14ac:dyDescent="0.25">
      <c r="A44" s="61" t="s">
        <v>206</v>
      </c>
      <c r="B44" s="61">
        <v>4291.3077999999996</v>
      </c>
    </row>
    <row r="45" spans="1:10" x14ac:dyDescent="0.25">
      <c r="A45" s="61" t="s">
        <v>207</v>
      </c>
      <c r="B45" s="61">
        <v>3844.2496000000001</v>
      </c>
    </row>
    <row r="46" spans="1:10" x14ac:dyDescent="0.25">
      <c r="A46" s="61" t="s">
        <v>208</v>
      </c>
      <c r="B46" s="61">
        <v>50.814399999999999</v>
      </c>
    </row>
    <row r="47" spans="1:10" x14ac:dyDescent="0.25">
      <c r="A47" s="61" t="s">
        <v>209</v>
      </c>
      <c r="B47" s="61">
        <v>62.249899999999997</v>
      </c>
    </row>
    <row r="48" spans="1:10" x14ac:dyDescent="0.25">
      <c r="A48" s="61" t="s">
        <v>210</v>
      </c>
      <c r="B48" s="61">
        <v>166.8115</v>
      </c>
    </row>
    <row r="49" spans="1:2" x14ac:dyDescent="0.25">
      <c r="A49" s="61" t="s">
        <v>211</v>
      </c>
      <c r="B49" s="61">
        <v>3811.8283999999999</v>
      </c>
    </row>
    <row r="50" spans="1:2" x14ac:dyDescent="0.25">
      <c r="A50" s="61" t="s">
        <v>212</v>
      </c>
      <c r="B50" s="61">
        <v>4154.7579999999998</v>
      </c>
    </row>
    <row r="51" spans="1:2" x14ac:dyDescent="0.25">
      <c r="A51" s="61" t="s">
        <v>213</v>
      </c>
      <c r="B51" s="61">
        <v>2273.0850999999998</v>
      </c>
    </row>
    <row r="52" spans="1:2" x14ac:dyDescent="0.25">
      <c r="A52" s="61" t="s">
        <v>214</v>
      </c>
      <c r="B52" s="61">
        <v>193.2396</v>
      </c>
    </row>
    <row r="53" spans="1:2" x14ac:dyDescent="0.25">
      <c r="A53" s="61" t="s">
        <v>215</v>
      </c>
      <c r="B53" s="61">
        <v>74.387600000000006</v>
      </c>
    </row>
    <row r="54" spans="1:2" x14ac:dyDescent="0.25">
      <c r="A54" s="61" t="s">
        <v>216</v>
      </c>
      <c r="B54" s="61">
        <v>184.3828</v>
      </c>
    </row>
    <row r="55" spans="1:2" x14ac:dyDescent="0.25">
      <c r="A55" s="61" t="s">
        <v>217</v>
      </c>
      <c r="B55" s="61">
        <v>3292.0149999999999</v>
      </c>
    </row>
    <row r="56" spans="1:2" x14ac:dyDescent="0.25">
      <c r="A56" s="61" t="s">
        <v>218</v>
      </c>
      <c r="B56" s="61">
        <v>3095.4647</v>
      </c>
    </row>
    <row r="57" spans="1:2" x14ac:dyDescent="0.25">
      <c r="A57" s="61" t="s">
        <v>219</v>
      </c>
      <c r="B57" s="61">
        <v>3578.3186999999998</v>
      </c>
    </row>
    <row r="58" spans="1:2" x14ac:dyDescent="0.25">
      <c r="A58" s="61" t="s">
        <v>220</v>
      </c>
      <c r="B58" s="61">
        <v>3310.8607000000002</v>
      </c>
    </row>
    <row r="59" spans="1:2" x14ac:dyDescent="0.25">
      <c r="A59" s="61" t="s">
        <v>221</v>
      </c>
      <c r="B59" s="61">
        <v>84.127099999999999</v>
      </c>
    </row>
    <row r="60" spans="1:2" x14ac:dyDescent="0.25">
      <c r="A60" s="61" t="s">
        <v>222</v>
      </c>
      <c r="B60" s="61">
        <v>4958.223</v>
      </c>
    </row>
    <row r="61" spans="1:2" x14ac:dyDescent="0.25">
      <c r="A61" s="61" t="s">
        <v>223</v>
      </c>
      <c r="B61" s="61">
        <v>5134.3649999999998</v>
      </c>
    </row>
    <row r="62" spans="1:2" x14ac:dyDescent="0.25">
      <c r="A62" s="61" t="s">
        <v>224</v>
      </c>
      <c r="B62" s="61">
        <v>71.914100000000005</v>
      </c>
    </row>
    <row r="63" spans="1:2" x14ac:dyDescent="0.25">
      <c r="A63" s="61" t="s">
        <v>225</v>
      </c>
      <c r="B63" s="61">
        <v>4012.3330000000001</v>
      </c>
    </row>
    <row r="64" spans="1:2" x14ac:dyDescent="0.25">
      <c r="A64" s="61" t="s">
        <v>226</v>
      </c>
      <c r="B64" s="61">
        <v>3839.1120000000001</v>
      </c>
    </row>
    <row r="66" spans="1:2" x14ac:dyDescent="0.25">
      <c r="A66" s="61" t="s">
        <v>227</v>
      </c>
      <c r="B66" s="61">
        <v>13340.659</v>
      </c>
    </row>
    <row r="67" spans="1:2" x14ac:dyDescent="0.25">
      <c r="A67" s="61" t="s">
        <v>228</v>
      </c>
      <c r="B67" s="61">
        <v>14250.370999999999</v>
      </c>
    </row>
    <row r="68" spans="1:2" x14ac:dyDescent="0.25">
      <c r="A68" s="61" t="s">
        <v>229</v>
      </c>
      <c r="B68" s="61">
        <v>3909.7570000000001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selection activeCell="I54" sqref="I54"/>
    </sheetView>
  </sheetViews>
  <sheetFormatPr defaultRowHeight="15" x14ac:dyDescent="0.25"/>
  <cols>
    <col min="1" max="1" width="20" customWidth="1"/>
  </cols>
  <sheetData>
    <row r="1" spans="1:6" x14ac:dyDescent="0.25">
      <c r="A1" t="s">
        <v>110</v>
      </c>
    </row>
    <row r="4" spans="1:6" x14ac:dyDescent="0.25">
      <c r="A4" s="43" t="s">
        <v>113</v>
      </c>
      <c r="F4" t="s">
        <v>78</v>
      </c>
    </row>
    <row r="5" spans="1:6" x14ac:dyDescent="0.25">
      <c r="A5" s="44"/>
      <c r="B5" s="45" t="s">
        <v>69</v>
      </c>
      <c r="F5" s="40" t="s">
        <v>69</v>
      </c>
    </row>
    <row r="6" spans="1:6" x14ac:dyDescent="0.25">
      <c r="A6" s="40" t="s">
        <v>82</v>
      </c>
      <c r="B6" s="40">
        <v>82</v>
      </c>
      <c r="F6" s="41">
        <f>B6/B8*100</f>
        <v>82</v>
      </c>
    </row>
    <row r="7" spans="1:6" x14ac:dyDescent="0.25">
      <c r="A7" s="40" t="s">
        <v>83</v>
      </c>
      <c r="B7" s="40">
        <v>18</v>
      </c>
      <c r="F7" s="41">
        <f>B7/B8*100</f>
        <v>18</v>
      </c>
    </row>
    <row r="8" spans="1:6" x14ac:dyDescent="0.25">
      <c r="A8" s="40" t="s">
        <v>68</v>
      </c>
      <c r="B8" s="40">
        <f>SUM(B6:B7)</f>
        <v>100</v>
      </c>
      <c r="F8" s="40">
        <f>F6+F7</f>
        <v>100</v>
      </c>
    </row>
    <row r="11" spans="1:6" x14ac:dyDescent="0.25">
      <c r="A11" s="43" t="s">
        <v>114</v>
      </c>
      <c r="F11" t="s">
        <v>78</v>
      </c>
    </row>
    <row r="12" spans="1:6" x14ac:dyDescent="0.25">
      <c r="A12" s="44"/>
      <c r="B12" s="45" t="s">
        <v>69</v>
      </c>
      <c r="F12" s="40" t="s">
        <v>69</v>
      </c>
    </row>
    <row r="13" spans="1:6" x14ac:dyDescent="0.25">
      <c r="A13" s="40" t="s">
        <v>82</v>
      </c>
      <c r="B13" s="40">
        <v>84</v>
      </c>
      <c r="F13" s="41">
        <f>B13/B15*100</f>
        <v>84</v>
      </c>
    </row>
    <row r="14" spans="1:6" x14ac:dyDescent="0.25">
      <c r="A14" s="40" t="s">
        <v>83</v>
      </c>
      <c r="B14" s="40">
        <v>16</v>
      </c>
      <c r="F14" s="41">
        <f>B14/B15*100</f>
        <v>16</v>
      </c>
    </row>
    <row r="15" spans="1:6" x14ac:dyDescent="0.25">
      <c r="A15" s="40" t="s">
        <v>68</v>
      </c>
      <c r="B15" s="40">
        <f>SUM(B13:B14)</f>
        <v>100</v>
      </c>
      <c r="F15" s="40">
        <f>F13+F14</f>
        <v>100</v>
      </c>
    </row>
    <row r="18" spans="1:6" x14ac:dyDescent="0.25">
      <c r="A18" s="43" t="s">
        <v>115</v>
      </c>
      <c r="F18" t="s">
        <v>78</v>
      </c>
    </row>
    <row r="19" spans="1:6" x14ac:dyDescent="0.25">
      <c r="A19" s="44"/>
      <c r="B19" s="45" t="s">
        <v>69</v>
      </c>
      <c r="F19" s="40" t="s">
        <v>69</v>
      </c>
    </row>
    <row r="20" spans="1:6" x14ac:dyDescent="0.25">
      <c r="A20" s="40" t="s">
        <v>82</v>
      </c>
      <c r="B20" s="40">
        <v>97</v>
      </c>
      <c r="F20" s="41">
        <f>B20/B22*100</f>
        <v>97</v>
      </c>
    </row>
    <row r="21" spans="1:6" x14ac:dyDescent="0.25">
      <c r="A21" s="40" t="s">
        <v>83</v>
      </c>
      <c r="B21" s="40">
        <v>3</v>
      </c>
      <c r="F21" s="41">
        <f>B21/B22*100</f>
        <v>3</v>
      </c>
    </row>
    <row r="22" spans="1:6" x14ac:dyDescent="0.25">
      <c r="A22" s="40" t="s">
        <v>68</v>
      </c>
      <c r="B22" s="40">
        <f>SUM(B20:B21)</f>
        <v>100</v>
      </c>
      <c r="F22" s="40">
        <f>F20+F21</f>
        <v>100</v>
      </c>
    </row>
    <row r="25" spans="1:6" x14ac:dyDescent="0.25">
      <c r="A25" s="43" t="s">
        <v>116</v>
      </c>
      <c r="F25" t="s">
        <v>78</v>
      </c>
    </row>
    <row r="26" spans="1:6" x14ac:dyDescent="0.25">
      <c r="A26" s="44"/>
      <c r="B26" s="45" t="s">
        <v>69</v>
      </c>
      <c r="F26" s="40" t="s">
        <v>69</v>
      </c>
    </row>
    <row r="27" spans="1:6" x14ac:dyDescent="0.25">
      <c r="A27" s="40" t="s">
        <v>82</v>
      </c>
      <c r="B27" s="40">
        <v>97</v>
      </c>
      <c r="F27" s="41">
        <f>B27/B29*100</f>
        <v>97</v>
      </c>
    </row>
    <row r="28" spans="1:6" x14ac:dyDescent="0.25">
      <c r="A28" s="40" t="s">
        <v>83</v>
      </c>
      <c r="B28" s="40">
        <v>3</v>
      </c>
      <c r="F28" s="41">
        <f>B28/B29*100</f>
        <v>3</v>
      </c>
    </row>
    <row r="29" spans="1:6" x14ac:dyDescent="0.25">
      <c r="A29" s="40" t="s">
        <v>68</v>
      </c>
      <c r="B29" s="40">
        <f>SUM(B27:B28)</f>
        <v>100</v>
      </c>
      <c r="F29" s="40">
        <f>F27+F28</f>
        <v>100</v>
      </c>
    </row>
    <row r="32" spans="1:6" x14ac:dyDescent="0.25">
      <c r="A32" s="43" t="s">
        <v>117</v>
      </c>
      <c r="F32" t="s">
        <v>78</v>
      </c>
    </row>
    <row r="33" spans="1:6" x14ac:dyDescent="0.25">
      <c r="A33" s="44"/>
      <c r="B33" s="45" t="s">
        <v>69</v>
      </c>
      <c r="F33" s="40" t="s">
        <v>69</v>
      </c>
    </row>
    <row r="34" spans="1:6" x14ac:dyDescent="0.25">
      <c r="A34" s="40" t="s">
        <v>82</v>
      </c>
      <c r="B34" s="40">
        <v>87</v>
      </c>
      <c r="F34" s="41">
        <f>B34/B36*100</f>
        <v>87</v>
      </c>
    </row>
    <row r="35" spans="1:6" x14ac:dyDescent="0.25">
      <c r="A35" s="40" t="s">
        <v>83</v>
      </c>
      <c r="B35" s="40">
        <v>13</v>
      </c>
      <c r="F35" s="41">
        <f>B35/B36*100</f>
        <v>13</v>
      </c>
    </row>
    <row r="36" spans="1:6" x14ac:dyDescent="0.25">
      <c r="A36" s="40" t="s">
        <v>68</v>
      </c>
      <c r="B36" s="40">
        <f>SUM(B34:B35)</f>
        <v>100</v>
      </c>
      <c r="F36" s="40">
        <f>F34+F35</f>
        <v>100</v>
      </c>
    </row>
    <row r="39" spans="1:6" x14ac:dyDescent="0.25">
      <c r="A39" s="43" t="s">
        <v>118</v>
      </c>
      <c r="F39" t="s">
        <v>78</v>
      </c>
    </row>
    <row r="40" spans="1:6" x14ac:dyDescent="0.25">
      <c r="A40" s="44"/>
      <c r="B40" s="45" t="s">
        <v>69</v>
      </c>
      <c r="F40" s="40" t="s">
        <v>69</v>
      </c>
    </row>
    <row r="41" spans="1:6" x14ac:dyDescent="0.25">
      <c r="A41" s="40" t="s">
        <v>82</v>
      </c>
      <c r="B41" s="40">
        <v>77</v>
      </c>
      <c r="F41" s="41">
        <f>B41/B43*100</f>
        <v>77</v>
      </c>
    </row>
    <row r="42" spans="1:6" x14ac:dyDescent="0.25">
      <c r="A42" s="40" t="s">
        <v>83</v>
      </c>
      <c r="B42" s="40">
        <v>23</v>
      </c>
      <c r="F42" s="41">
        <f>B42/B43*100</f>
        <v>23</v>
      </c>
    </row>
    <row r="43" spans="1:6" x14ac:dyDescent="0.25">
      <c r="A43" s="40" t="s">
        <v>68</v>
      </c>
      <c r="B43" s="40">
        <f>SUM(B41:B42)</f>
        <v>100</v>
      </c>
      <c r="F43" s="40">
        <f>F41+F42</f>
        <v>100</v>
      </c>
    </row>
    <row r="46" spans="1:6" x14ac:dyDescent="0.25">
      <c r="A46" s="43" t="s">
        <v>119</v>
      </c>
      <c r="F46" t="s">
        <v>78</v>
      </c>
    </row>
    <row r="47" spans="1:6" x14ac:dyDescent="0.25">
      <c r="A47" s="44"/>
      <c r="B47" s="45" t="s">
        <v>69</v>
      </c>
      <c r="F47" s="40" t="s">
        <v>69</v>
      </c>
    </row>
    <row r="48" spans="1:6" x14ac:dyDescent="0.25">
      <c r="A48" s="40" t="s">
        <v>82</v>
      </c>
      <c r="B48" s="40">
        <v>79</v>
      </c>
      <c r="F48" s="41">
        <f>B48/B50*100</f>
        <v>79</v>
      </c>
    </row>
    <row r="49" spans="1:6" x14ac:dyDescent="0.25">
      <c r="A49" s="40" t="s">
        <v>83</v>
      </c>
      <c r="B49" s="40">
        <v>21</v>
      </c>
      <c r="F49" s="41">
        <f>B49/B50*100</f>
        <v>21</v>
      </c>
    </row>
    <row r="50" spans="1:6" x14ac:dyDescent="0.25">
      <c r="A50" s="40" t="s">
        <v>68</v>
      </c>
      <c r="B50" s="40">
        <f>SUM(B48:B49)</f>
        <v>100</v>
      </c>
      <c r="F50" s="40">
        <f>F48+F49</f>
        <v>100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D27" sqref="D27"/>
    </sheetView>
  </sheetViews>
  <sheetFormatPr defaultColWidth="10.85546875" defaultRowHeight="15.75" x14ac:dyDescent="0.25"/>
  <cols>
    <col min="1" max="1" width="19.5703125" style="57" bestFit="1" customWidth="1"/>
    <col min="2" max="16384" width="10.85546875" style="57"/>
  </cols>
  <sheetData>
    <row r="1" spans="1:5" x14ac:dyDescent="0.25">
      <c r="A1" s="55" t="s">
        <v>300</v>
      </c>
      <c r="B1" s="56" t="s">
        <v>69</v>
      </c>
      <c r="C1" s="57" t="s">
        <v>70</v>
      </c>
      <c r="D1" s="57" t="s">
        <v>73</v>
      </c>
      <c r="E1" s="57" t="s">
        <v>301</v>
      </c>
    </row>
    <row r="2" spans="1:5" x14ac:dyDescent="0.25">
      <c r="A2" s="1" t="s">
        <v>302</v>
      </c>
      <c r="B2" s="58">
        <v>1.6767221717733775E-3</v>
      </c>
      <c r="C2" s="57">
        <v>1.1369125780785053E-3</v>
      </c>
      <c r="D2" s="58">
        <f>AVERAGE(B2:C2)</f>
        <v>1.4068173749259413E-3</v>
      </c>
      <c r="E2" s="58">
        <f>STDEV(B2:C2)/SQRT(2)</f>
        <v>2.6990479684743608E-4</v>
      </c>
    </row>
    <row r="3" spans="1:5" x14ac:dyDescent="0.25">
      <c r="A3" s="1" t="s">
        <v>303</v>
      </c>
      <c r="B3" s="58">
        <v>2.1432886245259641E-4</v>
      </c>
      <c r="C3" s="57">
        <v>2.8891523692475775E-4</v>
      </c>
      <c r="D3" s="58">
        <f t="shared" ref="D3:D9" si="0">AVERAGE(B3:C3)</f>
        <v>2.5162204968867707E-4</v>
      </c>
      <c r="E3" s="58">
        <f t="shared" ref="E3:E9" si="1">STDEV(B3:C3)/SQRT(2)</f>
        <v>3.7293187236080668E-5</v>
      </c>
    </row>
    <row r="4" spans="1:5" x14ac:dyDescent="0.25">
      <c r="A4" s="1" t="s">
        <v>304</v>
      </c>
      <c r="B4" s="58">
        <v>5.0194843634894721E-4</v>
      </c>
      <c r="C4" s="57">
        <v>4.6518703926584962E-4</v>
      </c>
      <c r="D4" s="58">
        <f t="shared" si="0"/>
        <v>4.8356773780739842E-4</v>
      </c>
      <c r="E4" s="58">
        <f t="shared" si="1"/>
        <v>1.838069854154879E-5</v>
      </c>
    </row>
    <row r="5" spans="1:5" x14ac:dyDescent="0.25">
      <c r="A5" s="1" t="s">
        <v>305</v>
      </c>
      <c r="B5" s="58">
        <v>1.0808502216298392E-3</v>
      </c>
      <c r="C5" s="57">
        <v>1.6456408245178866E-3</v>
      </c>
      <c r="D5" s="58">
        <f t="shared" si="0"/>
        <v>1.3632455230738628E-3</v>
      </c>
      <c r="E5" s="58">
        <f t="shared" si="1"/>
        <v>2.8239530144402361E-4</v>
      </c>
    </row>
    <row r="6" spans="1:5" x14ac:dyDescent="0.25">
      <c r="A6" s="1" t="s">
        <v>306</v>
      </c>
      <c r="B6" s="58">
        <v>9.8118795800147623E-4</v>
      </c>
      <c r="C6" s="57">
        <v>1.7990075490028361E-3</v>
      </c>
      <c r="D6" s="58">
        <f t="shared" si="0"/>
        <v>1.3900977535021561E-3</v>
      </c>
      <c r="E6" s="58">
        <f t="shared" si="1"/>
        <v>4.0890979550067992E-4</v>
      </c>
    </row>
    <row r="7" spans="1:5" x14ac:dyDescent="0.25">
      <c r="A7" s="1" t="s">
        <v>307</v>
      </c>
      <c r="B7" s="58">
        <v>2.6643703501518911E-4</v>
      </c>
      <c r="C7" s="57">
        <v>2.6341991570813078E-4</v>
      </c>
      <c r="D7" s="58">
        <f t="shared" si="0"/>
        <v>2.6492847536165997E-4</v>
      </c>
      <c r="E7" s="58">
        <f t="shared" si="1"/>
        <v>1.5085596535291672E-6</v>
      </c>
    </row>
    <row r="8" spans="1:5" x14ac:dyDescent="0.25">
      <c r="A8" s="1" t="s">
        <v>308</v>
      </c>
      <c r="B8" s="58">
        <v>3.0410377470786037E-4</v>
      </c>
      <c r="C8" s="57">
        <v>8.4548980425786012E-4</v>
      </c>
      <c r="D8" s="58">
        <f t="shared" si="0"/>
        <v>5.7479678948286019E-4</v>
      </c>
      <c r="E8" s="58">
        <f t="shared" si="1"/>
        <v>2.7069301477499987E-4</v>
      </c>
    </row>
    <row r="9" spans="1:5" x14ac:dyDescent="0.25">
      <c r="A9" s="1" t="s">
        <v>309</v>
      </c>
      <c r="B9" s="58">
        <v>6.0384063434765938E-4</v>
      </c>
      <c r="C9" s="57">
        <v>1.65962792224374E-3</v>
      </c>
      <c r="D9" s="58">
        <f t="shared" si="0"/>
        <v>1.1317342782956998E-3</v>
      </c>
      <c r="E9" s="58">
        <f t="shared" si="1"/>
        <v>5.2789364394804027E-4</v>
      </c>
    </row>
    <row r="10" spans="1:5" x14ac:dyDescent="0.25">
      <c r="A10"/>
      <c r="B10"/>
      <c r="D10" s="58"/>
      <c r="E10" s="58"/>
    </row>
    <row r="11" spans="1:5" x14ac:dyDescent="0.25">
      <c r="A11"/>
      <c r="B11"/>
      <c r="D11" s="58"/>
      <c r="E11" s="58"/>
    </row>
    <row r="12" spans="1:5" x14ac:dyDescent="0.25">
      <c r="A12"/>
      <c r="B12"/>
      <c r="D12" s="58"/>
      <c r="E12" s="58"/>
    </row>
    <row r="13" spans="1:5" x14ac:dyDescent="0.25">
      <c r="A13"/>
      <c r="B13"/>
      <c r="D13" s="58"/>
      <c r="E13" s="58"/>
    </row>
    <row r="14" spans="1:5" x14ac:dyDescent="0.25">
      <c r="A14"/>
      <c r="B14"/>
      <c r="D14" s="58"/>
      <c r="E14" s="58"/>
    </row>
    <row r="15" spans="1:5" x14ac:dyDescent="0.25">
      <c r="A15" t="s">
        <v>310</v>
      </c>
      <c r="B15"/>
      <c r="D15" s="58"/>
      <c r="E15" s="58"/>
    </row>
    <row r="16" spans="1:5" x14ac:dyDescent="0.25">
      <c r="A16"/>
      <c r="B16"/>
      <c r="D16" s="58"/>
      <c r="E16" s="58"/>
    </row>
    <row r="17" spans="1:5" x14ac:dyDescent="0.25">
      <c r="A17"/>
      <c r="B17"/>
      <c r="D17" s="58"/>
      <c r="E17" s="58"/>
    </row>
    <row r="18" spans="1:5" x14ac:dyDescent="0.25">
      <c r="D18" s="58"/>
      <c r="E18" s="58"/>
    </row>
    <row r="19" spans="1:5" x14ac:dyDescent="0.25">
      <c r="D19" s="58"/>
      <c r="E19" s="58"/>
    </row>
    <row r="20" spans="1:5" x14ac:dyDescent="0.25">
      <c r="D20" s="58"/>
      <c r="E20" s="58"/>
    </row>
    <row r="21" spans="1:5" x14ac:dyDescent="0.25">
      <c r="D21" s="58"/>
      <c r="E21" s="58"/>
    </row>
    <row r="22" spans="1:5" x14ac:dyDescent="0.25">
      <c r="D22" s="58"/>
      <c r="E22" s="58"/>
    </row>
    <row r="23" spans="1:5" x14ac:dyDescent="0.25">
      <c r="D23" s="58"/>
      <c r="E23" s="58"/>
    </row>
    <row r="24" spans="1:5" x14ac:dyDescent="0.25">
      <c r="D24" s="58"/>
      <c r="E24" s="58"/>
    </row>
    <row r="25" spans="1:5" x14ac:dyDescent="0.25">
      <c r="A25" s="59"/>
      <c r="D25" s="58"/>
      <c r="E25" s="58"/>
    </row>
    <row r="26" spans="1:5" x14ac:dyDescent="0.25">
      <c r="A26" s="59"/>
      <c r="D26" s="58"/>
      <c r="E26" s="58"/>
    </row>
    <row r="27" spans="1:5" x14ac:dyDescent="0.25">
      <c r="A27" s="59"/>
      <c r="D27" s="58"/>
      <c r="E27" s="58"/>
    </row>
    <row r="28" spans="1:5" x14ac:dyDescent="0.25">
      <c r="A28" s="59"/>
      <c r="D28" s="58"/>
      <c r="E28" s="58"/>
    </row>
    <row r="29" spans="1:5" x14ac:dyDescent="0.25">
      <c r="A29" s="59"/>
      <c r="D29" s="58"/>
      <c r="E29" s="58"/>
    </row>
    <row r="30" spans="1:5" x14ac:dyDescent="0.25">
      <c r="A30" s="59"/>
      <c r="D30" s="58"/>
      <c r="E30" s="58"/>
    </row>
    <row r="33" spans="1:2" x14ac:dyDescent="0.25">
      <c r="A33" s="58"/>
      <c r="B33" s="58"/>
    </row>
    <row r="34" spans="1:2" x14ac:dyDescent="0.25">
      <c r="A34" s="58"/>
      <c r="B34" s="58"/>
    </row>
    <row r="35" spans="1:2" x14ac:dyDescent="0.25">
      <c r="A35" s="58"/>
      <c r="B35" s="58"/>
    </row>
    <row r="36" spans="1:2" x14ac:dyDescent="0.25">
      <c r="A36" s="58"/>
      <c r="B36" s="58"/>
    </row>
    <row r="37" spans="1:2" x14ac:dyDescent="0.25">
      <c r="A37" s="58"/>
      <c r="B37" s="58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I34" sqref="I34"/>
    </sheetView>
  </sheetViews>
  <sheetFormatPr defaultRowHeight="15" x14ac:dyDescent="0.25"/>
  <cols>
    <col min="1" max="1" width="34.42578125" customWidth="1"/>
  </cols>
  <sheetData>
    <row r="1" spans="1:8" x14ac:dyDescent="0.25">
      <c r="A1" t="s">
        <v>111</v>
      </c>
    </row>
    <row r="4" spans="1:8" x14ac:dyDescent="0.25">
      <c r="A4" s="43" t="s">
        <v>100</v>
      </c>
      <c r="F4" t="s">
        <v>78</v>
      </c>
    </row>
    <row r="5" spans="1:8" x14ac:dyDescent="0.25">
      <c r="A5" s="44"/>
      <c r="B5" s="40" t="s">
        <v>69</v>
      </c>
      <c r="C5" s="40" t="s">
        <v>70</v>
      </c>
      <c r="F5" s="40" t="s">
        <v>69</v>
      </c>
      <c r="G5" s="40" t="s">
        <v>70</v>
      </c>
      <c r="H5" s="49" t="s">
        <v>106</v>
      </c>
    </row>
    <row r="6" spans="1:8" x14ac:dyDescent="0.25">
      <c r="A6" s="40" t="s">
        <v>82</v>
      </c>
      <c r="B6" s="40">
        <v>260</v>
      </c>
      <c r="C6" s="40">
        <v>271</v>
      </c>
      <c r="F6" s="41">
        <f>B6/B8*100</f>
        <v>85.245901639344254</v>
      </c>
      <c r="G6" s="41">
        <f>C6/C8*100</f>
        <v>87.41935483870968</v>
      </c>
      <c r="H6" s="41">
        <f>MEDIAN(F6:G6)</f>
        <v>86.332628239026974</v>
      </c>
    </row>
    <row r="7" spans="1:8" x14ac:dyDescent="0.25">
      <c r="A7" s="40" t="s">
        <v>83</v>
      </c>
      <c r="B7" s="40">
        <v>45</v>
      </c>
      <c r="C7" s="40">
        <v>39</v>
      </c>
      <c r="F7" s="41">
        <f>B7/B8*100</f>
        <v>14.754098360655737</v>
      </c>
      <c r="G7" s="41">
        <f>C7/C8*100</f>
        <v>12.580645161290322</v>
      </c>
      <c r="H7" s="41">
        <f>MEDIAN(F7:G7)</f>
        <v>13.66737176097303</v>
      </c>
    </row>
    <row r="8" spans="1:8" x14ac:dyDescent="0.25">
      <c r="A8" s="40" t="s">
        <v>68</v>
      </c>
      <c r="B8" s="40">
        <f>SUM(B6:B7)</f>
        <v>305</v>
      </c>
      <c r="C8" s="40">
        <f>SUM(C6:C7)</f>
        <v>310</v>
      </c>
      <c r="F8" s="40">
        <f>F6+F7</f>
        <v>99.999999999999986</v>
      </c>
      <c r="G8" s="40">
        <f>G6+G7</f>
        <v>100</v>
      </c>
      <c r="H8" s="40"/>
    </row>
    <row r="11" spans="1:8" x14ac:dyDescent="0.25">
      <c r="A11" s="43" t="s">
        <v>102</v>
      </c>
      <c r="F11" t="s">
        <v>78</v>
      </c>
    </row>
    <row r="12" spans="1:8" x14ac:dyDescent="0.25">
      <c r="A12" s="44"/>
      <c r="B12" s="40" t="s">
        <v>69</v>
      </c>
      <c r="F12" s="40" t="s">
        <v>69</v>
      </c>
    </row>
    <row r="13" spans="1:8" x14ac:dyDescent="0.25">
      <c r="A13" s="40" t="s">
        <v>82</v>
      </c>
      <c r="B13" s="40">
        <v>387</v>
      </c>
      <c r="F13" s="41">
        <f>B13/B15*100</f>
        <v>92.142857142857139</v>
      </c>
    </row>
    <row r="14" spans="1:8" x14ac:dyDescent="0.25">
      <c r="A14" s="40" t="s">
        <v>83</v>
      </c>
      <c r="B14" s="40">
        <v>33</v>
      </c>
      <c r="F14" s="41">
        <f>B14/B15*100</f>
        <v>7.8571428571428568</v>
      </c>
    </row>
    <row r="15" spans="1:8" x14ac:dyDescent="0.25">
      <c r="A15" s="40" t="s">
        <v>68</v>
      </c>
      <c r="B15" s="40">
        <f>SUM(B13:B14)</f>
        <v>420</v>
      </c>
      <c r="F15" s="40">
        <f>F13+F14</f>
        <v>100</v>
      </c>
    </row>
    <row r="18" spans="1:6" x14ac:dyDescent="0.25">
      <c r="A18" s="43" t="s">
        <v>103</v>
      </c>
      <c r="F18" t="s">
        <v>78</v>
      </c>
    </row>
    <row r="19" spans="1:6" x14ac:dyDescent="0.25">
      <c r="A19" s="44"/>
      <c r="B19" s="40" t="s">
        <v>70</v>
      </c>
      <c r="F19" s="40" t="s">
        <v>69</v>
      </c>
    </row>
    <row r="20" spans="1:6" x14ac:dyDescent="0.25">
      <c r="A20" s="40" t="s">
        <v>82</v>
      </c>
      <c r="B20" s="40">
        <v>184</v>
      </c>
      <c r="F20" s="41">
        <f>B20/B22*100</f>
        <v>92</v>
      </c>
    </row>
    <row r="21" spans="1:6" x14ac:dyDescent="0.25">
      <c r="A21" s="40" t="s">
        <v>83</v>
      </c>
      <c r="B21" s="40">
        <v>16</v>
      </c>
      <c r="F21" s="41">
        <f>B21/B22*100</f>
        <v>8</v>
      </c>
    </row>
    <row r="22" spans="1:6" x14ac:dyDescent="0.25">
      <c r="A22" s="40" t="s">
        <v>68</v>
      </c>
      <c r="B22" s="40">
        <f>SUM(B20:B21)</f>
        <v>200</v>
      </c>
      <c r="F22" s="40">
        <f>F20+F21</f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ChIPCalibration</vt:lpstr>
      <vt:lpstr>Fig.5a</vt:lpstr>
      <vt:lpstr>Fig.S1b</vt:lpstr>
      <vt:lpstr>Fig.S2d</vt:lpstr>
      <vt:lpstr>FigS2e. iXist-chr3</vt:lpstr>
      <vt:lpstr>FigS2e. iXist-chrX</vt:lpstr>
      <vt:lpstr>Fig.S3b</vt:lpstr>
      <vt:lpstr>FigS3d</vt:lpstr>
      <vt:lpstr>Fig.S4d</vt:lpstr>
      <vt:lpstr>Fig.S6a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Bowness</dc:creator>
  <cp:lastModifiedBy>Tatyana Nesterova</cp:lastModifiedBy>
  <cp:lastPrinted>2018-08-17T09:53:38Z</cp:lastPrinted>
  <dcterms:created xsi:type="dcterms:W3CDTF">2018-08-17T08:51:08Z</dcterms:created>
  <dcterms:modified xsi:type="dcterms:W3CDTF">2019-06-17T13:34:45Z</dcterms:modified>
</cp:coreProperties>
</file>