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duijf/Desktop/___Lab temp/(new) Chromosome arms/_____(1-3) Nature Communications/(3) Revision #2/_Files for upload/"/>
    </mc:Choice>
  </mc:AlternateContent>
  <xr:revisionPtr revIDLastSave="0" documentId="13_ncr:1_{6BAD85CB-110F-2F4A-B098-30B86BB6A4E4}" xr6:coauthVersionLast="36" xr6:coauthVersionMax="36" xr10:uidLastSave="{00000000-0000-0000-0000-000000000000}"/>
  <bookViews>
    <workbookView xWindow="260" yWindow="460" windowWidth="28000" windowHeight="16580" xr2:uid="{0C43837D-11E0-4348-9D54-1B052246BCCB}"/>
  </bookViews>
  <sheets>
    <sheet name="Supplementary Data 4" sheetId="18" r:id="rId1"/>
  </sheets>
  <definedNames>
    <definedName name="rstudio_console_output1" localSheetId="0">'Supplementary Data 4'!#REF!</definedName>
    <definedName name="rstudio_console_output29" localSheetId="0">'Supplementary Data 4'!#REF!</definedName>
    <definedName name="rstudio_console_output3" localSheetId="0">'Supplementary Data 4'!#REF!</definedName>
    <definedName name="rstudio_console_output31" localSheetId="0">'Supplementary Data 4'!#REF!</definedName>
    <definedName name="rstudio_console_output33" localSheetId="0">'Supplementary Data 4'!#REF!</definedName>
    <definedName name="rstudio_console_output35" localSheetId="0">'Supplementary Data 4'!#REF!</definedName>
    <definedName name="rstudio_console_output36" localSheetId="0">'Supplementary Data 4'!#REF!</definedName>
    <definedName name="rstudio_console_output38" localSheetId="0">'Supplementary Data 4'!#REF!</definedName>
    <definedName name="rstudio_console_output40" localSheetId="0">'Supplementary Data 4'!#REF!</definedName>
    <definedName name="rstudio_console_output42" localSheetId="0">'Supplementary Data 4'!#REF!</definedName>
    <definedName name="rstudio_console_output44" localSheetId="0">'Supplementary Data 4'!#REF!</definedName>
    <definedName name="rstudio_console_output46" localSheetId="0">'Supplementary Data 4'!#REF!</definedName>
    <definedName name="rstudio_console_output48" localSheetId="0">'Supplementary Data 4'!#REF!</definedName>
    <definedName name="rstudio_console_output50" localSheetId="0">'Supplementary Data 4'!#REF!</definedName>
    <definedName name="rstudio_console_output52" localSheetId="0">'Supplementary Data 4'!#REF!</definedName>
    <definedName name="rstudio_console_output54" localSheetId="0">'Supplementary Data 4'!#REF!</definedName>
    <definedName name="rstudio_console_output56" localSheetId="0">'Supplementary Data 4'!#REF!</definedName>
    <definedName name="rstudio_console_output58" localSheetId="0">'Supplementary Data 4'!#REF!</definedName>
    <definedName name="rstudio_console_output59" localSheetId="0">'Supplementary Data 4'!#REF!</definedName>
    <definedName name="rstudio_console_output61" localSheetId="0">'Supplementary Data 4'!#REF!</definedName>
    <definedName name="rstudio_console_output62" localSheetId="0">'Supplementary Data 4'!#REF!</definedName>
    <definedName name="rstudio_console_output64" localSheetId="0">'Supplementary Data 4'!#REF!</definedName>
    <definedName name="rstudio_console_output66" localSheetId="0">'Supplementary Data 4'!#REF!</definedName>
    <definedName name="rstudio_console_output67" localSheetId="0">'Supplementary Data 4'!#REF!</definedName>
    <definedName name="rstudio_console_output68" localSheetId="0">'Supplementary Data 4'!#REF!</definedName>
    <definedName name="rstudio_console_output69" localSheetId="0">'Supplementary Data 4'!#REF!</definedName>
    <definedName name="rstudio_console_output71" localSheetId="0">'Supplementary Data 4'!#REF!</definedName>
    <definedName name="rstudio_console_output72" localSheetId="0">'Supplementary Data 4'!#REF!</definedName>
    <definedName name="rstudio_console_output73" localSheetId="0">'Supplementary Data 4'!#REF!</definedName>
    <definedName name="rstudio_console_output75" localSheetId="0">'Supplementary Data 4'!#REF!</definedName>
    <definedName name="rstudio_console_output77" localSheetId="0">'Supplementary Data 4'!#REF!</definedName>
    <definedName name="rstudio_console_output79" localSheetId="0">'Supplementary Data 4'!#REF!</definedName>
    <definedName name="rstudio_console_output82" localSheetId="0">'Supplementary Data 4'!#REF!</definedName>
    <definedName name="rstudio_console_output85" localSheetId="0">'Supplementary Data 4'!#REF!</definedName>
    <definedName name="rstudio_console_output86" localSheetId="0">'Supplementary Data 4'!#REF!</definedName>
    <definedName name="rstudio_console_output87" localSheetId="0">'Supplementary Data 4'!#REF!</definedName>
    <definedName name="rstudio_console_output88" localSheetId="0">'Supplementary Data 4'!#REF!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7" i="18" l="1"/>
  <c r="D66" i="18"/>
  <c r="D65" i="18"/>
  <c r="D64" i="18"/>
  <c r="D63" i="18"/>
  <c r="D62" i="18"/>
  <c r="D61" i="18"/>
  <c r="D57" i="18" l="1"/>
  <c r="D58" i="18"/>
  <c r="D56" i="18" l="1"/>
  <c r="D55" i="18"/>
  <c r="D54" i="18" l="1"/>
  <c r="D53" i="18"/>
  <c r="D52" i="18"/>
  <c r="D51" i="18"/>
  <c r="D50" i="18"/>
  <c r="D49" i="18" l="1"/>
  <c r="D48" i="18"/>
  <c r="D47" i="18" l="1"/>
  <c r="D46" i="18"/>
  <c r="D45" i="18"/>
  <c r="D44" i="18"/>
  <c r="D43" i="18"/>
  <c r="D42" i="18"/>
  <c r="D41" i="18"/>
  <c r="D40" i="18"/>
  <c r="D39" i="18"/>
  <c r="D38" i="18" l="1"/>
  <c r="D37" i="18"/>
  <c r="D36" i="18"/>
  <c r="D35" i="18"/>
  <c r="D34" i="18"/>
  <c r="D33" i="18"/>
  <c r="D32" i="18" l="1"/>
  <c r="D31" i="18" l="1"/>
  <c r="D30" i="18"/>
  <c r="D29" i="18" l="1"/>
  <c r="D28" i="18"/>
  <c r="D27" i="18"/>
  <c r="D26" i="18"/>
  <c r="D25" i="18"/>
  <c r="D24" i="18"/>
  <c r="D9" i="18" l="1"/>
  <c r="D8" i="18"/>
  <c r="D7" i="18"/>
  <c r="D6" i="18"/>
  <c r="D5" i="18"/>
  <c r="D4" i="18"/>
  <c r="D3" i="18"/>
  <c r="D23" i="18" l="1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</calcChain>
</file>

<file path=xl/sharedStrings.xml><?xml version="1.0" encoding="utf-8"?>
<sst xmlns="http://schemas.openxmlformats.org/spreadsheetml/2006/main" count="425" uniqueCount="208">
  <si>
    <t>BLCA</t>
  </si>
  <si>
    <t>BRCA</t>
  </si>
  <si>
    <t>CESC</t>
  </si>
  <si>
    <t>COADREAD</t>
  </si>
  <si>
    <t>ESCA</t>
  </si>
  <si>
    <t>HNSC</t>
  </si>
  <si>
    <t>KIRC</t>
  </si>
  <si>
    <t>KIRP</t>
  </si>
  <si>
    <t>LIHC</t>
  </si>
  <si>
    <t>LUAD</t>
  </si>
  <si>
    <t>LUSC</t>
  </si>
  <si>
    <t>OV</t>
  </si>
  <si>
    <t>UCEC</t>
  </si>
  <si>
    <t>SKCM</t>
  </si>
  <si>
    <t>+1q</t>
  </si>
  <si>
    <t>-2p</t>
  </si>
  <si>
    <t>-2q</t>
  </si>
  <si>
    <t>-3p</t>
  </si>
  <si>
    <t>-3q</t>
  </si>
  <si>
    <t>+5q</t>
  </si>
  <si>
    <t>+6p</t>
  </si>
  <si>
    <t>+8p</t>
  </si>
  <si>
    <t>+8q</t>
  </si>
  <si>
    <t>+9p</t>
  </si>
  <si>
    <t>-9p</t>
  </si>
  <si>
    <t>+10p</t>
  </si>
  <si>
    <t>+12p</t>
  </si>
  <si>
    <t>-12p</t>
  </si>
  <si>
    <t>-12q</t>
  </si>
  <si>
    <t>-14q</t>
  </si>
  <si>
    <t>-15q</t>
  </si>
  <si>
    <t>+17p</t>
  </si>
  <si>
    <t>+18p</t>
  </si>
  <si>
    <t>-18p</t>
  </si>
  <si>
    <t>+18q</t>
  </si>
  <si>
    <t>+19p</t>
  </si>
  <si>
    <t>-19p</t>
  </si>
  <si>
    <t>+19q</t>
  </si>
  <si>
    <t>-21q</t>
  </si>
  <si>
    <t>-22q</t>
  </si>
  <si>
    <t>higher</t>
  </si>
  <si>
    <t>lower</t>
  </si>
  <si>
    <t>expected</t>
  </si>
  <si>
    <t>Cancer cohort</t>
  </si>
  <si>
    <t>Multivariate Cox HR (95% CI)</t>
  </si>
  <si>
    <t xml:space="preserve">+8q  </t>
  </si>
  <si>
    <t>-2q,+18q</t>
  </si>
  <si>
    <t>-16q,+20q</t>
  </si>
  <si>
    <t>-12q,-22q</t>
  </si>
  <si>
    <t>-3p,-5q</t>
  </si>
  <si>
    <t>-18q,+20q</t>
  </si>
  <si>
    <t>-4p,+20p</t>
  </si>
  <si>
    <t xml:space="preserve">-19p,-22q </t>
  </si>
  <si>
    <t>+9q,-16q</t>
  </si>
  <si>
    <t xml:space="preserve">-5q </t>
  </si>
  <si>
    <t xml:space="preserve">-12p </t>
  </si>
  <si>
    <t>+8q,-19p</t>
  </si>
  <si>
    <t>+7p,-11q</t>
  </si>
  <si>
    <t>+9p,-19p</t>
  </si>
  <si>
    <t>-3p,-9p</t>
  </si>
  <si>
    <t>+14q,-18q</t>
  </si>
  <si>
    <t>-4p,-21q</t>
  </si>
  <si>
    <t>-9p,-13q</t>
  </si>
  <si>
    <t>+5p,+7p</t>
  </si>
  <si>
    <t>-3p,-16q</t>
  </si>
  <si>
    <t>+3q,-10q</t>
  </si>
  <si>
    <t>-8p,-22q</t>
  </si>
  <si>
    <t>-4q,-21q</t>
  </si>
  <si>
    <t>+7p,+10p</t>
  </si>
  <si>
    <t xml:space="preserve">-6q,+14q </t>
  </si>
  <si>
    <t xml:space="preserve">+6p </t>
  </si>
  <si>
    <t xml:space="preserve">+5q </t>
  </si>
  <si>
    <t>+5p,-17p</t>
  </si>
  <si>
    <t>+1p,-17p</t>
  </si>
  <si>
    <t>None</t>
  </si>
  <si>
    <t>3.81 (1.46 - 9.97)</t>
  </si>
  <si>
    <t>83.31 (5.75 - 1206.27)</t>
  </si>
  <si>
    <t>2.14 (1.17 - 3.91)</t>
  </si>
  <si>
    <t>0.17 (0.03 - 0.87)</t>
  </si>
  <si>
    <t>2.54 (1.06 - 6.05)</t>
  </si>
  <si>
    <t xml:space="preserve">6.49 (1.19 - 35.46) </t>
  </si>
  <si>
    <t>5.31 (1.83 - 15.41)</t>
  </si>
  <si>
    <t>0.09 (0.02 - 0.32)</t>
  </si>
  <si>
    <t>4.58 (1.31 - 15.97)</t>
  </si>
  <si>
    <t>0.19 (0.06 - 0.56)</t>
  </si>
  <si>
    <t>6.08 (2.45 - 15.12)</t>
  </si>
  <si>
    <t xml:space="preserve">4.17 (1.64 - 10.57) </t>
  </si>
  <si>
    <t>0.47 (0.23 - 0.95)</t>
  </si>
  <si>
    <t>0.37 (0.14 - 0.97)</t>
  </si>
  <si>
    <t>2.45 (1.05 - 5.70)</t>
  </si>
  <si>
    <t>0.07 (0.01 - 0.68)</t>
  </si>
  <si>
    <t>2.01 (1.14 - 3.54)</t>
  </si>
  <si>
    <t>3.39 (1.48 - 7.77)</t>
  </si>
  <si>
    <t>3.11 (1.03 - 9.38)</t>
  </si>
  <si>
    <t xml:space="preserve">8.32 (2.41 - 28.71) </t>
  </si>
  <si>
    <t>3.15 (1.25 - 7.98)</t>
  </si>
  <si>
    <t>3.81 (1.04 - 13.99)</t>
  </si>
  <si>
    <t>4.04 (1.26 - 12.95)</t>
  </si>
  <si>
    <t>12.18 (2.25 - 66.02)</t>
  </si>
  <si>
    <t>5.21 (1.49 - 18.26)</t>
  </si>
  <si>
    <t>2.79 (1.41 - 5.53)</t>
  </si>
  <si>
    <t xml:space="preserve">9.55 (2.66 - 34.26) </t>
  </si>
  <si>
    <t>3.99 (1.46 - 10.90)</t>
  </si>
  <si>
    <t xml:space="preserve">3.44 (1.08 - 10.97) </t>
  </si>
  <si>
    <t>1.78 (1.01 - 3.15)</t>
  </si>
  <si>
    <t>2.39 (1.00 - 5.71)</t>
  </si>
  <si>
    <t>4.03 (1.43 - 11.39)</t>
  </si>
  <si>
    <t>19.03 (4.19 - 86.37)</t>
  </si>
  <si>
    <t>32.56 (3.72 - 285.27)</t>
  </si>
  <si>
    <t>2.71 (1.32 - 5.54)</t>
  </si>
  <si>
    <t>15.63 (1.37 - 177.63)</t>
  </si>
  <si>
    <t>27.62 (6.62 - 115.23)</t>
  </si>
  <si>
    <t>6.92 (2.30 - 20.81)</t>
  </si>
  <si>
    <t>17.25 (2.80 - 106.14)</t>
  </si>
  <si>
    <t>12.32 (1.39 - 109.35)</t>
  </si>
  <si>
    <t>8.48 (1.81 - 39.72)</t>
  </si>
  <si>
    <t>3.32 (1.68 - 6.55)</t>
  </si>
  <si>
    <t>2.63 (1.42 - 4.84)</t>
  </si>
  <si>
    <t>3.37 (1.36 - 8.40)</t>
  </si>
  <si>
    <t>4.17 (1.41 - 12.33)</t>
  </si>
  <si>
    <t>5.44 (1.81 - 16.31)</t>
  </si>
  <si>
    <t>0.39 (0.20 - 0.77)</t>
  </si>
  <si>
    <t>21.26 (2.72 - 166.40)</t>
  </si>
  <si>
    <t>2.42 (1.07 - 5.48)</t>
  </si>
  <si>
    <t>12.41 (2.43 - 63.28)</t>
  </si>
  <si>
    <t>1.95 (1.04 - 3.65)</t>
  </si>
  <si>
    <t>0.13 (0.03 - 0.63)</t>
  </si>
  <si>
    <t>5.13 (2.24 - 11.80)</t>
  </si>
  <si>
    <t>3.85 (1.08 - 13.75)</t>
  </si>
  <si>
    <t xml:space="preserve">+1q,-14q </t>
  </si>
  <si>
    <t>+3q,+5p</t>
  </si>
  <si>
    <t>Patients affected (%)</t>
  </si>
  <si>
    <t>6.30 (1.81 - 21.84)</t>
  </si>
  <si>
    <t>0.40 (0.21 - 0.76)</t>
  </si>
  <si>
    <t>9.50 (3.74 - 24.13)</t>
  </si>
  <si>
    <t>0.40 (0.20 - 0.80)</t>
  </si>
  <si>
    <t>5.00 (1.64 - 15.22)</t>
  </si>
  <si>
    <t>12.10 (1.28 - 114.78)</t>
  </si>
  <si>
    <t>19.20 (3.30 - 111.57)</t>
  </si>
  <si>
    <t>4.50 (1.91 - 10.63)</t>
  </si>
  <si>
    <t>2.60 (1.43 - 4.74)</t>
  </si>
  <si>
    <t>Survival outcome</t>
  </si>
  <si>
    <t>Poor</t>
  </si>
  <si>
    <t>Good</t>
  </si>
  <si>
    <t>Patients affected/total (n/n)</t>
  </si>
  <si>
    <t>7/410</t>
  </si>
  <si>
    <t>36/410</t>
  </si>
  <si>
    <t>10/410</t>
  </si>
  <si>
    <t>30/410</t>
  </si>
  <si>
    <t>14/410</t>
  </si>
  <si>
    <t>57/410</t>
  </si>
  <si>
    <t>51/410</t>
  </si>
  <si>
    <t>17/410</t>
  </si>
  <si>
    <t>64/410</t>
  </si>
  <si>
    <t>12/410</t>
  </si>
  <si>
    <t>8/410</t>
  </si>
  <si>
    <t>590/1092</t>
  </si>
  <si>
    <t>69/1092</t>
  </si>
  <si>
    <t>10/1092</t>
  </si>
  <si>
    <t>408/1092</t>
  </si>
  <si>
    <t>80/1092</t>
  </si>
  <si>
    <t>90/1092</t>
  </si>
  <si>
    <t>6/1092</t>
  </si>
  <si>
    <t>9/296</t>
  </si>
  <si>
    <t>33/296</t>
  </si>
  <si>
    <t>10/296</t>
  </si>
  <si>
    <t>8/296</t>
  </si>
  <si>
    <t>7/296</t>
  </si>
  <si>
    <t>75/626</t>
  </si>
  <si>
    <t>5/626</t>
  </si>
  <si>
    <t>23/184</t>
  </si>
  <si>
    <t>126/523</t>
  </si>
  <si>
    <t>14/523</t>
  </si>
  <si>
    <t>82/523</t>
  </si>
  <si>
    <t>24/523</t>
  </si>
  <si>
    <t>5/523</t>
  </si>
  <si>
    <t>4/531</t>
  </si>
  <si>
    <t>32/531</t>
  </si>
  <si>
    <t>2/531</t>
  </si>
  <si>
    <t>13/531</t>
  </si>
  <si>
    <t>11/287</t>
  </si>
  <si>
    <t>5/287</t>
  </si>
  <si>
    <t>34/371</t>
  </si>
  <si>
    <t>66/371</t>
  </si>
  <si>
    <t>22/371</t>
  </si>
  <si>
    <t>11/371</t>
  </si>
  <si>
    <t>7/371</t>
  </si>
  <si>
    <t>65/529</t>
  </si>
  <si>
    <t>16/529</t>
  </si>
  <si>
    <t>51/500</t>
  </si>
  <si>
    <t>5/500</t>
  </si>
  <si>
    <t>34/543</t>
  </si>
  <si>
    <t>7/543</t>
  </si>
  <si>
    <t>110/543</t>
  </si>
  <si>
    <t>21/543</t>
  </si>
  <si>
    <t>32/543</t>
  </si>
  <si>
    <t>15/543</t>
  </si>
  <si>
    <t>5/543</t>
  </si>
  <si>
    <t>Higher/lower than expected cooccurrence</t>
  </si>
  <si>
    <t>NA</t>
  </si>
  <si>
    <t>ND</t>
  </si>
  <si>
    <t>&lt;1E-5</t>
  </si>
  <si>
    <r>
      <rPr>
        <b/>
        <i/>
        <sz val="12"/>
        <color theme="1"/>
        <rFont val="Calibri"/>
        <family val="2"/>
        <scheme val="minor"/>
      </rPr>
      <t>q</t>
    </r>
    <r>
      <rPr>
        <b/>
        <sz val="12"/>
        <color theme="1"/>
        <rFont val="Calibri"/>
        <family val="2"/>
        <scheme val="minor"/>
      </rPr>
      <t xml:space="preserve"> value</t>
    </r>
  </si>
  <si>
    <r>
      <t xml:space="preserve">Multivariate Cox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</t>
    </r>
  </si>
  <si>
    <r>
      <t xml:space="preserve">Multivariate Cox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 incl. WGD</t>
    </r>
  </si>
  <si>
    <r>
      <t xml:space="preserve">WGD univariate Cox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 for cancer type</t>
    </r>
  </si>
  <si>
    <t>Single/co-occurring CAA(s)</t>
  </si>
  <si>
    <t>Supplementary Data 4. Single and co-occurring CAAs that predict good or poor overall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</si>
</sst>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2" xfId="0" applyFill="1" applyBorder="1"/>
    <xf numFmtId="0" fontId="1" fillId="3" borderId="1" xfId="0" applyFont="1" applyFill="1" applyBorder="1" applyAlignment="1">
      <alignment wrapText="1"/>
    </xf>
    <xf numFmtId="49" fontId="0" fillId="2" borderId="0" xfId="0" quotePrefix="1" applyNumberFormat="1" applyFill="1"/>
    <xf numFmtId="49" fontId="0" fillId="2" borderId="0" xfId="0" applyNumberFormat="1" applyFill="1"/>
    <xf numFmtId="49" fontId="0" fillId="3" borderId="0" xfId="0" applyNumberFormat="1" applyFill="1"/>
    <xf numFmtId="49" fontId="0" fillId="3" borderId="0" xfId="0" quotePrefix="1" applyNumberFormat="1" applyFill="1"/>
    <xf numFmtId="0" fontId="1" fillId="0" borderId="1" xfId="0" applyFont="1" applyBorder="1" applyAlignment="1">
      <alignment wrapText="1"/>
    </xf>
    <xf numFmtId="49" fontId="0" fillId="3" borderId="2" xfId="0" applyNumberFormat="1" applyFill="1" applyBorder="1"/>
    <xf numFmtId="2" fontId="0" fillId="2" borderId="0" xfId="0" applyNumberFormat="1" applyFill="1" applyAlignment="1">
      <alignment horizontal="left"/>
    </xf>
    <xf numFmtId="2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165" fontId="0" fillId="2" borderId="0" xfId="0" applyNumberFormat="1" applyFill="1" applyAlignment="1">
      <alignment horizontal="left"/>
    </xf>
    <xf numFmtId="165" fontId="0" fillId="3" borderId="0" xfId="0" applyNumberFormat="1" applyFill="1" applyAlignment="1">
      <alignment horizontal="left"/>
    </xf>
    <xf numFmtId="11" fontId="0" fillId="3" borderId="0" xfId="0" applyNumberFormat="1" applyFill="1" applyAlignment="1">
      <alignment horizontal="left"/>
    </xf>
    <xf numFmtId="165" fontId="0" fillId="3" borderId="2" xfId="0" applyNumberFormat="1" applyFill="1" applyBorder="1" applyAlignment="1">
      <alignment horizontal="left"/>
    </xf>
    <xf numFmtId="2" fontId="0" fillId="3" borderId="2" xfId="0" applyNumberFormat="1" applyFill="1" applyBorder="1" applyAlignment="1">
      <alignment horizontal="left"/>
    </xf>
    <xf numFmtId="0" fontId="1" fillId="3" borderId="1" xfId="0" applyFont="1" applyFill="1" applyBorder="1" applyAlignment="1">
      <alignment wrapText="1"/>
    </xf>
    <xf numFmtId="164" fontId="0" fillId="2" borderId="0" xfId="0" applyNumberFormat="1" applyFill="1" applyAlignment="1">
      <alignment horizontal="left"/>
    </xf>
    <xf numFmtId="164" fontId="0" fillId="3" borderId="0" xfId="0" applyNumberFormat="1" applyFill="1" applyAlignment="1">
      <alignment horizontal="left"/>
    </xf>
    <xf numFmtId="0" fontId="0" fillId="3" borderId="2" xfId="0" applyFill="1" applyBorder="1" applyAlignment="1">
      <alignment horizontal="left"/>
    </xf>
    <xf numFmtId="164" fontId="0" fillId="3" borderId="2" xfId="0" applyNumberFormat="1" applyFill="1" applyBorder="1" applyAlignment="1">
      <alignment horizontal="left"/>
    </xf>
    <xf numFmtId="11" fontId="0" fillId="2" borderId="0" xfId="0" applyNumberFormat="1" applyFill="1" applyAlignment="1">
      <alignment horizontal="left"/>
    </xf>
    <xf numFmtId="0" fontId="0" fillId="0" borderId="0" xfId="0" applyFill="1"/>
    <xf numFmtId="49" fontId="0" fillId="0" borderId="0" xfId="0" applyNumberFormat="1" applyFill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/>
    <xf numFmtId="0" fontId="4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6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CA64C-C477-F142-8FB4-A8E5BF41D535}">
  <sheetPr>
    <tabColor rgb="FFFFFF00"/>
  </sheetPr>
  <dimension ref="A1:K205"/>
  <sheetViews>
    <sheetView tabSelected="1" zoomScale="80" zoomScaleNormal="80" workbookViewId="0">
      <selection sqref="A1:K1"/>
    </sheetView>
  </sheetViews>
  <sheetFormatPr baseColWidth="10" defaultRowHeight="16" x14ac:dyDescent="0.2"/>
  <cols>
    <col min="3" max="3" width="12.33203125" customWidth="1"/>
    <col min="4" max="4" width="9.83203125" customWidth="1"/>
    <col min="5" max="5" width="18" customWidth="1"/>
    <col min="6" max="6" width="11.33203125" customWidth="1"/>
    <col min="7" max="7" width="8.83203125" customWidth="1"/>
    <col min="8" max="8" width="12.33203125" customWidth="1"/>
    <col min="9" max="9" width="8.83203125" customWidth="1"/>
    <col min="10" max="10" width="14.83203125" bestFit="1" customWidth="1"/>
    <col min="11" max="11" width="11.83203125" style="26" bestFit="1" customWidth="1"/>
  </cols>
  <sheetData>
    <row r="1" spans="1:11" ht="17" customHeight="1" x14ac:dyDescent="0.25">
      <c r="A1" s="29" t="s">
        <v>207</v>
      </c>
      <c r="B1" s="29"/>
      <c r="C1" s="29"/>
      <c r="D1" s="29"/>
      <c r="E1" s="29"/>
      <c r="F1" s="29"/>
      <c r="G1" s="29"/>
      <c r="H1" s="30"/>
      <c r="I1" s="30"/>
      <c r="J1" s="30"/>
      <c r="K1" s="30"/>
    </row>
    <row r="2" spans="1:11" ht="63" customHeight="1" x14ac:dyDescent="0.2">
      <c r="A2" s="4" t="s">
        <v>43</v>
      </c>
      <c r="B2" s="4" t="s">
        <v>206</v>
      </c>
      <c r="C2" s="4" t="s">
        <v>144</v>
      </c>
      <c r="D2" s="4" t="s">
        <v>131</v>
      </c>
      <c r="E2" s="4" t="s">
        <v>44</v>
      </c>
      <c r="F2" s="4" t="s">
        <v>203</v>
      </c>
      <c r="G2" s="9" t="s">
        <v>141</v>
      </c>
      <c r="H2" s="20" t="s">
        <v>198</v>
      </c>
      <c r="I2" s="20" t="s">
        <v>202</v>
      </c>
      <c r="J2" s="28" t="s">
        <v>205</v>
      </c>
      <c r="K2" s="28" t="s">
        <v>204</v>
      </c>
    </row>
    <row r="3" spans="1:11" x14ac:dyDescent="0.2">
      <c r="A3" s="1" t="s">
        <v>1</v>
      </c>
      <c r="B3" s="5" t="s">
        <v>14</v>
      </c>
      <c r="C3" s="1" t="s">
        <v>156</v>
      </c>
      <c r="D3" s="11">
        <f>100*590/1092</f>
        <v>54.029304029304029</v>
      </c>
      <c r="E3" s="1" t="s">
        <v>133</v>
      </c>
      <c r="F3" s="15">
        <v>5.0200000000000002E-3</v>
      </c>
      <c r="G3" s="1" t="s">
        <v>143</v>
      </c>
      <c r="H3" s="14" t="s">
        <v>199</v>
      </c>
      <c r="I3" s="14" t="s">
        <v>199</v>
      </c>
      <c r="J3" s="15">
        <v>1.4187999999999999E-2</v>
      </c>
      <c r="K3" s="15">
        <v>1.7780000000000001E-2</v>
      </c>
    </row>
    <row r="4" spans="1:11" x14ac:dyDescent="0.2">
      <c r="A4" s="1"/>
      <c r="B4" s="6" t="s">
        <v>16</v>
      </c>
      <c r="C4" s="1" t="s">
        <v>157</v>
      </c>
      <c r="D4" s="11">
        <f>100*69/1092</f>
        <v>6.3186813186813184</v>
      </c>
      <c r="E4" s="1" t="s">
        <v>75</v>
      </c>
      <c r="F4" s="15">
        <v>6.45E-3</v>
      </c>
      <c r="G4" s="1" t="s">
        <v>142</v>
      </c>
      <c r="H4" s="14" t="s">
        <v>199</v>
      </c>
      <c r="I4" s="14" t="s">
        <v>199</v>
      </c>
      <c r="J4" s="15">
        <v>1.4187999999999999E-2</v>
      </c>
      <c r="K4" s="15">
        <v>2.8988000000000001E-4</v>
      </c>
    </row>
    <row r="5" spans="1:11" x14ac:dyDescent="0.2">
      <c r="A5" s="1"/>
      <c r="B5" s="6" t="s">
        <v>18</v>
      </c>
      <c r="C5" s="1" t="s">
        <v>158</v>
      </c>
      <c r="D5" s="11">
        <f>100*10/1092</f>
        <v>0.91575091575091572</v>
      </c>
      <c r="E5" s="1" t="s">
        <v>76</v>
      </c>
      <c r="F5" s="15">
        <v>1.1800000000000001E-3</v>
      </c>
      <c r="G5" s="1" t="s">
        <v>142</v>
      </c>
      <c r="H5" s="14" t="s">
        <v>199</v>
      </c>
      <c r="I5" s="14" t="s">
        <v>199</v>
      </c>
      <c r="J5" s="15">
        <v>1.4187999999999999E-2</v>
      </c>
      <c r="K5" s="15">
        <v>5.0508999999999997E-3</v>
      </c>
    </row>
    <row r="6" spans="1:11" x14ac:dyDescent="0.2">
      <c r="A6" s="1"/>
      <c r="B6" s="6" t="s">
        <v>45</v>
      </c>
      <c r="C6" s="1" t="s">
        <v>159</v>
      </c>
      <c r="D6" s="11">
        <f>100*408/1092</f>
        <v>37.362637362637365</v>
      </c>
      <c r="E6" s="1" t="s">
        <v>77</v>
      </c>
      <c r="F6" s="15">
        <v>1.308E-2</v>
      </c>
      <c r="G6" s="1" t="s">
        <v>142</v>
      </c>
      <c r="H6" s="14" t="s">
        <v>199</v>
      </c>
      <c r="I6" s="14" t="s">
        <v>199</v>
      </c>
      <c r="J6" s="15">
        <v>1.4187999999999999E-2</v>
      </c>
      <c r="K6" s="15">
        <v>2.6209E-2</v>
      </c>
    </row>
    <row r="7" spans="1:11" x14ac:dyDescent="0.2">
      <c r="A7" s="1"/>
      <c r="B7" s="6" t="s">
        <v>26</v>
      </c>
      <c r="C7" s="1" t="s">
        <v>160</v>
      </c>
      <c r="D7" s="11">
        <f>100*80/1092</f>
        <v>7.3260073260073257</v>
      </c>
      <c r="E7" s="1" t="s">
        <v>78</v>
      </c>
      <c r="F7" s="15">
        <v>3.3950000000000001E-2</v>
      </c>
      <c r="G7" s="1" t="s">
        <v>143</v>
      </c>
      <c r="H7" s="14" t="s">
        <v>199</v>
      </c>
      <c r="I7" s="14" t="s">
        <v>199</v>
      </c>
      <c r="J7" s="15">
        <v>1.4187999999999999E-2</v>
      </c>
      <c r="K7" s="15">
        <v>2.9781E-3</v>
      </c>
    </row>
    <row r="8" spans="1:11" x14ac:dyDescent="0.2">
      <c r="A8" s="1"/>
      <c r="B8" s="6" t="s">
        <v>33</v>
      </c>
      <c r="C8" s="1" t="s">
        <v>161</v>
      </c>
      <c r="D8" s="11">
        <f>100*90/1092</f>
        <v>8.2417582417582409</v>
      </c>
      <c r="E8" s="1" t="s">
        <v>79</v>
      </c>
      <c r="F8" s="15">
        <v>3.5819999999999998E-2</v>
      </c>
      <c r="G8" s="1" t="s">
        <v>142</v>
      </c>
      <c r="H8" s="14" t="s">
        <v>199</v>
      </c>
      <c r="I8" s="14" t="s">
        <v>199</v>
      </c>
      <c r="J8" s="15">
        <v>1.4187999999999999E-2</v>
      </c>
      <c r="K8" s="15">
        <v>1.3801000000000001E-2</v>
      </c>
    </row>
    <row r="9" spans="1:11" x14ac:dyDescent="0.2">
      <c r="A9" s="1"/>
      <c r="B9" s="6" t="s">
        <v>46</v>
      </c>
      <c r="C9" s="1" t="s">
        <v>162</v>
      </c>
      <c r="D9" s="11">
        <f>100*6/1092</f>
        <v>0.5494505494505495</v>
      </c>
      <c r="E9" s="1" t="s">
        <v>80</v>
      </c>
      <c r="F9" s="15">
        <v>3.0800000000000001E-2</v>
      </c>
      <c r="G9" s="1" t="s">
        <v>142</v>
      </c>
      <c r="H9" s="14" t="s">
        <v>40</v>
      </c>
      <c r="I9" s="21">
        <v>8.226E-2</v>
      </c>
      <c r="J9" s="15">
        <v>1.4187999999999999E-2</v>
      </c>
      <c r="K9" s="15">
        <v>1.4685E-3</v>
      </c>
    </row>
    <row r="10" spans="1:11" x14ac:dyDescent="0.2">
      <c r="A10" s="2" t="s">
        <v>0</v>
      </c>
      <c r="B10" s="7" t="s">
        <v>15</v>
      </c>
      <c r="C10" s="2" t="s">
        <v>145</v>
      </c>
      <c r="D10" s="12">
        <f>100*7/410</f>
        <v>1.7073170731707317</v>
      </c>
      <c r="E10" s="2" t="s">
        <v>81</v>
      </c>
      <c r="F10" s="16">
        <v>2.1199999999999999E-3</v>
      </c>
      <c r="G10" s="2" t="s">
        <v>142</v>
      </c>
      <c r="H10" s="13" t="s">
        <v>199</v>
      </c>
      <c r="I10" s="13" t="s">
        <v>199</v>
      </c>
      <c r="J10" s="16">
        <v>0.65093999999999996</v>
      </c>
      <c r="K10" s="16" t="s">
        <v>199</v>
      </c>
    </row>
    <row r="11" spans="1:11" x14ac:dyDescent="0.2">
      <c r="A11" s="2"/>
      <c r="B11" s="7" t="s">
        <v>20</v>
      </c>
      <c r="C11" s="2" t="s">
        <v>146</v>
      </c>
      <c r="D11" s="12">
        <f>100*36/410</f>
        <v>8.7804878048780495</v>
      </c>
      <c r="E11" s="2" t="s">
        <v>82</v>
      </c>
      <c r="F11" s="16">
        <v>6.9999999999999999E-4</v>
      </c>
      <c r="G11" s="2" t="s">
        <v>143</v>
      </c>
      <c r="H11" s="13" t="s">
        <v>199</v>
      </c>
      <c r="I11" s="13" t="s">
        <v>199</v>
      </c>
      <c r="J11" s="16">
        <v>0.65093999999999996</v>
      </c>
      <c r="K11" s="16" t="s">
        <v>199</v>
      </c>
    </row>
    <row r="12" spans="1:11" x14ac:dyDescent="0.2">
      <c r="A12" s="2"/>
      <c r="B12" s="7" t="s">
        <v>21</v>
      </c>
      <c r="C12" s="2" t="s">
        <v>147</v>
      </c>
      <c r="D12" s="12">
        <f>100*10/410</f>
        <v>2.4390243902439024</v>
      </c>
      <c r="E12" s="2" t="s">
        <v>83</v>
      </c>
      <c r="F12" s="16">
        <v>1.6910000000000001E-2</v>
      </c>
      <c r="G12" s="2" t="s">
        <v>142</v>
      </c>
      <c r="H12" s="13" t="s">
        <v>199</v>
      </c>
      <c r="I12" s="13" t="s">
        <v>199</v>
      </c>
      <c r="J12" s="16">
        <v>0.65093999999999996</v>
      </c>
      <c r="K12" s="16" t="s">
        <v>199</v>
      </c>
    </row>
    <row r="13" spans="1:11" x14ac:dyDescent="0.2">
      <c r="A13" s="2"/>
      <c r="B13" s="7" t="s">
        <v>23</v>
      </c>
      <c r="C13" s="2" t="s">
        <v>148</v>
      </c>
      <c r="D13" s="12">
        <f>100*30/410</f>
        <v>7.3170731707317076</v>
      </c>
      <c r="E13" s="2" t="s">
        <v>84</v>
      </c>
      <c r="F13" s="16">
        <v>2.7000000000000001E-3</v>
      </c>
      <c r="G13" s="2" t="s">
        <v>143</v>
      </c>
      <c r="H13" s="13" t="s">
        <v>199</v>
      </c>
      <c r="I13" s="13" t="s">
        <v>199</v>
      </c>
      <c r="J13" s="16">
        <v>0.65093999999999996</v>
      </c>
      <c r="K13" s="16" t="s">
        <v>199</v>
      </c>
    </row>
    <row r="14" spans="1:11" x14ac:dyDescent="0.2">
      <c r="A14" s="2"/>
      <c r="B14" s="7" t="s">
        <v>27</v>
      </c>
      <c r="C14" s="2" t="s">
        <v>149</v>
      </c>
      <c r="D14" s="12">
        <f>100*14/410</f>
        <v>3.4146341463414633</v>
      </c>
      <c r="E14" s="2" t="s">
        <v>85</v>
      </c>
      <c r="F14" s="16">
        <v>1.1E-4</v>
      </c>
      <c r="G14" s="2" t="s">
        <v>142</v>
      </c>
      <c r="H14" s="13" t="s">
        <v>199</v>
      </c>
      <c r="I14" s="13" t="s">
        <v>199</v>
      </c>
      <c r="J14" s="16">
        <v>0.65093999999999996</v>
      </c>
      <c r="K14" s="16" t="s">
        <v>199</v>
      </c>
    </row>
    <row r="15" spans="1:11" x14ac:dyDescent="0.2">
      <c r="A15" s="2"/>
      <c r="B15" s="7" t="s">
        <v>28</v>
      </c>
      <c r="C15" s="2" t="s">
        <v>149</v>
      </c>
      <c r="D15" s="12">
        <f>100*14/410</f>
        <v>3.4146341463414633</v>
      </c>
      <c r="E15" s="2" t="s">
        <v>86</v>
      </c>
      <c r="F15" s="16">
        <v>2.66E-3</v>
      </c>
      <c r="G15" s="2" t="s">
        <v>142</v>
      </c>
      <c r="H15" s="13" t="s">
        <v>199</v>
      </c>
      <c r="I15" s="13" t="s">
        <v>199</v>
      </c>
      <c r="J15" s="16">
        <v>0.65093999999999996</v>
      </c>
      <c r="K15" s="16" t="s">
        <v>199</v>
      </c>
    </row>
    <row r="16" spans="1:11" x14ac:dyDescent="0.2">
      <c r="A16" s="2"/>
      <c r="B16" s="7" t="s">
        <v>29</v>
      </c>
      <c r="C16" s="2" t="s">
        <v>150</v>
      </c>
      <c r="D16" s="12">
        <f>100*57/410</f>
        <v>13.902439024390244</v>
      </c>
      <c r="E16" s="2" t="s">
        <v>87</v>
      </c>
      <c r="F16" s="16">
        <v>3.6089999999999997E-2</v>
      </c>
      <c r="G16" s="2" t="s">
        <v>143</v>
      </c>
      <c r="H16" s="13" t="s">
        <v>199</v>
      </c>
      <c r="I16" s="13" t="s">
        <v>199</v>
      </c>
      <c r="J16" s="16">
        <v>0.65093999999999996</v>
      </c>
      <c r="K16" s="16" t="s">
        <v>199</v>
      </c>
    </row>
    <row r="17" spans="1:11" x14ac:dyDescent="0.2">
      <c r="A17" s="2"/>
      <c r="B17" s="7" t="s">
        <v>32</v>
      </c>
      <c r="C17" s="2" t="s">
        <v>151</v>
      </c>
      <c r="D17" s="12">
        <f>100*51/410</f>
        <v>12.439024390243903</v>
      </c>
      <c r="E17" s="2" t="s">
        <v>88</v>
      </c>
      <c r="F17" s="16">
        <v>4.308E-2</v>
      </c>
      <c r="G17" s="2" t="s">
        <v>143</v>
      </c>
      <c r="H17" s="13" t="s">
        <v>199</v>
      </c>
      <c r="I17" s="13" t="s">
        <v>199</v>
      </c>
      <c r="J17" s="16">
        <v>0.65093999999999996</v>
      </c>
      <c r="K17" s="16" t="s">
        <v>199</v>
      </c>
    </row>
    <row r="18" spans="1:11" x14ac:dyDescent="0.2">
      <c r="A18" s="2"/>
      <c r="B18" s="7" t="s">
        <v>34</v>
      </c>
      <c r="C18" s="2" t="s">
        <v>152</v>
      </c>
      <c r="D18" s="12">
        <f>100*17/410</f>
        <v>4.1463414634146343</v>
      </c>
      <c r="E18" s="2" t="s">
        <v>89</v>
      </c>
      <c r="F18" s="16">
        <v>3.7760000000000002E-2</v>
      </c>
      <c r="G18" s="2" t="s">
        <v>142</v>
      </c>
      <c r="H18" s="13" t="s">
        <v>199</v>
      </c>
      <c r="I18" s="13" t="s">
        <v>199</v>
      </c>
      <c r="J18" s="16">
        <v>0.65093999999999996</v>
      </c>
      <c r="K18" s="16" t="s">
        <v>199</v>
      </c>
    </row>
    <row r="19" spans="1:11" x14ac:dyDescent="0.2">
      <c r="A19" s="2"/>
      <c r="B19" s="7" t="s">
        <v>35</v>
      </c>
      <c r="C19" s="2" t="s">
        <v>145</v>
      </c>
      <c r="D19" s="12">
        <f>100*7/410</f>
        <v>1.7073170731707317</v>
      </c>
      <c r="E19" s="2" t="s">
        <v>90</v>
      </c>
      <c r="F19" s="16">
        <v>2.1989999999999999E-2</v>
      </c>
      <c r="G19" s="2" t="s">
        <v>143</v>
      </c>
      <c r="H19" s="13" t="s">
        <v>199</v>
      </c>
      <c r="I19" s="13" t="s">
        <v>199</v>
      </c>
      <c r="J19" s="16">
        <v>0.65093999999999996</v>
      </c>
      <c r="K19" s="16" t="s">
        <v>199</v>
      </c>
    </row>
    <row r="20" spans="1:11" x14ac:dyDescent="0.2">
      <c r="A20" s="2"/>
      <c r="B20" s="7" t="s">
        <v>39</v>
      </c>
      <c r="C20" s="2" t="s">
        <v>153</v>
      </c>
      <c r="D20" s="12">
        <f>100*64/410</f>
        <v>15.609756097560975</v>
      </c>
      <c r="E20" s="2" t="s">
        <v>91</v>
      </c>
      <c r="F20" s="16">
        <v>1.5689999999999999E-2</v>
      </c>
      <c r="G20" s="2" t="s">
        <v>142</v>
      </c>
      <c r="H20" s="13" t="s">
        <v>199</v>
      </c>
      <c r="I20" s="13" t="s">
        <v>199</v>
      </c>
      <c r="J20" s="16">
        <v>0.65093999999999996</v>
      </c>
      <c r="K20" s="16" t="s">
        <v>199</v>
      </c>
    </row>
    <row r="21" spans="1:11" x14ac:dyDescent="0.2">
      <c r="A21" s="2"/>
      <c r="B21" s="7" t="s">
        <v>47</v>
      </c>
      <c r="C21" s="2" t="s">
        <v>154</v>
      </c>
      <c r="D21" s="12">
        <f>100*12/410</f>
        <v>2.9268292682926829</v>
      </c>
      <c r="E21" s="2" t="s">
        <v>92</v>
      </c>
      <c r="F21" s="16">
        <v>3.8800000000000002E-3</v>
      </c>
      <c r="G21" s="2" t="s">
        <v>142</v>
      </c>
      <c r="H21" s="13" t="s">
        <v>40</v>
      </c>
      <c r="I21" s="22">
        <v>0.11169</v>
      </c>
      <c r="J21" s="16">
        <v>0.65093999999999996</v>
      </c>
      <c r="K21" s="16" t="s">
        <v>199</v>
      </c>
    </row>
    <row r="22" spans="1:11" x14ac:dyDescent="0.2">
      <c r="A22" s="2"/>
      <c r="B22" s="27" t="s">
        <v>48</v>
      </c>
      <c r="C22" s="2" t="s">
        <v>155</v>
      </c>
      <c r="D22" s="12">
        <f>100*8/410</f>
        <v>1.9512195121951219</v>
      </c>
      <c r="E22" s="2" t="s">
        <v>93</v>
      </c>
      <c r="F22" s="16">
        <v>4.3589999999999997E-2</v>
      </c>
      <c r="G22" s="2" t="s">
        <v>142</v>
      </c>
      <c r="H22" s="13" t="s">
        <v>40</v>
      </c>
      <c r="I22" s="22">
        <v>3.3E-4</v>
      </c>
      <c r="J22" s="16">
        <v>0.65093999999999996</v>
      </c>
      <c r="K22" s="16" t="s">
        <v>199</v>
      </c>
    </row>
    <row r="23" spans="1:11" x14ac:dyDescent="0.2">
      <c r="A23" s="2"/>
      <c r="B23" s="7" t="s">
        <v>49</v>
      </c>
      <c r="C23" s="2" t="s">
        <v>145</v>
      </c>
      <c r="D23" s="12">
        <f>100*7/410</f>
        <v>1.7073170731707317</v>
      </c>
      <c r="E23" s="2" t="s">
        <v>134</v>
      </c>
      <c r="F23" s="17">
        <v>3.01E-6</v>
      </c>
      <c r="G23" s="2" t="s">
        <v>142</v>
      </c>
      <c r="H23" s="13" t="s">
        <v>40</v>
      </c>
      <c r="I23" s="22">
        <v>0.37802000000000002</v>
      </c>
      <c r="J23" s="16">
        <v>0.65093999999999996</v>
      </c>
      <c r="K23" s="16" t="s">
        <v>199</v>
      </c>
    </row>
    <row r="24" spans="1:11" x14ac:dyDescent="0.2">
      <c r="A24" s="1" t="s">
        <v>2</v>
      </c>
      <c r="B24" s="6" t="s">
        <v>25</v>
      </c>
      <c r="C24" s="1" t="s">
        <v>163</v>
      </c>
      <c r="D24" s="11">
        <f>100*9/296</f>
        <v>3.0405405405405403</v>
      </c>
      <c r="E24" s="1" t="s">
        <v>94</v>
      </c>
      <c r="F24" s="15">
        <v>8.4000000000000003E-4</v>
      </c>
      <c r="G24" s="1" t="s">
        <v>142</v>
      </c>
      <c r="H24" s="14" t="s">
        <v>199</v>
      </c>
      <c r="I24" s="14" t="s">
        <v>199</v>
      </c>
      <c r="J24" s="15">
        <v>0.12883</v>
      </c>
      <c r="K24" s="15" t="s">
        <v>199</v>
      </c>
    </row>
    <row r="25" spans="1:11" x14ac:dyDescent="0.2">
      <c r="A25" s="1"/>
      <c r="B25" s="6" t="s">
        <v>39</v>
      </c>
      <c r="C25" s="1" t="s">
        <v>164</v>
      </c>
      <c r="D25" s="11">
        <f>100*33/296</f>
        <v>11.148648648648649</v>
      </c>
      <c r="E25" s="1" t="s">
        <v>95</v>
      </c>
      <c r="F25" s="15">
        <v>1.54E-2</v>
      </c>
      <c r="G25" s="1" t="s">
        <v>142</v>
      </c>
      <c r="H25" s="14" t="s">
        <v>199</v>
      </c>
      <c r="I25" s="14" t="s">
        <v>199</v>
      </c>
      <c r="J25" s="15">
        <v>0.12883</v>
      </c>
      <c r="K25" s="15" t="s">
        <v>199</v>
      </c>
    </row>
    <row r="26" spans="1:11" x14ac:dyDescent="0.2">
      <c r="A26" s="1"/>
      <c r="B26" s="6" t="s">
        <v>50</v>
      </c>
      <c r="C26" s="1" t="s">
        <v>165</v>
      </c>
      <c r="D26" s="11">
        <f>100*10/296</f>
        <v>3.3783783783783785</v>
      </c>
      <c r="E26" s="1" t="s">
        <v>96</v>
      </c>
      <c r="F26" s="15">
        <v>4.342E-2</v>
      </c>
      <c r="G26" s="1" t="s">
        <v>142</v>
      </c>
      <c r="H26" s="14" t="s">
        <v>40</v>
      </c>
      <c r="I26" s="21">
        <v>0.23171</v>
      </c>
      <c r="J26" s="15">
        <v>0.12883</v>
      </c>
      <c r="K26" s="15" t="s">
        <v>199</v>
      </c>
    </row>
    <row r="27" spans="1:11" x14ac:dyDescent="0.2">
      <c r="A27" s="1"/>
      <c r="B27" s="6" t="s">
        <v>51</v>
      </c>
      <c r="C27" s="1" t="s">
        <v>163</v>
      </c>
      <c r="D27" s="11">
        <f>100*9/296</f>
        <v>3.0405405405405403</v>
      </c>
      <c r="E27" s="1" t="s">
        <v>97</v>
      </c>
      <c r="F27" s="15">
        <v>1.8929999999999999E-2</v>
      </c>
      <c r="G27" s="1" t="s">
        <v>142</v>
      </c>
      <c r="H27" s="14" t="s">
        <v>40</v>
      </c>
      <c r="I27" s="21">
        <v>0.37613999999999997</v>
      </c>
      <c r="J27" s="15">
        <v>0.12883</v>
      </c>
      <c r="K27" s="15" t="s">
        <v>199</v>
      </c>
    </row>
    <row r="28" spans="1:11" x14ac:dyDescent="0.2">
      <c r="A28" s="1"/>
      <c r="B28" s="6" t="s">
        <v>52</v>
      </c>
      <c r="C28" s="1" t="s">
        <v>166</v>
      </c>
      <c r="D28" s="11">
        <f>100*8/296</f>
        <v>2.7027027027027026</v>
      </c>
      <c r="E28" s="1" t="s">
        <v>98</v>
      </c>
      <c r="F28" s="15">
        <v>3.7499999999999999E-3</v>
      </c>
      <c r="G28" s="1" t="s">
        <v>142</v>
      </c>
      <c r="H28" s="14" t="s">
        <v>40</v>
      </c>
      <c r="I28" s="21">
        <v>7.2739999999999999E-2</v>
      </c>
      <c r="J28" s="15">
        <v>0.12883</v>
      </c>
      <c r="K28" s="15" t="s">
        <v>199</v>
      </c>
    </row>
    <row r="29" spans="1:11" x14ac:dyDescent="0.2">
      <c r="A29" s="1"/>
      <c r="B29" s="6" t="s">
        <v>53</v>
      </c>
      <c r="C29" s="1" t="s">
        <v>167</v>
      </c>
      <c r="D29" s="11">
        <f>100*7/296</f>
        <v>2.3648648648648649</v>
      </c>
      <c r="E29" s="1" t="s">
        <v>99</v>
      </c>
      <c r="F29" s="15">
        <v>9.9100000000000004E-3</v>
      </c>
      <c r="G29" s="1" t="s">
        <v>142</v>
      </c>
      <c r="H29" s="14" t="s">
        <v>40</v>
      </c>
      <c r="I29" s="21">
        <v>4.725E-2</v>
      </c>
      <c r="J29" s="15">
        <v>0.12883</v>
      </c>
      <c r="K29" s="15" t="s">
        <v>199</v>
      </c>
    </row>
    <row r="30" spans="1:11" x14ac:dyDescent="0.2">
      <c r="A30" s="2" t="s">
        <v>3</v>
      </c>
      <c r="B30" s="7" t="s">
        <v>54</v>
      </c>
      <c r="C30" s="2" t="s">
        <v>168</v>
      </c>
      <c r="D30" s="12">
        <f>100*75/626</f>
        <v>11.980830670926517</v>
      </c>
      <c r="E30" s="2" t="s">
        <v>100</v>
      </c>
      <c r="F30" s="16">
        <v>3.2599999999999999E-3</v>
      </c>
      <c r="G30" s="2" t="s">
        <v>142</v>
      </c>
      <c r="H30" s="13" t="s">
        <v>199</v>
      </c>
      <c r="I30" s="13" t="s">
        <v>199</v>
      </c>
      <c r="J30" s="16">
        <v>0.78078999999999998</v>
      </c>
      <c r="K30" s="16" t="s">
        <v>199</v>
      </c>
    </row>
    <row r="31" spans="1:11" x14ac:dyDescent="0.2">
      <c r="A31" s="2"/>
      <c r="B31" s="7" t="s">
        <v>56</v>
      </c>
      <c r="C31" s="2" t="s">
        <v>169</v>
      </c>
      <c r="D31" s="12">
        <f>100*5/626</f>
        <v>0.79872204472843455</v>
      </c>
      <c r="E31" s="2" t="s">
        <v>101</v>
      </c>
      <c r="F31" s="16">
        <v>5.6999999999999998E-4</v>
      </c>
      <c r="G31" s="2" t="s">
        <v>142</v>
      </c>
      <c r="H31" s="13" t="s">
        <v>41</v>
      </c>
      <c r="I31" s="22">
        <v>0.19742999999999999</v>
      </c>
      <c r="J31" s="16">
        <v>0.78078999999999998</v>
      </c>
      <c r="K31" s="16" t="s">
        <v>199</v>
      </c>
    </row>
    <row r="32" spans="1:11" x14ac:dyDescent="0.2">
      <c r="A32" s="1" t="s">
        <v>4</v>
      </c>
      <c r="B32" s="6" t="s">
        <v>32</v>
      </c>
      <c r="C32" s="1" t="s">
        <v>170</v>
      </c>
      <c r="D32" s="11">
        <f>100*23/184</f>
        <v>12.5</v>
      </c>
      <c r="E32" s="1" t="s">
        <v>102</v>
      </c>
      <c r="F32" s="15">
        <v>6.8500000000000002E-3</v>
      </c>
      <c r="G32" s="1" t="s">
        <v>142</v>
      </c>
      <c r="H32" s="14" t="s">
        <v>199</v>
      </c>
      <c r="I32" s="14" t="s">
        <v>199</v>
      </c>
      <c r="J32" s="15">
        <v>0.26628000000000002</v>
      </c>
      <c r="K32" s="15" t="s">
        <v>199</v>
      </c>
    </row>
    <row r="33" spans="1:11" x14ac:dyDescent="0.2">
      <c r="A33" s="2" t="s">
        <v>5</v>
      </c>
      <c r="B33" s="7" t="s">
        <v>24</v>
      </c>
      <c r="C33" s="2" t="s">
        <v>171</v>
      </c>
      <c r="D33" s="12">
        <f>100*126/523</f>
        <v>24.091778202676863</v>
      </c>
      <c r="E33" s="2" t="s">
        <v>135</v>
      </c>
      <c r="F33" s="16">
        <v>9.6299999999999997E-3</v>
      </c>
      <c r="G33" s="2" t="s">
        <v>143</v>
      </c>
      <c r="H33" s="13" t="s">
        <v>199</v>
      </c>
      <c r="I33" s="13" t="s">
        <v>199</v>
      </c>
      <c r="J33" s="16">
        <v>7.9847000000000001E-2</v>
      </c>
      <c r="K33" s="16" t="s">
        <v>199</v>
      </c>
    </row>
    <row r="34" spans="1:11" x14ac:dyDescent="0.2">
      <c r="A34" s="2"/>
      <c r="B34" s="7" t="s">
        <v>55</v>
      </c>
      <c r="C34" s="2" t="s">
        <v>172</v>
      </c>
      <c r="D34" s="12">
        <f>100*14/523</f>
        <v>2.676864244741874</v>
      </c>
      <c r="E34" s="2" t="s">
        <v>103</v>
      </c>
      <c r="F34" s="16">
        <v>3.7010000000000001E-2</v>
      </c>
      <c r="G34" s="2" t="s">
        <v>142</v>
      </c>
      <c r="H34" s="13" t="s">
        <v>199</v>
      </c>
      <c r="I34" s="13" t="s">
        <v>199</v>
      </c>
      <c r="J34" s="16">
        <v>7.9847000000000001E-2</v>
      </c>
      <c r="K34" s="16" t="s">
        <v>199</v>
      </c>
    </row>
    <row r="35" spans="1:11" x14ac:dyDescent="0.2">
      <c r="A35" s="2"/>
      <c r="B35" s="7" t="s">
        <v>32</v>
      </c>
      <c r="C35" s="2" t="s">
        <v>173</v>
      </c>
      <c r="D35" s="12">
        <f>100*82/523</f>
        <v>15.678776290630974</v>
      </c>
      <c r="E35" s="2" t="s">
        <v>104</v>
      </c>
      <c r="F35" s="16">
        <v>4.6309999999999997E-2</v>
      </c>
      <c r="G35" s="2" t="s">
        <v>142</v>
      </c>
      <c r="H35" s="13" t="s">
        <v>199</v>
      </c>
      <c r="I35" s="13" t="s">
        <v>199</v>
      </c>
      <c r="J35" s="16">
        <v>7.9847000000000001E-2</v>
      </c>
      <c r="K35" s="16" t="s">
        <v>199</v>
      </c>
    </row>
    <row r="36" spans="1:11" x14ac:dyDescent="0.2">
      <c r="A36" s="2"/>
      <c r="B36" s="7" t="s">
        <v>56</v>
      </c>
      <c r="C36" s="2" t="s">
        <v>174</v>
      </c>
      <c r="D36" s="12">
        <f>100*24/523</f>
        <v>4.5889101338432123</v>
      </c>
      <c r="E36" s="2" t="s">
        <v>105</v>
      </c>
      <c r="F36" s="16">
        <v>4.9630000000000001E-2</v>
      </c>
      <c r="G36" s="2" t="s">
        <v>142</v>
      </c>
      <c r="H36" s="13" t="s">
        <v>40</v>
      </c>
      <c r="I36" s="22">
        <v>0.36506</v>
      </c>
      <c r="J36" s="16">
        <v>7.9847000000000001E-2</v>
      </c>
      <c r="K36" s="16" t="s">
        <v>199</v>
      </c>
    </row>
    <row r="37" spans="1:11" x14ac:dyDescent="0.2">
      <c r="A37" s="2"/>
      <c r="B37" s="7" t="s">
        <v>57</v>
      </c>
      <c r="C37" s="2" t="s">
        <v>172</v>
      </c>
      <c r="D37" s="12">
        <f>100*14/523</f>
        <v>2.676864244741874</v>
      </c>
      <c r="E37" s="2" t="s">
        <v>106</v>
      </c>
      <c r="F37" s="16">
        <v>8.5599999999999999E-3</v>
      </c>
      <c r="G37" s="2" t="s">
        <v>142</v>
      </c>
      <c r="H37" s="13" t="s">
        <v>40</v>
      </c>
      <c r="I37" s="22">
        <v>0.38270999999999999</v>
      </c>
      <c r="J37" s="16">
        <v>7.9847000000000001E-2</v>
      </c>
      <c r="K37" s="16" t="s">
        <v>199</v>
      </c>
    </row>
    <row r="38" spans="1:11" x14ac:dyDescent="0.2">
      <c r="A38" s="2"/>
      <c r="B38" s="7" t="s">
        <v>58</v>
      </c>
      <c r="C38" s="2" t="s">
        <v>175</v>
      </c>
      <c r="D38" s="12">
        <f>100*5/523</f>
        <v>0.95602294455066916</v>
      </c>
      <c r="E38" s="2" t="s">
        <v>107</v>
      </c>
      <c r="F38" s="16">
        <v>1.4999999999999999E-4</v>
      </c>
      <c r="G38" s="2" t="s">
        <v>142</v>
      </c>
      <c r="H38" s="13" t="s">
        <v>41</v>
      </c>
      <c r="I38" s="22">
        <v>0.54773000000000005</v>
      </c>
      <c r="J38" s="16">
        <v>7.9847000000000001E-2</v>
      </c>
      <c r="K38" s="16" t="s">
        <v>199</v>
      </c>
    </row>
    <row r="39" spans="1:11" x14ac:dyDescent="0.2">
      <c r="A39" s="1" t="s">
        <v>6</v>
      </c>
      <c r="B39" s="6" t="s">
        <v>31</v>
      </c>
      <c r="C39" s="1" t="s">
        <v>176</v>
      </c>
      <c r="D39" s="11">
        <f>100*4/531</f>
        <v>0.75329566854990582</v>
      </c>
      <c r="E39" s="1" t="s">
        <v>108</v>
      </c>
      <c r="F39" s="15">
        <v>1.66E-3</v>
      </c>
      <c r="G39" s="1" t="s">
        <v>142</v>
      </c>
      <c r="H39" s="14" t="s">
        <v>199</v>
      </c>
      <c r="I39" s="14" t="s">
        <v>199</v>
      </c>
      <c r="J39" s="15">
        <v>2.1731E-2</v>
      </c>
      <c r="K39" s="15">
        <v>3.2309999999999999E-3</v>
      </c>
    </row>
    <row r="40" spans="1:11" x14ac:dyDescent="0.2">
      <c r="A40" s="1"/>
      <c r="B40" s="6" t="s">
        <v>59</v>
      </c>
      <c r="C40" s="1" t="s">
        <v>177</v>
      </c>
      <c r="D40" s="11">
        <f>100*32/531</f>
        <v>6.0263653483992465</v>
      </c>
      <c r="E40" s="1" t="s">
        <v>109</v>
      </c>
      <c r="F40" s="15">
        <v>6.4000000000000003E-3</v>
      </c>
      <c r="G40" s="1" t="s">
        <v>142</v>
      </c>
      <c r="H40" s="14" t="s">
        <v>42</v>
      </c>
      <c r="I40" s="21">
        <v>0.56408000000000003</v>
      </c>
      <c r="J40" s="15">
        <v>2.1731E-2</v>
      </c>
      <c r="K40" s="15">
        <v>2.5730000000000002E-4</v>
      </c>
    </row>
    <row r="41" spans="1:11" x14ac:dyDescent="0.2">
      <c r="A41" s="1"/>
      <c r="B41" s="6" t="s">
        <v>60</v>
      </c>
      <c r="C41" s="1" t="s">
        <v>178</v>
      </c>
      <c r="D41" s="11">
        <f>100*2/531</f>
        <v>0.37664783427495291</v>
      </c>
      <c r="E41" s="1" t="s">
        <v>110</v>
      </c>
      <c r="F41" s="15">
        <v>2.666E-2</v>
      </c>
      <c r="G41" s="1" t="s">
        <v>142</v>
      </c>
      <c r="H41" s="14" t="s">
        <v>200</v>
      </c>
      <c r="I41" s="14" t="s">
        <v>200</v>
      </c>
      <c r="J41" s="15">
        <v>2.1731E-2</v>
      </c>
      <c r="K41" s="15">
        <v>1.2134000000000001E-2</v>
      </c>
    </row>
    <row r="42" spans="1:11" x14ac:dyDescent="0.2">
      <c r="A42" s="1"/>
      <c r="B42" s="6" t="s">
        <v>61</v>
      </c>
      <c r="C42" s="1" t="s">
        <v>178</v>
      </c>
      <c r="D42" s="11">
        <f>100*2/531</f>
        <v>0.37664783427495291</v>
      </c>
      <c r="E42" s="1" t="s">
        <v>111</v>
      </c>
      <c r="F42" s="15">
        <v>1.0000000000000001E-5</v>
      </c>
      <c r="G42" s="1" t="s">
        <v>142</v>
      </c>
      <c r="H42" s="14" t="s">
        <v>200</v>
      </c>
      <c r="I42" s="14" t="s">
        <v>200</v>
      </c>
      <c r="J42" s="15">
        <v>2.1731E-2</v>
      </c>
      <c r="K42" s="15">
        <v>2.8524000000000001E-2</v>
      </c>
    </row>
    <row r="43" spans="1:11" x14ac:dyDescent="0.2">
      <c r="A43" s="1"/>
      <c r="B43" s="6" t="s">
        <v>62</v>
      </c>
      <c r="C43" s="1" t="s">
        <v>179</v>
      </c>
      <c r="D43" s="11">
        <f>100*13/531</f>
        <v>2.4482109227871938</v>
      </c>
      <c r="E43" s="1" t="s">
        <v>136</v>
      </c>
      <c r="F43" s="15">
        <v>4.64E-3</v>
      </c>
      <c r="G43" s="1" t="s">
        <v>142</v>
      </c>
      <c r="H43" s="14" t="s">
        <v>40</v>
      </c>
      <c r="I43" s="25" t="s">
        <v>201</v>
      </c>
      <c r="J43" s="15">
        <v>2.1731E-2</v>
      </c>
      <c r="K43" s="15">
        <v>4.3503999999999999E-3</v>
      </c>
    </row>
    <row r="44" spans="1:11" x14ac:dyDescent="0.2">
      <c r="A44" s="1"/>
      <c r="B44" s="6" t="s">
        <v>63</v>
      </c>
      <c r="C44" s="1" t="s">
        <v>179</v>
      </c>
      <c r="D44" s="11">
        <f>100*13/531</f>
        <v>2.4482109227871938</v>
      </c>
      <c r="E44" s="1" t="s">
        <v>112</v>
      </c>
      <c r="F44" s="15">
        <v>6.0999999999999997E-4</v>
      </c>
      <c r="G44" s="1" t="s">
        <v>142</v>
      </c>
      <c r="H44" s="14" t="s">
        <v>40</v>
      </c>
      <c r="I44" s="21">
        <v>1.3699999999999999E-3</v>
      </c>
      <c r="J44" s="15">
        <v>2.1731E-2</v>
      </c>
      <c r="K44" s="15">
        <v>4.7251000000000001E-2</v>
      </c>
    </row>
    <row r="45" spans="1:11" x14ac:dyDescent="0.2">
      <c r="A45" s="1"/>
      <c r="B45" s="6" t="s">
        <v>64</v>
      </c>
      <c r="C45" s="1" t="s">
        <v>176</v>
      </c>
      <c r="D45" s="11">
        <f>100*4/531</f>
        <v>0.75329566854990582</v>
      </c>
      <c r="E45" s="1" t="s">
        <v>137</v>
      </c>
      <c r="F45" s="15">
        <v>2.988E-2</v>
      </c>
      <c r="G45" s="1" t="s">
        <v>142</v>
      </c>
      <c r="H45" s="14" t="s">
        <v>41</v>
      </c>
      <c r="I45" s="21">
        <v>0.47197</v>
      </c>
      <c r="J45" s="15">
        <v>2.1731E-2</v>
      </c>
      <c r="K45" s="15">
        <v>4.8905999999999998E-2</v>
      </c>
    </row>
    <row r="46" spans="1:11" x14ac:dyDescent="0.2">
      <c r="A46" s="1"/>
      <c r="B46" s="6" t="s">
        <v>65</v>
      </c>
      <c r="C46" s="1" t="s">
        <v>176</v>
      </c>
      <c r="D46" s="11">
        <f>100*4/531</f>
        <v>0.75329566854990582</v>
      </c>
      <c r="E46" s="1" t="s">
        <v>113</v>
      </c>
      <c r="F46" s="15">
        <v>2.1299999999999999E-3</v>
      </c>
      <c r="G46" s="1" t="s">
        <v>142</v>
      </c>
      <c r="H46" s="14" t="s">
        <v>40</v>
      </c>
      <c r="I46" s="21">
        <v>0.11285000000000001</v>
      </c>
      <c r="J46" s="15">
        <v>2.1731E-2</v>
      </c>
      <c r="K46" s="15">
        <v>5.6988999999999998E-2</v>
      </c>
    </row>
    <row r="47" spans="1:11" x14ac:dyDescent="0.2">
      <c r="A47" s="1"/>
      <c r="B47" s="6" t="s">
        <v>66</v>
      </c>
      <c r="C47" s="1" t="s">
        <v>178</v>
      </c>
      <c r="D47" s="11">
        <f>100*2/531</f>
        <v>0.37664783427495291</v>
      </c>
      <c r="E47" s="1" t="s">
        <v>114</v>
      </c>
      <c r="F47" s="15">
        <v>2.418E-2</v>
      </c>
      <c r="G47" s="1" t="s">
        <v>142</v>
      </c>
      <c r="H47" s="14" t="s">
        <v>40</v>
      </c>
      <c r="I47" s="21">
        <v>0.59619999999999995</v>
      </c>
      <c r="J47" s="15">
        <v>2.1731E-2</v>
      </c>
      <c r="K47" s="15">
        <v>1.6132000000000001E-2</v>
      </c>
    </row>
    <row r="48" spans="1:11" x14ac:dyDescent="0.2">
      <c r="A48" s="2" t="s">
        <v>7</v>
      </c>
      <c r="B48" s="8" t="s">
        <v>129</v>
      </c>
      <c r="C48" s="2" t="s">
        <v>180</v>
      </c>
      <c r="D48" s="12">
        <f>100*11/287</f>
        <v>3.8327526132404182</v>
      </c>
      <c r="E48" s="2" t="s">
        <v>115</v>
      </c>
      <c r="F48" s="16">
        <v>6.6699999999999997E-3</v>
      </c>
      <c r="G48" s="2" t="s">
        <v>142</v>
      </c>
      <c r="H48" s="13" t="s">
        <v>40</v>
      </c>
      <c r="I48" s="17" t="s">
        <v>201</v>
      </c>
      <c r="J48" s="16">
        <v>0.77934999999999999</v>
      </c>
      <c r="K48" s="16" t="s">
        <v>199</v>
      </c>
    </row>
    <row r="49" spans="1:11" x14ac:dyDescent="0.2">
      <c r="A49" s="2"/>
      <c r="B49" s="8" t="s">
        <v>130</v>
      </c>
      <c r="C49" s="2" t="s">
        <v>181</v>
      </c>
      <c r="D49" s="12">
        <f>100*5/287</f>
        <v>1.7421602787456445</v>
      </c>
      <c r="E49" s="2" t="s">
        <v>138</v>
      </c>
      <c r="F49" s="16">
        <v>1.0499999999999999E-3</v>
      </c>
      <c r="G49" s="2" t="s">
        <v>142</v>
      </c>
      <c r="H49" s="13" t="s">
        <v>40</v>
      </c>
      <c r="I49" s="22">
        <v>0.12531999999999999</v>
      </c>
      <c r="J49" s="16">
        <v>0.77934999999999999</v>
      </c>
      <c r="K49" s="16" t="s">
        <v>199</v>
      </c>
    </row>
    <row r="50" spans="1:11" x14ac:dyDescent="0.2">
      <c r="A50" s="1" t="s">
        <v>8</v>
      </c>
      <c r="B50" s="6" t="s">
        <v>30</v>
      </c>
      <c r="C50" s="1" t="s">
        <v>182</v>
      </c>
      <c r="D50" s="11">
        <f>100*34/371</f>
        <v>9.1644204851752029</v>
      </c>
      <c r="E50" s="1" t="s">
        <v>116</v>
      </c>
      <c r="F50" s="15">
        <v>5.8E-4</v>
      </c>
      <c r="G50" s="1" t="s">
        <v>142</v>
      </c>
      <c r="H50" s="14" t="s">
        <v>199</v>
      </c>
      <c r="I50" s="14" t="s">
        <v>199</v>
      </c>
      <c r="J50" s="15">
        <v>0.16175</v>
      </c>
      <c r="K50" s="15" t="s">
        <v>199</v>
      </c>
    </row>
    <row r="51" spans="1:11" x14ac:dyDescent="0.2">
      <c r="A51" s="1"/>
      <c r="B51" s="6" t="s">
        <v>38</v>
      </c>
      <c r="C51" s="1" t="s">
        <v>183</v>
      </c>
      <c r="D51" s="11">
        <f>100*66/371</f>
        <v>17.78975741239892</v>
      </c>
      <c r="E51" s="1" t="s">
        <v>117</v>
      </c>
      <c r="F51" s="15">
        <v>1.98E-3</v>
      </c>
      <c r="G51" s="1" t="s">
        <v>142</v>
      </c>
      <c r="H51" s="14" t="s">
        <v>199</v>
      </c>
      <c r="I51" s="14" t="s">
        <v>199</v>
      </c>
      <c r="J51" s="15">
        <v>0.16175</v>
      </c>
      <c r="K51" s="15" t="s">
        <v>199</v>
      </c>
    </row>
    <row r="52" spans="1:11" x14ac:dyDescent="0.2">
      <c r="A52" s="1"/>
      <c r="B52" s="6" t="s">
        <v>67</v>
      </c>
      <c r="C52" s="1" t="s">
        <v>184</v>
      </c>
      <c r="D52" s="11">
        <f>100*22/371</f>
        <v>5.9299191374663076</v>
      </c>
      <c r="E52" s="1" t="s">
        <v>118</v>
      </c>
      <c r="F52" s="15">
        <v>8.9599999999999992E-3</v>
      </c>
      <c r="G52" s="1" t="s">
        <v>142</v>
      </c>
      <c r="H52" s="14" t="s">
        <v>40</v>
      </c>
      <c r="I52" s="21">
        <v>0.20866999999999999</v>
      </c>
      <c r="J52" s="15">
        <v>0.16175</v>
      </c>
      <c r="K52" s="15" t="s">
        <v>199</v>
      </c>
    </row>
    <row r="53" spans="1:11" x14ac:dyDescent="0.2">
      <c r="A53" s="1"/>
      <c r="B53" s="6" t="s">
        <v>68</v>
      </c>
      <c r="C53" s="1" t="s">
        <v>185</v>
      </c>
      <c r="D53" s="11">
        <f>100*11/371</f>
        <v>2.9649595687331538</v>
      </c>
      <c r="E53" s="1" t="s">
        <v>119</v>
      </c>
      <c r="F53" s="15">
        <v>9.8099999999999993E-3</v>
      </c>
      <c r="G53" s="1" t="s">
        <v>142</v>
      </c>
      <c r="H53" s="14" t="s">
        <v>40</v>
      </c>
      <c r="I53" s="21">
        <v>1.42E-3</v>
      </c>
      <c r="J53" s="15">
        <v>0.16175</v>
      </c>
      <c r="K53" s="15" t="s">
        <v>199</v>
      </c>
    </row>
    <row r="54" spans="1:11" x14ac:dyDescent="0.2">
      <c r="A54" s="1"/>
      <c r="B54" s="6" t="s">
        <v>69</v>
      </c>
      <c r="C54" s="1" t="s">
        <v>186</v>
      </c>
      <c r="D54" s="11">
        <f>100*7/371</f>
        <v>1.8867924528301887</v>
      </c>
      <c r="E54" s="1" t="s">
        <v>120</v>
      </c>
      <c r="F54" s="15">
        <v>2.5200000000000001E-3</v>
      </c>
      <c r="G54" s="1" t="s">
        <v>142</v>
      </c>
      <c r="H54" s="14" t="s">
        <v>40</v>
      </c>
      <c r="I54" s="21">
        <v>2.972E-2</v>
      </c>
      <c r="J54" s="15">
        <v>0.16175</v>
      </c>
      <c r="K54" s="15" t="s">
        <v>199</v>
      </c>
    </row>
    <row r="55" spans="1:11" x14ac:dyDescent="0.2">
      <c r="A55" s="2" t="s">
        <v>9</v>
      </c>
      <c r="B55" s="7" t="s">
        <v>70</v>
      </c>
      <c r="C55" s="2" t="s">
        <v>187</v>
      </c>
      <c r="D55" s="12">
        <f>100*65/529</f>
        <v>12.287334593572778</v>
      </c>
      <c r="E55" s="2" t="s">
        <v>121</v>
      </c>
      <c r="F55" s="16">
        <v>6.8599999999999998E-3</v>
      </c>
      <c r="G55" s="2" t="s">
        <v>143</v>
      </c>
      <c r="H55" s="13" t="s">
        <v>199</v>
      </c>
      <c r="I55" s="13" t="s">
        <v>199</v>
      </c>
      <c r="J55" s="16">
        <v>0.90369999999999995</v>
      </c>
      <c r="K55" s="16" t="s">
        <v>199</v>
      </c>
    </row>
    <row r="56" spans="1:11" x14ac:dyDescent="0.2">
      <c r="A56" s="2"/>
      <c r="B56" s="7" t="s">
        <v>37</v>
      </c>
      <c r="C56" s="2" t="s">
        <v>188</v>
      </c>
      <c r="D56" s="12">
        <f>100*16/529</f>
        <v>3.0245746691871456</v>
      </c>
      <c r="E56" s="2" t="s">
        <v>139</v>
      </c>
      <c r="F56" s="16">
        <v>6.3000000000000003E-4</v>
      </c>
      <c r="G56" s="2" t="s">
        <v>142</v>
      </c>
      <c r="H56" s="13" t="s">
        <v>199</v>
      </c>
      <c r="I56" s="13" t="s">
        <v>199</v>
      </c>
      <c r="J56" s="16">
        <v>0.90369999999999995</v>
      </c>
      <c r="K56" s="16" t="s">
        <v>199</v>
      </c>
    </row>
    <row r="57" spans="1:11" x14ac:dyDescent="0.2">
      <c r="A57" s="1" t="s">
        <v>10</v>
      </c>
      <c r="B57" s="6" t="s">
        <v>71</v>
      </c>
      <c r="C57" s="1" t="s">
        <v>190</v>
      </c>
      <c r="D57" s="11">
        <f>100*5/500</f>
        <v>1</v>
      </c>
      <c r="E57" s="1" t="s">
        <v>122</v>
      </c>
      <c r="F57" s="15">
        <v>3.5899999999999999E-3</v>
      </c>
      <c r="G57" s="1" t="s">
        <v>142</v>
      </c>
      <c r="H57" s="14" t="s">
        <v>199</v>
      </c>
      <c r="I57" s="14" t="s">
        <v>199</v>
      </c>
      <c r="J57" s="15">
        <v>0.76327999999999996</v>
      </c>
      <c r="K57" s="15" t="s">
        <v>199</v>
      </c>
    </row>
    <row r="58" spans="1:11" x14ac:dyDescent="0.2">
      <c r="A58" s="1"/>
      <c r="B58" s="6" t="s">
        <v>37</v>
      </c>
      <c r="C58" s="1" t="s">
        <v>189</v>
      </c>
      <c r="D58" s="11">
        <f>100*51/500</f>
        <v>10.199999999999999</v>
      </c>
      <c r="E58" s="1" t="s">
        <v>140</v>
      </c>
      <c r="F58" s="15">
        <v>1.81E-3</v>
      </c>
      <c r="G58" s="1" t="s">
        <v>142</v>
      </c>
      <c r="H58" s="14" t="s">
        <v>199</v>
      </c>
      <c r="I58" s="14" t="s">
        <v>199</v>
      </c>
      <c r="J58" s="15">
        <v>0.76327999999999996</v>
      </c>
      <c r="K58" s="15" t="s">
        <v>199</v>
      </c>
    </row>
    <row r="59" spans="1:11" x14ac:dyDescent="0.2">
      <c r="A59" s="2" t="s">
        <v>11</v>
      </c>
      <c r="B59" s="7" t="s">
        <v>74</v>
      </c>
      <c r="C59" s="2"/>
      <c r="D59" s="13"/>
      <c r="E59" s="2"/>
      <c r="F59" s="13"/>
      <c r="G59" s="2"/>
      <c r="H59" s="13"/>
      <c r="I59" s="13"/>
      <c r="J59" s="16">
        <v>0.14276</v>
      </c>
      <c r="K59" s="16" t="s">
        <v>199</v>
      </c>
    </row>
    <row r="60" spans="1:11" x14ac:dyDescent="0.2">
      <c r="A60" s="1" t="s">
        <v>13</v>
      </c>
      <c r="B60" s="6" t="s">
        <v>74</v>
      </c>
      <c r="C60" s="1"/>
      <c r="D60" s="14"/>
      <c r="E60" s="1"/>
      <c r="F60" s="14"/>
      <c r="G60" s="1"/>
      <c r="H60" s="14"/>
      <c r="I60" s="14"/>
      <c r="J60" s="15">
        <v>5.2208999999999998E-2</v>
      </c>
      <c r="K60" s="15" t="s">
        <v>199</v>
      </c>
    </row>
    <row r="61" spans="1:11" x14ac:dyDescent="0.2">
      <c r="A61" s="2" t="s">
        <v>12</v>
      </c>
      <c r="B61" s="7" t="s">
        <v>17</v>
      </c>
      <c r="C61" s="2" t="s">
        <v>191</v>
      </c>
      <c r="D61" s="12">
        <f>100*34/543</f>
        <v>6.2615101289134438</v>
      </c>
      <c r="E61" s="2" t="s">
        <v>123</v>
      </c>
      <c r="F61" s="16">
        <v>3.4709999999999998E-2</v>
      </c>
      <c r="G61" s="2" t="s">
        <v>142</v>
      </c>
      <c r="H61" s="13" t="s">
        <v>199</v>
      </c>
      <c r="I61" s="13" t="s">
        <v>199</v>
      </c>
      <c r="J61" s="16">
        <v>1.8013E-4</v>
      </c>
      <c r="K61" s="16">
        <v>5.1619000000000002E-5</v>
      </c>
    </row>
    <row r="62" spans="1:11" x14ac:dyDescent="0.2">
      <c r="A62" s="2"/>
      <c r="B62" s="7" t="s">
        <v>19</v>
      </c>
      <c r="C62" s="2" t="s">
        <v>192</v>
      </c>
      <c r="D62" s="12">
        <f>100*7/543</f>
        <v>1.2891344383057091</v>
      </c>
      <c r="E62" s="2" t="s">
        <v>124</v>
      </c>
      <c r="F62" s="16">
        <v>2.4499999999999999E-3</v>
      </c>
      <c r="G62" s="2" t="s">
        <v>142</v>
      </c>
      <c r="H62" s="13" t="s">
        <v>199</v>
      </c>
      <c r="I62" s="13" t="s">
        <v>199</v>
      </c>
      <c r="J62" s="16">
        <v>1.8013E-4</v>
      </c>
      <c r="K62" s="16">
        <v>5.1601999999999998E-5</v>
      </c>
    </row>
    <row r="63" spans="1:11" x14ac:dyDescent="0.2">
      <c r="A63" s="2"/>
      <c r="B63" s="7" t="s">
        <v>22</v>
      </c>
      <c r="C63" s="2" t="s">
        <v>193</v>
      </c>
      <c r="D63" s="12">
        <f>100*110/543</f>
        <v>20.257826887661142</v>
      </c>
      <c r="E63" s="2" t="s">
        <v>125</v>
      </c>
      <c r="F63" s="16">
        <v>3.807E-2</v>
      </c>
      <c r="G63" s="2" t="s">
        <v>142</v>
      </c>
      <c r="H63" s="13" t="s">
        <v>199</v>
      </c>
      <c r="I63" s="13" t="s">
        <v>199</v>
      </c>
      <c r="J63" s="16">
        <v>1.8013E-4</v>
      </c>
      <c r="K63" s="16">
        <v>4.0373000000000001E-5</v>
      </c>
    </row>
    <row r="64" spans="1:11" x14ac:dyDescent="0.2">
      <c r="A64" s="2"/>
      <c r="B64" s="7" t="s">
        <v>36</v>
      </c>
      <c r="C64" s="2" t="s">
        <v>194</v>
      </c>
      <c r="D64" s="12">
        <f>100*21/543</f>
        <v>3.867403314917127</v>
      </c>
      <c r="E64" s="2" t="s">
        <v>126</v>
      </c>
      <c r="F64" s="16">
        <v>1.091E-2</v>
      </c>
      <c r="G64" s="2" t="s">
        <v>143</v>
      </c>
      <c r="H64" s="13" t="s">
        <v>199</v>
      </c>
      <c r="I64" s="13" t="s">
        <v>199</v>
      </c>
      <c r="J64" s="16">
        <v>1.8013E-4</v>
      </c>
      <c r="K64" s="16">
        <v>8.9828E-4</v>
      </c>
    </row>
    <row r="65" spans="1:11" x14ac:dyDescent="0.2">
      <c r="A65" s="2"/>
      <c r="B65" s="7" t="s">
        <v>38</v>
      </c>
      <c r="C65" s="2" t="s">
        <v>195</v>
      </c>
      <c r="D65" s="12">
        <f>100*32/543</f>
        <v>5.8931860036832413</v>
      </c>
      <c r="E65" s="2" t="s">
        <v>127</v>
      </c>
      <c r="F65" s="16">
        <v>1.2999999999999999E-4</v>
      </c>
      <c r="G65" s="2" t="s">
        <v>142</v>
      </c>
      <c r="H65" s="13" t="s">
        <v>199</v>
      </c>
      <c r="I65" s="13" t="s">
        <v>199</v>
      </c>
      <c r="J65" s="16">
        <v>1.8013E-4</v>
      </c>
      <c r="K65" s="16">
        <v>2.6714E-6</v>
      </c>
    </row>
    <row r="66" spans="1:11" x14ac:dyDescent="0.2">
      <c r="A66" s="2"/>
      <c r="B66" s="7" t="s">
        <v>72</v>
      </c>
      <c r="C66" s="2" t="s">
        <v>196</v>
      </c>
      <c r="D66" s="12">
        <f>100*15/543</f>
        <v>2.7624309392265194</v>
      </c>
      <c r="E66" s="2" t="s">
        <v>128</v>
      </c>
      <c r="F66" s="16">
        <v>3.7909999999999999E-2</v>
      </c>
      <c r="G66" s="2" t="s">
        <v>142</v>
      </c>
      <c r="H66" s="13" t="s">
        <v>40</v>
      </c>
      <c r="I66" s="22">
        <v>2.0200000000000001E-3</v>
      </c>
      <c r="J66" s="16">
        <v>1.8013E-4</v>
      </c>
      <c r="K66" s="16">
        <v>1.5948E-5</v>
      </c>
    </row>
    <row r="67" spans="1:11" x14ac:dyDescent="0.2">
      <c r="A67" s="3"/>
      <c r="B67" s="10" t="s">
        <v>73</v>
      </c>
      <c r="C67" s="3" t="s">
        <v>197</v>
      </c>
      <c r="D67" s="19">
        <f>100*5/543</f>
        <v>0.92081031307550643</v>
      </c>
      <c r="E67" s="3" t="s">
        <v>132</v>
      </c>
      <c r="F67" s="18">
        <v>3.7399999999999998E-3</v>
      </c>
      <c r="G67" s="3" t="s">
        <v>142</v>
      </c>
      <c r="H67" s="23" t="s">
        <v>40</v>
      </c>
      <c r="I67" s="24">
        <v>2.5919999999999999E-2</v>
      </c>
      <c r="J67" s="18">
        <v>1.8013E-4</v>
      </c>
      <c r="K67" s="18">
        <v>3.1638E-4</v>
      </c>
    </row>
    <row r="86" ht="16" customHeight="1" x14ac:dyDescent="0.2"/>
    <row r="92" ht="16" customHeight="1" x14ac:dyDescent="0.2"/>
    <row r="104" ht="16" customHeight="1" x14ac:dyDescent="0.2"/>
    <row r="106" ht="16" customHeight="1" x14ac:dyDescent="0.2"/>
    <row r="112" ht="16" customHeight="1" x14ac:dyDescent="0.2"/>
    <row r="114" ht="16" customHeight="1" x14ac:dyDescent="0.2"/>
    <row r="149" ht="16" customHeight="1" x14ac:dyDescent="0.2"/>
    <row r="151" ht="16" customHeight="1" x14ac:dyDescent="0.2"/>
    <row r="163" ht="16" customHeight="1" x14ac:dyDescent="0.2"/>
    <row r="165" ht="16" customHeight="1" x14ac:dyDescent="0.2"/>
    <row r="177" ht="16" customHeight="1" x14ac:dyDescent="0.2"/>
    <row r="187" ht="16" customHeight="1" x14ac:dyDescent="0.2"/>
    <row r="189" ht="16" customHeight="1" x14ac:dyDescent="0.2"/>
    <row r="203" ht="16" customHeight="1" x14ac:dyDescent="0.2"/>
    <row r="205" ht="16" customHeight="1" x14ac:dyDescent="0.2"/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Dataset</dc:title>
  <dc:subject/>
  <dc:creator>Pascal Duijf</dc:creator>
  <cp:keywords/>
  <dc:description/>
  <cp:lastModifiedBy>Pascal Duijf</cp:lastModifiedBy>
  <dcterms:created xsi:type="dcterms:W3CDTF">2018-03-24T03:59:07Z</dcterms:created>
  <dcterms:modified xsi:type="dcterms:W3CDTF">2019-12-12T04:26:54Z</dcterms:modified>
  <cp:category/>
</cp:coreProperties>
</file>