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ED41DAB7-428B-834E-AC60-788FB06CCDB5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5" sheetId="1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9" l="1"/>
  <c r="D86" i="19"/>
  <c r="D85" i="19"/>
  <c r="D84" i="19"/>
  <c r="D83" i="19"/>
  <c r="D82" i="19"/>
  <c r="D81" i="19"/>
  <c r="D80" i="19"/>
  <c r="D79" i="19"/>
  <c r="D78" i="19"/>
  <c r="D77" i="19" l="1"/>
  <c r="D97" i="19" l="1"/>
  <c r="D96" i="19"/>
  <c r="D95" i="19"/>
  <c r="D94" i="19"/>
  <c r="D93" i="19"/>
  <c r="D92" i="19"/>
  <c r="D71" i="19" l="1"/>
  <c r="D70" i="19"/>
  <c r="D69" i="19"/>
  <c r="D68" i="19" l="1"/>
  <c r="D67" i="19"/>
  <c r="D66" i="19"/>
  <c r="D65" i="19"/>
  <c r="D64" i="19"/>
  <c r="D63" i="19"/>
  <c r="D88" i="19" l="1"/>
  <c r="D91" i="19" l="1"/>
  <c r="D90" i="19" l="1"/>
  <c r="D89" i="19"/>
  <c r="D99" i="19" l="1"/>
  <c r="D98" i="19"/>
  <c r="D76" i="19" l="1"/>
  <c r="D75" i="19"/>
  <c r="D74" i="19"/>
  <c r="D73" i="19"/>
  <c r="D72" i="19"/>
  <c r="D62" i="19" l="1"/>
  <c r="D61" i="19"/>
  <c r="D60" i="19" l="1"/>
  <c r="D59" i="19"/>
  <c r="D58" i="19" l="1"/>
  <c r="D57" i="19"/>
  <c r="D56" i="19"/>
  <c r="D55" i="19" l="1"/>
  <c r="D54" i="19"/>
  <c r="D53" i="19"/>
  <c r="D52" i="19"/>
  <c r="D51" i="19"/>
  <c r="D50" i="19"/>
  <c r="D49" i="19"/>
  <c r="D48" i="19"/>
  <c r="D47" i="19" l="1"/>
  <c r="D46" i="19"/>
  <c r="D45" i="19"/>
  <c r="D44" i="19"/>
  <c r="D43" i="19"/>
  <c r="D42" i="19"/>
  <c r="D41" i="19"/>
  <c r="D40" i="19"/>
  <c r="D39" i="19"/>
  <c r="D38" i="19"/>
  <c r="D37" i="19" l="1"/>
  <c r="D36" i="19"/>
  <c r="D35" i="19" l="1"/>
  <c r="D34" i="19"/>
  <c r="D33" i="19"/>
  <c r="D32" i="19"/>
  <c r="D31" i="19" l="1"/>
  <c r="D14" i="19" l="1"/>
  <c r="D13" i="19"/>
  <c r="D12" i="19"/>
  <c r="D11" i="19"/>
  <c r="D10" i="19"/>
  <c r="D9" i="19"/>
  <c r="D8" i="19"/>
  <c r="D7" i="19"/>
  <c r="D6" i="19"/>
  <c r="D5" i="19"/>
  <c r="D4" i="19"/>
  <c r="D3" i="19"/>
  <c r="D30" i="19" l="1"/>
  <c r="D29" i="19"/>
  <c r="D28" i="19"/>
  <c r="D27" i="19"/>
  <c r="D26" i="19"/>
  <c r="D25" i="19"/>
  <c r="D24" i="19"/>
  <c r="D23" i="19"/>
  <c r="D22" i="19"/>
  <c r="D21" i="19"/>
  <c r="D20" i="19"/>
  <c r="D19" i="19"/>
  <c r="D17" i="19"/>
  <c r="D18" i="19"/>
  <c r="D16" i="19"/>
  <c r="D15" i="19"/>
</calcChain>
</file>

<file path=xl/sharedStrings.xml><?xml version="1.0" encoding="utf-8"?>
<sst xmlns="http://schemas.openxmlformats.org/spreadsheetml/2006/main" count="633" uniqueCount="309">
  <si>
    <t>BLCA</t>
  </si>
  <si>
    <t>BRCA</t>
  </si>
  <si>
    <t>CESC</t>
  </si>
  <si>
    <t>COADREAD</t>
  </si>
  <si>
    <t>ESCA</t>
  </si>
  <si>
    <t>HNSC</t>
  </si>
  <si>
    <t>KIRC</t>
  </si>
  <si>
    <t>KIRP</t>
  </si>
  <si>
    <t>LIHC</t>
  </si>
  <si>
    <t>LUAD</t>
  </si>
  <si>
    <t>LUSC</t>
  </si>
  <si>
    <t>OV</t>
  </si>
  <si>
    <t>PRAD</t>
  </si>
  <si>
    <t>STAD</t>
  </si>
  <si>
    <t>TGCT</t>
  </si>
  <si>
    <t>THCA</t>
  </si>
  <si>
    <t>UCEC</t>
  </si>
  <si>
    <t>UVM</t>
  </si>
  <si>
    <t>SKCM</t>
  </si>
  <si>
    <t>+1q</t>
  </si>
  <si>
    <t>-2p</t>
  </si>
  <si>
    <t>-3p</t>
  </si>
  <si>
    <t>+3q</t>
  </si>
  <si>
    <t>-4p</t>
  </si>
  <si>
    <t>+4q</t>
  </si>
  <si>
    <t>-5q</t>
  </si>
  <si>
    <t>+6p</t>
  </si>
  <si>
    <t>+8q</t>
  </si>
  <si>
    <t>+9p</t>
  </si>
  <si>
    <t>-9p</t>
  </si>
  <si>
    <t>+10p</t>
  </si>
  <si>
    <t>+10q</t>
  </si>
  <si>
    <t>-10q</t>
  </si>
  <si>
    <t>-11q</t>
  </si>
  <si>
    <t>+12p</t>
  </si>
  <si>
    <t>-12p</t>
  </si>
  <si>
    <t>+13q</t>
  </si>
  <si>
    <t>-13q</t>
  </si>
  <si>
    <t>-14q</t>
  </si>
  <si>
    <t>-15q</t>
  </si>
  <si>
    <t>+16q</t>
  </si>
  <si>
    <t>-17q</t>
  </si>
  <si>
    <t>-19p</t>
  </si>
  <si>
    <t>+20p</t>
  </si>
  <si>
    <t>-20p</t>
  </si>
  <si>
    <t>+20q</t>
  </si>
  <si>
    <t>-22q</t>
  </si>
  <si>
    <t>higher</t>
  </si>
  <si>
    <t>lower</t>
  </si>
  <si>
    <t>Cancer cohort</t>
  </si>
  <si>
    <t>Multivariate Cox HR (95% CI)</t>
  </si>
  <si>
    <t>-16q,+20q</t>
  </si>
  <si>
    <t>-12q,-22q</t>
  </si>
  <si>
    <t>-3p,-5q</t>
  </si>
  <si>
    <t>+8q,-19p</t>
  </si>
  <si>
    <t>+3q,+5p</t>
  </si>
  <si>
    <t>Patients affected (%)</t>
  </si>
  <si>
    <t xml:space="preserve">+2q </t>
  </si>
  <si>
    <t xml:space="preserve">-4p,-18p  </t>
  </si>
  <si>
    <t>+10p,+20p</t>
  </si>
  <si>
    <t xml:space="preserve">-11p,-15q </t>
  </si>
  <si>
    <t>+9p,+20q</t>
  </si>
  <si>
    <t>+18p,+21q</t>
  </si>
  <si>
    <t>-9p,+9q</t>
  </si>
  <si>
    <t xml:space="preserve">-17p,+19p  </t>
  </si>
  <si>
    <t xml:space="preserve">-2q,+18q </t>
  </si>
  <si>
    <t xml:space="preserve">-1p,-17q </t>
  </si>
  <si>
    <t xml:space="preserve">+8q,+10p </t>
  </si>
  <si>
    <t>+3q,+20p</t>
  </si>
  <si>
    <t>+6p,-8p</t>
  </si>
  <si>
    <t>+3q,-15q</t>
  </si>
  <si>
    <t>+9p,-10q</t>
  </si>
  <si>
    <t xml:space="preserve">+17q,+18q </t>
  </si>
  <si>
    <t xml:space="preserve">+16p </t>
  </si>
  <si>
    <t>+18p,-21q</t>
  </si>
  <si>
    <t>-13q,-18q</t>
  </si>
  <si>
    <t xml:space="preserve">+5p,+18p </t>
  </si>
  <si>
    <t xml:space="preserve">+8q,+20p </t>
  </si>
  <si>
    <t xml:space="preserve">+7p,-11q </t>
  </si>
  <si>
    <t>-6q,-8p</t>
  </si>
  <si>
    <t>+8q,-20p</t>
  </si>
  <si>
    <t xml:space="preserve">+6p,-15q </t>
  </si>
  <si>
    <t>+8q,-22q</t>
  </si>
  <si>
    <t>+8q,-10q</t>
  </si>
  <si>
    <t xml:space="preserve">-9p,-21q </t>
  </si>
  <si>
    <t>-8p,+12q</t>
  </si>
  <si>
    <t>+1q,+20p</t>
  </si>
  <si>
    <t>+16p,-19p</t>
  </si>
  <si>
    <t>-1p,-17p</t>
  </si>
  <si>
    <t xml:space="preserve">-10p,-10q </t>
  </si>
  <si>
    <t xml:space="preserve">+7q,-8p </t>
  </si>
  <si>
    <t xml:space="preserve">-4p,-9q  </t>
  </si>
  <si>
    <t xml:space="preserve">-4q,-18p </t>
  </si>
  <si>
    <t>-6p,-19p</t>
  </si>
  <si>
    <t xml:space="preserve">+9q,-16q  </t>
  </si>
  <si>
    <t xml:space="preserve">+1q,+8q </t>
  </si>
  <si>
    <t>+8p,-16q</t>
  </si>
  <si>
    <t>-13q,-22q</t>
  </si>
  <si>
    <t xml:space="preserve">+1q,+3q </t>
  </si>
  <si>
    <t>-8p,-21q</t>
  </si>
  <si>
    <t xml:space="preserve">+10p,+18q </t>
  </si>
  <si>
    <t>+7q,-11q</t>
  </si>
  <si>
    <t>-3q,-6q</t>
  </si>
  <si>
    <t>6.14 (1.92-19.63)</t>
  </si>
  <si>
    <t>2.69 (1.26-5.74)</t>
  </si>
  <si>
    <t>0.27 (0.09-0.80)</t>
  </si>
  <si>
    <t>7.71 (2.88-20.61)</t>
  </si>
  <si>
    <t>3.68 (1.24-10.87)</t>
  </si>
  <si>
    <t>5.53 (1.88-16.23)</t>
  </si>
  <si>
    <t>4.24 (1.36-13.21)</t>
  </si>
  <si>
    <t>6.69 (1.84-24.30)</t>
  </si>
  <si>
    <t>7.51 (1.69-33.41)</t>
  </si>
  <si>
    <t>4.31 (1.10-14.26)</t>
  </si>
  <si>
    <t>10.19 (2.98-34.87)</t>
  </si>
  <si>
    <t>6.86 (2.02-23.24)</t>
  </si>
  <si>
    <t>3.37 (1.20-9.47)</t>
  </si>
  <si>
    <t>0.41 (0.20-0.83)</t>
  </si>
  <si>
    <t>0.35 (0.18-0.70)</t>
  </si>
  <si>
    <t>0.22 (0.05-0.90)</t>
  </si>
  <si>
    <t>2.96 (1.28-6.88)</t>
  </si>
  <si>
    <t>0.37 (0.21-0.66)</t>
  </si>
  <si>
    <t>2.02 (1.28-3.17)</t>
  </si>
  <si>
    <t>2.69 (1.34-5.40)</t>
  </si>
  <si>
    <t>4.88 (2.27-10.49)</t>
  </si>
  <si>
    <t>0.18 (0.04-0.74)</t>
  </si>
  <si>
    <t>2.56 (1.21-5.42)</t>
  </si>
  <si>
    <t>3.26 (1.48-7.20)</t>
  </si>
  <si>
    <t>3.15 (1.04-9.55)</t>
  </si>
  <si>
    <t>7.44 (2.92-18.91)</t>
  </si>
  <si>
    <t>0.21 (0.05-0.93)</t>
  </si>
  <si>
    <t>8.47 (2.04-35.13)</t>
  </si>
  <si>
    <t>2.89 (1.41-5.93)</t>
  </si>
  <si>
    <t>0.24 (0.09-0.67)</t>
  </si>
  <si>
    <t>2.10 (1.10-4.03)</t>
  </si>
  <si>
    <t>1.81 (1.09-3.01)</t>
  </si>
  <si>
    <t>6.73 (2.56-17.69)</t>
  </si>
  <si>
    <t>5.13 (1.99-13.22)</t>
  </si>
  <si>
    <t>4.732 (2.09-10.69)</t>
  </si>
  <si>
    <t>0.53 (0.33-0.86)</t>
  </si>
  <si>
    <t>1.98 (1.14-3.44)</t>
  </si>
  <si>
    <t>2.46 (1.23-4.92)</t>
  </si>
  <si>
    <t>0.24 (0.074-0.77)</t>
  </si>
  <si>
    <t>2.013 (1.01-4.02)</t>
  </si>
  <si>
    <t>2.19 (1.05-4.58)</t>
  </si>
  <si>
    <t>4.09 (1.53-10.96)</t>
  </si>
  <si>
    <t>2.82 (1.17-6.80)</t>
  </si>
  <si>
    <t>5.77 (1.62-20.53)</t>
  </si>
  <si>
    <t>8.21 (2.00-33.60)</t>
  </si>
  <si>
    <t>0.70 (0.41-0.91)</t>
  </si>
  <si>
    <t>2.16 (1.17-3.99)</t>
  </si>
  <si>
    <t>3.07 (1.20-7.82)</t>
  </si>
  <si>
    <t>4.54 (1.36-5.15)</t>
  </si>
  <si>
    <t>2.44 (1.14-5.22)</t>
  </si>
  <si>
    <t>4.67 (1.11-19.68)</t>
  </si>
  <si>
    <t>9.42 (1.50-58.92)</t>
  </si>
  <si>
    <t>11.34 (2.32-55.55)</t>
  </si>
  <si>
    <t>0.2497 (0.08-0.80)</t>
  </si>
  <si>
    <t>3.406 (1.15-10.10)</t>
  </si>
  <si>
    <t>12.45 (2.38-64.96)</t>
  </si>
  <si>
    <t>2.96 (1.57-5.59)</t>
  </si>
  <si>
    <t>3.49 (1.38-8.80)</t>
  </si>
  <si>
    <t>4.91 (2.30-10.48)</t>
  </si>
  <si>
    <t>5.93 (2.68-13.15)</t>
  </si>
  <si>
    <t>0.32 (0.11-0.90)</t>
  </si>
  <si>
    <t>0.31 (0.10-0.99)</t>
  </si>
  <si>
    <t>2.46 (1.24-4.88)</t>
  </si>
  <si>
    <t>0.33 (0.11-0.86)</t>
  </si>
  <si>
    <t>8.32 (2.40-8.79)</t>
  </si>
  <si>
    <t>5.71 (2.03-6.08)</t>
  </si>
  <si>
    <t>0.79 (0.63-1.00)</t>
  </si>
  <si>
    <t>1.43 (1.09-1.89)</t>
  </si>
  <si>
    <t>1.33 (1.04-1.71)</t>
  </si>
  <si>
    <t>2.90 (1.15-7.29)</t>
  </si>
  <si>
    <t>4.67 (1.12-19.66)</t>
  </si>
  <si>
    <t>7.31 (2.55-20.93)</t>
  </si>
  <si>
    <t>1.97 (0.59-6.63)</t>
  </si>
  <si>
    <t>6.36 (1.29-31.46)</t>
  </si>
  <si>
    <t>3.77 (1.17-12.11)</t>
  </si>
  <si>
    <t>0.26 (0.09-0.72)</t>
  </si>
  <si>
    <t>3.90 (1.37-11.14)</t>
  </si>
  <si>
    <t>9.61 (3.42-26.95)</t>
  </si>
  <si>
    <t>1.98 (1.17-3.33)</t>
  </si>
  <si>
    <t>2.71 (1.17-6.27)</t>
  </si>
  <si>
    <t>3.24 (1.50-7.00)</t>
  </si>
  <si>
    <t>3.95 (1.54-10.15)</t>
  </si>
  <si>
    <t>4.95 (1.28-19.13)</t>
  </si>
  <si>
    <t>4.71 (1.28-17.29)</t>
  </si>
  <si>
    <t>28.55 (2.50-326.28)</t>
  </si>
  <si>
    <t>7.58 (1.16-49.58)</t>
  </si>
  <si>
    <t>Survival outcome</t>
  </si>
  <si>
    <t>Poor</t>
  </si>
  <si>
    <t>Good</t>
  </si>
  <si>
    <t>Patients affected/total (n/n)</t>
  </si>
  <si>
    <t>7/321</t>
  </si>
  <si>
    <t>6/321</t>
  </si>
  <si>
    <t>31/321</t>
  </si>
  <si>
    <t>27/321</t>
  </si>
  <si>
    <t>52/321</t>
  </si>
  <si>
    <t>12/321</t>
  </si>
  <si>
    <t>44/321</t>
  </si>
  <si>
    <t>47/321</t>
  </si>
  <si>
    <t>19/321</t>
  </si>
  <si>
    <t>15/321</t>
  </si>
  <si>
    <t>13/321</t>
  </si>
  <si>
    <t>11/321</t>
  </si>
  <si>
    <t>5/321</t>
  </si>
  <si>
    <t>3/321</t>
  </si>
  <si>
    <t>8/998</t>
  </si>
  <si>
    <t>19/998</t>
  </si>
  <si>
    <t>11/998</t>
  </si>
  <si>
    <t>9/998</t>
  </si>
  <si>
    <t>7/998</t>
  </si>
  <si>
    <t>35/998</t>
  </si>
  <si>
    <t>74/998</t>
  </si>
  <si>
    <t>16/998</t>
  </si>
  <si>
    <t>5/998</t>
  </si>
  <si>
    <t>29/257</t>
  </si>
  <si>
    <t>48/546</t>
  </si>
  <si>
    <t>39/546</t>
  </si>
  <si>
    <t>61/546</t>
  </si>
  <si>
    <t>5/546</t>
  </si>
  <si>
    <t>5/142</t>
  </si>
  <si>
    <t>7/142</t>
  </si>
  <si>
    <t>93/394</t>
  </si>
  <si>
    <t>28/394</t>
  </si>
  <si>
    <t>17/394</t>
  </si>
  <si>
    <t>24/394</t>
  </si>
  <si>
    <t>23/394</t>
  </si>
  <si>
    <t>16/394</t>
  </si>
  <si>
    <t>10/394</t>
  </si>
  <si>
    <t>9/394</t>
  </si>
  <si>
    <t>6/394</t>
  </si>
  <si>
    <t>4/394</t>
  </si>
  <si>
    <t>285/433</t>
  </si>
  <si>
    <t>37/433</t>
  </si>
  <si>
    <t>12/433</t>
  </si>
  <si>
    <t>4/433</t>
  </si>
  <si>
    <t>16/433</t>
  </si>
  <si>
    <t>2/433</t>
  </si>
  <si>
    <t>48/266</t>
  </si>
  <si>
    <t>14/266</t>
  </si>
  <si>
    <t>5/266</t>
  </si>
  <si>
    <t>17/320</t>
  </si>
  <si>
    <t>7/320</t>
  </si>
  <si>
    <t>11/449</t>
  </si>
  <si>
    <t>7/449</t>
  </si>
  <si>
    <t>12/490</t>
  </si>
  <si>
    <t>4/490</t>
  </si>
  <si>
    <t>8/490</t>
  </si>
  <si>
    <t>16/490</t>
  </si>
  <si>
    <t>5/490</t>
  </si>
  <si>
    <t>7/62</t>
  </si>
  <si>
    <t>5/62</t>
  </si>
  <si>
    <t>41/136</t>
  </si>
  <si>
    <t>6/136</t>
  </si>
  <si>
    <t>7/491</t>
  </si>
  <si>
    <t>3/342</t>
  </si>
  <si>
    <t>27/373</t>
  </si>
  <si>
    <t>29/373</t>
  </si>
  <si>
    <t>25/373</t>
  </si>
  <si>
    <t>4/373</t>
  </si>
  <si>
    <t>149/493</t>
  </si>
  <si>
    <t>77/493</t>
  </si>
  <si>
    <t>106/493</t>
  </si>
  <si>
    <t>68/404</t>
  </si>
  <si>
    <t>60/502</t>
  </si>
  <si>
    <t>20/502</t>
  </si>
  <si>
    <t>10/502</t>
  </si>
  <si>
    <t>6/502</t>
  </si>
  <si>
    <t>Higher/lower than expected cooccurrence</t>
  </si>
  <si>
    <t>NA</t>
  </si>
  <si>
    <t>-14q,-22q</t>
  </si>
  <si>
    <t>+13q,-14q</t>
  </si>
  <si>
    <t>-10q,-14q</t>
  </si>
  <si>
    <t>-6q,+19q</t>
  </si>
  <si>
    <t>-2q,-9p</t>
  </si>
  <si>
    <t>+5p,+18p</t>
  </si>
  <si>
    <t>-4q,-5q</t>
  </si>
  <si>
    <t>-11p,+12p</t>
  </si>
  <si>
    <t>-9p,-16p</t>
  </si>
  <si>
    <t>+1p,+8q</t>
  </si>
  <si>
    <t>&lt;1E-5</t>
  </si>
  <si>
    <t>1E-5</t>
  </si>
  <si>
    <t>1.50 (1.09-2.05)</t>
  </si>
  <si>
    <t>2.28 (1.37-3.81)</t>
  </si>
  <si>
    <t>2.61 (1.47-4.61)</t>
  </si>
  <si>
    <t>0.47 (0.23-0.97)</t>
  </si>
  <si>
    <t>0.09 (0.02-0.42)</t>
  </si>
  <si>
    <t>6.59 (2.17-20.04)</t>
  </si>
  <si>
    <t>0.24 (0.06-0.99)</t>
  </si>
  <si>
    <t>3.09 (1.17-8.17)</t>
  </si>
  <si>
    <t>4.23 (1.46-12.23)</t>
  </si>
  <si>
    <t>0.13 (0.02-0.93)</t>
  </si>
  <si>
    <t>0.10 (0.03-0.31)</t>
  </si>
  <si>
    <t>32/404</t>
  </si>
  <si>
    <t>21/404</t>
  </si>
  <si>
    <t>14/404</t>
  </si>
  <si>
    <t>8/404</t>
  </si>
  <si>
    <t>9/404</t>
  </si>
  <si>
    <t>5/404</t>
  </si>
  <si>
    <t>7/404</t>
  </si>
  <si>
    <t>6/404</t>
  </si>
  <si>
    <t>4/404</t>
  </si>
  <si>
    <r>
      <rPr>
        <b/>
        <i/>
        <sz val="12"/>
        <color theme="1"/>
        <rFont val="Calibri"/>
        <family val="2"/>
        <scheme val="minor"/>
      </rPr>
      <t>q</t>
    </r>
    <r>
      <rPr>
        <b/>
        <sz val="12"/>
        <color theme="1"/>
        <rFont val="Calibri"/>
        <family val="2"/>
        <scheme val="minor"/>
      </rPr>
      <t xml:space="preserve"> value</t>
    </r>
  </si>
  <si>
    <r>
      <t xml:space="preserve">Multivariate Cox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</si>
  <si>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r>
      <t xml:space="preserve">Multivariate Cox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 incl. WGD</t>
    </r>
  </si>
  <si>
    <r>
      <t xml:space="preserve">WGD univariate Cox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 for cancer type</t>
    </r>
  </si>
  <si>
    <t>Single/co-occurring CAA(s)</t>
  </si>
  <si>
    <t>Supplementary Data 5. Single and co-occurring CAAs that predict good or poor disease-free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</si>
</sst>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3" borderId="0" xfId="0" applyFill="1"/>
    <xf numFmtId="0" fontId="1" fillId="3" borderId="1" xfId="0" applyFont="1" applyFill="1" applyBorder="1" applyAlignment="1">
      <alignment wrapText="1"/>
    </xf>
    <xf numFmtId="49" fontId="0" fillId="2" borderId="0" xfId="0" applyNumberFormat="1" applyFill="1"/>
    <xf numFmtId="2" fontId="0" fillId="2" borderId="0" xfId="0" applyNumberFormat="1" applyFill="1" applyAlignment="1">
      <alignment horizontal="left"/>
    </xf>
    <xf numFmtId="2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left"/>
    </xf>
    <xf numFmtId="165" fontId="0" fillId="3" borderId="0" xfId="0" applyNumberFormat="1" applyFill="1" applyAlignment="1">
      <alignment horizontal="left"/>
    </xf>
    <xf numFmtId="11" fontId="0" fillId="3" borderId="0" xfId="0" applyNumberFormat="1" applyFill="1" applyAlignment="1">
      <alignment horizontal="left"/>
    </xf>
    <xf numFmtId="0" fontId="1" fillId="3" borderId="1" xfId="0" applyFont="1" applyFill="1" applyBorder="1" applyAlignment="1">
      <alignment wrapText="1"/>
    </xf>
    <xf numFmtId="2" fontId="0" fillId="2" borderId="2" xfId="0" applyNumberFormat="1" applyFill="1" applyBorder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3" borderId="0" xfId="0" applyNumberFormat="1" applyFill="1" applyAlignment="1">
      <alignment horizontal="left"/>
    </xf>
    <xf numFmtId="11" fontId="0" fillId="2" borderId="0" xfId="0" applyNumberFormat="1" applyFill="1" applyAlignment="1">
      <alignment horizontal="left"/>
    </xf>
    <xf numFmtId="49" fontId="0" fillId="2" borderId="0" xfId="0" applyNumberFormat="1" applyFill="1" applyAlignment="1">
      <alignment horizontal="left"/>
    </xf>
    <xf numFmtId="0" fontId="0" fillId="0" borderId="0" xfId="0" applyFill="1"/>
    <xf numFmtId="49" fontId="0" fillId="2" borderId="2" xfId="0" applyNumberFormat="1" applyFill="1" applyBorder="1"/>
    <xf numFmtId="165" fontId="0" fillId="2" borderId="2" xfId="0" applyNumberForma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64" fontId="0" fillId="2" borderId="2" xfId="0" applyNumberForma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/>
    <xf numFmtId="0" fontId="4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C01F-DCC8-BB40-A035-69AD657AB9B0}">
  <sheetPr>
    <tabColor rgb="FF92D050"/>
  </sheetPr>
  <dimension ref="A1:K99"/>
  <sheetViews>
    <sheetView tabSelected="1" zoomScale="80" zoomScaleNormal="80" workbookViewId="0">
      <selection sqref="A1:K1"/>
    </sheetView>
  </sheetViews>
  <sheetFormatPr baseColWidth="10" defaultRowHeight="16" x14ac:dyDescent="0.2"/>
  <cols>
    <col min="2" max="2" width="10.83203125" customWidth="1"/>
    <col min="3" max="3" width="12.33203125" customWidth="1"/>
    <col min="4" max="4" width="9.83203125" customWidth="1"/>
    <col min="5" max="5" width="18" customWidth="1"/>
    <col min="6" max="6" width="11.33203125" customWidth="1"/>
    <col min="7" max="7" width="8.83203125" customWidth="1"/>
    <col min="8" max="8" width="12.83203125" bestFit="1" customWidth="1"/>
    <col min="9" max="10" width="12.83203125" customWidth="1"/>
    <col min="11" max="11" width="12.1640625" style="19" customWidth="1"/>
  </cols>
  <sheetData>
    <row r="1" spans="1:11" ht="20" x14ac:dyDescent="0.25">
      <c r="A1" s="26" t="s">
        <v>308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63" customHeight="1" x14ac:dyDescent="0.2">
      <c r="A2" s="4" t="s">
        <v>49</v>
      </c>
      <c r="B2" s="4" t="s">
        <v>307</v>
      </c>
      <c r="C2" s="4" t="s">
        <v>192</v>
      </c>
      <c r="D2" s="4" t="s">
        <v>56</v>
      </c>
      <c r="E2" s="4" t="s">
        <v>50</v>
      </c>
      <c r="F2" s="4" t="s">
        <v>304</v>
      </c>
      <c r="G2" s="4" t="s">
        <v>189</v>
      </c>
      <c r="H2" s="13" t="s">
        <v>269</v>
      </c>
      <c r="I2" s="13" t="s">
        <v>303</v>
      </c>
      <c r="J2" s="24" t="s">
        <v>306</v>
      </c>
      <c r="K2" s="25" t="s">
        <v>305</v>
      </c>
    </row>
    <row r="3" spans="1:11" ht="16" customHeight="1" x14ac:dyDescent="0.2">
      <c r="A3" s="1" t="s">
        <v>1</v>
      </c>
      <c r="B3" s="1" t="s">
        <v>57</v>
      </c>
      <c r="C3" s="1" t="s">
        <v>211</v>
      </c>
      <c r="D3" s="6">
        <f>100*7/998</f>
        <v>0.70140280561122248</v>
      </c>
      <c r="E3" s="1" t="s">
        <v>103</v>
      </c>
      <c r="F3" s="10">
        <v>2.2300000000000002E-3</v>
      </c>
      <c r="G3" s="1" t="s">
        <v>190</v>
      </c>
      <c r="H3" s="9" t="s">
        <v>270</v>
      </c>
      <c r="I3" s="9" t="s">
        <v>270</v>
      </c>
      <c r="J3" s="10">
        <v>0.2296</v>
      </c>
      <c r="K3" s="10" t="s">
        <v>270</v>
      </c>
    </row>
    <row r="4" spans="1:11" x14ac:dyDescent="0.2">
      <c r="A4" s="1"/>
      <c r="B4" s="1" t="s">
        <v>41</v>
      </c>
      <c r="C4" s="1" t="s">
        <v>212</v>
      </c>
      <c r="D4" s="6">
        <f>100*35/998</f>
        <v>3.5070140280561124</v>
      </c>
      <c r="E4" s="1" t="s">
        <v>104</v>
      </c>
      <c r="F4" s="10">
        <v>2.0999999999999999E-3</v>
      </c>
      <c r="G4" s="1" t="s">
        <v>190</v>
      </c>
      <c r="H4" s="9" t="s">
        <v>270</v>
      </c>
      <c r="I4" s="9" t="s">
        <v>270</v>
      </c>
      <c r="J4" s="10">
        <v>0.2296</v>
      </c>
      <c r="K4" s="10" t="s">
        <v>270</v>
      </c>
    </row>
    <row r="5" spans="1:11" x14ac:dyDescent="0.2">
      <c r="A5" s="1"/>
      <c r="B5" s="1" t="s">
        <v>34</v>
      </c>
      <c r="C5" s="1" t="s">
        <v>213</v>
      </c>
      <c r="D5" s="6">
        <f>100*74/998</f>
        <v>7.4148296593186371</v>
      </c>
      <c r="E5" s="1" t="s">
        <v>105</v>
      </c>
      <c r="F5" s="10">
        <v>1.77E-2</v>
      </c>
      <c r="G5" s="1" t="s">
        <v>191</v>
      </c>
      <c r="H5" s="9" t="s">
        <v>270</v>
      </c>
      <c r="I5" s="9" t="s">
        <v>270</v>
      </c>
      <c r="J5" s="10">
        <v>0.2296</v>
      </c>
      <c r="K5" s="10" t="s">
        <v>270</v>
      </c>
    </row>
    <row r="6" spans="1:11" x14ac:dyDescent="0.2">
      <c r="A6" s="1"/>
      <c r="B6" s="1" t="s">
        <v>58</v>
      </c>
      <c r="C6" s="1" t="s">
        <v>208</v>
      </c>
      <c r="D6" s="6">
        <f>100*19/998</f>
        <v>1.9038076152304608</v>
      </c>
      <c r="E6" s="1" t="s">
        <v>106</v>
      </c>
      <c r="F6" s="10">
        <v>4.6999999999999997E-5</v>
      </c>
      <c r="G6" s="1" t="s">
        <v>190</v>
      </c>
      <c r="H6" s="9" t="s">
        <v>47</v>
      </c>
      <c r="I6" s="15">
        <v>4.3099999999999996E-3</v>
      </c>
      <c r="J6" s="10">
        <v>0.2296</v>
      </c>
      <c r="K6" s="10" t="s">
        <v>270</v>
      </c>
    </row>
    <row r="7" spans="1:11" x14ac:dyDescent="0.2">
      <c r="A7" s="1"/>
      <c r="B7" s="1" t="s">
        <v>59</v>
      </c>
      <c r="C7" s="1" t="s">
        <v>214</v>
      </c>
      <c r="D7" s="6">
        <f>100*16/998</f>
        <v>1.6032064128256514</v>
      </c>
      <c r="E7" s="1" t="s">
        <v>107</v>
      </c>
      <c r="F7" s="10">
        <v>1.8638999999999999E-2</v>
      </c>
      <c r="G7" s="1" t="s">
        <v>190</v>
      </c>
      <c r="H7" s="9" t="s">
        <v>47</v>
      </c>
      <c r="I7" s="15">
        <v>1.9300000000000001E-2</v>
      </c>
      <c r="J7" s="10">
        <v>0.2296</v>
      </c>
      <c r="K7" s="10" t="s">
        <v>270</v>
      </c>
    </row>
    <row r="8" spans="1:11" x14ac:dyDescent="0.2">
      <c r="A8" s="1"/>
      <c r="B8" s="1" t="s">
        <v>60</v>
      </c>
      <c r="C8" s="1" t="s">
        <v>214</v>
      </c>
      <c r="D8" s="6">
        <f>100*16/998</f>
        <v>1.6032064128256514</v>
      </c>
      <c r="E8" s="1" t="s">
        <v>108</v>
      </c>
      <c r="F8" s="10">
        <v>1.8699999999999999E-3</v>
      </c>
      <c r="G8" s="1" t="s">
        <v>190</v>
      </c>
      <c r="H8" s="9" t="s">
        <v>47</v>
      </c>
      <c r="I8" s="15">
        <v>8.9749999999999996E-2</v>
      </c>
      <c r="J8" s="10">
        <v>0.2296</v>
      </c>
      <c r="K8" s="10" t="s">
        <v>270</v>
      </c>
    </row>
    <row r="9" spans="1:11" x14ac:dyDescent="0.2">
      <c r="A9" s="1"/>
      <c r="B9" s="1" t="s">
        <v>61</v>
      </c>
      <c r="C9" s="1" t="s">
        <v>209</v>
      </c>
      <c r="D9" s="6">
        <f>100*11/998</f>
        <v>1.1022044088176353</v>
      </c>
      <c r="E9" s="1" t="s">
        <v>109</v>
      </c>
      <c r="F9" s="10">
        <v>1.2599000000000001E-2</v>
      </c>
      <c r="G9" s="1" t="s">
        <v>190</v>
      </c>
      <c r="H9" s="9" t="s">
        <v>47</v>
      </c>
      <c r="I9" s="15">
        <v>0.4718</v>
      </c>
      <c r="J9" s="10">
        <v>0.2296</v>
      </c>
      <c r="K9" s="10" t="s">
        <v>270</v>
      </c>
    </row>
    <row r="10" spans="1:11" x14ac:dyDescent="0.2">
      <c r="A10" s="1"/>
      <c r="B10" s="1" t="s">
        <v>62</v>
      </c>
      <c r="C10" s="1" t="s">
        <v>210</v>
      </c>
      <c r="D10" s="6">
        <f>100*9/998</f>
        <v>0.90180360721442887</v>
      </c>
      <c r="E10" s="1" t="s">
        <v>110</v>
      </c>
      <c r="F10" s="10">
        <v>3.8639999999999998E-3</v>
      </c>
      <c r="G10" s="1" t="s">
        <v>190</v>
      </c>
      <c r="H10" s="9" t="s">
        <v>47</v>
      </c>
      <c r="I10" s="15">
        <v>4.5199999999999997E-3</v>
      </c>
      <c r="J10" s="10">
        <v>0.2296</v>
      </c>
      <c r="K10" s="10" t="s">
        <v>270</v>
      </c>
    </row>
    <row r="11" spans="1:11" x14ac:dyDescent="0.2">
      <c r="A11" s="1"/>
      <c r="B11" s="1" t="s">
        <v>63</v>
      </c>
      <c r="C11" s="1" t="s">
        <v>207</v>
      </c>
      <c r="D11" s="6">
        <f>100*8/998</f>
        <v>0.80160320641282568</v>
      </c>
      <c r="E11" s="1" t="s">
        <v>111</v>
      </c>
      <c r="F11" s="10">
        <v>8.1189999999999995E-3</v>
      </c>
      <c r="G11" s="1" t="s">
        <v>190</v>
      </c>
      <c r="H11" s="9" t="s">
        <v>47</v>
      </c>
      <c r="I11" s="15">
        <v>3.9010000000000003E-2</v>
      </c>
      <c r="J11" s="10">
        <v>0.2296</v>
      </c>
      <c r="K11" s="10" t="s">
        <v>270</v>
      </c>
    </row>
    <row r="12" spans="1:11" x14ac:dyDescent="0.2">
      <c r="A12" s="1"/>
      <c r="B12" s="1" t="s">
        <v>64</v>
      </c>
      <c r="C12" s="1" t="s">
        <v>215</v>
      </c>
      <c r="D12" s="6">
        <f>100*5/998</f>
        <v>0.50100200400801598</v>
      </c>
      <c r="E12" s="1" t="s">
        <v>112</v>
      </c>
      <c r="F12" s="10">
        <v>1.6882000000000001E-2</v>
      </c>
      <c r="G12" s="1" t="s">
        <v>190</v>
      </c>
      <c r="H12" s="9" t="s">
        <v>47</v>
      </c>
      <c r="I12" s="15">
        <v>0.54764000000000002</v>
      </c>
      <c r="J12" s="10">
        <v>0.2296</v>
      </c>
      <c r="K12" s="10" t="s">
        <v>270</v>
      </c>
    </row>
    <row r="13" spans="1:11" x14ac:dyDescent="0.2">
      <c r="A13" s="1"/>
      <c r="B13" s="1" t="s">
        <v>65</v>
      </c>
      <c r="C13" s="1" t="s">
        <v>215</v>
      </c>
      <c r="D13" s="6">
        <f>100*5/998</f>
        <v>0.50100200400801598</v>
      </c>
      <c r="E13" s="1" t="s">
        <v>113</v>
      </c>
      <c r="F13" s="10">
        <v>2.1699999999999999E-4</v>
      </c>
      <c r="G13" s="1" t="s">
        <v>190</v>
      </c>
      <c r="H13" s="9" t="s">
        <v>47</v>
      </c>
      <c r="I13" s="15">
        <v>8.226E-2</v>
      </c>
      <c r="J13" s="10">
        <v>0.2296</v>
      </c>
      <c r="K13" s="10" t="s">
        <v>270</v>
      </c>
    </row>
    <row r="14" spans="1:11" x14ac:dyDescent="0.2">
      <c r="A14" s="1"/>
      <c r="B14" s="1" t="s">
        <v>66</v>
      </c>
      <c r="C14" s="1" t="s">
        <v>215</v>
      </c>
      <c r="D14" s="6">
        <f>100*5/998</f>
        <v>0.50100200400801598</v>
      </c>
      <c r="E14" s="1" t="s">
        <v>114</v>
      </c>
      <c r="F14" s="10">
        <v>2.003E-3</v>
      </c>
      <c r="G14" s="1" t="s">
        <v>190</v>
      </c>
      <c r="H14" s="9" t="s">
        <v>47</v>
      </c>
      <c r="I14" s="15">
        <v>0.35738999999999999</v>
      </c>
      <c r="J14" s="10">
        <v>0.2296</v>
      </c>
      <c r="K14" s="10" t="s">
        <v>270</v>
      </c>
    </row>
    <row r="15" spans="1:11" x14ac:dyDescent="0.2">
      <c r="A15" s="3" t="s">
        <v>0</v>
      </c>
      <c r="B15" s="3" t="s">
        <v>20</v>
      </c>
      <c r="C15" s="3" t="s">
        <v>194</v>
      </c>
      <c r="D15" s="7">
        <f>100*6/321</f>
        <v>1.8691588785046729</v>
      </c>
      <c r="E15" s="3" t="s">
        <v>115</v>
      </c>
      <c r="F15" s="11">
        <v>2.0962000000000001E-2</v>
      </c>
      <c r="G15" s="3" t="s">
        <v>190</v>
      </c>
      <c r="H15" s="8" t="s">
        <v>270</v>
      </c>
      <c r="I15" s="8" t="s">
        <v>270</v>
      </c>
      <c r="J15" s="11">
        <v>0.86660000000000004</v>
      </c>
      <c r="K15" s="11" t="s">
        <v>270</v>
      </c>
    </row>
    <row r="16" spans="1:11" x14ac:dyDescent="0.2">
      <c r="A16" s="3"/>
      <c r="B16" s="3" t="s">
        <v>26</v>
      </c>
      <c r="C16" s="3" t="s">
        <v>195</v>
      </c>
      <c r="D16" s="7">
        <f>100*31/321</f>
        <v>9.657320872274143</v>
      </c>
      <c r="E16" s="3" t="s">
        <v>116</v>
      </c>
      <c r="F16" s="11">
        <v>1.3469999999999999E-2</v>
      </c>
      <c r="G16" s="3" t="s">
        <v>191</v>
      </c>
      <c r="H16" s="8" t="s">
        <v>270</v>
      </c>
      <c r="I16" s="8" t="s">
        <v>270</v>
      </c>
      <c r="J16" s="11">
        <v>0.86660000000000004</v>
      </c>
      <c r="K16" s="11" t="s">
        <v>270</v>
      </c>
    </row>
    <row r="17" spans="1:11" x14ac:dyDescent="0.2">
      <c r="A17" s="3"/>
      <c r="B17" s="3" t="s">
        <v>28</v>
      </c>
      <c r="C17" s="3" t="s">
        <v>196</v>
      </c>
      <c r="D17" s="7">
        <f>100*27/321</f>
        <v>8.4112149532710276</v>
      </c>
      <c r="E17" s="3" t="s">
        <v>117</v>
      </c>
      <c r="F17" s="11">
        <v>2.6489999999999999E-3</v>
      </c>
      <c r="G17" s="3" t="s">
        <v>191</v>
      </c>
      <c r="H17" s="8" t="s">
        <v>270</v>
      </c>
      <c r="I17" s="8" t="s">
        <v>270</v>
      </c>
      <c r="J17" s="11">
        <v>0.86660000000000004</v>
      </c>
      <c r="K17" s="11" t="s">
        <v>270</v>
      </c>
    </row>
    <row r="18" spans="1:11" x14ac:dyDescent="0.2">
      <c r="A18" s="3"/>
      <c r="B18" s="3" t="s">
        <v>31</v>
      </c>
      <c r="C18" s="3" t="s">
        <v>197</v>
      </c>
      <c r="D18" s="7">
        <f>100*52/321</f>
        <v>16.199376947040498</v>
      </c>
      <c r="E18" s="3" t="s">
        <v>118</v>
      </c>
      <c r="F18" s="11">
        <v>3.5284999999999997E-2</v>
      </c>
      <c r="G18" s="3" t="s">
        <v>191</v>
      </c>
      <c r="H18" s="8" t="s">
        <v>270</v>
      </c>
      <c r="I18" s="8" t="s">
        <v>270</v>
      </c>
      <c r="J18" s="11">
        <v>0.86660000000000004</v>
      </c>
      <c r="K18" s="11" t="s">
        <v>270</v>
      </c>
    </row>
    <row r="19" spans="1:11" x14ac:dyDescent="0.2">
      <c r="A19" s="3"/>
      <c r="B19" s="3" t="s">
        <v>35</v>
      </c>
      <c r="C19" s="3" t="s">
        <v>198</v>
      </c>
      <c r="D19" s="7">
        <f>100*12/321</f>
        <v>3.7383177570093458</v>
      </c>
      <c r="E19" s="3" t="s">
        <v>119</v>
      </c>
      <c r="F19" s="11">
        <v>1.1478E-2</v>
      </c>
      <c r="G19" s="3" t="s">
        <v>190</v>
      </c>
      <c r="H19" s="8" t="s">
        <v>270</v>
      </c>
      <c r="I19" s="8" t="s">
        <v>270</v>
      </c>
      <c r="J19" s="11">
        <v>0.86660000000000004</v>
      </c>
      <c r="K19" s="11" t="s">
        <v>270</v>
      </c>
    </row>
    <row r="20" spans="1:11" x14ac:dyDescent="0.2">
      <c r="A20" s="3"/>
      <c r="B20" s="3" t="s">
        <v>38</v>
      </c>
      <c r="C20" s="3" t="s">
        <v>199</v>
      </c>
      <c r="D20" s="7">
        <f>100*44/321</f>
        <v>13.707165109034268</v>
      </c>
      <c r="E20" s="3" t="s">
        <v>120</v>
      </c>
      <c r="F20" s="11">
        <v>6.5799999999999995E-4</v>
      </c>
      <c r="G20" s="3" t="s">
        <v>191</v>
      </c>
      <c r="H20" s="8" t="s">
        <v>270</v>
      </c>
      <c r="I20" s="8" t="s">
        <v>270</v>
      </c>
      <c r="J20" s="11">
        <v>0.86660000000000004</v>
      </c>
      <c r="K20" s="11" t="s">
        <v>270</v>
      </c>
    </row>
    <row r="21" spans="1:11" x14ac:dyDescent="0.2">
      <c r="A21" s="3"/>
      <c r="B21" s="3" t="s">
        <v>43</v>
      </c>
      <c r="C21" s="3" t="s">
        <v>200</v>
      </c>
      <c r="D21" s="7">
        <f>100*47/321</f>
        <v>14.641744548286605</v>
      </c>
      <c r="E21" s="3" t="s">
        <v>121</v>
      </c>
      <c r="F21" s="11">
        <v>2.3609999999999998E-3</v>
      </c>
      <c r="G21" s="3" t="s">
        <v>190</v>
      </c>
      <c r="H21" s="8" t="s">
        <v>270</v>
      </c>
      <c r="I21" s="8" t="s">
        <v>270</v>
      </c>
      <c r="J21" s="11">
        <v>0.86660000000000004</v>
      </c>
      <c r="K21" s="11" t="s">
        <v>270</v>
      </c>
    </row>
    <row r="22" spans="1:11" x14ac:dyDescent="0.2">
      <c r="A22" s="3"/>
      <c r="B22" s="3" t="s">
        <v>67</v>
      </c>
      <c r="C22" s="3" t="s">
        <v>201</v>
      </c>
      <c r="D22" s="7">
        <f>100*19/321</f>
        <v>5.9190031152647977</v>
      </c>
      <c r="E22" s="3" t="s">
        <v>122</v>
      </c>
      <c r="F22" s="11">
        <v>5.3600000000000002E-3</v>
      </c>
      <c r="G22" s="3" t="s">
        <v>190</v>
      </c>
      <c r="H22" s="8" t="s">
        <v>47</v>
      </c>
      <c r="I22" s="16">
        <v>2.051E-2</v>
      </c>
      <c r="J22" s="11">
        <v>0.86660000000000004</v>
      </c>
      <c r="K22" s="11" t="s">
        <v>270</v>
      </c>
    </row>
    <row r="23" spans="1:11" x14ac:dyDescent="0.2">
      <c r="A23" s="3"/>
      <c r="B23" s="3" t="s">
        <v>68</v>
      </c>
      <c r="C23" s="3" t="s">
        <v>202</v>
      </c>
      <c r="D23" s="7">
        <f>100*15/321</f>
        <v>4.6728971962616823</v>
      </c>
      <c r="E23" s="3" t="s">
        <v>123</v>
      </c>
      <c r="F23" s="11">
        <v>5.0500000000000001E-5</v>
      </c>
      <c r="G23" s="3" t="s">
        <v>190</v>
      </c>
      <c r="H23" s="8" t="s">
        <v>47</v>
      </c>
      <c r="I23" s="16">
        <v>5.4460000000000001E-2</v>
      </c>
      <c r="J23" s="11">
        <v>0.86660000000000004</v>
      </c>
      <c r="K23" s="11" t="s">
        <v>270</v>
      </c>
    </row>
    <row r="24" spans="1:11" x14ac:dyDescent="0.2">
      <c r="A24" s="3"/>
      <c r="B24" s="3" t="s">
        <v>69</v>
      </c>
      <c r="C24" s="3" t="s">
        <v>203</v>
      </c>
      <c r="D24" s="7">
        <f>100*13/321</f>
        <v>4.0498442367601246</v>
      </c>
      <c r="E24" s="3" t="s">
        <v>124</v>
      </c>
      <c r="F24" s="11">
        <v>1.763E-2</v>
      </c>
      <c r="G24" s="3" t="s">
        <v>191</v>
      </c>
      <c r="H24" s="8" t="s">
        <v>47</v>
      </c>
      <c r="I24" s="16">
        <v>8.8179999999999994E-2</v>
      </c>
      <c r="J24" s="11">
        <v>0.86660000000000004</v>
      </c>
      <c r="K24" s="11" t="s">
        <v>270</v>
      </c>
    </row>
    <row r="25" spans="1:11" x14ac:dyDescent="0.2">
      <c r="A25" s="3"/>
      <c r="B25" s="3" t="s">
        <v>70</v>
      </c>
      <c r="C25" s="3" t="s">
        <v>203</v>
      </c>
      <c r="D25" s="7">
        <f>100*13/321</f>
        <v>4.0498442367601246</v>
      </c>
      <c r="E25" s="3" t="s">
        <v>125</v>
      </c>
      <c r="F25" s="11">
        <v>1.379E-2</v>
      </c>
      <c r="G25" s="3" t="s">
        <v>190</v>
      </c>
      <c r="H25" s="8" t="s">
        <v>47</v>
      </c>
      <c r="I25" s="16">
        <v>0.19535</v>
      </c>
      <c r="J25" s="11">
        <v>0.86660000000000004</v>
      </c>
      <c r="K25" s="11" t="s">
        <v>270</v>
      </c>
    </row>
    <row r="26" spans="1:11" x14ac:dyDescent="0.2">
      <c r="A26" s="3"/>
      <c r="B26" s="3" t="s">
        <v>51</v>
      </c>
      <c r="C26" s="3" t="s">
        <v>204</v>
      </c>
      <c r="D26" s="7">
        <f>100*11/321</f>
        <v>3.4267912772585669</v>
      </c>
      <c r="E26" s="3" t="s">
        <v>126</v>
      </c>
      <c r="F26" s="11">
        <v>3.48E-3</v>
      </c>
      <c r="G26" s="3" t="s">
        <v>190</v>
      </c>
      <c r="H26" s="8" t="s">
        <v>47</v>
      </c>
      <c r="I26" s="16">
        <v>0.11169</v>
      </c>
      <c r="J26" s="11">
        <v>0.86660000000000004</v>
      </c>
      <c r="K26" s="11" t="s">
        <v>270</v>
      </c>
    </row>
    <row r="27" spans="1:11" x14ac:dyDescent="0.2">
      <c r="A27" s="3"/>
      <c r="B27" s="3" t="s">
        <v>52</v>
      </c>
      <c r="C27" s="3" t="s">
        <v>193</v>
      </c>
      <c r="D27" s="7">
        <f>100*7/321</f>
        <v>2.1806853582554515</v>
      </c>
      <c r="E27" s="3" t="s">
        <v>127</v>
      </c>
      <c r="F27" s="11">
        <v>4.265E-2</v>
      </c>
      <c r="G27" s="3" t="s">
        <v>190</v>
      </c>
      <c r="H27" s="8" t="s">
        <v>47</v>
      </c>
      <c r="I27" s="16">
        <v>3.3E-4</v>
      </c>
      <c r="J27" s="11">
        <v>0.86660000000000004</v>
      </c>
      <c r="K27" s="11" t="s">
        <v>270</v>
      </c>
    </row>
    <row r="28" spans="1:11" x14ac:dyDescent="0.2">
      <c r="A28" s="3"/>
      <c r="B28" s="3" t="s">
        <v>53</v>
      </c>
      <c r="C28" s="3" t="s">
        <v>205</v>
      </c>
      <c r="D28" s="7">
        <f>100*5/321</f>
        <v>1.557632398753894</v>
      </c>
      <c r="E28" s="3" t="s">
        <v>128</v>
      </c>
      <c r="F28" s="11">
        <v>2.51E-5</v>
      </c>
      <c r="G28" s="3" t="s">
        <v>190</v>
      </c>
      <c r="H28" s="8" t="s">
        <v>47</v>
      </c>
      <c r="I28" s="16">
        <v>0.37802000000000002</v>
      </c>
      <c r="J28" s="11">
        <v>0.86660000000000004</v>
      </c>
      <c r="K28" s="11" t="s">
        <v>270</v>
      </c>
    </row>
    <row r="29" spans="1:11" x14ac:dyDescent="0.2">
      <c r="A29" s="3"/>
      <c r="B29" s="3" t="s">
        <v>71</v>
      </c>
      <c r="C29" s="3" t="s">
        <v>194</v>
      </c>
      <c r="D29" s="7">
        <f>100*6/321</f>
        <v>1.8691588785046729</v>
      </c>
      <c r="E29" s="3" t="s">
        <v>129</v>
      </c>
      <c r="F29" s="11">
        <v>3.8780000000000002E-2</v>
      </c>
      <c r="G29" s="3" t="s">
        <v>191</v>
      </c>
      <c r="H29" s="8" t="s">
        <v>47</v>
      </c>
      <c r="I29" s="16">
        <v>0.33194000000000001</v>
      </c>
      <c r="J29" s="11">
        <v>0.86660000000000004</v>
      </c>
      <c r="K29" s="11" t="s">
        <v>270</v>
      </c>
    </row>
    <row r="30" spans="1:11" x14ac:dyDescent="0.2">
      <c r="A30" s="3"/>
      <c r="B30" s="3" t="s">
        <v>72</v>
      </c>
      <c r="C30" s="3" t="s">
        <v>206</v>
      </c>
      <c r="D30" s="7">
        <f>100*3/321</f>
        <v>0.93457943925233644</v>
      </c>
      <c r="E30" s="3" t="s">
        <v>130</v>
      </c>
      <c r="F30" s="11">
        <v>3.2399999999999998E-3</v>
      </c>
      <c r="G30" s="3" t="s">
        <v>190</v>
      </c>
      <c r="H30" s="8" t="s">
        <v>47</v>
      </c>
      <c r="I30" s="16">
        <v>0.13242000000000001</v>
      </c>
      <c r="J30" s="11">
        <v>0.86660000000000004</v>
      </c>
      <c r="K30" s="11" t="s">
        <v>270</v>
      </c>
    </row>
    <row r="31" spans="1:11" x14ac:dyDescent="0.2">
      <c r="A31" s="1" t="s">
        <v>2</v>
      </c>
      <c r="B31" s="1" t="s">
        <v>42</v>
      </c>
      <c r="C31" s="1" t="s">
        <v>216</v>
      </c>
      <c r="D31" s="6">
        <f>100*29/257</f>
        <v>11.284046692607005</v>
      </c>
      <c r="E31" s="1" t="s">
        <v>131</v>
      </c>
      <c r="F31" s="10">
        <v>3.8600000000000001E-3</v>
      </c>
      <c r="G31" s="1" t="s">
        <v>190</v>
      </c>
      <c r="H31" s="9" t="s">
        <v>270</v>
      </c>
      <c r="I31" s="9" t="s">
        <v>270</v>
      </c>
      <c r="J31" s="10">
        <v>0.79603000000000002</v>
      </c>
      <c r="K31" s="10" t="s">
        <v>270</v>
      </c>
    </row>
    <row r="32" spans="1:11" x14ac:dyDescent="0.2">
      <c r="A32" s="3" t="s">
        <v>3</v>
      </c>
      <c r="B32" s="3" t="s">
        <v>73</v>
      </c>
      <c r="C32" s="3" t="s">
        <v>217</v>
      </c>
      <c r="D32" s="7">
        <f>100*48/546</f>
        <v>8.791208791208792</v>
      </c>
      <c r="E32" s="3" t="s">
        <v>132</v>
      </c>
      <c r="F32" s="11">
        <v>6.3600000000000002E-3</v>
      </c>
      <c r="G32" s="3" t="s">
        <v>191</v>
      </c>
      <c r="H32" s="8" t="s">
        <v>270</v>
      </c>
      <c r="I32" s="8" t="s">
        <v>270</v>
      </c>
      <c r="J32" s="11">
        <v>2.7111E-2</v>
      </c>
      <c r="K32" s="11">
        <v>1.4154E-3</v>
      </c>
    </row>
    <row r="33" spans="1:11" x14ac:dyDescent="0.2">
      <c r="A33" s="3"/>
      <c r="B33" s="3" t="s">
        <v>22</v>
      </c>
      <c r="C33" s="3" t="s">
        <v>218</v>
      </c>
      <c r="D33" s="7">
        <f>100*39/546</f>
        <v>7.1428571428571432</v>
      </c>
      <c r="E33" s="3" t="s">
        <v>133</v>
      </c>
      <c r="F33" s="11">
        <v>2.4910000000000002E-2</v>
      </c>
      <c r="G33" s="3" t="s">
        <v>190</v>
      </c>
      <c r="H33" s="8" t="s">
        <v>270</v>
      </c>
      <c r="I33" s="8" t="s">
        <v>270</v>
      </c>
      <c r="J33" s="11">
        <v>2.7111E-2</v>
      </c>
      <c r="K33" s="11">
        <v>1.0498E-2</v>
      </c>
    </row>
    <row r="34" spans="1:11" x14ac:dyDescent="0.2">
      <c r="A34" s="3"/>
      <c r="B34" s="3" t="s">
        <v>25</v>
      </c>
      <c r="C34" s="3" t="s">
        <v>219</v>
      </c>
      <c r="D34" s="7">
        <f>100*61/546</f>
        <v>11.172161172161172</v>
      </c>
      <c r="E34" s="3" t="s">
        <v>134</v>
      </c>
      <c r="F34" s="11">
        <v>2.2280000000000001E-2</v>
      </c>
      <c r="G34" s="3" t="s">
        <v>190</v>
      </c>
      <c r="H34" s="8" t="s">
        <v>270</v>
      </c>
      <c r="I34" s="8" t="s">
        <v>270</v>
      </c>
      <c r="J34" s="11">
        <v>2.7111E-2</v>
      </c>
      <c r="K34" s="11">
        <v>3.1497000000000001E-3</v>
      </c>
    </row>
    <row r="35" spans="1:11" x14ac:dyDescent="0.2">
      <c r="A35" s="3"/>
      <c r="B35" s="3" t="s">
        <v>54</v>
      </c>
      <c r="C35" s="3" t="s">
        <v>220</v>
      </c>
      <c r="D35" s="7">
        <f>100*5/546</f>
        <v>0.91575091575091572</v>
      </c>
      <c r="E35" s="3" t="s">
        <v>135</v>
      </c>
      <c r="F35" s="11">
        <v>1.12E-4</v>
      </c>
      <c r="G35" s="3" t="s">
        <v>190</v>
      </c>
      <c r="H35" s="8" t="s">
        <v>48</v>
      </c>
      <c r="I35" s="16">
        <v>0.19742999999999999</v>
      </c>
      <c r="J35" s="11">
        <v>2.7111E-2</v>
      </c>
      <c r="K35" s="11">
        <v>3.7969999999999997E-5</v>
      </c>
    </row>
    <row r="36" spans="1:11" x14ac:dyDescent="0.2">
      <c r="A36" s="1" t="s">
        <v>4</v>
      </c>
      <c r="B36" s="1" t="s">
        <v>28</v>
      </c>
      <c r="C36" s="1" t="s">
        <v>221</v>
      </c>
      <c r="D36" s="6">
        <f>100*5/142</f>
        <v>3.5211267605633805</v>
      </c>
      <c r="E36" s="1" t="s">
        <v>136</v>
      </c>
      <c r="F36" s="10">
        <v>7.0699999999999995E-4</v>
      </c>
      <c r="G36" s="1" t="s">
        <v>190</v>
      </c>
      <c r="H36" s="9" t="s">
        <v>270</v>
      </c>
      <c r="I36" s="9" t="s">
        <v>270</v>
      </c>
      <c r="J36" s="10">
        <v>0.23050999999999999</v>
      </c>
      <c r="K36" s="10" t="s">
        <v>270</v>
      </c>
    </row>
    <row r="37" spans="1:11" x14ac:dyDescent="0.2">
      <c r="A37" s="1"/>
      <c r="B37" s="1" t="s">
        <v>74</v>
      </c>
      <c r="C37" s="1" t="s">
        <v>222</v>
      </c>
      <c r="D37" s="6">
        <f>100*7/142</f>
        <v>4.929577464788732</v>
      </c>
      <c r="E37" s="1" t="s">
        <v>137</v>
      </c>
      <c r="F37" s="10">
        <v>1.8599999999999999E-4</v>
      </c>
      <c r="G37" s="1" t="s">
        <v>190</v>
      </c>
      <c r="H37" s="9" t="s">
        <v>47</v>
      </c>
      <c r="I37" s="15">
        <v>0.2147</v>
      </c>
      <c r="J37" s="10">
        <v>0.23050999999999999</v>
      </c>
      <c r="K37" s="10" t="s">
        <v>270</v>
      </c>
    </row>
    <row r="38" spans="1:11" x14ac:dyDescent="0.2">
      <c r="A38" s="3" t="s">
        <v>5</v>
      </c>
      <c r="B38" s="3" t="s">
        <v>29</v>
      </c>
      <c r="C38" s="3" t="s">
        <v>223</v>
      </c>
      <c r="D38" s="7">
        <f>100*93/394</f>
        <v>23.604060913705585</v>
      </c>
      <c r="E38" s="3" t="s">
        <v>138</v>
      </c>
      <c r="F38" s="11">
        <v>9.3600000000000003E-3</v>
      </c>
      <c r="G38" s="3" t="s">
        <v>191</v>
      </c>
      <c r="H38" s="8" t="s">
        <v>270</v>
      </c>
      <c r="I38" s="8" t="s">
        <v>270</v>
      </c>
      <c r="J38" s="11">
        <v>0.17663000000000001</v>
      </c>
      <c r="K38" s="11" t="s">
        <v>270</v>
      </c>
    </row>
    <row r="39" spans="1:11" x14ac:dyDescent="0.2">
      <c r="A39" s="3"/>
      <c r="B39" s="3" t="s">
        <v>39</v>
      </c>
      <c r="C39" s="3" t="s">
        <v>224</v>
      </c>
      <c r="D39" s="7">
        <f>100*28/394</f>
        <v>7.1065989847715736</v>
      </c>
      <c r="E39" s="3" t="s">
        <v>139</v>
      </c>
      <c r="F39" s="11">
        <v>1.5429999999999999E-2</v>
      </c>
      <c r="G39" s="3" t="s">
        <v>190</v>
      </c>
      <c r="H39" s="8" t="s">
        <v>270</v>
      </c>
      <c r="I39" s="8" t="s">
        <v>270</v>
      </c>
      <c r="J39" s="11">
        <v>0.17663000000000001</v>
      </c>
      <c r="K39" s="11" t="s">
        <v>270</v>
      </c>
    </row>
    <row r="40" spans="1:11" x14ac:dyDescent="0.2">
      <c r="A40" s="3"/>
      <c r="B40" s="3" t="s">
        <v>44</v>
      </c>
      <c r="C40" s="3" t="s">
        <v>225</v>
      </c>
      <c r="D40" s="7">
        <f>100*17/394</f>
        <v>4.3147208121827409</v>
      </c>
      <c r="E40" s="3" t="s">
        <v>140</v>
      </c>
      <c r="F40" s="11">
        <v>1.085E-2</v>
      </c>
      <c r="G40" s="3" t="s">
        <v>190</v>
      </c>
      <c r="H40" s="8" t="s">
        <v>270</v>
      </c>
      <c r="I40" s="8" t="s">
        <v>270</v>
      </c>
      <c r="J40" s="11">
        <v>0.17663000000000001</v>
      </c>
      <c r="K40" s="11" t="s">
        <v>270</v>
      </c>
    </row>
    <row r="41" spans="1:11" x14ac:dyDescent="0.2">
      <c r="A41" s="3"/>
      <c r="B41" s="3" t="s">
        <v>75</v>
      </c>
      <c r="C41" s="3" t="s">
        <v>226</v>
      </c>
      <c r="D41" s="7">
        <f>100*24/394</f>
        <v>6.0913705583756341</v>
      </c>
      <c r="E41" s="3" t="s">
        <v>141</v>
      </c>
      <c r="F41" s="11">
        <v>1.6660000000000001E-2</v>
      </c>
      <c r="G41" s="3" t="s">
        <v>191</v>
      </c>
      <c r="H41" s="8" t="s">
        <v>47</v>
      </c>
      <c r="I41" s="16">
        <v>0.14429</v>
      </c>
      <c r="J41" s="11">
        <v>0.17663000000000001</v>
      </c>
      <c r="K41" s="11" t="s">
        <v>270</v>
      </c>
    </row>
    <row r="42" spans="1:11" x14ac:dyDescent="0.2">
      <c r="A42" s="3"/>
      <c r="B42" s="3" t="s">
        <v>76</v>
      </c>
      <c r="C42" s="3" t="s">
        <v>227</v>
      </c>
      <c r="D42" s="7">
        <f>100*23/394</f>
        <v>5.8375634517766501</v>
      </c>
      <c r="E42" s="3" t="s">
        <v>142</v>
      </c>
      <c r="F42" s="11">
        <v>4.7239999999999997E-2</v>
      </c>
      <c r="G42" s="3" t="s">
        <v>190</v>
      </c>
      <c r="H42" s="8" t="s">
        <v>47</v>
      </c>
      <c r="I42" s="16">
        <v>0.24807999999999999</v>
      </c>
      <c r="J42" s="11">
        <v>0.17663000000000001</v>
      </c>
      <c r="K42" s="11" t="s">
        <v>270</v>
      </c>
    </row>
    <row r="43" spans="1:11" x14ac:dyDescent="0.2">
      <c r="A43" s="3"/>
      <c r="B43" s="3" t="s">
        <v>77</v>
      </c>
      <c r="C43" s="3" t="s">
        <v>228</v>
      </c>
      <c r="D43" s="7">
        <f>100*16/394</f>
        <v>4.0609137055837561</v>
      </c>
      <c r="E43" s="3" t="s">
        <v>143</v>
      </c>
      <c r="F43" s="11">
        <v>3.7749999999999999E-2</v>
      </c>
      <c r="G43" s="3" t="s">
        <v>190</v>
      </c>
      <c r="H43" s="8" t="s">
        <v>47</v>
      </c>
      <c r="I43" s="16">
        <v>0.19606000000000001</v>
      </c>
      <c r="J43" s="11">
        <v>0.17663000000000001</v>
      </c>
      <c r="K43" s="11" t="s">
        <v>270</v>
      </c>
    </row>
    <row r="44" spans="1:11" x14ac:dyDescent="0.2">
      <c r="A44" s="3"/>
      <c r="B44" s="3" t="s">
        <v>78</v>
      </c>
      <c r="C44" s="3" t="s">
        <v>229</v>
      </c>
      <c r="D44" s="7">
        <f>100*10/394</f>
        <v>2.5380710659898478</v>
      </c>
      <c r="E44" s="3" t="s">
        <v>144</v>
      </c>
      <c r="F44" s="11">
        <v>5.0899999999999999E-3</v>
      </c>
      <c r="G44" s="3" t="s">
        <v>190</v>
      </c>
      <c r="H44" s="8" t="s">
        <v>47</v>
      </c>
      <c r="I44" s="16">
        <v>0.38270999999999999</v>
      </c>
      <c r="J44" s="11">
        <v>0.17663000000000001</v>
      </c>
      <c r="K44" s="11" t="s">
        <v>270</v>
      </c>
    </row>
    <row r="45" spans="1:11" x14ac:dyDescent="0.2">
      <c r="A45" s="3"/>
      <c r="B45" s="3" t="s">
        <v>79</v>
      </c>
      <c r="C45" s="3" t="s">
        <v>230</v>
      </c>
      <c r="D45" s="7">
        <f>100*9/394</f>
        <v>2.2842639593908629</v>
      </c>
      <c r="E45" s="3" t="s">
        <v>145</v>
      </c>
      <c r="F45" s="11">
        <v>2.0830000000000001E-2</v>
      </c>
      <c r="G45" s="3" t="s">
        <v>190</v>
      </c>
      <c r="H45" s="8" t="s">
        <v>48</v>
      </c>
      <c r="I45" s="16">
        <v>0.44089</v>
      </c>
      <c r="J45" s="11">
        <v>0.17663000000000001</v>
      </c>
      <c r="K45" s="11" t="s">
        <v>270</v>
      </c>
    </row>
    <row r="46" spans="1:11" x14ac:dyDescent="0.2">
      <c r="A46" s="3"/>
      <c r="B46" s="3" t="s">
        <v>80</v>
      </c>
      <c r="C46" s="3" t="s">
        <v>231</v>
      </c>
      <c r="D46" s="7">
        <f>100*6/394</f>
        <v>1.5228426395939085</v>
      </c>
      <c r="E46" s="3" t="s">
        <v>146</v>
      </c>
      <c r="F46" s="11">
        <v>6.7499999999999999E-3</v>
      </c>
      <c r="G46" s="3" t="s">
        <v>190</v>
      </c>
      <c r="H46" s="8" t="s">
        <v>48</v>
      </c>
      <c r="I46" s="16">
        <v>0.51402000000000003</v>
      </c>
      <c r="J46" s="11">
        <v>0.17663000000000001</v>
      </c>
      <c r="K46" s="11" t="s">
        <v>270</v>
      </c>
    </row>
    <row r="47" spans="1:11" x14ac:dyDescent="0.2">
      <c r="A47" s="3"/>
      <c r="B47" s="3" t="s">
        <v>81</v>
      </c>
      <c r="C47" s="3" t="s">
        <v>232</v>
      </c>
      <c r="D47" s="7">
        <f>100*4/394</f>
        <v>1.015228426395939</v>
      </c>
      <c r="E47" s="3" t="s">
        <v>147</v>
      </c>
      <c r="F47" s="11">
        <v>3.4199999999999999E-3</v>
      </c>
      <c r="G47" s="3" t="s">
        <v>190</v>
      </c>
      <c r="H47" s="8" t="s">
        <v>47</v>
      </c>
      <c r="I47" s="16">
        <v>1.7670000000000002E-2</v>
      </c>
      <c r="J47" s="11">
        <v>0.17663000000000001</v>
      </c>
      <c r="K47" s="11" t="s">
        <v>270</v>
      </c>
    </row>
    <row r="48" spans="1:11" x14ac:dyDescent="0.2">
      <c r="A48" s="1" t="s">
        <v>6</v>
      </c>
      <c r="B48" s="1" t="s">
        <v>21</v>
      </c>
      <c r="C48" s="1" t="s">
        <v>233</v>
      </c>
      <c r="D48" s="6">
        <f>100*285/433</f>
        <v>65.819861431870663</v>
      </c>
      <c r="E48" s="1" t="s">
        <v>148</v>
      </c>
      <c r="F48" s="10">
        <v>1.6899999999999998E-2</v>
      </c>
      <c r="G48" s="1" t="s">
        <v>191</v>
      </c>
      <c r="H48" s="9" t="s">
        <v>270</v>
      </c>
      <c r="I48" s="9" t="s">
        <v>270</v>
      </c>
      <c r="J48" s="10">
        <v>8.8328E-3</v>
      </c>
      <c r="K48" s="10">
        <v>1.0222999999999999E-2</v>
      </c>
    </row>
    <row r="49" spans="1:11" x14ac:dyDescent="0.2">
      <c r="A49" s="1"/>
      <c r="B49" s="1" t="s">
        <v>32</v>
      </c>
      <c r="C49" s="1" t="s">
        <v>234</v>
      </c>
      <c r="D49" s="6">
        <f>100*37/433</f>
        <v>8.5450346420323324</v>
      </c>
      <c r="E49" s="1" t="s">
        <v>149</v>
      </c>
      <c r="F49" s="10">
        <v>1.3599999999999999E-2</v>
      </c>
      <c r="G49" s="1" t="s">
        <v>190</v>
      </c>
      <c r="H49" s="9" t="s">
        <v>270</v>
      </c>
      <c r="I49" s="9" t="s">
        <v>270</v>
      </c>
      <c r="J49" s="10">
        <v>8.8328E-3</v>
      </c>
      <c r="K49" s="10">
        <v>1.5598000000000001E-2</v>
      </c>
    </row>
    <row r="50" spans="1:11" x14ac:dyDescent="0.2">
      <c r="A50" s="1"/>
      <c r="B50" s="1" t="s">
        <v>46</v>
      </c>
      <c r="C50" s="1" t="s">
        <v>235</v>
      </c>
      <c r="D50" s="6">
        <f>100*12/433</f>
        <v>2.7713625866050808</v>
      </c>
      <c r="E50" s="1" t="s">
        <v>150</v>
      </c>
      <c r="F50" s="10">
        <v>1.9E-2</v>
      </c>
      <c r="G50" s="1" t="s">
        <v>190</v>
      </c>
      <c r="H50" s="9" t="s">
        <v>270</v>
      </c>
      <c r="I50" s="9" t="s">
        <v>270</v>
      </c>
      <c r="J50" s="10">
        <v>8.8328E-3</v>
      </c>
      <c r="K50" s="10">
        <v>1.9925999999999999E-2</v>
      </c>
    </row>
    <row r="51" spans="1:11" x14ac:dyDescent="0.2">
      <c r="A51" s="1"/>
      <c r="B51" s="1" t="s">
        <v>30</v>
      </c>
      <c r="C51" s="1" t="s">
        <v>236</v>
      </c>
      <c r="D51" s="6">
        <f>100*4/433</f>
        <v>0.92378752886836024</v>
      </c>
      <c r="E51" s="1" t="s">
        <v>151</v>
      </c>
      <c r="F51" s="10">
        <v>1.3899999999999999E-2</v>
      </c>
      <c r="G51" s="1" t="s">
        <v>190</v>
      </c>
      <c r="H51" s="9" t="s">
        <v>270</v>
      </c>
      <c r="I51" s="9" t="s">
        <v>270</v>
      </c>
      <c r="J51" s="10">
        <v>8.8328E-3</v>
      </c>
      <c r="K51" s="10">
        <v>8.6978000000000003E-3</v>
      </c>
    </row>
    <row r="52" spans="1:11" x14ac:dyDescent="0.2">
      <c r="A52" s="1"/>
      <c r="B52" s="1" t="s">
        <v>34</v>
      </c>
      <c r="C52" s="1" t="s">
        <v>237</v>
      </c>
      <c r="D52" s="6">
        <f>100*16/433</f>
        <v>3.695150115473441</v>
      </c>
      <c r="E52" s="1" t="s">
        <v>152</v>
      </c>
      <c r="F52" s="10">
        <v>2.2100000000000002E-2</v>
      </c>
      <c r="G52" s="1" t="s">
        <v>190</v>
      </c>
      <c r="H52" s="9" t="s">
        <v>270</v>
      </c>
      <c r="I52" s="9" t="s">
        <v>270</v>
      </c>
      <c r="J52" s="10">
        <v>8.8328E-3</v>
      </c>
      <c r="K52" s="10">
        <v>7.1970000000000003E-3</v>
      </c>
    </row>
    <row r="53" spans="1:11" x14ac:dyDescent="0.2">
      <c r="A53" s="1"/>
      <c r="B53" s="1" t="s">
        <v>70</v>
      </c>
      <c r="C53" s="1" t="s">
        <v>236</v>
      </c>
      <c r="D53" s="6">
        <f>100*4/433</f>
        <v>0.92378752886836024</v>
      </c>
      <c r="E53" s="1" t="s">
        <v>153</v>
      </c>
      <c r="F53" s="10">
        <v>3.5900000000000001E-2</v>
      </c>
      <c r="G53" s="1" t="s">
        <v>190</v>
      </c>
      <c r="H53" s="9" t="s">
        <v>270</v>
      </c>
      <c r="I53" s="9" t="s">
        <v>270</v>
      </c>
      <c r="J53" s="10">
        <v>8.8328E-3</v>
      </c>
      <c r="K53" s="10">
        <v>8.7030000000000007E-3</v>
      </c>
    </row>
    <row r="54" spans="1:11" x14ac:dyDescent="0.2">
      <c r="A54" s="1"/>
      <c r="B54" s="1" t="s">
        <v>82</v>
      </c>
      <c r="C54" s="1" t="s">
        <v>238</v>
      </c>
      <c r="D54" s="6">
        <f>100*2/433</f>
        <v>0.46189376443418012</v>
      </c>
      <c r="E54" s="1" t="s">
        <v>154</v>
      </c>
      <c r="F54" s="10">
        <v>1.6559999999999998E-2</v>
      </c>
      <c r="G54" s="1" t="s">
        <v>190</v>
      </c>
      <c r="H54" s="9" t="s">
        <v>270</v>
      </c>
      <c r="I54" s="9" t="s">
        <v>270</v>
      </c>
      <c r="J54" s="10">
        <v>8.8328E-3</v>
      </c>
      <c r="K54" s="10">
        <v>4.1288000000000002E-3</v>
      </c>
    </row>
    <row r="55" spans="1:11" x14ac:dyDescent="0.2">
      <c r="A55" s="1"/>
      <c r="B55" s="1" t="s">
        <v>83</v>
      </c>
      <c r="C55" s="1" t="s">
        <v>238</v>
      </c>
      <c r="D55" s="6">
        <f>100*2/433</f>
        <v>0.46189376443418012</v>
      </c>
      <c r="E55" s="1" t="s">
        <v>155</v>
      </c>
      <c r="F55" s="10">
        <v>2.7399999999999998E-3</v>
      </c>
      <c r="G55" s="1" t="s">
        <v>190</v>
      </c>
      <c r="H55" s="9" t="s">
        <v>47</v>
      </c>
      <c r="I55" s="15">
        <v>0.48587000000000002</v>
      </c>
      <c r="J55" s="10">
        <v>8.8328E-3</v>
      </c>
      <c r="K55" s="10">
        <v>2.2532E-2</v>
      </c>
    </row>
    <row r="56" spans="1:11" x14ac:dyDescent="0.2">
      <c r="A56" s="3" t="s">
        <v>7</v>
      </c>
      <c r="B56" s="3" t="s">
        <v>40</v>
      </c>
      <c r="C56" s="3" t="s">
        <v>239</v>
      </c>
      <c r="D56" s="7">
        <f>100*48/266</f>
        <v>18.045112781954888</v>
      </c>
      <c r="E56" s="3" t="s">
        <v>156</v>
      </c>
      <c r="F56" s="11">
        <v>1.9E-2</v>
      </c>
      <c r="G56" s="3" t="s">
        <v>191</v>
      </c>
      <c r="H56" s="8" t="s">
        <v>270</v>
      </c>
      <c r="I56" s="8" t="s">
        <v>270</v>
      </c>
      <c r="J56" s="11">
        <v>0.45180999999999999</v>
      </c>
      <c r="K56" s="11" t="s">
        <v>270</v>
      </c>
    </row>
    <row r="57" spans="1:11" x14ac:dyDescent="0.2">
      <c r="A57" s="3"/>
      <c r="B57" s="3" t="s">
        <v>19</v>
      </c>
      <c r="C57" s="3" t="s">
        <v>240</v>
      </c>
      <c r="D57" s="7">
        <f>100*14/266</f>
        <v>5.2631578947368425</v>
      </c>
      <c r="E57" s="3" t="s">
        <v>157</v>
      </c>
      <c r="F57" s="11">
        <v>2.7099999999999999E-2</v>
      </c>
      <c r="G57" s="3" t="s">
        <v>190</v>
      </c>
      <c r="H57" s="8" t="s">
        <v>270</v>
      </c>
      <c r="I57" s="8" t="s">
        <v>270</v>
      </c>
      <c r="J57" s="11">
        <v>0.45180999999999999</v>
      </c>
      <c r="K57" s="11" t="s">
        <v>270</v>
      </c>
    </row>
    <row r="58" spans="1:11" x14ac:dyDescent="0.2">
      <c r="A58" s="3"/>
      <c r="B58" s="3" t="s">
        <v>55</v>
      </c>
      <c r="C58" s="3" t="s">
        <v>241</v>
      </c>
      <c r="D58" s="7">
        <f>100*5/266</f>
        <v>1.8796992481203008</v>
      </c>
      <c r="E58" s="3" t="s">
        <v>158</v>
      </c>
      <c r="F58" s="11">
        <v>2.7799999999999999E-3</v>
      </c>
      <c r="G58" s="3" t="s">
        <v>190</v>
      </c>
      <c r="H58" s="8" t="s">
        <v>47</v>
      </c>
      <c r="I58" s="16">
        <v>0.12531999999999999</v>
      </c>
      <c r="J58" s="11">
        <v>0.45180999999999999</v>
      </c>
      <c r="K58" s="11" t="s">
        <v>270</v>
      </c>
    </row>
    <row r="59" spans="1:11" x14ac:dyDescent="0.2">
      <c r="A59" s="1" t="s">
        <v>8</v>
      </c>
      <c r="B59" s="1" t="s">
        <v>84</v>
      </c>
      <c r="C59" s="1" t="s">
        <v>242</v>
      </c>
      <c r="D59" s="6">
        <f>100*17/320</f>
        <v>5.3125</v>
      </c>
      <c r="E59" s="1" t="s">
        <v>159</v>
      </c>
      <c r="F59" s="10">
        <v>7.9299999999999998E-4</v>
      </c>
      <c r="G59" s="1" t="s">
        <v>190</v>
      </c>
      <c r="H59" s="9" t="s">
        <v>47</v>
      </c>
      <c r="I59" s="15">
        <v>7.9000000000000001E-4</v>
      </c>
      <c r="J59" s="10">
        <v>0.67730000000000001</v>
      </c>
      <c r="K59" s="10" t="s">
        <v>270</v>
      </c>
    </row>
    <row r="60" spans="1:11" x14ac:dyDescent="0.2">
      <c r="A60" s="1"/>
      <c r="B60" s="1" t="s">
        <v>85</v>
      </c>
      <c r="C60" s="1" t="s">
        <v>243</v>
      </c>
      <c r="D60" s="6">
        <f>100*7/320</f>
        <v>2.1875</v>
      </c>
      <c r="E60" s="1" t="s">
        <v>160</v>
      </c>
      <c r="F60" s="10">
        <v>8.149E-3</v>
      </c>
      <c r="G60" s="1" t="s">
        <v>190</v>
      </c>
      <c r="H60" s="9" t="s">
        <v>47</v>
      </c>
      <c r="I60" s="15">
        <v>0.44425999999999999</v>
      </c>
      <c r="J60" s="10">
        <v>0.67730000000000001</v>
      </c>
      <c r="K60" s="10" t="s">
        <v>270</v>
      </c>
    </row>
    <row r="61" spans="1:11" x14ac:dyDescent="0.2">
      <c r="A61" s="3" t="s">
        <v>9</v>
      </c>
      <c r="B61" s="3" t="s">
        <v>86</v>
      </c>
      <c r="C61" s="3" t="s">
        <v>244</v>
      </c>
      <c r="D61" s="7">
        <f>100*11/449</f>
        <v>2.4498886414253898</v>
      </c>
      <c r="E61" s="3" t="s">
        <v>161</v>
      </c>
      <c r="F61" s="11">
        <v>3.8399999999999998E-5</v>
      </c>
      <c r="G61" s="3" t="s">
        <v>190</v>
      </c>
      <c r="H61" s="8" t="s">
        <v>48</v>
      </c>
      <c r="I61" s="16">
        <v>0.39166000000000001</v>
      </c>
      <c r="J61" s="11">
        <v>0.49247000000000002</v>
      </c>
      <c r="K61" s="11" t="s">
        <v>270</v>
      </c>
    </row>
    <row r="62" spans="1:11" x14ac:dyDescent="0.2">
      <c r="A62" s="3"/>
      <c r="B62" s="3" t="s">
        <v>87</v>
      </c>
      <c r="C62" s="3" t="s">
        <v>245</v>
      </c>
      <c r="D62" s="7">
        <f>100*7/449</f>
        <v>1.5590200445434299</v>
      </c>
      <c r="E62" s="3" t="s">
        <v>162</v>
      </c>
      <c r="F62" s="11">
        <v>1.1600000000000001E-5</v>
      </c>
      <c r="G62" s="3" t="s">
        <v>190</v>
      </c>
      <c r="H62" s="8" t="s">
        <v>48</v>
      </c>
      <c r="I62" s="16">
        <v>0.21875</v>
      </c>
      <c r="J62" s="11">
        <v>0.49247000000000002</v>
      </c>
      <c r="K62" s="11" t="s">
        <v>270</v>
      </c>
    </row>
    <row r="63" spans="1:11" x14ac:dyDescent="0.2">
      <c r="A63" s="1" t="s">
        <v>10</v>
      </c>
      <c r="B63" s="1" t="s">
        <v>88</v>
      </c>
      <c r="C63" s="1" t="s">
        <v>257</v>
      </c>
      <c r="D63" s="6">
        <f>100*27/373</f>
        <v>7.2386058981233248</v>
      </c>
      <c r="E63" s="1" t="s">
        <v>163</v>
      </c>
      <c r="F63" s="10">
        <v>3.0960000000000001E-2</v>
      </c>
      <c r="G63" s="1" t="s">
        <v>191</v>
      </c>
      <c r="H63" s="9" t="s">
        <v>47</v>
      </c>
      <c r="I63" s="15">
        <v>2.6599999999999999E-2</v>
      </c>
      <c r="J63" s="10">
        <v>0.76758999999999999</v>
      </c>
      <c r="K63" s="10" t="s">
        <v>270</v>
      </c>
    </row>
    <row r="64" spans="1:11" x14ac:dyDescent="0.2">
      <c r="A64" s="1"/>
      <c r="B64" s="1" t="s">
        <v>89</v>
      </c>
      <c r="C64" s="1" t="s">
        <v>258</v>
      </c>
      <c r="D64" s="6">
        <f>100*29/373</f>
        <v>7.7747989276139409</v>
      </c>
      <c r="E64" s="1" t="s">
        <v>164</v>
      </c>
      <c r="F64" s="10">
        <v>4.5740999999999997E-2</v>
      </c>
      <c r="G64" s="1" t="s">
        <v>191</v>
      </c>
      <c r="H64" s="9" t="s">
        <v>47</v>
      </c>
      <c r="I64" s="17" t="s">
        <v>281</v>
      </c>
      <c r="J64" s="10">
        <v>0.76758999999999999</v>
      </c>
      <c r="K64" s="10" t="s">
        <v>270</v>
      </c>
    </row>
    <row r="65" spans="1:11" x14ac:dyDescent="0.2">
      <c r="A65" s="1"/>
      <c r="B65" s="1" t="s">
        <v>90</v>
      </c>
      <c r="C65" s="1" t="s">
        <v>257</v>
      </c>
      <c r="D65" s="6">
        <f>100*27/373</f>
        <v>7.2386058981233248</v>
      </c>
      <c r="E65" s="1" t="s">
        <v>165</v>
      </c>
      <c r="F65" s="10">
        <v>1.0387E-2</v>
      </c>
      <c r="G65" s="1" t="s">
        <v>190</v>
      </c>
      <c r="H65" s="9" t="s">
        <v>47</v>
      </c>
      <c r="I65" s="15">
        <v>1.3599999999999999E-2</v>
      </c>
      <c r="J65" s="10">
        <v>0.76758999999999999</v>
      </c>
      <c r="K65" s="10" t="s">
        <v>270</v>
      </c>
    </row>
    <row r="66" spans="1:11" x14ac:dyDescent="0.2">
      <c r="A66" s="1"/>
      <c r="B66" s="1" t="s">
        <v>91</v>
      </c>
      <c r="C66" s="1" t="s">
        <v>259</v>
      </c>
      <c r="D66" s="6">
        <f>100*25/373</f>
        <v>6.7024128686327078</v>
      </c>
      <c r="E66" s="1" t="s">
        <v>166</v>
      </c>
      <c r="F66" s="10">
        <v>2.4292000000000001E-2</v>
      </c>
      <c r="G66" s="1" t="s">
        <v>191</v>
      </c>
      <c r="H66" s="9" t="s">
        <v>47</v>
      </c>
      <c r="I66" s="15">
        <v>0.13131999999999999</v>
      </c>
      <c r="J66" s="10">
        <v>0.76758999999999999</v>
      </c>
      <c r="K66" s="10" t="s">
        <v>270</v>
      </c>
    </row>
    <row r="67" spans="1:11" x14ac:dyDescent="0.2">
      <c r="A67" s="1"/>
      <c r="B67" s="1" t="s">
        <v>92</v>
      </c>
      <c r="C67" s="1" t="s">
        <v>260</v>
      </c>
      <c r="D67" s="6">
        <f>100*4/373</f>
        <v>1.0723860589812333</v>
      </c>
      <c r="E67" s="1" t="s">
        <v>167</v>
      </c>
      <c r="F67" s="10">
        <v>8.3000000000000001E-4</v>
      </c>
      <c r="G67" s="1" t="s">
        <v>190</v>
      </c>
      <c r="H67" s="9" t="s">
        <v>47</v>
      </c>
      <c r="I67" s="15">
        <v>0.46848000000000001</v>
      </c>
      <c r="J67" s="10">
        <v>0.76758999999999999</v>
      </c>
      <c r="K67" s="10" t="s">
        <v>270</v>
      </c>
    </row>
    <row r="68" spans="1:11" x14ac:dyDescent="0.2">
      <c r="A68" s="1"/>
      <c r="B68" s="1" t="s">
        <v>93</v>
      </c>
      <c r="C68" s="1" t="s">
        <v>260</v>
      </c>
      <c r="D68" s="6">
        <f>100*4/373</f>
        <v>1.0723860589812333</v>
      </c>
      <c r="E68" s="1" t="s">
        <v>168</v>
      </c>
      <c r="F68" s="10">
        <v>9.8499999999999998E-4</v>
      </c>
      <c r="G68" s="1" t="s">
        <v>190</v>
      </c>
      <c r="H68" s="9" t="s">
        <v>48</v>
      </c>
      <c r="I68" s="15">
        <v>0.23860000000000001</v>
      </c>
      <c r="J68" s="10">
        <v>0.76758999999999999</v>
      </c>
      <c r="K68" s="10" t="s">
        <v>270</v>
      </c>
    </row>
    <row r="69" spans="1:11" x14ac:dyDescent="0.2">
      <c r="A69" s="3" t="s">
        <v>11</v>
      </c>
      <c r="B69" s="3" t="s">
        <v>37</v>
      </c>
      <c r="C69" s="3" t="s">
        <v>261</v>
      </c>
      <c r="D69" s="7">
        <f>100*149/493</f>
        <v>30.223123732251523</v>
      </c>
      <c r="E69" s="3" t="s">
        <v>169</v>
      </c>
      <c r="F69" s="11">
        <v>4.6629999999999998E-2</v>
      </c>
      <c r="G69" s="3" t="s">
        <v>191</v>
      </c>
      <c r="H69" s="8" t="s">
        <v>270</v>
      </c>
      <c r="I69" s="8" t="s">
        <v>270</v>
      </c>
      <c r="J69" s="11">
        <v>4.3575999999999997E-2</v>
      </c>
      <c r="K69" s="11">
        <v>1.7165E-2</v>
      </c>
    </row>
    <row r="70" spans="1:11" x14ac:dyDescent="0.2">
      <c r="A70" s="3"/>
      <c r="B70" s="3" t="s">
        <v>38</v>
      </c>
      <c r="C70" s="3" t="s">
        <v>262</v>
      </c>
      <c r="D70" s="7">
        <f>100*77/493</f>
        <v>15.61866125760649</v>
      </c>
      <c r="E70" s="3" t="s">
        <v>170</v>
      </c>
      <c r="F70" s="11">
        <v>1.0999999999999999E-2</v>
      </c>
      <c r="G70" s="3" t="s">
        <v>190</v>
      </c>
      <c r="H70" s="8" t="s">
        <v>270</v>
      </c>
      <c r="I70" s="8" t="s">
        <v>270</v>
      </c>
      <c r="J70" s="11">
        <v>4.3575999999999997E-2</v>
      </c>
      <c r="K70" s="11">
        <v>1.5041000000000001E-2</v>
      </c>
    </row>
    <row r="71" spans="1:11" x14ac:dyDescent="0.2">
      <c r="A71" s="3"/>
      <c r="B71" s="3" t="s">
        <v>39</v>
      </c>
      <c r="C71" s="3" t="s">
        <v>263</v>
      </c>
      <c r="D71" s="7">
        <f>100*106/493</f>
        <v>21.501014198782961</v>
      </c>
      <c r="E71" s="3" t="s">
        <v>171</v>
      </c>
      <c r="F71" s="11">
        <v>2.3E-2</v>
      </c>
      <c r="G71" s="3" t="s">
        <v>190</v>
      </c>
      <c r="H71" s="8" t="s">
        <v>270</v>
      </c>
      <c r="I71" s="8" t="s">
        <v>270</v>
      </c>
      <c r="J71" s="11">
        <v>4.3575999999999997E-2</v>
      </c>
      <c r="K71" s="11">
        <v>2.1065E-2</v>
      </c>
    </row>
    <row r="72" spans="1:11" x14ac:dyDescent="0.2">
      <c r="A72" s="1" t="s">
        <v>12</v>
      </c>
      <c r="B72" s="1" t="s">
        <v>19</v>
      </c>
      <c r="C72" s="1" t="s">
        <v>246</v>
      </c>
      <c r="D72" s="6">
        <f>100*12/490</f>
        <v>2.4489795918367347</v>
      </c>
      <c r="E72" s="1" t="s">
        <v>172</v>
      </c>
      <c r="F72" s="10">
        <v>2.3573E-2</v>
      </c>
      <c r="G72" s="1" t="s">
        <v>190</v>
      </c>
      <c r="H72" s="9" t="s">
        <v>270</v>
      </c>
      <c r="I72" s="9" t="s">
        <v>270</v>
      </c>
      <c r="J72" s="10">
        <v>6.2257E-2</v>
      </c>
      <c r="K72" s="10" t="s">
        <v>270</v>
      </c>
    </row>
    <row r="73" spans="1:11" x14ac:dyDescent="0.2">
      <c r="A73" s="1"/>
      <c r="B73" s="1" t="s">
        <v>38</v>
      </c>
      <c r="C73" s="1" t="s">
        <v>247</v>
      </c>
      <c r="D73" s="6">
        <f>100*4/490</f>
        <v>0.81632653061224492</v>
      </c>
      <c r="E73" s="1" t="s">
        <v>173</v>
      </c>
      <c r="F73" s="10">
        <v>3.5782000000000001E-2</v>
      </c>
      <c r="G73" s="1" t="s">
        <v>190</v>
      </c>
      <c r="H73" s="9" t="s">
        <v>270</v>
      </c>
      <c r="I73" s="9" t="s">
        <v>270</v>
      </c>
      <c r="J73" s="10">
        <v>6.2257E-2</v>
      </c>
      <c r="K73" s="10" t="s">
        <v>270</v>
      </c>
    </row>
    <row r="74" spans="1:11" x14ac:dyDescent="0.2">
      <c r="A74" s="1"/>
      <c r="B74" s="1" t="s">
        <v>23</v>
      </c>
      <c r="C74" s="1" t="s">
        <v>248</v>
      </c>
      <c r="D74" s="6">
        <f>100*8/490</f>
        <v>1.6326530612244898</v>
      </c>
      <c r="E74" s="1" t="s">
        <v>174</v>
      </c>
      <c r="F74" s="10">
        <v>2.0900000000000001E-4</v>
      </c>
      <c r="G74" s="1" t="s">
        <v>190</v>
      </c>
      <c r="H74" s="9" t="s">
        <v>270</v>
      </c>
      <c r="I74" s="9" t="s">
        <v>270</v>
      </c>
      <c r="J74" s="10">
        <v>6.2257E-2</v>
      </c>
      <c r="K74" s="10" t="s">
        <v>270</v>
      </c>
    </row>
    <row r="75" spans="1:11" x14ac:dyDescent="0.2">
      <c r="A75" s="1"/>
      <c r="B75" s="1" t="s">
        <v>94</v>
      </c>
      <c r="C75" s="1" t="s">
        <v>249</v>
      </c>
      <c r="D75" s="6">
        <f>100*16/490</f>
        <v>3.2653061224489797</v>
      </c>
      <c r="E75" s="1" t="s">
        <v>175</v>
      </c>
      <c r="F75" s="10">
        <v>2.8702999999999999E-2</v>
      </c>
      <c r="G75" s="1" t="s">
        <v>190</v>
      </c>
      <c r="H75" s="9" t="s">
        <v>47</v>
      </c>
      <c r="I75" s="18" t="s">
        <v>282</v>
      </c>
      <c r="J75" s="10">
        <v>6.2257E-2</v>
      </c>
      <c r="K75" s="10" t="s">
        <v>270</v>
      </c>
    </row>
    <row r="76" spans="1:11" x14ac:dyDescent="0.2">
      <c r="A76" s="1"/>
      <c r="B76" s="1" t="s">
        <v>95</v>
      </c>
      <c r="C76" s="1" t="s">
        <v>250</v>
      </c>
      <c r="D76" s="6">
        <f>100*5/490</f>
        <v>1.0204081632653061</v>
      </c>
      <c r="E76" s="1" t="s">
        <v>176</v>
      </c>
      <c r="F76" s="10">
        <v>2.3359000000000001E-2</v>
      </c>
      <c r="G76" s="1" t="s">
        <v>190</v>
      </c>
      <c r="H76" s="9" t="s">
        <v>47</v>
      </c>
      <c r="I76" s="15">
        <v>2.8000000000000001E-2</v>
      </c>
      <c r="J76" s="10">
        <v>6.2257E-2</v>
      </c>
      <c r="K76" s="10" t="s">
        <v>270</v>
      </c>
    </row>
    <row r="77" spans="1:11" x14ac:dyDescent="0.2">
      <c r="A77" s="3" t="s">
        <v>18</v>
      </c>
      <c r="B77" s="3" t="s">
        <v>36</v>
      </c>
      <c r="C77" s="3" t="s">
        <v>264</v>
      </c>
      <c r="D77" s="7">
        <f>100*68/404</f>
        <v>16.831683168316832</v>
      </c>
      <c r="E77" s="3" t="s">
        <v>283</v>
      </c>
      <c r="F77" s="11">
        <v>1.2120000000000001E-2</v>
      </c>
      <c r="G77" s="3" t="s">
        <v>190</v>
      </c>
      <c r="H77" s="8" t="s">
        <v>270</v>
      </c>
      <c r="I77" s="3" t="s">
        <v>270</v>
      </c>
      <c r="J77" s="11">
        <v>0.38417000000000001</v>
      </c>
      <c r="K77" s="11" t="s">
        <v>270</v>
      </c>
    </row>
    <row r="78" spans="1:11" x14ac:dyDescent="0.2">
      <c r="A78" s="3"/>
      <c r="B78" s="3" t="s">
        <v>273</v>
      </c>
      <c r="C78" s="3" t="s">
        <v>294</v>
      </c>
      <c r="D78" s="7">
        <f>100*32/404</f>
        <v>7.9207920792079207</v>
      </c>
      <c r="E78" s="3" t="s">
        <v>284</v>
      </c>
      <c r="F78" s="11">
        <v>1.5399999999999999E-3</v>
      </c>
      <c r="G78" s="3" t="s">
        <v>190</v>
      </c>
      <c r="H78" s="3" t="s">
        <v>47</v>
      </c>
      <c r="I78" s="16">
        <v>0.19450999999999999</v>
      </c>
      <c r="J78" s="11">
        <v>0.38417000000000001</v>
      </c>
      <c r="K78" s="11" t="s">
        <v>270</v>
      </c>
    </row>
    <row r="79" spans="1:11" x14ac:dyDescent="0.2">
      <c r="A79" s="3"/>
      <c r="B79" s="3" t="s">
        <v>272</v>
      </c>
      <c r="C79" s="3" t="s">
        <v>295</v>
      </c>
      <c r="D79" s="7">
        <f>100*21/404</f>
        <v>5.1980198019801982</v>
      </c>
      <c r="E79" s="3" t="s">
        <v>285</v>
      </c>
      <c r="F79" s="11">
        <v>1.0499999999999999E-3</v>
      </c>
      <c r="G79" s="3" t="s">
        <v>190</v>
      </c>
      <c r="H79" s="3" t="s">
        <v>47</v>
      </c>
      <c r="I79" s="16">
        <v>1.089E-2</v>
      </c>
      <c r="J79" s="11">
        <v>0.38417000000000001</v>
      </c>
      <c r="K79" s="11" t="s">
        <v>270</v>
      </c>
    </row>
    <row r="80" spans="1:11" x14ac:dyDescent="0.2">
      <c r="A80" s="3"/>
      <c r="B80" s="3" t="s">
        <v>275</v>
      </c>
      <c r="C80" s="3" t="s">
        <v>296</v>
      </c>
      <c r="D80" s="7">
        <f>100*14/404</f>
        <v>3.4653465346534653</v>
      </c>
      <c r="E80" s="3" t="s">
        <v>286</v>
      </c>
      <c r="F80" s="11">
        <v>4.0529999999999997E-2</v>
      </c>
      <c r="G80" s="3" t="s">
        <v>191</v>
      </c>
      <c r="H80" s="3" t="s">
        <v>47</v>
      </c>
      <c r="I80" s="16">
        <v>0.17613999999999999</v>
      </c>
      <c r="J80" s="11">
        <v>0.38417000000000001</v>
      </c>
      <c r="K80" s="11" t="s">
        <v>270</v>
      </c>
    </row>
    <row r="81" spans="1:11" x14ac:dyDescent="0.2">
      <c r="A81" s="3"/>
      <c r="B81" s="3" t="s">
        <v>280</v>
      </c>
      <c r="C81" s="3" t="s">
        <v>297</v>
      </c>
      <c r="D81" s="7">
        <f>100*8/404</f>
        <v>1.9801980198019802</v>
      </c>
      <c r="E81" s="3" t="s">
        <v>287</v>
      </c>
      <c r="F81" s="11">
        <v>2.15E-3</v>
      </c>
      <c r="G81" s="3" t="s">
        <v>191</v>
      </c>
      <c r="H81" s="3" t="s">
        <v>47</v>
      </c>
      <c r="I81" s="16">
        <v>0.44817000000000001</v>
      </c>
      <c r="J81" s="11">
        <v>0.38417000000000001</v>
      </c>
      <c r="K81" s="11" t="s">
        <v>270</v>
      </c>
    </row>
    <row r="82" spans="1:11" x14ac:dyDescent="0.2">
      <c r="A82" s="3"/>
      <c r="B82" s="3" t="s">
        <v>274</v>
      </c>
      <c r="C82" s="3" t="s">
        <v>298</v>
      </c>
      <c r="D82" s="7">
        <f>100*9/404</f>
        <v>2.2277227722772279</v>
      </c>
      <c r="E82" s="3" t="s">
        <v>293</v>
      </c>
      <c r="F82" s="11">
        <v>1.2999999999999999E-4</v>
      </c>
      <c r="G82" s="3" t="s">
        <v>191</v>
      </c>
      <c r="H82" s="3" t="s">
        <v>47</v>
      </c>
      <c r="I82" s="16">
        <v>0.44152999999999998</v>
      </c>
      <c r="J82" s="11">
        <v>0.38417000000000001</v>
      </c>
      <c r="K82" s="11" t="s">
        <v>270</v>
      </c>
    </row>
    <row r="83" spans="1:11" x14ac:dyDescent="0.2">
      <c r="A83" s="3"/>
      <c r="B83" s="3" t="s">
        <v>271</v>
      </c>
      <c r="C83" s="3" t="s">
        <v>299</v>
      </c>
      <c r="D83" s="7">
        <f>100*5/404</f>
        <v>1.2376237623762376</v>
      </c>
      <c r="E83" s="3" t="s">
        <v>288</v>
      </c>
      <c r="F83" s="11">
        <v>9.3000000000000005E-4</v>
      </c>
      <c r="G83" s="3" t="s">
        <v>190</v>
      </c>
      <c r="H83" s="3" t="s">
        <v>47</v>
      </c>
      <c r="I83" s="16">
        <v>6.5360000000000001E-2</v>
      </c>
      <c r="J83" s="11">
        <v>0.38417000000000001</v>
      </c>
      <c r="K83" s="11" t="s">
        <v>270</v>
      </c>
    </row>
    <row r="84" spans="1:11" x14ac:dyDescent="0.2">
      <c r="A84" s="3"/>
      <c r="B84" s="3" t="s">
        <v>276</v>
      </c>
      <c r="C84" s="3" t="s">
        <v>300</v>
      </c>
      <c r="D84" s="7">
        <f>100*7/404</f>
        <v>1.7326732673267327</v>
      </c>
      <c r="E84" s="3" t="s">
        <v>289</v>
      </c>
      <c r="F84" s="11">
        <v>4.761E-2</v>
      </c>
      <c r="G84" s="3" t="s">
        <v>191</v>
      </c>
      <c r="H84" s="3" t="s">
        <v>47</v>
      </c>
      <c r="I84" s="16">
        <v>6.7100000000000007E-2</v>
      </c>
      <c r="J84" s="11">
        <v>0.38417000000000001</v>
      </c>
      <c r="K84" s="11" t="s">
        <v>270</v>
      </c>
    </row>
    <row r="85" spans="1:11" x14ac:dyDescent="0.2">
      <c r="A85" s="3"/>
      <c r="B85" s="3" t="s">
        <v>278</v>
      </c>
      <c r="C85" s="3" t="s">
        <v>300</v>
      </c>
      <c r="D85" s="7">
        <f>100*7/404</f>
        <v>1.7326732673267327</v>
      </c>
      <c r="E85" s="3" t="s">
        <v>290</v>
      </c>
      <c r="F85" s="11">
        <v>2.2950000000000002E-2</v>
      </c>
      <c r="G85" s="3" t="s">
        <v>190</v>
      </c>
      <c r="H85" s="3" t="s">
        <v>47</v>
      </c>
      <c r="I85" s="16">
        <v>0.2671</v>
      </c>
      <c r="J85" s="11">
        <v>0.38417000000000001</v>
      </c>
      <c r="K85" s="11" t="s">
        <v>270</v>
      </c>
    </row>
    <row r="86" spans="1:11" x14ac:dyDescent="0.2">
      <c r="A86" s="3"/>
      <c r="B86" s="3" t="s">
        <v>277</v>
      </c>
      <c r="C86" s="3" t="s">
        <v>301</v>
      </c>
      <c r="D86" s="7">
        <f>100*6/404</f>
        <v>1.4851485148514851</v>
      </c>
      <c r="E86" s="3" t="s">
        <v>291</v>
      </c>
      <c r="F86" s="11">
        <v>7.77E-3</v>
      </c>
      <c r="G86" s="3" t="s">
        <v>190</v>
      </c>
      <c r="H86" s="3" t="s">
        <v>48</v>
      </c>
      <c r="I86" s="16">
        <v>0.47735</v>
      </c>
      <c r="J86" s="11">
        <v>0.38417000000000001</v>
      </c>
      <c r="K86" s="11" t="s">
        <v>270</v>
      </c>
    </row>
    <row r="87" spans="1:11" x14ac:dyDescent="0.2">
      <c r="A87" s="3"/>
      <c r="B87" s="3" t="s">
        <v>279</v>
      </c>
      <c r="C87" s="3" t="s">
        <v>302</v>
      </c>
      <c r="D87" s="7">
        <f>100*4/404</f>
        <v>0.99009900990099009</v>
      </c>
      <c r="E87" s="3" t="s">
        <v>292</v>
      </c>
      <c r="F87" s="11">
        <v>4.2430000000000002E-2</v>
      </c>
      <c r="G87" s="3" t="s">
        <v>191</v>
      </c>
      <c r="H87" s="3" t="s">
        <v>47</v>
      </c>
      <c r="I87" s="16">
        <v>0.59089999999999998</v>
      </c>
      <c r="J87" s="11">
        <v>0.38417000000000001</v>
      </c>
      <c r="K87" s="11" t="s">
        <v>270</v>
      </c>
    </row>
    <row r="88" spans="1:11" x14ac:dyDescent="0.2">
      <c r="A88" s="1" t="s">
        <v>13</v>
      </c>
      <c r="B88" s="1" t="s">
        <v>24</v>
      </c>
      <c r="C88" s="1" t="s">
        <v>256</v>
      </c>
      <c r="D88" s="6">
        <f>100*3/342</f>
        <v>0.8771929824561403</v>
      </c>
      <c r="E88" s="1" t="s">
        <v>177</v>
      </c>
      <c r="F88" s="10">
        <v>2.5899999999999999E-2</v>
      </c>
      <c r="G88" s="1" t="s">
        <v>190</v>
      </c>
      <c r="H88" s="9" t="s">
        <v>270</v>
      </c>
      <c r="I88" s="9" t="s">
        <v>270</v>
      </c>
      <c r="J88" s="10">
        <v>0.64625999999999995</v>
      </c>
      <c r="K88" s="10" t="s">
        <v>270</v>
      </c>
    </row>
    <row r="89" spans="1:11" x14ac:dyDescent="0.2">
      <c r="A89" s="3" t="s">
        <v>14</v>
      </c>
      <c r="B89" s="3" t="s">
        <v>27</v>
      </c>
      <c r="C89" s="3" t="s">
        <v>253</v>
      </c>
      <c r="D89" s="7">
        <f>100*41/136</f>
        <v>30.147058823529413</v>
      </c>
      <c r="E89" s="3" t="s">
        <v>178</v>
      </c>
      <c r="F89" s="11">
        <v>9.8949999999999993E-3</v>
      </c>
      <c r="G89" s="3" t="s">
        <v>191</v>
      </c>
      <c r="H89" s="8" t="s">
        <v>270</v>
      </c>
      <c r="I89" s="8" t="s">
        <v>270</v>
      </c>
      <c r="J89" s="11">
        <v>0.10971</v>
      </c>
      <c r="K89" s="11" t="s">
        <v>270</v>
      </c>
    </row>
    <row r="90" spans="1:11" x14ac:dyDescent="0.2">
      <c r="A90" s="3"/>
      <c r="B90" s="3" t="s">
        <v>96</v>
      </c>
      <c r="C90" s="3" t="s">
        <v>254</v>
      </c>
      <c r="D90" s="7">
        <f>100*6/136</f>
        <v>4.4117647058823533</v>
      </c>
      <c r="E90" s="3" t="s">
        <v>179</v>
      </c>
      <c r="F90" s="11">
        <v>1.0789999999999999E-2</v>
      </c>
      <c r="G90" s="3" t="s">
        <v>190</v>
      </c>
      <c r="H90" s="8" t="s">
        <v>47</v>
      </c>
      <c r="I90" s="16">
        <v>0.39589000000000002</v>
      </c>
      <c r="J90" s="11">
        <v>0.10971</v>
      </c>
      <c r="K90" s="11" t="s">
        <v>270</v>
      </c>
    </row>
    <row r="91" spans="1:11" x14ac:dyDescent="0.2">
      <c r="A91" s="1" t="s">
        <v>15</v>
      </c>
      <c r="B91" s="1" t="s">
        <v>33</v>
      </c>
      <c r="C91" s="1" t="s">
        <v>255</v>
      </c>
      <c r="D91" s="6">
        <f>100*7/491</f>
        <v>1.4256619144602851</v>
      </c>
      <c r="E91" s="1" t="s">
        <v>180</v>
      </c>
      <c r="F91" s="10">
        <v>1.7200000000000001E-5</v>
      </c>
      <c r="G91" s="1" t="s">
        <v>190</v>
      </c>
      <c r="H91" s="9" t="s">
        <v>270</v>
      </c>
      <c r="I91" s="9" t="s">
        <v>270</v>
      </c>
      <c r="J91" s="10">
        <v>0.38832</v>
      </c>
      <c r="K91" s="10" t="s">
        <v>270</v>
      </c>
    </row>
    <row r="92" spans="1:11" x14ac:dyDescent="0.2">
      <c r="A92" s="3" t="s">
        <v>16</v>
      </c>
      <c r="B92" s="3" t="s">
        <v>45</v>
      </c>
      <c r="C92" s="3" t="s">
        <v>265</v>
      </c>
      <c r="D92" s="7">
        <f>100*60/502</f>
        <v>11.952191235059761</v>
      </c>
      <c r="E92" s="3" t="s">
        <v>181</v>
      </c>
      <c r="F92" s="11">
        <v>1.04E-2</v>
      </c>
      <c r="G92" s="3" t="s">
        <v>190</v>
      </c>
      <c r="H92" s="8" t="s">
        <v>270</v>
      </c>
      <c r="I92" s="8" t="s">
        <v>270</v>
      </c>
      <c r="J92" s="11">
        <v>1.0970999999999999E-3</v>
      </c>
      <c r="K92" s="11">
        <v>5.6978999999999998E-5</v>
      </c>
    </row>
    <row r="93" spans="1:11" x14ac:dyDescent="0.2">
      <c r="A93" s="3"/>
      <c r="B93" s="3" t="s">
        <v>97</v>
      </c>
      <c r="C93" s="3" t="s">
        <v>266</v>
      </c>
      <c r="D93" s="7">
        <f>100*20/502</f>
        <v>3.9840637450199203</v>
      </c>
      <c r="E93" s="3" t="s">
        <v>182</v>
      </c>
      <c r="F93" s="11">
        <v>1.9859999999999999E-2</v>
      </c>
      <c r="G93" s="3" t="s">
        <v>190</v>
      </c>
      <c r="H93" s="8" t="s">
        <v>47</v>
      </c>
      <c r="I93" s="12" t="s">
        <v>281</v>
      </c>
      <c r="J93" s="11">
        <v>1.0970999999999999E-3</v>
      </c>
      <c r="K93" s="11">
        <v>1.4872E-4</v>
      </c>
    </row>
    <row r="94" spans="1:11" x14ac:dyDescent="0.2">
      <c r="A94" s="3"/>
      <c r="B94" s="3" t="s">
        <v>98</v>
      </c>
      <c r="C94" s="3" t="s">
        <v>266</v>
      </c>
      <c r="D94" s="7">
        <f>100*20/502</f>
        <v>3.9840637450199203</v>
      </c>
      <c r="E94" s="3" t="s">
        <v>183</v>
      </c>
      <c r="F94" s="11">
        <v>2.7899999999999999E-3</v>
      </c>
      <c r="G94" s="3" t="s">
        <v>190</v>
      </c>
      <c r="H94" s="8" t="s">
        <v>47</v>
      </c>
      <c r="I94" s="16">
        <v>0.29250999999999999</v>
      </c>
      <c r="J94" s="11">
        <v>1.0970999999999999E-3</v>
      </c>
      <c r="K94" s="11">
        <v>5.3192000000000002E-5</v>
      </c>
    </row>
    <row r="95" spans="1:11" x14ac:dyDescent="0.2">
      <c r="A95" s="3"/>
      <c r="B95" s="3" t="s">
        <v>99</v>
      </c>
      <c r="C95" s="3" t="s">
        <v>267</v>
      </c>
      <c r="D95" s="7">
        <f>100*10/502</f>
        <v>1.9920318725099602</v>
      </c>
      <c r="E95" s="3" t="s">
        <v>184</v>
      </c>
      <c r="F95" s="11">
        <v>4.3499999999999997E-3</v>
      </c>
      <c r="G95" s="3" t="s">
        <v>190</v>
      </c>
      <c r="H95" s="8" t="s">
        <v>47</v>
      </c>
      <c r="I95" s="16">
        <v>1.0399999999999999E-3</v>
      </c>
      <c r="J95" s="11">
        <v>1.0970999999999999E-3</v>
      </c>
      <c r="K95" s="11">
        <v>4.3476999999999997E-5</v>
      </c>
    </row>
    <row r="96" spans="1:11" x14ac:dyDescent="0.2">
      <c r="A96" s="3"/>
      <c r="B96" s="3" t="s">
        <v>100</v>
      </c>
      <c r="C96" s="3" t="s">
        <v>268</v>
      </c>
      <c r="D96" s="7">
        <f>100*6/502</f>
        <v>1.1952191235059761</v>
      </c>
      <c r="E96" s="3" t="s">
        <v>185</v>
      </c>
      <c r="F96" s="11">
        <v>2.0330000000000001E-2</v>
      </c>
      <c r="G96" s="3" t="s">
        <v>190</v>
      </c>
      <c r="H96" s="8" t="s">
        <v>47</v>
      </c>
      <c r="I96" s="16">
        <v>5.4000000000000001E-4</v>
      </c>
      <c r="J96" s="11">
        <v>1.0970999999999999E-3</v>
      </c>
      <c r="K96" s="11">
        <v>1.3269000000000001E-4</v>
      </c>
    </row>
    <row r="97" spans="1:11" x14ac:dyDescent="0.2">
      <c r="A97" s="3"/>
      <c r="B97" s="3" t="s">
        <v>101</v>
      </c>
      <c r="C97" s="3" t="s">
        <v>268</v>
      </c>
      <c r="D97" s="7">
        <f>100*6/502</f>
        <v>1.1952191235059761</v>
      </c>
      <c r="E97" s="3" t="s">
        <v>186</v>
      </c>
      <c r="F97" s="11">
        <v>1.9570000000000001E-2</v>
      </c>
      <c r="G97" s="3" t="s">
        <v>190</v>
      </c>
      <c r="H97" s="8" t="s">
        <v>47</v>
      </c>
      <c r="I97" s="16">
        <v>1.2E-4</v>
      </c>
      <c r="J97" s="11">
        <v>1.0970999999999999E-3</v>
      </c>
      <c r="K97" s="11">
        <v>1.9698E-5</v>
      </c>
    </row>
    <row r="98" spans="1:11" x14ac:dyDescent="0.2">
      <c r="A98" s="1" t="s">
        <v>17</v>
      </c>
      <c r="B98" s="1" t="s">
        <v>79</v>
      </c>
      <c r="C98" s="5" t="s">
        <v>251</v>
      </c>
      <c r="D98" s="6">
        <f>100*7/62</f>
        <v>11.290322580645162</v>
      </c>
      <c r="E98" s="1" t="s">
        <v>187</v>
      </c>
      <c r="F98" s="10">
        <v>7.0099999999999997E-3</v>
      </c>
      <c r="G98" s="1" t="s">
        <v>190</v>
      </c>
      <c r="H98" s="9" t="s">
        <v>47</v>
      </c>
      <c r="I98" s="15">
        <v>3.6999999999999999E-4</v>
      </c>
      <c r="J98" s="10">
        <v>0.28133999999999998</v>
      </c>
      <c r="K98" s="10" t="s">
        <v>270</v>
      </c>
    </row>
    <row r="99" spans="1:11" x14ac:dyDescent="0.2">
      <c r="A99" s="2"/>
      <c r="B99" s="2" t="s">
        <v>102</v>
      </c>
      <c r="C99" s="20" t="s">
        <v>252</v>
      </c>
      <c r="D99" s="14">
        <f>100*5/62</f>
        <v>8.064516129032258</v>
      </c>
      <c r="E99" s="2" t="s">
        <v>188</v>
      </c>
      <c r="F99" s="21">
        <v>3.456E-2</v>
      </c>
      <c r="G99" s="2" t="s">
        <v>190</v>
      </c>
      <c r="H99" s="22" t="s">
        <v>47</v>
      </c>
      <c r="I99" s="23">
        <v>3.8109999999999998E-2</v>
      </c>
      <c r="J99" s="21">
        <v>0.28133999999999998</v>
      </c>
      <c r="K99" s="21" t="s">
        <v>270</v>
      </c>
    </row>
  </sheetData>
  <mergeCells count="1">
    <mergeCell ref="A1:K1"/>
  </mergeCells>
  <pageMargins left="0.7" right="0.7" top="0.75" bottom="0.75" header="0.3" footer="0.3"/>
  <pageSetup paperSize="9" orientation="portrait" horizontalDpi="0" verticalDpi="0"/>
  <ignoredErrors>
    <ignoredError sqref="D64" formula="1"/>
    <ignoredError sqref="C98:C9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2019-12-12T04:27:29Z</dcterms:modified>
  <cp:category/>
</cp:coreProperties>
</file>