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8B47A67B-9D8F-4575-9A4A-1E1A73B45FDE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7 - Diatoms" sheetId="26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44" i="26" l="1"/>
  <c r="W42" i="26"/>
  <c r="W37" i="26"/>
  <c r="W9" i="26"/>
  <c r="W8" i="26"/>
  <c r="W7" i="26"/>
  <c r="W18" i="26" l="1"/>
  <c r="W13" i="26"/>
  <c r="W10" i="26"/>
  <c r="AI18" i="26"/>
  <c r="AI13" i="26"/>
  <c r="AI10" i="26"/>
  <c r="G69" i="26" l="1"/>
  <c r="W67" i="26"/>
  <c r="Y67" i="26" s="1"/>
  <c r="AB67" i="26" s="1"/>
  <c r="T67" i="26"/>
  <c r="W66" i="26"/>
  <c r="Y66" i="26" s="1"/>
  <c r="AB66" i="26" s="1"/>
  <c r="T66" i="26"/>
  <c r="W65" i="26"/>
  <c r="Y65" i="26" s="1"/>
  <c r="AB65" i="26" s="1"/>
  <c r="T65" i="26"/>
  <c r="W64" i="26"/>
  <c r="Y64" i="26" s="1"/>
  <c r="AB64" i="26" s="1"/>
  <c r="T64" i="26"/>
  <c r="W63" i="26"/>
  <c r="Y63" i="26" s="1"/>
  <c r="AB63" i="26" s="1"/>
  <c r="T63" i="26"/>
  <c r="W62" i="26"/>
  <c r="Y62" i="26" s="1"/>
  <c r="AB62" i="26" s="1"/>
  <c r="T62" i="26"/>
  <c r="W61" i="26"/>
  <c r="Y61" i="26" s="1"/>
  <c r="AB61" i="26" s="1"/>
  <c r="T61" i="26"/>
  <c r="W60" i="26"/>
  <c r="Y60" i="26" s="1"/>
  <c r="AB60" i="26" s="1"/>
  <c r="T60" i="26"/>
  <c r="W59" i="26"/>
  <c r="Y59" i="26" s="1"/>
  <c r="AB59" i="26" s="1"/>
  <c r="T59" i="26"/>
  <c r="W58" i="26"/>
  <c r="Y58" i="26" s="1"/>
  <c r="AB58" i="26" s="1"/>
  <c r="T58" i="26"/>
  <c r="AI57" i="26"/>
  <c r="W57" i="26"/>
  <c r="Y57" i="26" s="1"/>
  <c r="AB57" i="26" s="1"/>
  <c r="T57" i="26"/>
  <c r="W56" i="26"/>
  <c r="Y56" i="26" s="1"/>
  <c r="AB56" i="26" s="1"/>
  <c r="T56" i="26"/>
  <c r="W55" i="26"/>
  <c r="Y55" i="26" s="1"/>
  <c r="AB55" i="26" s="1"/>
  <c r="T55" i="26"/>
  <c r="W54" i="26"/>
  <c r="Y54" i="26" s="1"/>
  <c r="AB54" i="26" s="1"/>
  <c r="T54" i="26"/>
  <c r="W53" i="26"/>
  <c r="Y53" i="26" s="1"/>
  <c r="AB53" i="26" s="1"/>
  <c r="T53" i="26"/>
  <c r="W52" i="26"/>
  <c r="Y52" i="26" s="1"/>
  <c r="AB52" i="26" s="1"/>
  <c r="T52" i="26"/>
  <c r="W51" i="26"/>
  <c r="Y51" i="26" s="1"/>
  <c r="AB51" i="26" s="1"/>
  <c r="T51" i="26"/>
  <c r="W50" i="26"/>
  <c r="Y50" i="26" s="1"/>
  <c r="AB50" i="26" s="1"/>
  <c r="T50" i="26"/>
  <c r="W49" i="26"/>
  <c r="Y49" i="26" s="1"/>
  <c r="AB49" i="26" s="1"/>
  <c r="T49" i="26"/>
  <c r="W48" i="26"/>
  <c r="Y48" i="26" s="1"/>
  <c r="AB48" i="26" s="1"/>
  <c r="T48" i="26"/>
  <c r="W47" i="26"/>
  <c r="Y47" i="26" s="1"/>
  <c r="AB47" i="26" s="1"/>
  <c r="T47" i="26"/>
  <c r="W46" i="26"/>
  <c r="Y46" i="26" s="1"/>
  <c r="AB46" i="26" s="1"/>
  <c r="T46" i="26"/>
  <c r="AI45" i="26"/>
  <c r="W45" i="26"/>
  <c r="Y45" i="26" s="1"/>
  <c r="AB45" i="26" s="1"/>
  <c r="T45" i="26"/>
  <c r="AI44" i="26"/>
  <c r="Y44" i="26"/>
  <c r="AB44" i="26" s="1"/>
  <c r="T44" i="26"/>
  <c r="AI43" i="26"/>
  <c r="W43" i="26"/>
  <c r="Y43" i="26" s="1"/>
  <c r="AB43" i="26" s="1"/>
  <c r="T43" i="26"/>
  <c r="AI42" i="26"/>
  <c r="Y42" i="26"/>
  <c r="AB42" i="26" s="1"/>
  <c r="T42" i="26"/>
  <c r="AI41" i="26"/>
  <c r="W41" i="26"/>
  <c r="Y41" i="26" s="1"/>
  <c r="AB41" i="26" s="1"/>
  <c r="T41" i="26"/>
  <c r="AI40" i="26"/>
  <c r="W40" i="26"/>
  <c r="Y40" i="26" s="1"/>
  <c r="AB40" i="26" s="1"/>
  <c r="T40" i="26"/>
  <c r="AI39" i="26"/>
  <c r="W39" i="26"/>
  <c r="Y39" i="26" s="1"/>
  <c r="AB39" i="26" s="1"/>
  <c r="T39" i="26"/>
  <c r="AI38" i="26"/>
  <c r="Y38" i="26"/>
  <c r="AB38" i="26" s="1"/>
  <c r="T38" i="26"/>
  <c r="AI37" i="26"/>
  <c r="Y37" i="26"/>
  <c r="AB37" i="26" s="1"/>
  <c r="T37" i="26"/>
  <c r="AI36" i="26"/>
  <c r="Y36" i="26"/>
  <c r="AB36" i="26" s="1"/>
  <c r="T36" i="26"/>
  <c r="AI35" i="26"/>
  <c r="Y35" i="26"/>
  <c r="AB35" i="26" s="1"/>
  <c r="T35" i="26"/>
  <c r="AI34" i="26"/>
  <c r="W34" i="26"/>
  <c r="Y34" i="26" s="1"/>
  <c r="AB34" i="26" s="1"/>
  <c r="T34" i="26"/>
  <c r="W33" i="26"/>
  <c r="Y33" i="26" s="1"/>
  <c r="V33" i="26"/>
  <c r="T33" i="26"/>
  <c r="W32" i="26"/>
  <c r="Y32" i="26" s="1"/>
  <c r="AB32" i="26" s="1"/>
  <c r="T32" i="26"/>
  <c r="W31" i="26"/>
  <c r="Y31" i="26" s="1"/>
  <c r="AB31" i="26" s="1"/>
  <c r="T31" i="26"/>
  <c r="W30" i="26"/>
  <c r="Y30" i="26" s="1"/>
  <c r="AB30" i="26" s="1"/>
  <c r="T30" i="26"/>
  <c r="W29" i="26"/>
  <c r="Y29" i="26" s="1"/>
  <c r="V29" i="26"/>
  <c r="T29" i="26"/>
  <c r="W28" i="26"/>
  <c r="Y28" i="26" s="1"/>
  <c r="AB28" i="26" s="1"/>
  <c r="T28" i="26"/>
  <c r="W27" i="26"/>
  <c r="Y27" i="26" s="1"/>
  <c r="AB27" i="26" s="1"/>
  <c r="T27" i="26"/>
  <c r="W26" i="26"/>
  <c r="Y26" i="26" s="1"/>
  <c r="AB26" i="26" s="1"/>
  <c r="T26" i="26"/>
  <c r="W25" i="26"/>
  <c r="Y25" i="26" s="1"/>
  <c r="AB25" i="26" s="1"/>
  <c r="T25" i="26"/>
  <c r="AI24" i="26"/>
  <c r="W24" i="26"/>
  <c r="Y24" i="26" s="1"/>
  <c r="AB24" i="26" s="1"/>
  <c r="T24" i="26"/>
  <c r="AI23" i="26"/>
  <c r="W23" i="26"/>
  <c r="Y23" i="26" s="1"/>
  <c r="AB23" i="26" s="1"/>
  <c r="T23" i="26"/>
  <c r="AI22" i="26"/>
  <c r="W22" i="26"/>
  <c r="Y22" i="26" s="1"/>
  <c r="AB22" i="26" s="1"/>
  <c r="T22" i="26"/>
  <c r="AI21" i="26"/>
  <c r="W21" i="26"/>
  <c r="Y21" i="26" s="1"/>
  <c r="AB21" i="26" s="1"/>
  <c r="T21" i="26"/>
  <c r="AI20" i="26"/>
  <c r="W20" i="26"/>
  <c r="Y20" i="26" s="1"/>
  <c r="AB20" i="26" s="1"/>
  <c r="T20" i="26"/>
  <c r="W19" i="26"/>
  <c r="Y19" i="26" s="1"/>
  <c r="AB19" i="26" s="1"/>
  <c r="T19" i="26"/>
  <c r="Y18" i="26"/>
  <c r="V18" i="26"/>
  <c r="T18" i="26"/>
  <c r="W17" i="26"/>
  <c r="Y17" i="26" s="1"/>
  <c r="AB17" i="26" s="1"/>
  <c r="T17" i="26"/>
  <c r="W16" i="26"/>
  <c r="Y16" i="26" s="1"/>
  <c r="AB16" i="26" s="1"/>
  <c r="T16" i="26"/>
  <c r="W15" i="26"/>
  <c r="Y15" i="26" s="1"/>
  <c r="V15" i="26"/>
  <c r="T15" i="26"/>
  <c r="W14" i="26"/>
  <c r="Y14" i="26" s="1"/>
  <c r="AB14" i="26" s="1"/>
  <c r="T14" i="26"/>
  <c r="Y13" i="26"/>
  <c r="V13" i="26"/>
  <c r="T13" i="26"/>
  <c r="W12" i="26"/>
  <c r="Y12" i="26" s="1"/>
  <c r="AB12" i="26" s="1"/>
  <c r="T12" i="26"/>
  <c r="AI11" i="26"/>
  <c r="W11" i="26"/>
  <c r="Y11" i="26" s="1"/>
  <c r="AB11" i="26" s="1"/>
  <c r="T11" i="26"/>
  <c r="Y10" i="26"/>
  <c r="V10" i="26"/>
  <c r="T10" i="26"/>
  <c r="AI9" i="26"/>
  <c r="Y9" i="26"/>
  <c r="AB9" i="26" s="1"/>
  <c r="T9" i="26"/>
  <c r="AI8" i="26"/>
  <c r="Y8" i="26"/>
  <c r="AB8" i="26" s="1"/>
  <c r="T8" i="26"/>
  <c r="AI7" i="26"/>
  <c r="Y7" i="26"/>
  <c r="AB7" i="26" s="1"/>
  <c r="T7" i="26"/>
  <c r="AI6" i="26"/>
  <c r="W6" i="26"/>
  <c r="Y6" i="26" s="1"/>
  <c r="AB6" i="26" s="1"/>
  <c r="T6" i="26"/>
  <c r="AI5" i="26"/>
  <c r="W5" i="26"/>
  <c r="Y5" i="26" s="1"/>
  <c r="AB5" i="26" s="1"/>
  <c r="T5" i="26"/>
  <c r="AI4" i="26"/>
  <c r="W4" i="26"/>
  <c r="Y4" i="26" s="1"/>
  <c r="AB4" i="26" s="1"/>
  <c r="T4" i="26"/>
  <c r="AI3" i="26"/>
  <c r="W3" i="26"/>
  <c r="Y3" i="26" s="1"/>
  <c r="AB3" i="26" s="1"/>
  <c r="T3" i="26"/>
  <c r="AI2" i="26"/>
  <c r="W2" i="26"/>
  <c r="Y2" i="26" s="1"/>
  <c r="AB2" i="26" s="1"/>
  <c r="T2" i="26"/>
  <c r="AD45" i="26" l="1"/>
  <c r="AD60" i="26"/>
  <c r="AD25" i="26"/>
  <c r="AD61" i="26"/>
  <c r="AD48" i="26"/>
  <c r="AD57" i="26"/>
  <c r="AD41" i="26"/>
  <c r="AB18" i="26"/>
  <c r="AB13" i="26"/>
  <c r="AB33" i="26"/>
  <c r="AD36" i="26"/>
  <c r="AD52" i="26"/>
  <c r="AD35" i="26"/>
  <c r="AD55" i="26"/>
  <c r="AD56" i="26"/>
  <c r="AD5" i="26"/>
  <c r="AD2" i="26"/>
  <c r="AB29" i="26"/>
  <c r="AD6" i="26"/>
  <c r="AB10" i="26"/>
  <c r="AB15" i="26"/>
  <c r="AD8" i="26"/>
  <c r="AD4" i="26"/>
  <c r="AD3" i="26"/>
  <c r="AD7" i="26"/>
  <c r="AD43" i="26"/>
  <c r="AD12" i="26"/>
  <c r="AD20" i="26"/>
  <c r="AD19" i="26"/>
  <c r="AD13" i="26"/>
  <c r="AD63" i="26"/>
  <c r="AD24" i="26"/>
  <c r="AD21" i="26"/>
  <c r="AD49" i="26"/>
  <c r="AD44" i="26"/>
  <c r="AD32" i="26"/>
  <c r="AD59" i="26"/>
  <c r="AD27" i="26"/>
  <c r="AD53" i="26"/>
  <c r="AD18" i="26"/>
  <c r="AD42" i="26"/>
  <c r="AD54" i="26"/>
  <c r="AD50" i="26"/>
  <c r="AD47" i="26"/>
  <c r="AD26" i="26"/>
  <c r="AD66" i="26"/>
  <c r="AD17" i="26"/>
  <c r="AD30" i="26"/>
  <c r="AD58" i="26"/>
  <c r="AD67" i="26"/>
  <c r="AD34" i="26"/>
  <c r="AD37" i="26"/>
  <c r="AD62" i="26"/>
  <c r="AD39" i="26"/>
  <c r="AD22" i="26"/>
  <c r="AD46" i="26"/>
  <c r="AD65" i="26"/>
  <c r="AD31" i="26" l="1"/>
  <c r="AD33" i="26"/>
  <c r="S60" i="26"/>
  <c r="AD29" i="26"/>
  <c r="S27" i="26"/>
  <c r="S66" i="26"/>
  <c r="S5" i="26"/>
  <c r="S21" i="26"/>
  <c r="AD14" i="26"/>
  <c r="AD11" i="26"/>
  <c r="S22" i="26"/>
  <c r="S30" i="26"/>
  <c r="S36" i="26"/>
  <c r="S67" i="26"/>
  <c r="S59" i="26"/>
  <c r="S46" i="26"/>
  <c r="S47" i="26"/>
  <c r="S7" i="26"/>
  <c r="AD15" i="26"/>
  <c r="S6" i="26"/>
  <c r="AD9" i="26"/>
  <c r="S19" i="26"/>
  <c r="S37" i="26"/>
  <c r="S45" i="26"/>
  <c r="S62" i="26"/>
  <c r="AD51" i="26"/>
  <c r="S20" i="26"/>
  <c r="S26" i="26"/>
  <c r="S50" i="26"/>
  <c r="AD10" i="26"/>
  <c r="S48" i="26"/>
  <c r="S12" i="26"/>
  <c r="S10" i="26"/>
  <c r="S34" i="26"/>
  <c r="S53" i="26"/>
  <c r="S15" i="26"/>
  <c r="AD40" i="26"/>
  <c r="S41" i="26"/>
  <c r="S39" i="26"/>
  <c r="AD38" i="26"/>
  <c r="S35" i="26"/>
  <c r="AD28" i="26"/>
  <c r="S29" i="26"/>
  <c r="S3" i="26"/>
  <c r="S42" i="26"/>
  <c r="AD64" i="26"/>
  <c r="S4" i="26"/>
  <c r="AD23" i="26"/>
  <c r="S32" i="26"/>
  <c r="S31" i="26"/>
  <c r="S56" i="26"/>
  <c r="S63" i="26"/>
  <c r="AD16" i="26"/>
  <c r="S54" i="26"/>
  <c r="S44" i="26"/>
  <c r="S49" i="26"/>
  <c r="S61" i="26" l="1"/>
  <c r="S38" i="26"/>
  <c r="S64" i="26"/>
  <c r="S40" i="26"/>
  <c r="S24" i="26"/>
  <c r="S14" i="26"/>
  <c r="S8" i="26"/>
  <c r="S13" i="26"/>
  <c r="S43" i="26"/>
  <c r="S17" i="26"/>
  <c r="S18" i="26"/>
  <c r="S65" i="26"/>
  <c r="S28" i="26"/>
  <c r="S11" i="26"/>
  <c r="S55" i="26"/>
  <c r="S57" i="26"/>
  <c r="S33" i="26"/>
  <c r="S51" i="26"/>
  <c r="S52" i="26"/>
  <c r="S16" i="26"/>
  <c r="S23" i="26"/>
  <c r="S25" i="26"/>
  <c r="S9" i="26"/>
  <c r="S58" i="26"/>
</calcChain>
</file>

<file path=xl/sharedStrings.xml><?xml version="1.0" encoding="utf-8"?>
<sst xmlns="http://schemas.openxmlformats.org/spreadsheetml/2006/main" count="463" uniqueCount="196">
  <si>
    <t>cm/kyr (age 50%) -binned 1000 yrs</t>
  </si>
  <si>
    <t>Exp</t>
  </si>
  <si>
    <t>Site</t>
  </si>
  <si>
    <t>Hole</t>
  </si>
  <si>
    <t>Core</t>
  </si>
  <si>
    <t>Type</t>
  </si>
  <si>
    <t>Sect</t>
  </si>
  <si>
    <t>A/W</t>
  </si>
  <si>
    <t>Top offset (cm)</t>
  </si>
  <si>
    <t>Bottom offset (cm)</t>
  </si>
  <si>
    <t>Top depth CSF-A (m)</t>
  </si>
  <si>
    <t>Bottom depth CSF-A (m)</t>
  </si>
  <si>
    <t>Top depth CCSF-341-U1421-ABCDEF-20150810 (m)</t>
  </si>
  <si>
    <t>Bottom depth CCSF-341-U1421-ABCDEF-20150810 (m)</t>
  </si>
  <si>
    <t>U1421</t>
  </si>
  <si>
    <t>C</t>
  </si>
  <si>
    <t>H</t>
  </si>
  <si>
    <t>W</t>
  </si>
  <si>
    <t>341-U1421C-1H-1-W 0/2-COWAN</t>
  </si>
  <si>
    <t>A</t>
  </si>
  <si>
    <t>341-U1421C-1H-2-W 102/104-COWAN</t>
  </si>
  <si>
    <t>341-U1421C-1H-3-W 100/102-COWAN</t>
  </si>
  <si>
    <t>341-U1421C-1H-4-W 102/104-COWAN</t>
  </si>
  <si>
    <t>341-U1421C-1H-5-W 52/54-ZELLERS</t>
  </si>
  <si>
    <t>CC</t>
  </si>
  <si>
    <t>341-U1421C-1H-5-W 100/102-COWAN</t>
  </si>
  <si>
    <t>341-U1421A-2H-2-W 50/52-ZELLERS</t>
  </si>
  <si>
    <t>341-U1421A-2H-4-W 0/2-COWAN</t>
  </si>
  <si>
    <t>341-U1421A-2H-4-W 54/56-ZELLERS</t>
  </si>
  <si>
    <t>341-U1421A-2H-5-W 54/56-ZELLERS</t>
  </si>
  <si>
    <t>341-U1421A-2H-6-W 0/2-COWAN</t>
  </si>
  <si>
    <t>341-U1421A-2H-7-W 5/7-COWAN</t>
  </si>
  <si>
    <t>341-U1421A-3H-1-W 102/104-COWAN</t>
  </si>
  <si>
    <t>341-U1421A-3H-2-W 51/53-ZELLERS</t>
  </si>
  <si>
    <t>341-U1421A-3H-2-W 100/102-COWAN</t>
  </si>
  <si>
    <t>341-U1421C-3H-2-W 100/102-COWAN</t>
  </si>
  <si>
    <t>341-U1421C-3H-3-W 0/2-COWAN</t>
  </si>
  <si>
    <t>341-U1421C-3H-3-W 100/102-COWAN</t>
  </si>
  <si>
    <t>341-U1421C-3H-4-W 0/2-COWAN</t>
  </si>
  <si>
    <t>341-U1421C-3H-4-W 51/53-ZELLERS</t>
  </si>
  <si>
    <t>341-U1421C-3H-5-W 0/2-COWAN</t>
  </si>
  <si>
    <t>341-U1421C-3H-6-W 51/53-ZELLERS</t>
  </si>
  <si>
    <t>341-U1421C-4H-1-W 100/102-COWAN</t>
  </si>
  <si>
    <t>341-U1421C-5H-3-W 100/102-Cowan</t>
  </si>
  <si>
    <t>341-U1421C-6H-3-W 0/2-Cowan</t>
  </si>
  <si>
    <t>341-U1421C-6H-4-W 100/102-Cowan</t>
  </si>
  <si>
    <t>341-U1421C-6H-CC-W 32/34-Cowan</t>
  </si>
  <si>
    <t>341-U1421A-6H-1-W 0/2-COWAN</t>
  </si>
  <si>
    <t>341-U1421A-6H-3-W 5/7-COWAN</t>
  </si>
  <si>
    <t>341-U1421A-7H-1-W 0/2-COWAN</t>
  </si>
  <si>
    <t>341-U1421A-7H-1-W 51/53-ZELLERS</t>
  </si>
  <si>
    <t>341-U1421A-7H-1-W 100/102-COWAN</t>
  </si>
  <si>
    <t>341-U1421A-7H-2-W 100/102-COWAN</t>
  </si>
  <si>
    <t>341-U1421A-7H-3-W 51/53-ZELLERS</t>
  </si>
  <si>
    <t>341-U1421A-7H-3-W 100/102-COWAN</t>
  </si>
  <si>
    <t>341-U1421A-7H-3-W 147/149-COWAN</t>
  </si>
  <si>
    <t>341-U1421A-7H-4-W 51/53-ZELLERS</t>
  </si>
  <si>
    <t>341-U1421A-7H-4-W 100/102-COWAN</t>
  </si>
  <si>
    <t>341-U1421A-8H-1-W 0/4-COWAN</t>
  </si>
  <si>
    <t>341-U1421A-9H-1-W 8/10-COWAN</t>
  </si>
  <si>
    <t>341-U1421A-9H-3-W 55/59-ZELLERS</t>
  </si>
  <si>
    <t>341-U1421A-10H-1-W 5/7-COWAN</t>
  </si>
  <si>
    <t>341-U1421A-11H-1-W 51/55-ZELLERS</t>
  </si>
  <si>
    <t>341-U1421A-11H-1-W 146/150-COWAN</t>
  </si>
  <si>
    <t>341-U1421A-11H-2-W 100/104-COWAN</t>
  </si>
  <si>
    <t>341-U1421A-11H-3-W 51/53-ZELLERS</t>
  </si>
  <si>
    <t>341-U1421A-12H-1-W 51/53-ZELLERS</t>
  </si>
  <si>
    <t>341-U1421A-12H-2-W 51/53-ZELLERS</t>
  </si>
  <si>
    <t>341-U1421A-12H-3-W 0/2-COWAN</t>
  </si>
  <si>
    <t>341-U1421A-12H-3-W 100/102-COWAN</t>
  </si>
  <si>
    <t>341-U1421A-13H-2-W 100/102-COWAN</t>
  </si>
  <si>
    <t>341-U1421A-16H-1-W 0/4-COWAN</t>
  </si>
  <si>
    <t>341-U1421A-17H-2-W 51/55-ZELLERS</t>
  </si>
  <si>
    <t>341-U1421A-19H-1-W 4/8-COWAN</t>
  </si>
  <si>
    <t>341-U1421A-20X-1-W 49/51-ZELLERS</t>
  </si>
  <si>
    <t>341-U1421A-21X-CC-W 2/4-COWAN</t>
  </si>
  <si>
    <t>341-U1421A-22X-1-W 51/53-ZELLERS</t>
  </si>
  <si>
    <t>341-U1421A-22X-1-W 86/88-COWAN</t>
  </si>
  <si>
    <t>341-U1421A-22X-2-W 9/11-COWAN</t>
  </si>
  <si>
    <t>341-U1421A-22X-CC-W 0/2-COWAN</t>
  </si>
  <si>
    <t>Length (cm)</t>
  </si>
  <si>
    <t>diatom mass</t>
  </si>
  <si>
    <t>transect length (mm)</t>
  </si>
  <si>
    <t>transect width (mm)</t>
  </si>
  <si>
    <t>Area counted (mm^2)</t>
  </si>
  <si>
    <t>B (area of beaker (mm^2))</t>
  </si>
  <si>
    <t>total diatoms/g</t>
  </si>
  <si>
    <t>X</t>
  </si>
  <si>
    <t>Age (kyr)</t>
  </si>
  <si>
    <t>Slide #</t>
  </si>
  <si>
    <t>Diatom Accumulation Rate</t>
  </si>
  <si>
    <t>Thalassionema nitzschoides</t>
  </si>
  <si>
    <t>Neodenticula seminae</t>
  </si>
  <si>
    <t>b</t>
  </si>
  <si>
    <t>a</t>
  </si>
  <si>
    <t>midpt  CCSF-341-U1421-ABCDEF-20150810 (m)</t>
  </si>
  <si>
    <t>Diatom Sample</t>
  </si>
  <si>
    <t>Sample Resolution</t>
  </si>
  <si>
    <t>341-U1421A-7H-2-W 35/36-CAISSIE</t>
  </si>
  <si>
    <t>341-U1421A-7H-4-W 27/28-CAISSIE</t>
  </si>
  <si>
    <t>341-U1421A-7H-4-W 75/76-CAISSIE</t>
  </si>
  <si>
    <t>341-U1421C-1H-5-A 64/65-CAISSIE</t>
  </si>
  <si>
    <t>341-U1421C-1H-5-A 76/77-CAISSIE</t>
  </si>
  <si>
    <t>341-U1421C-1H-5-A 88/89-CAISSIE</t>
  </si>
  <si>
    <t>Total diatoms counted</t>
  </si>
  <si>
    <t>Dry bulk density (g/cm^3)</t>
  </si>
  <si>
    <t>Quick Centric</t>
  </si>
  <si>
    <t>Quick Pennate</t>
  </si>
  <si>
    <t>Quick Chaetoceros (all)</t>
  </si>
  <si>
    <t>Sea Ice Diatoms (T. antarctica, F. cylindrus, F. reginae-jahniae, F. oceanica, F. cylindriformis, Fo. Arctica)</t>
  </si>
  <si>
    <t>Relative Percent Abundances:</t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</si>
  <si>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Dispinodiscus</t>
    </r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</si>
  <si>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Gemellodiscus</t>
    </r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</si>
  <si>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hyaline variety</t>
    </r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</si>
  <si>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Liradiscus</t>
    </r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</si>
  <si>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Peripteropsis</t>
    </r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</si>
  <si>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Syndendrium</t>
    </r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</si>
  <si>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vallodiscus</t>
    </r>
  </si>
  <si>
    <r>
      <t xml:space="preserve">Chaetoceros </t>
    </r>
    <r>
      <rPr>
        <b/>
        <sz val="11"/>
        <color theme="1"/>
        <rFont val="Calibri"/>
        <family val="2"/>
        <scheme val="minor"/>
      </rPr>
      <t>morphogenera:</t>
    </r>
    <r>
      <rPr>
        <b/>
        <i/>
        <sz val="11"/>
        <color theme="1"/>
        <rFont val="Calibri"/>
        <family val="2"/>
        <scheme val="minor"/>
      </rPr>
      <t xml:space="preserve"> Xanthodiscus</t>
    </r>
  </si>
  <si>
    <t>Actinocyclus curvatulus</t>
  </si>
  <si>
    <t>Actinocyclus ochotensis</t>
  </si>
  <si>
    <r>
      <t xml:space="preserve">Actinoptychus </t>
    </r>
    <r>
      <rPr>
        <b/>
        <sz val="11"/>
        <color theme="1"/>
        <rFont val="Calibri"/>
        <family val="2"/>
        <scheme val="minor"/>
      </rPr>
      <t>spp.</t>
    </r>
  </si>
  <si>
    <r>
      <t xml:space="preserve">Asteromphalus </t>
    </r>
    <r>
      <rPr>
        <b/>
        <sz val="11"/>
        <color theme="1"/>
        <rFont val="Calibri"/>
        <family val="2"/>
        <scheme val="minor"/>
      </rPr>
      <t>spp.</t>
    </r>
  </si>
  <si>
    <t>Azpetia tabularis</t>
  </si>
  <si>
    <t>Azpeitia neocrenulata</t>
  </si>
  <si>
    <t>Bacterosira bathyomphalus</t>
  </si>
  <si>
    <t>Cocconeis costata</t>
  </si>
  <si>
    <r>
      <t xml:space="preserve">Cocconeis </t>
    </r>
    <r>
      <rPr>
        <b/>
        <sz val="11"/>
        <color theme="1"/>
        <rFont val="Calibri"/>
        <family val="2"/>
        <scheme val="minor"/>
      </rPr>
      <t>spp.</t>
    </r>
  </si>
  <si>
    <t>Coscinodiscus marginatus</t>
  </si>
  <si>
    <t>Coscinodiscus oculis-iridis</t>
  </si>
  <si>
    <t>Coscinodiscus radiatus</t>
  </si>
  <si>
    <t>Detonula confervacea</t>
  </si>
  <si>
    <r>
      <t xml:space="preserve">Diploneis </t>
    </r>
    <r>
      <rPr>
        <b/>
        <sz val="11"/>
        <color theme="1"/>
        <rFont val="Calibri"/>
        <family val="2"/>
        <scheme val="minor"/>
      </rPr>
      <t>spp.</t>
    </r>
  </si>
  <si>
    <r>
      <t xml:space="preserve">Ehrenbergia </t>
    </r>
    <r>
      <rPr>
        <b/>
        <sz val="11"/>
        <color theme="1"/>
        <rFont val="Calibri"/>
        <family val="2"/>
        <scheme val="minor"/>
      </rPr>
      <t>spp.</t>
    </r>
  </si>
  <si>
    <t>Fossula arctica</t>
  </si>
  <si>
    <t>Fragilariopsis atlanticus</t>
  </si>
  <si>
    <t>Fragilariopsis cylindrus</t>
  </si>
  <si>
    <t>Fragilariopsis oceanica</t>
  </si>
  <si>
    <t>Fragilariopsis reginae-jahniae</t>
  </si>
  <si>
    <t>Fragilariopsis doliolus</t>
  </si>
  <si>
    <t>Fragilariopsis cylindriformins</t>
  </si>
  <si>
    <t>Fragilariopsis pseudonana</t>
  </si>
  <si>
    <t>Fragilariopsis nana</t>
  </si>
  <si>
    <r>
      <t xml:space="preserve">Lindavia </t>
    </r>
    <r>
      <rPr>
        <b/>
        <sz val="11"/>
        <color theme="1"/>
        <rFont val="Calibri"/>
        <family val="2"/>
        <scheme val="minor"/>
      </rPr>
      <t>spp.</t>
    </r>
  </si>
  <si>
    <t>Lioloma pacifica</t>
  </si>
  <si>
    <t>Melosira sol</t>
  </si>
  <si>
    <t>Naviculoid pennates</t>
  </si>
  <si>
    <r>
      <t xml:space="preserve">Nitzschia </t>
    </r>
    <r>
      <rPr>
        <b/>
        <sz val="11"/>
        <color theme="1"/>
        <rFont val="Calibri"/>
        <family val="2"/>
        <scheme val="minor"/>
      </rPr>
      <t>spp.</t>
    </r>
  </si>
  <si>
    <t>Odontella aurita</t>
  </si>
  <si>
    <t>Paralia sulcata</t>
  </si>
  <si>
    <t>Porosira glacialis</t>
  </si>
  <si>
    <t>Proboscia eumorpha</t>
  </si>
  <si>
    <t>Proboscia subarctica</t>
  </si>
  <si>
    <r>
      <t xml:space="preserve">Rhaphoneis </t>
    </r>
    <r>
      <rPr>
        <b/>
        <sz val="11"/>
        <color theme="1"/>
        <rFont val="Calibri"/>
        <family val="2"/>
        <scheme val="minor"/>
      </rPr>
      <t>spp.</t>
    </r>
  </si>
  <si>
    <t>Rhizosolenia borealis</t>
  </si>
  <si>
    <t>Rhizosolenia hebetata</t>
  </si>
  <si>
    <r>
      <t xml:space="preserve">Rhizosolenia hebetata </t>
    </r>
    <r>
      <rPr>
        <b/>
        <sz val="11"/>
        <color theme="1"/>
        <rFont val="Calibri"/>
        <family val="2"/>
        <scheme val="minor"/>
      </rPr>
      <t>forma</t>
    </r>
    <r>
      <rPr>
        <b/>
        <i/>
        <sz val="11"/>
        <color theme="1"/>
        <rFont val="Calibri"/>
        <family val="2"/>
        <scheme val="minor"/>
      </rPr>
      <t xml:space="preserve"> semispina</t>
    </r>
  </si>
  <si>
    <t>Rhizosolenia setigera</t>
  </si>
  <si>
    <t>Rhizosolenia styloformis</t>
  </si>
  <si>
    <t>Shionodiscus oestrupii</t>
  </si>
  <si>
    <t>Shionodiscus trifultus</t>
  </si>
  <si>
    <t>Stellarimia stellaris</t>
  </si>
  <si>
    <t>Stephanopyxis turris</t>
  </si>
  <si>
    <r>
      <t xml:space="preserve">Synedropsis </t>
    </r>
    <r>
      <rPr>
        <b/>
        <sz val="11"/>
        <color theme="1"/>
        <rFont val="Calibri"/>
        <family val="2"/>
        <scheme val="minor"/>
      </rPr>
      <t>spp.</t>
    </r>
  </si>
  <si>
    <t>Thalassiosira aestivalis</t>
  </si>
  <si>
    <t>Thalassiosira angulata</t>
  </si>
  <si>
    <t>Thalassiosira anguste-lineata</t>
  </si>
  <si>
    <t>Thalassiosira antarctica</t>
  </si>
  <si>
    <r>
      <t xml:space="preserve">Thalassiosira antarctica </t>
    </r>
    <r>
      <rPr>
        <b/>
        <sz val="11"/>
        <color theme="1"/>
        <rFont val="Calibri"/>
        <family val="2"/>
        <scheme val="minor"/>
      </rPr>
      <t>RS</t>
    </r>
  </si>
  <si>
    <t>Thalassiosira baltica</t>
  </si>
  <si>
    <t>Thalassiosira binata</t>
  </si>
  <si>
    <t>Thalassiosira bulbosa</t>
  </si>
  <si>
    <r>
      <t xml:space="preserve">Bacterosira constricta </t>
    </r>
    <r>
      <rPr>
        <b/>
        <sz val="11"/>
        <color theme="1"/>
        <rFont val="Calibri"/>
        <family val="2"/>
        <scheme val="minor"/>
      </rPr>
      <t>RS</t>
    </r>
  </si>
  <si>
    <t>Thalassiosira decipiens</t>
  </si>
  <si>
    <t>Thalassiosira eccentrica</t>
  </si>
  <si>
    <t>Thalassiosira gravida</t>
  </si>
  <si>
    <t>Thalassiosira hispida</t>
  </si>
  <si>
    <t>Thalassiosira hyalina</t>
  </si>
  <si>
    <t>Thalassiosira jouseae</t>
  </si>
  <si>
    <t>Thalassiosira kushirensis</t>
  </si>
  <si>
    <r>
      <t xml:space="preserve">Thalassiosira kushirensis </t>
    </r>
    <r>
      <rPr>
        <b/>
        <sz val="11"/>
        <color theme="1"/>
        <rFont val="Calibri"/>
        <family val="2"/>
        <scheme val="minor"/>
      </rPr>
      <t>RS</t>
    </r>
  </si>
  <si>
    <t>Thalassiosira leptopa</t>
  </si>
  <si>
    <t>Thalassiosira lineata</t>
  </si>
  <si>
    <t>Thalassiosira nordenskioeldii</t>
  </si>
  <si>
    <t>Thalassiosira pacifica</t>
  </si>
  <si>
    <r>
      <t xml:space="preserve">Thalassiosira </t>
    </r>
    <r>
      <rPr>
        <b/>
        <sz val="11"/>
        <color theme="1"/>
        <rFont val="Calibri"/>
        <family val="2"/>
        <scheme val="minor"/>
      </rPr>
      <t>sp. &lt; 10um</t>
    </r>
  </si>
  <si>
    <r>
      <t xml:space="preserve">Thalassiosira </t>
    </r>
    <r>
      <rPr>
        <b/>
        <sz val="11"/>
        <color theme="1"/>
        <rFont val="Calibri"/>
        <family val="2"/>
        <scheme val="minor"/>
      </rPr>
      <t>spp.</t>
    </r>
  </si>
  <si>
    <t>Thalassiosira symmetrica</t>
  </si>
  <si>
    <t>Thalassiosira tenera</t>
  </si>
  <si>
    <t>Thalassiothrix longissima</t>
  </si>
  <si>
    <t>Unknown centric</t>
  </si>
  <si>
    <t>Unknown pennate</t>
  </si>
  <si>
    <t>Chaetoceros all</t>
  </si>
  <si>
    <t>Total samples analyzed</t>
  </si>
  <si>
    <t>The 50% sedimentation rate (Data 4 - sedrates) was used to generate column P (age.50%)  generated by the Bchron age model.</t>
  </si>
  <si>
    <t>Age (yr)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</si>
</sst>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>
    <font>
      <sz val="12"/>
      <color rgb="FF000000"/>
      <name val="Calibri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 (Body)_x0000_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1"/>
  </cellStyleXfs>
  <cellXfs count="24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1" fontId="2" fillId="0" borderId="0" xfId="0" applyNumberFormat="1" applyFont="1"/>
    <xf numFmtId="0" fontId="2" fillId="0" borderId="0" xfId="0" applyFont="1" applyFill="1" applyAlignment="1"/>
    <xf numFmtId="0" fontId="2" fillId="0" borderId="0" xfId="0" applyFont="1" applyFill="1"/>
    <xf numFmtId="165" fontId="2" fillId="0" borderId="0" xfId="0" applyNumberFormat="1" applyFont="1" applyFill="1"/>
    <xf numFmtId="0" fontId="1" fillId="0" borderId="0" xfId="0" applyFont="1" applyFill="1" applyAlignment="1">
      <alignment textRotation="90" wrapText="1"/>
    </xf>
    <xf numFmtId="0" fontId="8" fillId="0" borderId="0" xfId="0" applyFont="1" applyFill="1" applyAlignment="1">
      <alignment textRotation="90" wrapText="1"/>
    </xf>
    <xf numFmtId="0" fontId="3" fillId="0" borderId="0" xfId="0" applyFont="1" applyFill="1" applyAlignment="1">
      <alignment textRotation="90" wrapText="1"/>
    </xf>
    <xf numFmtId="1" fontId="2" fillId="0" borderId="0" xfId="0" applyNumberFormat="1" applyFont="1" applyFill="1"/>
    <xf numFmtId="2" fontId="2" fillId="0" borderId="0" xfId="0" applyNumberFormat="1" applyFont="1" applyFill="1"/>
    <xf numFmtId="164" fontId="2" fillId="0" borderId="0" xfId="0" applyNumberFormat="1" applyFont="1" applyFill="1"/>
    <xf numFmtId="165" fontId="1" fillId="0" borderId="0" xfId="0" applyNumberFormat="1" applyFont="1" applyFill="1" applyAlignment="1">
      <alignment textRotation="90" wrapText="1"/>
    </xf>
    <xf numFmtId="0" fontId="9" fillId="0" borderId="0" xfId="0" applyFont="1" applyFill="1" applyAlignment="1">
      <alignment textRotation="90" wrapText="1"/>
    </xf>
    <xf numFmtId="0" fontId="9" fillId="0" borderId="0" xfId="0" applyFont="1" applyAlignment="1">
      <alignment textRotation="90" wrapText="1"/>
    </xf>
    <xf numFmtId="0" fontId="9" fillId="0" borderId="0" xfId="0" applyFont="1" applyAlignment="1">
      <alignment wrapText="1"/>
    </xf>
    <xf numFmtId="165" fontId="2" fillId="0" borderId="0" xfId="0" applyNumberFormat="1" applyFont="1" applyAlignment="1"/>
    <xf numFmtId="0" fontId="6" fillId="0" borderId="0" xfId="0" applyFont="1" applyFill="1"/>
    <xf numFmtId="0" fontId="10" fillId="0" borderId="0" xfId="0" applyFont="1" applyFill="1"/>
    <xf numFmtId="1" fontId="2" fillId="0" borderId="0" xfId="0" applyNumberFormat="1" applyFont="1" applyFill="1" applyAlignment="1"/>
    <xf numFmtId="0" fontId="9" fillId="0" borderId="0" xfId="0" applyFont="1" applyAlignment="1"/>
    <xf numFmtId="1" fontId="2" fillId="0" borderId="0" xfId="0" applyNumberFormat="1" applyFont="1" applyAlignment="1"/>
    <xf numFmtId="0" fontId="9" fillId="0" borderId="0" xfId="0" applyFont="1" applyAlignment="1"/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Q71"/>
  <sheetViews>
    <sheetView tabSelected="1" topLeftCell="AL1" workbookViewId="0">
      <selection activeCell="BO1" sqref="BO1"/>
    </sheetView>
  </sheetViews>
  <sheetFormatPr defaultColWidth="11" defaultRowHeight="15.75"/>
  <cols>
    <col min="1" max="1" width="4.125" style="2" bestFit="1" customWidth="1"/>
    <col min="2" max="2" width="7.375" style="2" customWidth="1"/>
    <col min="3" max="7" width="3.5" style="2" bestFit="1" customWidth="1"/>
    <col min="8" max="9" width="4.125" style="2" bestFit="1" customWidth="1"/>
    <col min="10" max="11" width="7.125" style="2" bestFit="1" customWidth="1"/>
    <col min="12" max="14" width="6.625" style="2" bestFit="1" customWidth="1"/>
    <col min="15" max="15" width="34.625" style="2" bestFit="1" customWidth="1"/>
    <col min="16" max="16" width="6.125" style="2" bestFit="1" customWidth="1"/>
    <col min="17" max="17" width="4.625" style="2" bestFit="1" customWidth="1"/>
    <col min="18" max="18" width="5.125" style="2" bestFit="1" customWidth="1"/>
    <col min="19" max="19" width="6.125" style="2" bestFit="1" customWidth="1"/>
    <col min="20" max="21" width="3.5" style="2" bestFit="1" customWidth="1"/>
    <col min="22" max="22" width="8.125" style="2" bestFit="1" customWidth="1"/>
    <col min="23" max="23" width="6.125" style="2" bestFit="1" customWidth="1"/>
    <col min="24" max="24" width="5.125" style="2" bestFit="1" customWidth="1"/>
    <col min="25" max="25" width="7.125" style="2" bestFit="1" customWidth="1"/>
    <col min="26" max="26" width="5.125" style="2" bestFit="1" customWidth="1"/>
    <col min="27" max="27" width="4.125" style="2" bestFit="1" customWidth="1"/>
    <col min="28" max="28" width="8.125" style="2" bestFit="1" customWidth="1"/>
    <col min="29" max="29" width="9.125" style="2" bestFit="1" customWidth="1"/>
    <col min="30" max="30" width="11.125" style="2" bestFit="1" customWidth="1"/>
    <col min="31" max="31" width="4.125" style="2" bestFit="1" customWidth="1"/>
    <col min="32" max="33" width="3.5" style="2" bestFit="1" customWidth="1"/>
    <col min="34" max="34" width="3.5" style="2" customWidth="1"/>
    <col min="35" max="120" width="5.625" style="2" customWidth="1"/>
    <col min="121" max="121" width="11" style="17"/>
    <col min="122" max="16384" width="11" style="2"/>
  </cols>
  <sheetData>
    <row r="1" spans="1:121" s="16" customFormat="1" ht="201.95" customHeight="1">
      <c r="A1" s="7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14" t="s">
        <v>8</v>
      </c>
      <c r="I1" s="14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14" t="s">
        <v>95</v>
      </c>
      <c r="O1" s="15" t="s">
        <v>96</v>
      </c>
      <c r="P1" s="14" t="s">
        <v>195</v>
      </c>
      <c r="Q1" s="14" t="s">
        <v>88</v>
      </c>
      <c r="R1" s="14" t="s">
        <v>0</v>
      </c>
      <c r="S1" s="14" t="s">
        <v>97</v>
      </c>
      <c r="T1" s="7" t="s">
        <v>80</v>
      </c>
      <c r="U1" s="7" t="s">
        <v>89</v>
      </c>
      <c r="V1" s="7" t="s">
        <v>81</v>
      </c>
      <c r="W1" s="7" t="s">
        <v>82</v>
      </c>
      <c r="X1" s="7" t="s">
        <v>83</v>
      </c>
      <c r="Y1" s="7" t="s">
        <v>84</v>
      </c>
      <c r="Z1" s="7" t="s">
        <v>85</v>
      </c>
      <c r="AA1" s="7" t="s">
        <v>104</v>
      </c>
      <c r="AB1" s="7" t="s">
        <v>86</v>
      </c>
      <c r="AC1" s="7" t="s">
        <v>105</v>
      </c>
      <c r="AD1" s="7" t="s">
        <v>90</v>
      </c>
      <c r="AE1" s="7" t="s">
        <v>106</v>
      </c>
      <c r="AF1" s="7" t="s">
        <v>107</v>
      </c>
      <c r="AG1" s="7" t="s">
        <v>108</v>
      </c>
      <c r="AH1" s="7"/>
      <c r="AI1" s="7" t="s">
        <v>109</v>
      </c>
      <c r="AJ1" s="7"/>
      <c r="AK1" s="8" t="s">
        <v>110</v>
      </c>
      <c r="AL1" s="9" t="s">
        <v>111</v>
      </c>
      <c r="AM1" s="9" t="s">
        <v>112</v>
      </c>
      <c r="AN1" s="9" t="s">
        <v>113</v>
      </c>
      <c r="AO1" s="9" t="s">
        <v>114</v>
      </c>
      <c r="AP1" s="9" t="s">
        <v>115</v>
      </c>
      <c r="AQ1" s="9" t="s">
        <v>116</v>
      </c>
      <c r="AR1" s="9" t="s">
        <v>117</v>
      </c>
      <c r="AS1" s="9" t="s">
        <v>118</v>
      </c>
      <c r="AT1" s="9" t="s">
        <v>119</v>
      </c>
      <c r="AU1" s="9" t="s">
        <v>120</v>
      </c>
      <c r="AV1" s="9" t="s">
        <v>121</v>
      </c>
      <c r="AW1" s="9" t="s">
        <v>122</v>
      </c>
      <c r="AX1" s="9" t="s">
        <v>123</v>
      </c>
      <c r="AY1" s="9" t="s">
        <v>124</v>
      </c>
      <c r="AZ1" s="9" t="s">
        <v>125</v>
      </c>
      <c r="BA1" s="9" t="s">
        <v>126</v>
      </c>
      <c r="BB1" s="9" t="s">
        <v>127</v>
      </c>
      <c r="BC1" s="9" t="s">
        <v>128</v>
      </c>
      <c r="BD1" s="9" t="s">
        <v>129</v>
      </c>
      <c r="BE1" s="9" t="s">
        <v>130</v>
      </c>
      <c r="BF1" s="9" t="s">
        <v>131</v>
      </c>
      <c r="BG1" s="9" t="s">
        <v>132</v>
      </c>
      <c r="BH1" s="9" t="s">
        <v>133</v>
      </c>
      <c r="BI1" s="9" t="s">
        <v>134</v>
      </c>
      <c r="BJ1" s="9" t="s">
        <v>135</v>
      </c>
      <c r="BK1" s="9" t="s">
        <v>136</v>
      </c>
      <c r="BL1" s="9" t="s">
        <v>137</v>
      </c>
      <c r="BM1" s="9" t="s">
        <v>138</v>
      </c>
      <c r="BN1" s="9" t="s">
        <v>139</v>
      </c>
      <c r="BO1" s="9" t="s">
        <v>140</v>
      </c>
      <c r="BP1" s="9" t="s">
        <v>141</v>
      </c>
      <c r="BQ1" s="9" t="s">
        <v>142</v>
      </c>
      <c r="BR1" s="9" t="s">
        <v>143</v>
      </c>
      <c r="BS1" s="9" t="s">
        <v>144</v>
      </c>
      <c r="BT1" s="9" t="s">
        <v>145</v>
      </c>
      <c r="BU1" s="7" t="s">
        <v>146</v>
      </c>
      <c r="BV1" s="9" t="s">
        <v>92</v>
      </c>
      <c r="BW1" s="9" t="s">
        <v>147</v>
      </c>
      <c r="BX1" s="9" t="s">
        <v>148</v>
      </c>
      <c r="BY1" s="9" t="s">
        <v>149</v>
      </c>
      <c r="BZ1" s="9" t="s">
        <v>150</v>
      </c>
      <c r="CA1" s="9" t="s">
        <v>151</v>
      </c>
      <c r="CB1" s="9" t="s">
        <v>152</v>
      </c>
      <c r="CC1" s="9" t="s">
        <v>153</v>
      </c>
      <c r="CD1" s="9" t="s">
        <v>154</v>
      </c>
      <c r="CE1" s="9" t="s">
        <v>155</v>
      </c>
      <c r="CF1" s="9" t="s">
        <v>156</v>
      </c>
      <c r="CG1" s="9" t="s">
        <v>157</v>
      </c>
      <c r="CH1" s="9" t="s">
        <v>158</v>
      </c>
      <c r="CI1" s="9" t="s">
        <v>159</v>
      </c>
      <c r="CJ1" s="9" t="s">
        <v>160</v>
      </c>
      <c r="CK1" s="9" t="s">
        <v>161</v>
      </c>
      <c r="CL1" s="9" t="s">
        <v>162</v>
      </c>
      <c r="CM1" s="9" t="s">
        <v>163</v>
      </c>
      <c r="CN1" s="9" t="s">
        <v>91</v>
      </c>
      <c r="CO1" s="9" t="s">
        <v>164</v>
      </c>
      <c r="CP1" s="9" t="s">
        <v>165</v>
      </c>
      <c r="CQ1" s="9" t="s">
        <v>166</v>
      </c>
      <c r="CR1" s="9" t="s">
        <v>167</v>
      </c>
      <c r="CS1" s="9" t="s">
        <v>168</v>
      </c>
      <c r="CT1" s="9" t="s">
        <v>169</v>
      </c>
      <c r="CU1" s="9" t="s">
        <v>170</v>
      </c>
      <c r="CV1" s="9" t="s">
        <v>171</v>
      </c>
      <c r="CW1" s="9" t="s">
        <v>172</v>
      </c>
      <c r="CX1" s="9" t="s">
        <v>173</v>
      </c>
      <c r="CY1" s="9" t="s">
        <v>174</v>
      </c>
      <c r="CZ1" s="9" t="s">
        <v>175</v>
      </c>
      <c r="DA1" s="9" t="s">
        <v>176</v>
      </c>
      <c r="DB1" s="9" t="s">
        <v>177</v>
      </c>
      <c r="DC1" s="9" t="s">
        <v>178</v>
      </c>
      <c r="DD1" s="9" t="s">
        <v>179</v>
      </c>
      <c r="DE1" s="9" t="s">
        <v>180</v>
      </c>
      <c r="DF1" s="9" t="s">
        <v>181</v>
      </c>
      <c r="DG1" s="9" t="s">
        <v>182</v>
      </c>
      <c r="DH1" s="9" t="s">
        <v>183</v>
      </c>
      <c r="DI1" s="9" t="s">
        <v>184</v>
      </c>
      <c r="DJ1" s="9" t="s">
        <v>185</v>
      </c>
      <c r="DK1" s="9" t="s">
        <v>186</v>
      </c>
      <c r="DL1" s="9" t="s">
        <v>187</v>
      </c>
      <c r="DM1" s="9" t="s">
        <v>188</v>
      </c>
      <c r="DN1" s="9" t="s">
        <v>189</v>
      </c>
      <c r="DO1" s="7" t="s">
        <v>190</v>
      </c>
      <c r="DP1" s="7" t="s">
        <v>191</v>
      </c>
      <c r="DQ1" s="13" t="s">
        <v>192</v>
      </c>
    </row>
    <row r="2" spans="1:121">
      <c r="A2" s="2">
        <v>341</v>
      </c>
      <c r="B2" s="1" t="s">
        <v>14</v>
      </c>
      <c r="C2" s="1" t="s">
        <v>15</v>
      </c>
      <c r="D2" s="1">
        <v>1</v>
      </c>
      <c r="E2" s="1" t="s">
        <v>16</v>
      </c>
      <c r="F2" s="1">
        <v>1</v>
      </c>
      <c r="G2" s="1" t="s">
        <v>17</v>
      </c>
      <c r="H2" s="1">
        <v>0</v>
      </c>
      <c r="I2" s="1">
        <v>2</v>
      </c>
      <c r="J2" s="5">
        <v>0</v>
      </c>
      <c r="K2" s="5">
        <v>0.02</v>
      </c>
      <c r="L2" s="11">
        <v>0</v>
      </c>
      <c r="M2" s="11">
        <v>0.02</v>
      </c>
      <c r="N2" s="11">
        <v>0.01</v>
      </c>
      <c r="O2" s="2" t="s">
        <v>18</v>
      </c>
      <c r="P2" s="10">
        <v>19</v>
      </c>
      <c r="Q2" s="6">
        <v>1.9E-2</v>
      </c>
      <c r="R2" s="10">
        <v>55.8888888888889</v>
      </c>
      <c r="S2" s="5"/>
      <c r="T2" s="5">
        <f t="shared" ref="T2:T33" si="0">I2-H2</f>
        <v>2</v>
      </c>
      <c r="U2" s="1"/>
      <c r="V2" s="5">
        <v>0.29649999999999999</v>
      </c>
      <c r="W2" s="5">
        <f>(109.7-97)+(115.5-105)+(113.8-92)</f>
        <v>45</v>
      </c>
      <c r="X2" s="1">
        <v>0.22</v>
      </c>
      <c r="Y2" s="1">
        <f t="shared" ref="Y2:Y65" si="1">W2*X2</f>
        <v>9.9</v>
      </c>
      <c r="Z2" s="3">
        <v>8171.2824919870518</v>
      </c>
      <c r="AA2" s="3">
        <v>304</v>
      </c>
      <c r="AB2" s="10">
        <f t="shared" ref="AB2:AB65" si="2">((AA2*Z2)/Y2)/V2</f>
        <v>846260.1998276402</v>
      </c>
      <c r="AC2" s="12">
        <v>0.84599999999999997</v>
      </c>
      <c r="AD2" s="10">
        <f t="shared" ref="AD2:AD33" si="3">AB2*AC2*R2</f>
        <v>40012874.768250495</v>
      </c>
      <c r="AI2" s="17">
        <f>BI2+BK2+BL2+BO2+CS2</f>
        <v>0.34965034965034963</v>
      </c>
      <c r="AJ2" s="17"/>
      <c r="AL2" s="17">
        <v>1.048951048951049</v>
      </c>
      <c r="AM2" s="17">
        <v>3.8461538461538463</v>
      </c>
      <c r="AN2" s="17">
        <v>3.8461538461538463</v>
      </c>
      <c r="AO2" s="17">
        <v>0.34965034965034963</v>
      </c>
      <c r="AP2" s="17">
        <v>0</v>
      </c>
      <c r="AQ2" s="17">
        <v>0</v>
      </c>
      <c r="AR2" s="17">
        <v>1.3986013986013985</v>
      </c>
      <c r="AS2" s="17">
        <v>1.048951048951049</v>
      </c>
      <c r="AT2" s="17">
        <v>0.69930069930069927</v>
      </c>
      <c r="AU2" s="17">
        <v>0</v>
      </c>
      <c r="AV2" s="17">
        <v>0.34965034965034963</v>
      </c>
      <c r="AW2" s="17">
        <v>0</v>
      </c>
      <c r="AX2" s="17">
        <v>0</v>
      </c>
      <c r="AY2" s="17">
        <v>0</v>
      </c>
      <c r="AZ2" s="17">
        <v>0</v>
      </c>
      <c r="BA2" s="17">
        <v>0</v>
      </c>
      <c r="BB2" s="17">
        <v>0</v>
      </c>
      <c r="BC2" s="17">
        <v>2.4475524475524475</v>
      </c>
      <c r="BD2" s="17">
        <v>0</v>
      </c>
      <c r="BE2" s="17">
        <v>0.69930069930069927</v>
      </c>
      <c r="BF2" s="17">
        <v>0</v>
      </c>
      <c r="BG2" s="17">
        <v>0</v>
      </c>
      <c r="BH2" s="17">
        <v>0</v>
      </c>
      <c r="BI2" s="17">
        <v>0</v>
      </c>
      <c r="BJ2" s="17">
        <v>0</v>
      </c>
      <c r="BK2" s="17">
        <v>0.34965034965034963</v>
      </c>
      <c r="BL2" s="17">
        <v>0</v>
      </c>
      <c r="BM2" s="17">
        <v>0</v>
      </c>
      <c r="BN2" s="17">
        <v>0.34965034965034963</v>
      </c>
      <c r="BO2" s="17">
        <v>0</v>
      </c>
      <c r="BP2" s="17">
        <v>0</v>
      </c>
      <c r="BQ2" s="17">
        <v>0</v>
      </c>
      <c r="BR2" s="17">
        <v>0.69930069930069927</v>
      </c>
      <c r="BS2" s="17">
        <v>0.34965034965034963</v>
      </c>
      <c r="BT2" s="17">
        <v>0</v>
      </c>
      <c r="BU2" s="17">
        <v>0</v>
      </c>
      <c r="BV2" s="17">
        <v>47.9020979020979</v>
      </c>
      <c r="BW2" s="17">
        <v>1.048951048951049</v>
      </c>
      <c r="BX2" s="17">
        <v>0</v>
      </c>
      <c r="BY2" s="17">
        <v>1.3986013986013985</v>
      </c>
      <c r="BZ2" s="17">
        <v>0.69930069930069927</v>
      </c>
      <c r="CA2" s="17">
        <v>0</v>
      </c>
      <c r="CB2" s="17">
        <v>0</v>
      </c>
      <c r="CC2" s="17">
        <v>0.34965034965034963</v>
      </c>
      <c r="CD2" s="17">
        <v>0</v>
      </c>
      <c r="CE2" s="17">
        <v>1.7482517482517483</v>
      </c>
      <c r="CF2" s="17">
        <v>0</v>
      </c>
      <c r="CG2" s="17">
        <v>0</v>
      </c>
      <c r="CH2" s="17">
        <v>0</v>
      </c>
      <c r="CI2" s="17">
        <v>3.8461538461538463</v>
      </c>
      <c r="CJ2" s="17">
        <v>0</v>
      </c>
      <c r="CK2" s="17">
        <v>0</v>
      </c>
      <c r="CL2" s="17">
        <v>0.34965034965034963</v>
      </c>
      <c r="CM2" s="17">
        <v>1.048951048951049</v>
      </c>
      <c r="CN2" s="17">
        <v>18.181818181818183</v>
      </c>
      <c r="CO2" s="17">
        <v>0</v>
      </c>
      <c r="CP2" s="17">
        <v>0</v>
      </c>
      <c r="CQ2" s="17">
        <v>0</v>
      </c>
      <c r="CR2" s="17">
        <v>0</v>
      </c>
      <c r="CS2" s="17">
        <v>0</v>
      </c>
      <c r="CT2" s="17">
        <v>0</v>
      </c>
      <c r="CU2" s="17">
        <v>0</v>
      </c>
      <c r="CV2" s="17">
        <v>0</v>
      </c>
      <c r="CW2" s="17">
        <v>0</v>
      </c>
      <c r="CX2" s="17">
        <v>0.69930069930069927</v>
      </c>
      <c r="CY2" s="17">
        <v>1.3986013986013985</v>
      </c>
      <c r="CZ2" s="17">
        <v>0</v>
      </c>
      <c r="DA2" s="17">
        <v>0.34965034965034963</v>
      </c>
      <c r="DB2" s="17">
        <v>0.34965034965034963</v>
      </c>
      <c r="DC2" s="17">
        <v>0</v>
      </c>
      <c r="DD2" s="17">
        <v>0</v>
      </c>
      <c r="DE2" s="17">
        <v>0</v>
      </c>
      <c r="DF2" s="17">
        <v>0</v>
      </c>
      <c r="DG2" s="17">
        <v>0</v>
      </c>
      <c r="DH2" s="17">
        <v>0.34965034965034963</v>
      </c>
      <c r="DI2" s="17">
        <v>0.34965034965034963</v>
      </c>
      <c r="DJ2" s="17">
        <v>1.048951048951049</v>
      </c>
      <c r="DK2" s="17">
        <v>0.69930069930069927</v>
      </c>
      <c r="DL2" s="17">
        <v>0.34965034965034963</v>
      </c>
      <c r="DM2" s="17">
        <v>0</v>
      </c>
      <c r="DN2" s="17">
        <v>0.34965034965034963</v>
      </c>
      <c r="DO2" s="17">
        <v>0</v>
      </c>
      <c r="DP2" s="17">
        <v>0</v>
      </c>
      <c r="DQ2" s="17">
        <v>11.538461538461538</v>
      </c>
    </row>
    <row r="3" spans="1:121">
      <c r="A3" s="2">
        <v>341</v>
      </c>
      <c r="B3" s="1" t="s">
        <v>14</v>
      </c>
      <c r="C3" s="1" t="s">
        <v>15</v>
      </c>
      <c r="D3" s="1">
        <v>1</v>
      </c>
      <c r="E3" s="1" t="s">
        <v>16</v>
      </c>
      <c r="F3" s="1">
        <v>2</v>
      </c>
      <c r="G3" s="1" t="s">
        <v>17</v>
      </c>
      <c r="H3" s="1">
        <v>102</v>
      </c>
      <c r="I3" s="1">
        <v>104</v>
      </c>
      <c r="J3" s="5">
        <v>2.52</v>
      </c>
      <c r="K3" s="5">
        <v>1.02</v>
      </c>
      <c r="L3" s="11">
        <v>2.52</v>
      </c>
      <c r="M3" s="11">
        <v>2.54</v>
      </c>
      <c r="N3" s="11">
        <v>2.5300000000000002</v>
      </c>
      <c r="O3" s="2" t="s">
        <v>20</v>
      </c>
      <c r="P3" s="10">
        <v>4525</v>
      </c>
      <c r="Q3" s="6">
        <v>4.5250000000000004</v>
      </c>
      <c r="R3" s="10">
        <v>55.9444444444444</v>
      </c>
      <c r="S3" s="5">
        <f t="shared" ref="S3:S34" si="4">P3-P2</f>
        <v>4506</v>
      </c>
      <c r="T3" s="5">
        <f t="shared" si="0"/>
        <v>2</v>
      </c>
      <c r="U3" s="1"/>
      <c r="V3" s="5">
        <v>0.2979</v>
      </c>
      <c r="W3" s="5">
        <f>(113-91.7)+(113-97.9)+(110-92.1)+(102.2-95)</f>
        <v>61.5</v>
      </c>
      <c r="X3" s="1">
        <v>0.22</v>
      </c>
      <c r="Y3" s="1">
        <f t="shared" si="1"/>
        <v>13.53</v>
      </c>
      <c r="Z3" s="3">
        <v>8171.2824919870518</v>
      </c>
      <c r="AA3" s="3">
        <v>306</v>
      </c>
      <c r="AB3" s="10">
        <f t="shared" si="2"/>
        <v>620359.37756660208</v>
      </c>
      <c r="AC3" s="12">
        <v>0.84599999999999997</v>
      </c>
      <c r="AD3" s="10">
        <f t="shared" si="3"/>
        <v>29360988.980849683</v>
      </c>
      <c r="AI3" s="17">
        <f t="shared" ref="AI3:AI57" si="5">BI3+BK3+BL3+BO3+CS3</f>
        <v>0.31847133757961787</v>
      </c>
      <c r="AJ3" s="17"/>
      <c r="AL3" s="17">
        <v>2.547770700636943</v>
      </c>
      <c r="AM3" s="17">
        <v>2.547770700636943</v>
      </c>
      <c r="AN3" s="17">
        <v>3.8216560509554141</v>
      </c>
      <c r="AO3" s="17">
        <v>0</v>
      </c>
      <c r="AP3" s="17">
        <v>0</v>
      </c>
      <c r="AQ3" s="17">
        <v>0</v>
      </c>
      <c r="AR3" s="17">
        <v>0.63694267515923575</v>
      </c>
      <c r="AS3" s="17">
        <v>0.95541401273885351</v>
      </c>
      <c r="AT3" s="17">
        <v>0</v>
      </c>
      <c r="AU3" s="17">
        <v>0</v>
      </c>
      <c r="AV3" s="17">
        <v>0.31847133757961787</v>
      </c>
      <c r="AW3" s="17">
        <v>0</v>
      </c>
      <c r="AX3" s="17">
        <v>0.95541401273885351</v>
      </c>
      <c r="AY3" s="17">
        <v>0</v>
      </c>
      <c r="AZ3" s="17">
        <v>0</v>
      </c>
      <c r="BA3" s="17">
        <v>0.31847133757961787</v>
      </c>
      <c r="BB3" s="17">
        <v>0</v>
      </c>
      <c r="BC3" s="17">
        <v>2.2292993630573248</v>
      </c>
      <c r="BD3" s="17">
        <v>0.31847133757961787</v>
      </c>
      <c r="BE3" s="17">
        <v>3.8216560509554141</v>
      </c>
      <c r="BF3" s="17">
        <v>0</v>
      </c>
      <c r="BG3" s="17">
        <v>0</v>
      </c>
      <c r="BH3" s="17">
        <v>0</v>
      </c>
      <c r="BI3" s="17">
        <v>0</v>
      </c>
      <c r="BJ3" s="17">
        <v>0</v>
      </c>
      <c r="BK3" s="17">
        <v>0</v>
      </c>
      <c r="BL3" s="17">
        <v>0</v>
      </c>
      <c r="BM3" s="17">
        <v>0</v>
      </c>
      <c r="BN3" s="17">
        <v>0.95541401273885351</v>
      </c>
      <c r="BO3" s="17">
        <v>0</v>
      </c>
      <c r="BP3" s="17">
        <v>0</v>
      </c>
      <c r="BQ3" s="17">
        <v>0</v>
      </c>
      <c r="BR3" s="17">
        <v>0.31847133757961787</v>
      </c>
      <c r="BS3" s="17">
        <v>0</v>
      </c>
      <c r="BT3" s="17">
        <v>0</v>
      </c>
      <c r="BU3" s="17">
        <v>0</v>
      </c>
      <c r="BV3" s="17">
        <v>41.082802547770704</v>
      </c>
      <c r="BW3" s="17">
        <v>1.2738853503184715</v>
      </c>
      <c r="BX3" s="17">
        <v>0</v>
      </c>
      <c r="BY3" s="17">
        <v>3.1847133757961785</v>
      </c>
      <c r="BZ3" s="17">
        <v>0.31847133757961787</v>
      </c>
      <c r="CA3" s="17">
        <v>0</v>
      </c>
      <c r="CB3" s="17">
        <v>0.63694267515923575</v>
      </c>
      <c r="CC3" s="17">
        <v>0</v>
      </c>
      <c r="CD3" s="17">
        <v>0.31847133757961787</v>
      </c>
      <c r="CE3" s="17">
        <v>1.910828025477707</v>
      </c>
      <c r="CF3" s="17">
        <v>0</v>
      </c>
      <c r="CG3" s="17">
        <v>0</v>
      </c>
      <c r="CH3" s="17">
        <v>0</v>
      </c>
      <c r="CI3" s="17">
        <v>3.5031847133757963</v>
      </c>
      <c r="CJ3" s="17">
        <v>2.547770700636943</v>
      </c>
      <c r="CK3" s="17">
        <v>0</v>
      </c>
      <c r="CL3" s="17">
        <v>0</v>
      </c>
      <c r="CM3" s="17">
        <v>1.2738853503184715</v>
      </c>
      <c r="CN3" s="17">
        <v>18.152866242038215</v>
      </c>
      <c r="CO3" s="17">
        <v>0.31847133757961787</v>
      </c>
      <c r="CP3" s="17">
        <v>0.63694267515923575</v>
      </c>
      <c r="CQ3" s="17">
        <v>0</v>
      </c>
      <c r="CR3" s="17">
        <v>0</v>
      </c>
      <c r="CS3" s="17">
        <v>0.31847133757961787</v>
      </c>
      <c r="CT3" s="17">
        <v>0</v>
      </c>
      <c r="CU3" s="17">
        <v>0</v>
      </c>
      <c r="CV3" s="17">
        <v>0</v>
      </c>
      <c r="CW3" s="17">
        <v>0</v>
      </c>
      <c r="CX3" s="17">
        <v>0</v>
      </c>
      <c r="CY3" s="17">
        <v>1.2738853503184715</v>
      </c>
      <c r="CZ3" s="17">
        <v>0</v>
      </c>
      <c r="DA3" s="17">
        <v>0</v>
      </c>
      <c r="DB3" s="17">
        <v>0</v>
      </c>
      <c r="DC3" s="17">
        <v>0</v>
      </c>
      <c r="DD3" s="17">
        <v>0</v>
      </c>
      <c r="DE3" s="17">
        <v>0</v>
      </c>
      <c r="DF3" s="17">
        <v>0</v>
      </c>
      <c r="DG3" s="17">
        <v>0.95541401273885351</v>
      </c>
      <c r="DH3" s="17">
        <v>0.63694267515923575</v>
      </c>
      <c r="DI3" s="17">
        <v>1.2738853503184715</v>
      </c>
      <c r="DJ3" s="17">
        <v>0</v>
      </c>
      <c r="DK3" s="17">
        <v>0</v>
      </c>
      <c r="DL3" s="17">
        <v>0</v>
      </c>
      <c r="DM3" s="17">
        <v>0.31847133757961787</v>
      </c>
      <c r="DN3" s="17">
        <v>0.31847133757961787</v>
      </c>
      <c r="DO3" s="17">
        <v>0</v>
      </c>
      <c r="DP3" s="17">
        <v>0</v>
      </c>
      <c r="DQ3" s="17">
        <v>10.509554140127388</v>
      </c>
    </row>
    <row r="4" spans="1:121">
      <c r="A4" s="2">
        <v>341</v>
      </c>
      <c r="B4" s="1" t="s">
        <v>14</v>
      </c>
      <c r="C4" s="1" t="s">
        <v>15</v>
      </c>
      <c r="D4" s="1">
        <v>1</v>
      </c>
      <c r="E4" s="1" t="s">
        <v>16</v>
      </c>
      <c r="F4" s="1">
        <v>3</v>
      </c>
      <c r="G4" s="1" t="s">
        <v>17</v>
      </c>
      <c r="H4" s="1">
        <v>100</v>
      </c>
      <c r="I4" s="1">
        <v>102</v>
      </c>
      <c r="J4" s="5">
        <v>4</v>
      </c>
      <c r="K4" s="5">
        <v>2.02</v>
      </c>
      <c r="L4" s="11">
        <v>4</v>
      </c>
      <c r="M4" s="11">
        <v>4.0199999999999996</v>
      </c>
      <c r="N4" s="11">
        <v>4.01</v>
      </c>
      <c r="O4" s="2" t="s">
        <v>21</v>
      </c>
      <c r="P4" s="10">
        <v>7730</v>
      </c>
      <c r="Q4" s="6">
        <v>7.73</v>
      </c>
      <c r="R4" s="10">
        <v>42.1666666666667</v>
      </c>
      <c r="S4" s="5">
        <f t="shared" si="4"/>
        <v>3205</v>
      </c>
      <c r="T4" s="5">
        <f t="shared" si="0"/>
        <v>2</v>
      </c>
      <c r="U4" s="1">
        <v>2</v>
      </c>
      <c r="V4" s="5">
        <v>0.29920000000000002</v>
      </c>
      <c r="W4" s="5">
        <f>(102.9-92)+(111.5-100)+(112.8-100)</f>
        <v>35.200000000000003</v>
      </c>
      <c r="X4" s="1">
        <v>0.22</v>
      </c>
      <c r="Y4" s="1">
        <f t="shared" si="1"/>
        <v>7.7440000000000007</v>
      </c>
      <c r="Z4" s="3">
        <v>8171.2824919870518</v>
      </c>
      <c r="AA4" s="3">
        <v>323</v>
      </c>
      <c r="AB4" s="10">
        <f t="shared" si="2"/>
        <v>1139110.3915329902</v>
      </c>
      <c r="AC4" s="12">
        <v>1.038</v>
      </c>
      <c r="AD4" s="10">
        <f t="shared" si="3"/>
        <v>49857722.727007486</v>
      </c>
      <c r="AI4" s="17">
        <f t="shared" si="5"/>
        <v>0.64102564102564097</v>
      </c>
      <c r="AJ4" s="17"/>
      <c r="AL4" s="17">
        <v>8.9743589743589745</v>
      </c>
      <c r="AM4" s="17">
        <v>2.2435897435897436</v>
      </c>
      <c r="AN4" s="17">
        <v>6.4102564102564097</v>
      </c>
      <c r="AO4" s="17">
        <v>0</v>
      </c>
      <c r="AP4" s="17">
        <v>0</v>
      </c>
      <c r="AQ4" s="17">
        <v>0</v>
      </c>
      <c r="AR4" s="17">
        <v>4.8076923076923084</v>
      </c>
      <c r="AS4" s="17">
        <v>0.64102564102564097</v>
      </c>
      <c r="AT4" s="17">
        <v>0</v>
      </c>
      <c r="AU4" s="17">
        <v>0</v>
      </c>
      <c r="AV4" s="17">
        <v>0</v>
      </c>
      <c r="AW4" s="17">
        <v>0.32051282051282048</v>
      </c>
      <c r="AX4" s="17">
        <v>0.32051282051282048</v>
      </c>
      <c r="AY4" s="17">
        <v>0</v>
      </c>
      <c r="AZ4" s="17">
        <v>0</v>
      </c>
      <c r="BA4" s="17">
        <v>0</v>
      </c>
      <c r="BB4" s="17">
        <v>0</v>
      </c>
      <c r="BC4" s="17">
        <v>0.32051282051282048</v>
      </c>
      <c r="BD4" s="17">
        <v>0</v>
      </c>
      <c r="BE4" s="17">
        <v>0.32051282051282048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0.64102564102564097</v>
      </c>
      <c r="BM4" s="17">
        <v>0</v>
      </c>
      <c r="BN4" s="17">
        <v>0</v>
      </c>
      <c r="BO4" s="17">
        <v>0</v>
      </c>
      <c r="BP4" s="17">
        <v>0</v>
      </c>
      <c r="BQ4" s="17">
        <v>0</v>
      </c>
      <c r="BR4" s="17">
        <v>0.32051282051282048</v>
      </c>
      <c r="BS4" s="17">
        <v>0</v>
      </c>
      <c r="BT4" s="17">
        <v>0.96153846153846156</v>
      </c>
      <c r="BU4" s="17">
        <v>0</v>
      </c>
      <c r="BV4" s="17">
        <v>44.551282051282051</v>
      </c>
      <c r="BW4" s="17">
        <v>0.96153846153846156</v>
      </c>
      <c r="BX4" s="17">
        <v>0</v>
      </c>
      <c r="BY4" s="17">
        <v>1.2820512820512819</v>
      </c>
      <c r="BZ4" s="17">
        <v>0</v>
      </c>
      <c r="CA4" s="17">
        <v>0</v>
      </c>
      <c r="CB4" s="17">
        <v>0</v>
      </c>
      <c r="CC4" s="17">
        <v>0</v>
      </c>
      <c r="CD4" s="17">
        <v>0</v>
      </c>
      <c r="CE4" s="17">
        <v>0.64102564102564097</v>
      </c>
      <c r="CF4" s="17">
        <v>0</v>
      </c>
      <c r="CG4" s="17">
        <v>0</v>
      </c>
      <c r="CH4" s="17">
        <v>0.96153846153846156</v>
      </c>
      <c r="CI4" s="17">
        <v>3.2051282051282048</v>
      </c>
      <c r="CJ4" s="17">
        <v>1.6025641025641024</v>
      </c>
      <c r="CK4" s="17">
        <v>0</v>
      </c>
      <c r="CL4" s="17">
        <v>0.32051282051282048</v>
      </c>
      <c r="CM4" s="17">
        <v>0</v>
      </c>
      <c r="CN4" s="17">
        <v>12.179487179487179</v>
      </c>
      <c r="CO4" s="17">
        <v>0</v>
      </c>
      <c r="CP4" s="17">
        <v>1.2820512820512819</v>
      </c>
      <c r="CQ4" s="17">
        <v>0</v>
      </c>
      <c r="CR4" s="17">
        <v>0</v>
      </c>
      <c r="CS4" s="17">
        <v>0</v>
      </c>
      <c r="CT4" s="17">
        <v>0.32051282051282048</v>
      </c>
      <c r="CU4" s="17">
        <v>0</v>
      </c>
      <c r="CV4" s="17">
        <v>0.64102564102564097</v>
      </c>
      <c r="CW4" s="17">
        <v>0</v>
      </c>
      <c r="CX4" s="17">
        <v>0.32051282051282048</v>
      </c>
      <c r="CY4" s="17">
        <v>2.2435897435897436</v>
      </c>
      <c r="CZ4" s="17">
        <v>0</v>
      </c>
      <c r="DA4" s="17">
        <v>0</v>
      </c>
      <c r="DB4" s="17">
        <v>0</v>
      </c>
      <c r="DC4" s="17">
        <v>0</v>
      </c>
      <c r="DD4" s="17">
        <v>0.32051282051282048</v>
      </c>
      <c r="DE4" s="17">
        <v>0</v>
      </c>
      <c r="DF4" s="17">
        <v>0</v>
      </c>
      <c r="DG4" s="17">
        <v>0</v>
      </c>
      <c r="DH4" s="17">
        <v>1.6025641025641024</v>
      </c>
      <c r="DI4" s="17">
        <v>0.64102564102564097</v>
      </c>
      <c r="DJ4" s="17">
        <v>0.32051282051282048</v>
      </c>
      <c r="DK4" s="17">
        <v>0</v>
      </c>
      <c r="DL4" s="17">
        <v>0.32051282051282048</v>
      </c>
      <c r="DM4" s="17">
        <v>0</v>
      </c>
      <c r="DN4" s="17">
        <v>0</v>
      </c>
      <c r="DO4" s="17">
        <v>0</v>
      </c>
      <c r="DP4" s="17">
        <v>0</v>
      </c>
      <c r="DQ4" s="17">
        <v>23.07692307692308</v>
      </c>
    </row>
    <row r="5" spans="1:121">
      <c r="A5" s="2">
        <v>341</v>
      </c>
      <c r="B5" s="1" t="s">
        <v>14</v>
      </c>
      <c r="C5" s="1" t="s">
        <v>15</v>
      </c>
      <c r="D5" s="1">
        <v>1</v>
      </c>
      <c r="E5" s="1" t="s">
        <v>16</v>
      </c>
      <c r="F5" s="1">
        <v>4</v>
      </c>
      <c r="G5" s="1" t="s">
        <v>17</v>
      </c>
      <c r="H5" s="1">
        <v>102</v>
      </c>
      <c r="I5" s="1">
        <v>104</v>
      </c>
      <c r="J5" s="5">
        <v>5.52</v>
      </c>
      <c r="K5" s="5">
        <v>3.02</v>
      </c>
      <c r="L5" s="11">
        <v>5.52</v>
      </c>
      <c r="M5" s="11">
        <v>5.54</v>
      </c>
      <c r="N5" s="11">
        <v>5.5299999999999994</v>
      </c>
      <c r="O5" s="2" t="s">
        <v>22</v>
      </c>
      <c r="P5" s="10">
        <v>11310</v>
      </c>
      <c r="Q5" s="6">
        <v>11.31</v>
      </c>
      <c r="R5" s="10">
        <v>42.2083333333334</v>
      </c>
      <c r="S5" s="5">
        <f t="shared" si="4"/>
        <v>3580</v>
      </c>
      <c r="T5" s="5">
        <f t="shared" si="0"/>
        <v>2</v>
      </c>
      <c r="U5" s="1"/>
      <c r="V5" s="5">
        <v>0.29954999999999998</v>
      </c>
      <c r="W5" s="5">
        <f>(102.5-92.6)+(108.9-100)+(111.8-105)</f>
        <v>25.600000000000009</v>
      </c>
      <c r="X5" s="1">
        <v>0.22</v>
      </c>
      <c r="Y5" s="1">
        <f t="shared" si="1"/>
        <v>5.6320000000000023</v>
      </c>
      <c r="Z5" s="3">
        <v>8171.2824919870518</v>
      </c>
      <c r="AA5" s="3">
        <v>314.5</v>
      </c>
      <c r="AB5" s="10">
        <f t="shared" si="2"/>
        <v>1523277.0698009175</v>
      </c>
      <c r="AC5" s="12">
        <v>1.038</v>
      </c>
      <c r="AD5" s="10">
        <f t="shared" si="3"/>
        <v>66738195.801385358</v>
      </c>
      <c r="AI5" s="17">
        <f t="shared" si="5"/>
        <v>2.547770700636943</v>
      </c>
      <c r="AJ5" s="17"/>
      <c r="AL5" s="17">
        <v>18.789808917197455</v>
      </c>
      <c r="AM5" s="17">
        <v>5.095541401273886</v>
      </c>
      <c r="AN5" s="17">
        <v>4.4585987261146496</v>
      </c>
      <c r="AO5" s="17">
        <v>0.95541401273885351</v>
      </c>
      <c r="AP5" s="17">
        <v>0</v>
      </c>
      <c r="AQ5" s="17">
        <v>0</v>
      </c>
      <c r="AR5" s="17">
        <v>3.8216560509554141</v>
      </c>
      <c r="AS5" s="17">
        <v>4.4585987261146496</v>
      </c>
      <c r="AT5" s="17">
        <v>1.5923566878980893</v>
      </c>
      <c r="AU5" s="17">
        <v>0</v>
      </c>
      <c r="AV5" s="17">
        <v>0.63694267515923575</v>
      </c>
      <c r="AW5" s="17">
        <v>0.63694267515923575</v>
      </c>
      <c r="AX5" s="17">
        <v>0.31847133757961787</v>
      </c>
      <c r="AY5" s="17">
        <v>0</v>
      </c>
      <c r="AZ5" s="17">
        <v>2.2292993630573248</v>
      </c>
      <c r="BA5" s="17">
        <v>0.63694267515923575</v>
      </c>
      <c r="BB5" s="17">
        <v>0</v>
      </c>
      <c r="BC5" s="17">
        <v>0</v>
      </c>
      <c r="BD5" s="17">
        <v>0.31847133757961787</v>
      </c>
      <c r="BE5" s="17">
        <v>0.63694267515923575</v>
      </c>
      <c r="BF5" s="17">
        <v>0</v>
      </c>
      <c r="BG5" s="17">
        <v>0</v>
      </c>
      <c r="BH5" s="17">
        <v>0</v>
      </c>
      <c r="BI5" s="17">
        <v>0.31847133757961787</v>
      </c>
      <c r="BJ5" s="17">
        <v>0</v>
      </c>
      <c r="BK5" s="17">
        <v>0</v>
      </c>
      <c r="BL5" s="17">
        <v>1.5923566878980893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0.31847133757961787</v>
      </c>
      <c r="BS5" s="17">
        <v>0.63694267515923575</v>
      </c>
      <c r="BT5" s="17">
        <v>0</v>
      </c>
      <c r="BU5" s="17">
        <v>2.547770700636943</v>
      </c>
      <c r="BV5" s="17">
        <v>10.509554140127388</v>
      </c>
      <c r="BW5" s="17">
        <v>0.63694267515923575</v>
      </c>
      <c r="BX5" s="17">
        <v>0.31847133757961787</v>
      </c>
      <c r="BY5" s="17">
        <v>0.63694267515923575</v>
      </c>
      <c r="BZ5" s="17">
        <v>0</v>
      </c>
      <c r="CA5" s="17">
        <v>0.63694267515923575</v>
      </c>
      <c r="CB5" s="17">
        <v>0</v>
      </c>
      <c r="CC5" s="17">
        <v>0</v>
      </c>
      <c r="CD5" s="17">
        <v>0.31847133757961787</v>
      </c>
      <c r="CE5" s="17">
        <v>0.63694267515923575</v>
      </c>
      <c r="CF5" s="17">
        <v>0</v>
      </c>
      <c r="CG5" s="17">
        <v>0</v>
      </c>
      <c r="CH5" s="17">
        <v>0</v>
      </c>
      <c r="CI5" s="17">
        <v>3.1847133757961785</v>
      </c>
      <c r="CJ5" s="17">
        <v>1.2738853503184715</v>
      </c>
      <c r="CK5" s="17">
        <v>0</v>
      </c>
      <c r="CL5" s="17">
        <v>3.8216560509554141</v>
      </c>
      <c r="CM5" s="17">
        <v>0</v>
      </c>
      <c r="CN5" s="17">
        <v>11.783439490445859</v>
      </c>
      <c r="CO5" s="17">
        <v>0</v>
      </c>
      <c r="CP5" s="17">
        <v>0.63694267515923575</v>
      </c>
      <c r="CQ5" s="17">
        <v>0</v>
      </c>
      <c r="CR5" s="17">
        <v>0.63694267515923575</v>
      </c>
      <c r="CS5" s="17">
        <v>0.63694267515923575</v>
      </c>
      <c r="CT5" s="17">
        <v>0.31847133757961787</v>
      </c>
      <c r="CU5" s="17">
        <v>0.63694267515923575</v>
      </c>
      <c r="CV5" s="17">
        <v>0</v>
      </c>
      <c r="CW5" s="17">
        <v>0</v>
      </c>
      <c r="CX5" s="17">
        <v>1.2738853503184715</v>
      </c>
      <c r="CY5" s="17">
        <v>3.8216560509554141</v>
      </c>
      <c r="CZ5" s="17">
        <v>0.63694267515923575</v>
      </c>
      <c r="DA5" s="17">
        <v>0</v>
      </c>
      <c r="DB5" s="17">
        <v>0.31847133757961787</v>
      </c>
      <c r="DC5" s="17">
        <v>0.31847133757961787</v>
      </c>
      <c r="DD5" s="17">
        <v>0</v>
      </c>
      <c r="DE5" s="17">
        <v>0</v>
      </c>
      <c r="DF5" s="17">
        <v>0</v>
      </c>
      <c r="DG5" s="17">
        <v>0</v>
      </c>
      <c r="DH5" s="17">
        <v>0.31847133757961787</v>
      </c>
      <c r="DI5" s="17">
        <v>5.095541401273886</v>
      </c>
      <c r="DJ5" s="17">
        <v>0.63694267515923575</v>
      </c>
      <c r="DK5" s="17">
        <v>0</v>
      </c>
      <c r="DL5" s="17">
        <v>0.63694267515923575</v>
      </c>
      <c r="DM5" s="17">
        <v>0</v>
      </c>
      <c r="DN5" s="17">
        <v>0.31847133757961787</v>
      </c>
      <c r="DO5" s="17">
        <v>0</v>
      </c>
      <c r="DP5" s="17">
        <v>0</v>
      </c>
      <c r="DQ5" s="17">
        <v>37.579617834394909</v>
      </c>
    </row>
    <row r="6" spans="1:121">
      <c r="A6" s="2">
        <v>341</v>
      </c>
      <c r="B6" s="5" t="s">
        <v>14</v>
      </c>
      <c r="C6" s="5" t="s">
        <v>15</v>
      </c>
      <c r="D6" s="5">
        <v>1</v>
      </c>
      <c r="E6" s="5" t="s">
        <v>16</v>
      </c>
      <c r="F6" s="5">
        <v>5</v>
      </c>
      <c r="G6" s="1" t="s">
        <v>17</v>
      </c>
      <c r="H6" s="5">
        <v>52</v>
      </c>
      <c r="I6" s="5">
        <v>54</v>
      </c>
      <c r="J6" s="5">
        <v>6.52</v>
      </c>
      <c r="K6" s="5">
        <v>4.0199999999999996</v>
      </c>
      <c r="L6" s="11">
        <v>6.52</v>
      </c>
      <c r="M6" s="11">
        <v>6.54</v>
      </c>
      <c r="N6" s="11">
        <v>6.5299999999999994</v>
      </c>
      <c r="O6" s="2" t="s">
        <v>23</v>
      </c>
      <c r="P6" s="10">
        <v>14101</v>
      </c>
      <c r="Q6" s="6">
        <v>14.101000000000001</v>
      </c>
      <c r="R6" s="10">
        <v>21.961352657004802</v>
      </c>
      <c r="S6" s="5">
        <f t="shared" si="4"/>
        <v>2791</v>
      </c>
      <c r="T6" s="5">
        <f t="shared" si="0"/>
        <v>2</v>
      </c>
      <c r="U6" s="5">
        <v>2</v>
      </c>
      <c r="V6" s="5">
        <v>0.30280000000000001</v>
      </c>
      <c r="W6" s="5">
        <f>(114.1-93)+(115-92.3)+(111.7-93)</f>
        <v>62.5</v>
      </c>
      <c r="X6" s="5">
        <v>0.22</v>
      </c>
      <c r="Y6" s="5">
        <f t="shared" si="1"/>
        <v>13.75</v>
      </c>
      <c r="Z6" s="10">
        <v>8171.2824919870518</v>
      </c>
      <c r="AA6" s="10">
        <v>319</v>
      </c>
      <c r="AB6" s="10">
        <f t="shared" si="2"/>
        <v>626069.20017866441</v>
      </c>
      <c r="AC6" s="12">
        <v>1.3480000000000001</v>
      </c>
      <c r="AD6" s="10">
        <f t="shared" si="3"/>
        <v>18534092.112311363</v>
      </c>
      <c r="AI6" s="17">
        <f t="shared" si="5"/>
        <v>12.012987012987013</v>
      </c>
      <c r="AJ6" s="17"/>
      <c r="AL6" s="17">
        <v>8.4415584415584419</v>
      </c>
      <c r="AM6" s="17">
        <v>8.1168831168831161</v>
      </c>
      <c r="AN6" s="17">
        <v>6.4935064935064926</v>
      </c>
      <c r="AO6" s="17">
        <v>4.220779220779221</v>
      </c>
      <c r="AP6" s="17">
        <v>0.32467532467532467</v>
      </c>
      <c r="AQ6" s="17">
        <v>0</v>
      </c>
      <c r="AR6" s="17">
        <v>8.1168831168831161</v>
      </c>
      <c r="AS6" s="17">
        <v>2.5974025974025974</v>
      </c>
      <c r="AT6" s="17">
        <v>2.2727272727272729</v>
      </c>
      <c r="AU6" s="17">
        <v>0</v>
      </c>
      <c r="AV6" s="17">
        <v>5.8441558441558437</v>
      </c>
      <c r="AW6" s="17">
        <v>0</v>
      </c>
      <c r="AX6" s="17">
        <v>0</v>
      </c>
      <c r="AY6" s="17">
        <v>0</v>
      </c>
      <c r="AZ6" s="17">
        <v>1.6233766233766231</v>
      </c>
      <c r="BA6" s="17">
        <v>0</v>
      </c>
      <c r="BB6" s="17">
        <v>0</v>
      </c>
      <c r="BC6" s="17">
        <v>0</v>
      </c>
      <c r="BD6" s="17">
        <v>0</v>
      </c>
      <c r="BE6" s="17">
        <v>0.64935064935064934</v>
      </c>
      <c r="BF6" s="17">
        <v>0.97402597402597402</v>
      </c>
      <c r="BG6" s="17">
        <v>0</v>
      </c>
      <c r="BH6" s="17">
        <v>2.2727272727272729</v>
      </c>
      <c r="BI6" s="17">
        <v>0</v>
      </c>
      <c r="BJ6" s="17">
        <v>0.32467532467532467</v>
      </c>
      <c r="BK6" s="17">
        <v>0.64935064935064934</v>
      </c>
      <c r="BL6" s="17">
        <v>0.97402597402597402</v>
      </c>
      <c r="BM6" s="17">
        <v>0.32467532467532467</v>
      </c>
      <c r="BN6" s="17">
        <v>0</v>
      </c>
      <c r="BO6" s="17">
        <v>0</v>
      </c>
      <c r="BP6" s="17">
        <v>0</v>
      </c>
      <c r="BQ6" s="17">
        <v>0</v>
      </c>
      <c r="BR6" s="17">
        <v>0.32467532467532467</v>
      </c>
      <c r="BS6" s="17">
        <v>0</v>
      </c>
      <c r="BT6" s="17">
        <v>0</v>
      </c>
      <c r="BU6" s="17">
        <v>0.64935064935064934</v>
      </c>
      <c r="BV6" s="17">
        <v>3.5714285714285712</v>
      </c>
      <c r="BW6" s="17">
        <v>0</v>
      </c>
      <c r="BX6" s="17">
        <v>0.64935064935064934</v>
      </c>
      <c r="BY6" s="17">
        <v>0.32467532467532467</v>
      </c>
      <c r="BZ6" s="17">
        <v>0</v>
      </c>
      <c r="CA6" s="17">
        <v>0</v>
      </c>
      <c r="CB6" s="17">
        <v>0</v>
      </c>
      <c r="CC6" s="17">
        <v>0</v>
      </c>
      <c r="CD6" s="17">
        <v>0</v>
      </c>
      <c r="CE6" s="17">
        <v>1.2987012987012987</v>
      </c>
      <c r="CF6" s="17">
        <v>0.32467532467532467</v>
      </c>
      <c r="CG6" s="17">
        <v>0.32467532467532467</v>
      </c>
      <c r="CH6" s="17">
        <v>0</v>
      </c>
      <c r="CI6" s="17">
        <v>0.97402597402597402</v>
      </c>
      <c r="CJ6" s="17">
        <v>5.5194805194805197</v>
      </c>
      <c r="CK6" s="17">
        <v>0</v>
      </c>
      <c r="CL6" s="17">
        <v>1.2987012987012987</v>
      </c>
      <c r="CM6" s="17">
        <v>0</v>
      </c>
      <c r="CN6" s="17">
        <v>4.8701298701298708</v>
      </c>
      <c r="CO6" s="17">
        <v>0</v>
      </c>
      <c r="CP6" s="17">
        <v>0.97402597402597402</v>
      </c>
      <c r="CQ6" s="17">
        <v>0</v>
      </c>
      <c r="CR6" s="17">
        <v>0</v>
      </c>
      <c r="CS6" s="17">
        <v>10.38961038961039</v>
      </c>
      <c r="CT6" s="17">
        <v>0</v>
      </c>
      <c r="CU6" s="17">
        <v>0</v>
      </c>
      <c r="CV6" s="17">
        <v>0</v>
      </c>
      <c r="CW6" s="17">
        <v>0.32467532467532467</v>
      </c>
      <c r="CX6" s="17">
        <v>0</v>
      </c>
      <c r="CY6" s="17">
        <v>0.32467532467532467</v>
      </c>
      <c r="CZ6" s="17">
        <v>4.5454545454545459</v>
      </c>
      <c r="DA6" s="17">
        <v>0</v>
      </c>
      <c r="DB6" s="17">
        <v>0</v>
      </c>
      <c r="DC6" s="17">
        <v>0</v>
      </c>
      <c r="DD6" s="17">
        <v>1.6233766233766231</v>
      </c>
      <c r="DE6" s="17">
        <v>1.6233766233766231</v>
      </c>
      <c r="DF6" s="17">
        <v>0.32467532467532467</v>
      </c>
      <c r="DG6" s="17">
        <v>0.64935064935064934</v>
      </c>
      <c r="DH6" s="17">
        <v>0.97402597402597402</v>
      </c>
      <c r="DI6" s="17">
        <v>0.32467532467532467</v>
      </c>
      <c r="DJ6" s="17">
        <v>1.948051948051948</v>
      </c>
      <c r="DK6" s="17">
        <v>0.32467532467532467</v>
      </c>
      <c r="DL6" s="17">
        <v>0</v>
      </c>
      <c r="DM6" s="17">
        <v>0</v>
      </c>
      <c r="DN6" s="17">
        <v>0.32467532467532467</v>
      </c>
      <c r="DO6" s="17">
        <v>0.97402597402597402</v>
      </c>
      <c r="DP6" s="17">
        <v>0</v>
      </c>
      <c r="DQ6" s="17">
        <v>38.311688311688314</v>
      </c>
    </row>
    <row r="7" spans="1:121">
      <c r="A7" s="2">
        <v>341</v>
      </c>
      <c r="B7" s="1" t="s">
        <v>14</v>
      </c>
      <c r="C7" s="1" t="s">
        <v>15</v>
      </c>
      <c r="D7" s="1">
        <v>1</v>
      </c>
      <c r="E7" s="1" t="s">
        <v>16</v>
      </c>
      <c r="F7" s="1">
        <v>5</v>
      </c>
      <c r="G7" s="1" t="s">
        <v>17</v>
      </c>
      <c r="H7" s="1">
        <v>64</v>
      </c>
      <c r="I7" s="1">
        <v>65</v>
      </c>
      <c r="J7" s="1">
        <v>6.64</v>
      </c>
      <c r="K7" s="5">
        <v>5.0199999999999996</v>
      </c>
      <c r="L7" s="11">
        <v>6.64</v>
      </c>
      <c r="M7" s="11">
        <v>6.65</v>
      </c>
      <c r="N7" s="11">
        <v>6.6449999999999996</v>
      </c>
      <c r="O7" s="1" t="s">
        <v>101</v>
      </c>
      <c r="P7" s="10">
        <v>14649</v>
      </c>
      <c r="Q7" s="6">
        <v>14.648999999999999</v>
      </c>
      <c r="R7" s="10">
        <v>289.63333333333304</v>
      </c>
      <c r="S7" s="5">
        <f t="shared" si="4"/>
        <v>548</v>
      </c>
      <c r="T7" s="5">
        <f t="shared" si="0"/>
        <v>1</v>
      </c>
      <c r="V7" s="5">
        <v>0.46100000000000002</v>
      </c>
      <c r="W7" s="5">
        <f>(105-101.8)+(104.3-100)+(99.9-95)</f>
        <v>12.400000000000006</v>
      </c>
      <c r="X7" s="5">
        <v>0.22</v>
      </c>
      <c r="Y7" s="5">
        <f t="shared" si="1"/>
        <v>2.7280000000000011</v>
      </c>
      <c r="Z7" s="10">
        <v>8171.2824919870518</v>
      </c>
      <c r="AA7" s="10">
        <v>318</v>
      </c>
      <c r="AB7" s="10">
        <f t="shared" si="2"/>
        <v>2066198.5550758909</v>
      </c>
      <c r="AC7" s="12">
        <v>1.3480000000000001</v>
      </c>
      <c r="AD7" s="10">
        <f t="shared" si="3"/>
        <v>806697086.07777762</v>
      </c>
      <c r="AI7" s="17">
        <f t="shared" si="5"/>
        <v>10.691823899371069</v>
      </c>
      <c r="AJ7" s="17"/>
      <c r="AL7" s="17">
        <v>10.062893081761008</v>
      </c>
      <c r="AM7" s="17">
        <v>4.4025157232704402</v>
      </c>
      <c r="AN7" s="17">
        <v>21.383647798742139</v>
      </c>
      <c r="AO7" s="17">
        <v>0.94339622641509435</v>
      </c>
      <c r="AP7" s="17">
        <v>0</v>
      </c>
      <c r="AQ7" s="17">
        <v>0.31446540880503149</v>
      </c>
      <c r="AR7" s="17">
        <v>1.257861635220126</v>
      </c>
      <c r="AS7" s="17">
        <v>2.5157232704402519</v>
      </c>
      <c r="AT7" s="17">
        <v>1.5723270440251573</v>
      </c>
      <c r="AU7" s="17">
        <v>0</v>
      </c>
      <c r="AV7" s="17">
        <v>2.8301886792452833</v>
      </c>
      <c r="AW7" s="17">
        <v>0</v>
      </c>
      <c r="AX7" s="17">
        <v>0.31446540880503149</v>
      </c>
      <c r="AY7" s="17">
        <v>0</v>
      </c>
      <c r="AZ7" s="17">
        <v>1.5723270440251573</v>
      </c>
      <c r="BA7" s="17">
        <v>0</v>
      </c>
      <c r="BB7" s="17">
        <v>0</v>
      </c>
      <c r="BC7" s="17">
        <v>0.31446540880503149</v>
      </c>
      <c r="BD7" s="17">
        <v>0</v>
      </c>
      <c r="BE7" s="17">
        <v>0</v>
      </c>
      <c r="BF7" s="17">
        <v>0.31446540880503149</v>
      </c>
      <c r="BG7" s="17">
        <v>0</v>
      </c>
      <c r="BH7" s="17">
        <v>13.522012578616351</v>
      </c>
      <c r="BI7" s="17">
        <v>0</v>
      </c>
      <c r="BJ7" s="17">
        <v>0</v>
      </c>
      <c r="BK7" s="17">
        <v>1.257861635220126</v>
      </c>
      <c r="BL7" s="17">
        <v>2.5157232704402519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0.94339622641509435</v>
      </c>
      <c r="BV7" s="17">
        <v>6.2893081761006293</v>
      </c>
      <c r="BW7" s="17">
        <v>0</v>
      </c>
      <c r="BX7" s="17">
        <v>0</v>
      </c>
      <c r="BY7" s="17">
        <v>0.31446540880503149</v>
      </c>
      <c r="BZ7" s="17">
        <v>0.31446540880503149</v>
      </c>
      <c r="CA7" s="17">
        <v>0</v>
      </c>
      <c r="CB7" s="17">
        <v>0</v>
      </c>
      <c r="CC7" s="17">
        <v>0</v>
      </c>
      <c r="CD7" s="17">
        <v>0</v>
      </c>
      <c r="CE7" s="17">
        <v>0.62893081761006298</v>
      </c>
      <c r="CF7" s="17">
        <v>0</v>
      </c>
      <c r="CG7" s="17">
        <v>0</v>
      </c>
      <c r="CH7" s="17">
        <v>0</v>
      </c>
      <c r="CI7" s="17">
        <v>0</v>
      </c>
      <c r="CJ7" s="17">
        <v>3.1446540880503147</v>
      </c>
      <c r="CK7" s="17">
        <v>0.31446540880503149</v>
      </c>
      <c r="CL7" s="17">
        <v>0.94339622641509435</v>
      </c>
      <c r="CM7" s="17">
        <v>0</v>
      </c>
      <c r="CN7" s="17">
        <v>4.0880503144654083</v>
      </c>
      <c r="CO7" s="17">
        <v>0</v>
      </c>
      <c r="CP7" s="17">
        <v>0.62893081761006298</v>
      </c>
      <c r="CQ7" s="17">
        <v>0</v>
      </c>
      <c r="CR7" s="17">
        <v>0</v>
      </c>
      <c r="CS7" s="17">
        <v>6.9182389937106921</v>
      </c>
      <c r="CT7" s="17">
        <v>0.94339622641509435</v>
      </c>
      <c r="CU7" s="17">
        <v>0</v>
      </c>
      <c r="CV7" s="17">
        <v>0</v>
      </c>
      <c r="CW7" s="17">
        <v>0</v>
      </c>
      <c r="CX7" s="17">
        <v>0.94339622641509435</v>
      </c>
      <c r="CY7" s="17">
        <v>0</v>
      </c>
      <c r="CZ7" s="17">
        <v>0.31446540880503149</v>
      </c>
      <c r="DA7" s="17">
        <v>0</v>
      </c>
      <c r="DB7" s="17">
        <v>1.257861635220126</v>
      </c>
      <c r="DC7" s="17">
        <v>0</v>
      </c>
      <c r="DD7" s="17">
        <v>0</v>
      </c>
      <c r="DE7" s="17">
        <v>0</v>
      </c>
      <c r="DF7" s="17">
        <v>0.62893081761006298</v>
      </c>
      <c r="DG7" s="17">
        <v>0.31446540880503149</v>
      </c>
      <c r="DH7" s="17">
        <v>2.8301886792452833</v>
      </c>
      <c r="DI7" s="17">
        <v>0</v>
      </c>
      <c r="DJ7" s="17">
        <v>2.2012578616352201</v>
      </c>
      <c r="DK7" s="17">
        <v>0.31446540880503149</v>
      </c>
      <c r="DL7" s="17">
        <v>0</v>
      </c>
      <c r="DM7" s="17">
        <v>0</v>
      </c>
      <c r="DN7" s="17">
        <v>0</v>
      </c>
      <c r="DO7" s="17">
        <v>0.31446540880503149</v>
      </c>
      <c r="DP7" s="17">
        <v>0.31446540880503149</v>
      </c>
      <c r="DQ7" s="17">
        <v>40.880503144654099</v>
      </c>
    </row>
    <row r="8" spans="1:121">
      <c r="A8" s="2">
        <v>341</v>
      </c>
      <c r="B8" s="1" t="s">
        <v>14</v>
      </c>
      <c r="C8" s="1" t="s">
        <v>15</v>
      </c>
      <c r="D8" s="1">
        <v>1</v>
      </c>
      <c r="E8" s="1" t="s">
        <v>16</v>
      </c>
      <c r="F8" s="1">
        <v>5</v>
      </c>
      <c r="G8" s="1" t="s">
        <v>17</v>
      </c>
      <c r="H8" s="1">
        <v>76</v>
      </c>
      <c r="I8" s="1">
        <v>77</v>
      </c>
      <c r="J8" s="1">
        <v>6.76</v>
      </c>
      <c r="K8" s="5">
        <v>6.02</v>
      </c>
      <c r="L8" s="11">
        <v>6.76</v>
      </c>
      <c r="M8" s="11">
        <v>6.77</v>
      </c>
      <c r="N8" s="11">
        <v>6.7649999999999997</v>
      </c>
      <c r="O8" s="1" t="s">
        <v>102</v>
      </c>
      <c r="P8" s="10">
        <v>15195</v>
      </c>
      <c r="Q8" s="6">
        <v>15.195</v>
      </c>
      <c r="R8" s="10">
        <v>21.961352657004802</v>
      </c>
      <c r="S8" s="5">
        <f t="shared" si="4"/>
        <v>546</v>
      </c>
      <c r="T8" s="5">
        <f t="shared" si="0"/>
        <v>1</v>
      </c>
      <c r="V8" s="5">
        <v>0.41099999999999998</v>
      </c>
      <c r="W8" s="18">
        <f>(115.4-110)+(110-106.9)+(105-101.1)</f>
        <v>12.400000000000006</v>
      </c>
      <c r="X8" s="5">
        <v>0.22</v>
      </c>
      <c r="Y8" s="5">
        <f t="shared" si="1"/>
        <v>2.7280000000000011</v>
      </c>
      <c r="Z8" s="10">
        <v>8171.2824919870518</v>
      </c>
      <c r="AA8" s="10">
        <v>300</v>
      </c>
      <c r="AB8" s="10">
        <f t="shared" si="2"/>
        <v>2186378.2167056552</v>
      </c>
      <c r="AC8" s="12">
        <v>1.3480000000000001</v>
      </c>
      <c r="AD8" s="10">
        <f t="shared" si="3"/>
        <v>64725329.483081989</v>
      </c>
      <c r="AI8" s="17">
        <f t="shared" si="5"/>
        <v>11.666666666666666</v>
      </c>
      <c r="AJ8" s="17"/>
      <c r="AL8" s="17">
        <v>11.333333333333332</v>
      </c>
      <c r="AM8" s="17">
        <v>2.666666666666667</v>
      </c>
      <c r="AN8" s="17">
        <v>19</v>
      </c>
      <c r="AO8" s="17">
        <v>2.3333333333333335</v>
      </c>
      <c r="AP8" s="17">
        <v>0</v>
      </c>
      <c r="AQ8" s="17">
        <v>2</v>
      </c>
      <c r="AR8" s="17">
        <v>14.000000000000002</v>
      </c>
      <c r="AS8" s="17">
        <v>2.3333333333333335</v>
      </c>
      <c r="AT8" s="17">
        <v>0.66666666666666674</v>
      </c>
      <c r="AU8" s="17">
        <v>0</v>
      </c>
      <c r="AV8" s="17">
        <v>0</v>
      </c>
      <c r="AW8" s="17">
        <v>0</v>
      </c>
      <c r="AX8" s="17">
        <v>0.66666666666666674</v>
      </c>
      <c r="AY8" s="17">
        <v>0</v>
      </c>
      <c r="AZ8" s="17">
        <v>2.3333333333333335</v>
      </c>
      <c r="BA8" s="17">
        <v>0</v>
      </c>
      <c r="BB8" s="17">
        <v>0</v>
      </c>
      <c r="BC8" s="17">
        <v>0</v>
      </c>
      <c r="BD8" s="17">
        <v>0</v>
      </c>
      <c r="BE8" s="17">
        <v>0.66666666666666674</v>
      </c>
      <c r="BF8" s="17">
        <v>1.3333333333333335</v>
      </c>
      <c r="BG8" s="17">
        <v>0</v>
      </c>
      <c r="BH8" s="17">
        <v>5.6666666666666661</v>
      </c>
      <c r="BI8" s="17">
        <v>0</v>
      </c>
      <c r="BJ8" s="17">
        <v>0</v>
      </c>
      <c r="BK8" s="17">
        <v>1.3333333333333335</v>
      </c>
      <c r="BL8" s="17">
        <v>2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3.3333333333333335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0.33333333333333337</v>
      </c>
      <c r="CD8" s="17">
        <v>0.33333333333333337</v>
      </c>
      <c r="CE8" s="17">
        <v>0.33333333333333337</v>
      </c>
      <c r="CF8" s="17">
        <v>0</v>
      </c>
      <c r="CG8" s="17">
        <v>0</v>
      </c>
      <c r="CH8" s="17">
        <v>0</v>
      </c>
      <c r="CI8" s="17">
        <v>1</v>
      </c>
      <c r="CJ8" s="17">
        <v>2.3333333333333335</v>
      </c>
      <c r="CK8" s="17">
        <v>1</v>
      </c>
      <c r="CL8" s="17">
        <v>0.33333333333333337</v>
      </c>
      <c r="CM8" s="17">
        <v>0</v>
      </c>
      <c r="CN8" s="17">
        <v>1</v>
      </c>
      <c r="CO8" s="17">
        <v>0</v>
      </c>
      <c r="CP8" s="17">
        <v>1.6666666666666667</v>
      </c>
      <c r="CQ8" s="17">
        <v>0</v>
      </c>
      <c r="CR8" s="17">
        <v>0</v>
      </c>
      <c r="CS8" s="17">
        <v>8.3333333333333321</v>
      </c>
      <c r="CT8" s="17">
        <v>0</v>
      </c>
      <c r="CU8" s="17">
        <v>1</v>
      </c>
      <c r="CV8" s="17">
        <v>0</v>
      </c>
      <c r="CW8" s="17">
        <v>0</v>
      </c>
      <c r="CX8" s="17">
        <v>1</v>
      </c>
      <c r="CY8" s="17">
        <v>0.33333333333333337</v>
      </c>
      <c r="CZ8" s="17">
        <v>0</v>
      </c>
      <c r="DA8" s="17">
        <v>0</v>
      </c>
      <c r="DB8" s="17">
        <v>1.3333333333333335</v>
      </c>
      <c r="DC8" s="17">
        <v>0</v>
      </c>
      <c r="DD8" s="17">
        <v>0</v>
      </c>
      <c r="DE8" s="17">
        <v>0</v>
      </c>
      <c r="DF8" s="17">
        <v>0.33333333333333337</v>
      </c>
      <c r="DG8" s="17">
        <v>0</v>
      </c>
      <c r="DH8" s="17">
        <v>6.3333333333333339</v>
      </c>
      <c r="DI8" s="17">
        <v>0</v>
      </c>
      <c r="DJ8" s="17">
        <v>0</v>
      </c>
      <c r="DK8" s="17">
        <v>1.3333333333333335</v>
      </c>
      <c r="DL8" s="17">
        <v>0</v>
      </c>
      <c r="DM8" s="17">
        <v>0</v>
      </c>
      <c r="DN8" s="17">
        <v>0</v>
      </c>
      <c r="DO8" s="17">
        <v>0</v>
      </c>
      <c r="DP8" s="17">
        <v>0</v>
      </c>
      <c r="DQ8" s="17">
        <v>53.666666666666671</v>
      </c>
    </row>
    <row r="9" spans="1:121">
      <c r="A9" s="2">
        <v>341</v>
      </c>
      <c r="B9" s="5" t="s">
        <v>14</v>
      </c>
      <c r="C9" s="5" t="s">
        <v>15</v>
      </c>
      <c r="D9" s="5">
        <v>1</v>
      </c>
      <c r="E9" s="5" t="s">
        <v>16</v>
      </c>
      <c r="F9" s="5">
        <v>5</v>
      </c>
      <c r="G9" s="1" t="s">
        <v>17</v>
      </c>
      <c r="H9" s="5">
        <v>88</v>
      </c>
      <c r="I9" s="5">
        <v>89</v>
      </c>
      <c r="J9" s="5">
        <v>6.88</v>
      </c>
      <c r="K9" s="5">
        <v>7.02</v>
      </c>
      <c r="L9" s="11">
        <v>6.88</v>
      </c>
      <c r="M9" s="11">
        <v>6.89</v>
      </c>
      <c r="N9" s="11">
        <v>6.8849999999999998</v>
      </c>
      <c r="O9" s="5" t="s">
        <v>103</v>
      </c>
      <c r="P9" s="10">
        <v>15605</v>
      </c>
      <c r="Q9" s="6">
        <v>15.605</v>
      </c>
      <c r="R9" s="10">
        <v>46.739999999999995</v>
      </c>
      <c r="S9" s="5">
        <f t="shared" si="4"/>
        <v>410</v>
      </c>
      <c r="T9" s="5">
        <f t="shared" si="0"/>
        <v>1</v>
      </c>
      <c r="U9" s="4"/>
      <c r="V9" s="5">
        <v>0.70299999999999996</v>
      </c>
      <c r="W9" s="19">
        <f>(100-98.1)+(105-102.7)+(115-101.5)</f>
        <v>17.700000000000003</v>
      </c>
      <c r="X9" s="5">
        <v>0.22</v>
      </c>
      <c r="Y9" s="5">
        <f t="shared" si="1"/>
        <v>3.8940000000000006</v>
      </c>
      <c r="Z9" s="10">
        <v>8171.2824919870518</v>
      </c>
      <c r="AA9" s="10">
        <v>318</v>
      </c>
      <c r="AB9" s="10">
        <f t="shared" si="2"/>
        <v>949218.23502469866</v>
      </c>
      <c r="AC9" s="12">
        <v>1.3480000000000001</v>
      </c>
      <c r="AD9" s="10">
        <f t="shared" si="3"/>
        <v>59805988.491213351</v>
      </c>
      <c r="AI9" s="17">
        <f t="shared" si="5"/>
        <v>7.5471698113207557</v>
      </c>
      <c r="AJ9" s="17"/>
      <c r="AL9" s="17">
        <v>18.553459119496853</v>
      </c>
      <c r="AM9" s="17">
        <v>5.0314465408805038</v>
      </c>
      <c r="AN9" s="17">
        <v>16.666666666666664</v>
      </c>
      <c r="AO9" s="17">
        <v>1.8867924528301887</v>
      </c>
      <c r="AP9" s="17">
        <v>0</v>
      </c>
      <c r="AQ9" s="17">
        <v>2.8301886792452833</v>
      </c>
      <c r="AR9" s="17">
        <v>1.8867924528301887</v>
      </c>
      <c r="AS9" s="17">
        <v>1.257861635220126</v>
      </c>
      <c r="AT9" s="17">
        <v>0</v>
      </c>
      <c r="AU9" s="17">
        <v>0.31446540880503149</v>
      </c>
      <c r="AV9" s="17">
        <v>0.62893081761006298</v>
      </c>
      <c r="AW9" s="17">
        <v>0</v>
      </c>
      <c r="AX9" s="17">
        <v>0.62893081761006298</v>
      </c>
      <c r="AY9" s="17">
        <v>0</v>
      </c>
      <c r="AZ9" s="17">
        <v>0.94339622641509435</v>
      </c>
      <c r="BA9" s="17">
        <v>0</v>
      </c>
      <c r="BB9" s="17">
        <v>0</v>
      </c>
      <c r="BC9" s="17">
        <v>0</v>
      </c>
      <c r="BD9" s="17">
        <v>0</v>
      </c>
      <c r="BE9" s="17">
        <v>0.62893081761006298</v>
      </c>
      <c r="BF9" s="17">
        <v>0.62893081761006298</v>
      </c>
      <c r="BG9" s="17">
        <v>0.31446540880503149</v>
      </c>
      <c r="BH9" s="17">
        <v>11.635220125786164</v>
      </c>
      <c r="BI9" s="17">
        <v>0</v>
      </c>
      <c r="BJ9" s="17">
        <v>0</v>
      </c>
      <c r="BK9" s="17">
        <v>0.62893081761006298</v>
      </c>
      <c r="BL9" s="17">
        <v>1.257861635220126</v>
      </c>
      <c r="BM9" s="17">
        <v>0.31446540880503149</v>
      </c>
      <c r="BN9" s="17">
        <v>0</v>
      </c>
      <c r="BO9" s="17">
        <v>0</v>
      </c>
      <c r="BP9" s="17">
        <v>0</v>
      </c>
      <c r="BQ9" s="17">
        <v>0</v>
      </c>
      <c r="BR9" s="17">
        <v>0.31446540880503149</v>
      </c>
      <c r="BS9" s="17">
        <v>0.31446540880503149</v>
      </c>
      <c r="BT9" s="17">
        <v>0</v>
      </c>
      <c r="BU9" s="17">
        <v>0.31446540880503149</v>
      </c>
      <c r="BV9" s="17">
        <v>5.6603773584905666</v>
      </c>
      <c r="BW9" s="17">
        <v>0.62893081761006298</v>
      </c>
      <c r="BX9" s="17">
        <v>0.31446540880503149</v>
      </c>
      <c r="BY9" s="17">
        <v>1.257861635220126</v>
      </c>
      <c r="BZ9" s="17">
        <v>0.31446540880503149</v>
      </c>
      <c r="CA9" s="17">
        <v>0</v>
      </c>
      <c r="CB9" s="17">
        <v>0</v>
      </c>
      <c r="CC9" s="17">
        <v>0</v>
      </c>
      <c r="CD9" s="17">
        <v>0.94339622641509435</v>
      </c>
      <c r="CE9" s="17">
        <v>0.94339622641509435</v>
      </c>
      <c r="CF9" s="17">
        <v>0</v>
      </c>
      <c r="CG9" s="17">
        <v>0</v>
      </c>
      <c r="CH9" s="17">
        <v>0</v>
      </c>
      <c r="CI9" s="17">
        <v>0.94339622641509435</v>
      </c>
      <c r="CJ9" s="17">
        <v>3.1446540880503147</v>
      </c>
      <c r="CK9" s="17">
        <v>0.31446540880503149</v>
      </c>
      <c r="CL9" s="17">
        <v>1.8867924528301887</v>
      </c>
      <c r="CM9" s="17">
        <v>0</v>
      </c>
      <c r="CN9" s="17">
        <v>3.459119496855346</v>
      </c>
      <c r="CO9" s="17">
        <v>0</v>
      </c>
      <c r="CP9" s="17">
        <v>0.62893081761006298</v>
      </c>
      <c r="CQ9" s="17">
        <v>0</v>
      </c>
      <c r="CR9" s="17">
        <v>0</v>
      </c>
      <c r="CS9" s="17">
        <v>5.6603773584905666</v>
      </c>
      <c r="CT9" s="17">
        <v>0.94339622641509435</v>
      </c>
      <c r="CU9" s="17">
        <v>0.31446540880503149</v>
      </c>
      <c r="CV9" s="17">
        <v>0</v>
      </c>
      <c r="CW9" s="17">
        <v>0</v>
      </c>
      <c r="CX9" s="17">
        <v>0.62893081761006298</v>
      </c>
      <c r="CY9" s="17">
        <v>0.31446540880503149</v>
      </c>
      <c r="CZ9" s="17">
        <v>0</v>
      </c>
      <c r="DA9" s="17">
        <v>0</v>
      </c>
      <c r="DB9" s="17">
        <v>0.31446540880503149</v>
      </c>
      <c r="DC9" s="17">
        <v>0.31446540880503149</v>
      </c>
      <c r="DD9" s="17">
        <v>0</v>
      </c>
      <c r="DE9" s="17">
        <v>0</v>
      </c>
      <c r="DF9" s="17">
        <v>0.31446540880503149</v>
      </c>
      <c r="DG9" s="17">
        <v>0</v>
      </c>
      <c r="DH9" s="17">
        <v>0.94339622641509435</v>
      </c>
      <c r="DI9" s="17">
        <v>0</v>
      </c>
      <c r="DJ9" s="17">
        <v>1.257861635220126</v>
      </c>
      <c r="DK9" s="17">
        <v>1.5723270440251573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48.1132075471698</v>
      </c>
    </row>
    <row r="10" spans="1:121">
      <c r="A10" s="4">
        <v>341</v>
      </c>
      <c r="B10" s="5" t="s">
        <v>14</v>
      </c>
      <c r="C10" s="5" t="s">
        <v>15</v>
      </c>
      <c r="D10" s="5">
        <v>1</v>
      </c>
      <c r="E10" s="5" t="s">
        <v>16</v>
      </c>
      <c r="F10" s="5">
        <v>5</v>
      </c>
      <c r="G10" s="5" t="s">
        <v>17</v>
      </c>
      <c r="H10" s="5">
        <v>100</v>
      </c>
      <c r="I10" s="5">
        <v>102</v>
      </c>
      <c r="J10" s="5">
        <v>7</v>
      </c>
      <c r="K10" s="5">
        <v>8.02</v>
      </c>
      <c r="L10" s="11">
        <v>7</v>
      </c>
      <c r="M10" s="11">
        <v>7.02</v>
      </c>
      <c r="N10" s="11">
        <v>7.01</v>
      </c>
      <c r="O10" s="5" t="s">
        <v>25</v>
      </c>
      <c r="P10" s="10">
        <v>15772</v>
      </c>
      <c r="Q10" s="6">
        <v>15.772</v>
      </c>
      <c r="R10" s="10">
        <v>46.739999999999995</v>
      </c>
      <c r="S10" s="5">
        <f t="shared" si="4"/>
        <v>167</v>
      </c>
      <c r="T10" s="5">
        <f t="shared" si="0"/>
        <v>2</v>
      </c>
      <c r="U10" s="4"/>
      <c r="V10" s="5">
        <f>0.3123+0.306</f>
        <v>0.61830000000000007</v>
      </c>
      <c r="W10" s="5">
        <f>(114.2-110)+(105-100.9)+(100-95.4)+(110-108.5)</f>
        <v>14.399999999999991</v>
      </c>
      <c r="X10" s="5">
        <v>0.22</v>
      </c>
      <c r="Y10" s="5">
        <f t="shared" si="1"/>
        <v>3.1679999999999979</v>
      </c>
      <c r="Z10" s="10">
        <v>8171.2824919870518</v>
      </c>
      <c r="AA10" s="10">
        <v>312</v>
      </c>
      <c r="AB10" s="10">
        <f t="shared" si="2"/>
        <v>1301548.6303578203</v>
      </c>
      <c r="AC10" s="12">
        <v>1.3480000000000001</v>
      </c>
      <c r="AD10" s="10">
        <f t="shared" si="3"/>
        <v>82004748.260982245</v>
      </c>
      <c r="AI10" s="17">
        <f t="shared" si="5"/>
        <v>10.576923076923077</v>
      </c>
      <c r="AJ10" s="17"/>
      <c r="AL10" s="17">
        <v>10.256410256410255</v>
      </c>
      <c r="AM10" s="17">
        <v>5.1282051282051277</v>
      </c>
      <c r="AN10" s="17">
        <v>9.6153846153846168</v>
      </c>
      <c r="AO10" s="17">
        <v>1.2820512820512819</v>
      </c>
      <c r="AP10" s="17">
        <v>0</v>
      </c>
      <c r="AQ10" s="17">
        <v>2.5641025641025639</v>
      </c>
      <c r="AR10" s="17">
        <v>4.1666666666666661</v>
      </c>
      <c r="AS10" s="17">
        <v>2.2435897435897436</v>
      </c>
      <c r="AT10" s="17">
        <v>0.32051282051282048</v>
      </c>
      <c r="AU10" s="17">
        <v>0</v>
      </c>
      <c r="AV10" s="17">
        <v>2.2435897435897436</v>
      </c>
      <c r="AW10" s="17">
        <v>0</v>
      </c>
      <c r="AX10" s="17">
        <v>0</v>
      </c>
      <c r="AY10" s="17">
        <v>0</v>
      </c>
      <c r="AZ10" s="17">
        <v>0.96153846153846156</v>
      </c>
      <c r="BA10" s="17">
        <v>0.32051282051282048</v>
      </c>
      <c r="BB10" s="17">
        <v>0</v>
      </c>
      <c r="BC10" s="17">
        <v>0.32051282051282048</v>
      </c>
      <c r="BD10" s="17">
        <v>0.32051282051282048</v>
      </c>
      <c r="BE10" s="17">
        <v>0</v>
      </c>
      <c r="BF10" s="17">
        <v>0.96153846153846156</v>
      </c>
      <c r="BG10" s="17">
        <v>0</v>
      </c>
      <c r="BH10" s="17">
        <v>8.0128205128205128</v>
      </c>
      <c r="BI10" s="17">
        <v>0.64102564102564097</v>
      </c>
      <c r="BJ10" s="17">
        <v>0</v>
      </c>
      <c r="BK10" s="17">
        <v>0.64102564102564097</v>
      </c>
      <c r="BL10" s="17">
        <v>1.9230769230769231</v>
      </c>
      <c r="BM10" s="17">
        <v>0.32051282051282048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0.64102564102564097</v>
      </c>
      <c r="BT10" s="17">
        <v>0</v>
      </c>
      <c r="BU10" s="17">
        <v>2.5641025641025639</v>
      </c>
      <c r="BV10" s="17">
        <v>6.0897435897435894</v>
      </c>
      <c r="BW10" s="17">
        <v>1.2820512820512819</v>
      </c>
      <c r="BX10" s="17">
        <v>0</v>
      </c>
      <c r="BY10" s="17">
        <v>0.32051282051282048</v>
      </c>
      <c r="BZ10" s="17">
        <v>0.32051282051282048</v>
      </c>
      <c r="CA10" s="17">
        <v>0</v>
      </c>
      <c r="CB10" s="17">
        <v>0</v>
      </c>
      <c r="CC10" s="17">
        <v>0.32051282051282048</v>
      </c>
      <c r="CD10" s="17">
        <v>1.2820512820512819</v>
      </c>
      <c r="CE10" s="17">
        <v>0.64102564102564097</v>
      </c>
      <c r="CF10" s="17">
        <v>0</v>
      </c>
      <c r="CG10" s="17">
        <v>0</v>
      </c>
      <c r="CH10" s="17">
        <v>0</v>
      </c>
      <c r="CI10" s="17">
        <v>0.64102564102564097</v>
      </c>
      <c r="CJ10" s="17">
        <v>2.5641025641025639</v>
      </c>
      <c r="CK10" s="17">
        <v>0.32051282051282048</v>
      </c>
      <c r="CL10" s="17">
        <v>1.2820512820512819</v>
      </c>
      <c r="CM10" s="17">
        <v>0</v>
      </c>
      <c r="CN10" s="17">
        <v>5.4487179487179489</v>
      </c>
      <c r="CO10" s="17">
        <v>0</v>
      </c>
      <c r="CP10" s="17">
        <v>0</v>
      </c>
      <c r="CQ10" s="17">
        <v>0</v>
      </c>
      <c r="CR10" s="17">
        <v>0.96153846153846156</v>
      </c>
      <c r="CS10" s="17">
        <v>7.3717948717948723</v>
      </c>
      <c r="CT10" s="17">
        <v>0</v>
      </c>
      <c r="CU10" s="17">
        <v>0.64102564102564097</v>
      </c>
      <c r="CV10" s="17">
        <v>0</v>
      </c>
      <c r="CW10" s="17">
        <v>0.64102564102564097</v>
      </c>
      <c r="CX10" s="17">
        <v>1.9230769230769231</v>
      </c>
      <c r="CY10" s="17">
        <v>0</v>
      </c>
      <c r="CZ10" s="17">
        <v>0.32051282051282048</v>
      </c>
      <c r="DA10" s="17">
        <v>0</v>
      </c>
      <c r="DB10" s="17">
        <v>0.64102564102564097</v>
      </c>
      <c r="DC10" s="17">
        <v>0.64102564102564097</v>
      </c>
      <c r="DD10" s="17">
        <v>0</v>
      </c>
      <c r="DE10" s="17">
        <v>0</v>
      </c>
      <c r="DF10" s="17">
        <v>0</v>
      </c>
      <c r="DG10" s="17">
        <v>0.32051282051282048</v>
      </c>
      <c r="DH10" s="17">
        <v>0.96153846153846156</v>
      </c>
      <c r="DI10" s="17">
        <v>3.8461538461538463</v>
      </c>
      <c r="DJ10" s="17">
        <v>3.5256410256410255</v>
      </c>
      <c r="DK10" s="17">
        <v>0.64102564102564097</v>
      </c>
      <c r="DL10" s="17">
        <v>0.96153846153846156</v>
      </c>
      <c r="DM10" s="17">
        <v>0</v>
      </c>
      <c r="DN10" s="17">
        <v>0</v>
      </c>
      <c r="DO10" s="17">
        <v>0.32051282051282048</v>
      </c>
      <c r="DP10" s="17">
        <v>0.32051282051282048</v>
      </c>
      <c r="DQ10" s="17">
        <v>35.256410256410255</v>
      </c>
    </row>
    <row r="11" spans="1:121">
      <c r="A11" s="4">
        <v>341</v>
      </c>
      <c r="B11" s="5" t="s">
        <v>14</v>
      </c>
      <c r="C11" s="5" t="s">
        <v>19</v>
      </c>
      <c r="D11" s="5">
        <v>2</v>
      </c>
      <c r="E11" s="5" t="s">
        <v>16</v>
      </c>
      <c r="F11" s="5">
        <v>2</v>
      </c>
      <c r="G11" s="5" t="s">
        <v>17</v>
      </c>
      <c r="H11" s="5">
        <v>50</v>
      </c>
      <c r="I11" s="5">
        <v>52</v>
      </c>
      <c r="J11" s="5">
        <v>8.8000000000000007</v>
      </c>
      <c r="K11" s="5">
        <v>9.02</v>
      </c>
      <c r="L11" s="11">
        <v>8.3770000000000007</v>
      </c>
      <c r="M11" s="11">
        <v>8.3970000000000002</v>
      </c>
      <c r="N11" s="11">
        <v>8.3870000000000005</v>
      </c>
      <c r="O11" s="4" t="s">
        <v>26</v>
      </c>
      <c r="P11" s="10">
        <v>16347</v>
      </c>
      <c r="Q11" s="6">
        <v>16.347000000000001</v>
      </c>
      <c r="R11" s="10">
        <v>936.16025641025601</v>
      </c>
      <c r="S11" s="5">
        <f t="shared" si="4"/>
        <v>575</v>
      </c>
      <c r="T11" s="5">
        <f t="shared" si="0"/>
        <v>2</v>
      </c>
      <c r="U11" s="5"/>
      <c r="V11" s="5">
        <v>0.70199999999999996</v>
      </c>
      <c r="W11" s="5">
        <f>(113-108.8)+(108.8-105.3)+(108.3-100)</f>
        <v>16</v>
      </c>
      <c r="X11" s="5">
        <v>0.22</v>
      </c>
      <c r="Y11" s="5">
        <f t="shared" si="1"/>
        <v>3.52</v>
      </c>
      <c r="Z11" s="10">
        <v>8171.2824919870518</v>
      </c>
      <c r="AA11" s="10">
        <v>308</v>
      </c>
      <c r="AB11" s="10">
        <f t="shared" si="2"/>
        <v>1018500.3106109218</v>
      </c>
      <c r="AC11" s="12">
        <v>1.3480000000000001</v>
      </c>
      <c r="AD11" s="10">
        <f t="shared" si="3"/>
        <v>1285290382.0889814</v>
      </c>
      <c r="AI11" s="17">
        <f t="shared" si="5"/>
        <v>21.428571428571431</v>
      </c>
      <c r="AJ11" s="17"/>
      <c r="AL11" s="17">
        <v>4.5454545454545459</v>
      </c>
      <c r="AM11" s="17">
        <v>9.0909090909090917</v>
      </c>
      <c r="AN11" s="17">
        <v>7.7922077922077921</v>
      </c>
      <c r="AO11" s="17">
        <v>1.2987012987012987</v>
      </c>
      <c r="AP11" s="17">
        <v>0</v>
      </c>
      <c r="AQ11" s="17">
        <v>0</v>
      </c>
      <c r="AR11" s="17">
        <v>2.9220779220779218</v>
      </c>
      <c r="AS11" s="17">
        <v>2.2727272727272729</v>
      </c>
      <c r="AT11" s="17">
        <v>0.32467532467532467</v>
      </c>
      <c r="AU11" s="17">
        <v>0</v>
      </c>
      <c r="AV11" s="17">
        <v>3.2467532467532463</v>
      </c>
      <c r="AW11" s="17">
        <v>0</v>
      </c>
      <c r="AX11" s="17">
        <v>1.2987012987012987</v>
      </c>
      <c r="AY11" s="17">
        <v>0</v>
      </c>
      <c r="AZ11" s="17">
        <v>0.64935064935064934</v>
      </c>
      <c r="BA11" s="17">
        <v>0</v>
      </c>
      <c r="BB11" s="17">
        <v>0.32467532467532467</v>
      </c>
      <c r="BC11" s="17">
        <v>0.32467532467532467</v>
      </c>
      <c r="BD11" s="17">
        <v>0.32467532467532467</v>
      </c>
      <c r="BE11" s="17">
        <v>0</v>
      </c>
      <c r="BF11" s="17">
        <v>0.64935064935064934</v>
      </c>
      <c r="BG11" s="17">
        <v>0</v>
      </c>
      <c r="BH11" s="17">
        <v>0</v>
      </c>
      <c r="BI11" s="17">
        <v>3.5714285714285712</v>
      </c>
      <c r="BJ11" s="17">
        <v>0</v>
      </c>
      <c r="BK11" s="17">
        <v>5.8441558441558437</v>
      </c>
      <c r="BL11" s="17">
        <v>4.5454545454545459</v>
      </c>
      <c r="BM11" s="17">
        <v>0.32467532467532467</v>
      </c>
      <c r="BN11" s="17">
        <v>0</v>
      </c>
      <c r="BO11" s="17">
        <v>0</v>
      </c>
      <c r="BP11" s="17">
        <v>6.4935064935064926</v>
      </c>
      <c r="BQ11" s="17">
        <v>0</v>
      </c>
      <c r="BR11" s="17">
        <v>0</v>
      </c>
      <c r="BS11" s="17">
        <v>0.64935064935064934</v>
      </c>
      <c r="BT11" s="17">
        <v>0</v>
      </c>
      <c r="BU11" s="17">
        <v>0</v>
      </c>
      <c r="BV11" s="17">
        <v>4.8701298701298708</v>
      </c>
      <c r="BW11" s="17">
        <v>0.97402597402597402</v>
      </c>
      <c r="BX11" s="17">
        <v>0.32467532467532467</v>
      </c>
      <c r="BY11" s="17">
        <v>0</v>
      </c>
      <c r="BZ11" s="17">
        <v>4.8701298701298708</v>
      </c>
      <c r="CA11" s="17">
        <v>0</v>
      </c>
      <c r="CB11" s="17">
        <v>0</v>
      </c>
      <c r="CC11" s="17">
        <v>0</v>
      </c>
      <c r="CD11" s="17">
        <v>0</v>
      </c>
      <c r="CE11" s="17">
        <v>0.32467532467532467</v>
      </c>
      <c r="CF11" s="17">
        <v>0</v>
      </c>
      <c r="CG11" s="17">
        <v>0</v>
      </c>
      <c r="CH11" s="17">
        <v>0</v>
      </c>
      <c r="CI11" s="17">
        <v>1.6233766233766231</v>
      </c>
      <c r="CJ11" s="17">
        <v>11.363636363636363</v>
      </c>
      <c r="CK11" s="17">
        <v>0</v>
      </c>
      <c r="CL11" s="17">
        <v>0.64935064935064934</v>
      </c>
      <c r="CM11" s="17">
        <v>0</v>
      </c>
      <c r="CN11" s="17">
        <v>3.8961038961038961</v>
      </c>
      <c r="CO11" s="17">
        <v>0</v>
      </c>
      <c r="CP11" s="17">
        <v>0.64935064935064934</v>
      </c>
      <c r="CQ11" s="17">
        <v>0</v>
      </c>
      <c r="CR11" s="17">
        <v>0</v>
      </c>
      <c r="CS11" s="17">
        <v>7.4675324675324672</v>
      </c>
      <c r="CT11" s="17">
        <v>0</v>
      </c>
      <c r="CU11" s="17">
        <v>0</v>
      </c>
      <c r="CV11" s="17">
        <v>0</v>
      </c>
      <c r="CW11" s="17">
        <v>0.32467532467532467</v>
      </c>
      <c r="CX11" s="17">
        <v>0</v>
      </c>
      <c r="CY11" s="17">
        <v>0</v>
      </c>
      <c r="CZ11" s="17">
        <v>0.64935064935064934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1.6233766233766231</v>
      </c>
      <c r="DI11" s="17">
        <v>0.32467532467532467</v>
      </c>
      <c r="DJ11" s="17">
        <v>2.9220779220779218</v>
      </c>
      <c r="DK11" s="17">
        <v>0.32467532467532467</v>
      </c>
      <c r="DL11" s="17">
        <v>0.32467532467532467</v>
      </c>
      <c r="DM11" s="17">
        <v>0</v>
      </c>
      <c r="DN11" s="17">
        <v>0</v>
      </c>
      <c r="DO11" s="17">
        <v>0</v>
      </c>
      <c r="DP11" s="17">
        <v>0</v>
      </c>
      <c r="DQ11" s="17">
        <v>27.922077922077925</v>
      </c>
    </row>
    <row r="12" spans="1:121">
      <c r="A12" s="4">
        <v>341</v>
      </c>
      <c r="B12" s="5" t="s">
        <v>14</v>
      </c>
      <c r="C12" s="5" t="s">
        <v>19</v>
      </c>
      <c r="D12" s="5">
        <v>2</v>
      </c>
      <c r="E12" s="5" t="s">
        <v>16</v>
      </c>
      <c r="F12" s="5">
        <v>4</v>
      </c>
      <c r="G12" s="5" t="s">
        <v>17</v>
      </c>
      <c r="H12" s="5">
        <v>0</v>
      </c>
      <c r="I12" s="5">
        <v>2</v>
      </c>
      <c r="J12" s="5">
        <v>11.3</v>
      </c>
      <c r="K12" s="5">
        <v>10.02</v>
      </c>
      <c r="L12" s="11">
        <v>10.877000000000001</v>
      </c>
      <c r="M12" s="11">
        <v>10.897</v>
      </c>
      <c r="N12" s="11">
        <v>10.887</v>
      </c>
      <c r="O12" s="4" t="s">
        <v>27</v>
      </c>
      <c r="P12" s="10">
        <v>16544</v>
      </c>
      <c r="Q12" s="6">
        <v>16.544</v>
      </c>
      <c r="R12" s="10">
        <v>936.16025641025601</v>
      </c>
      <c r="S12" s="5">
        <f t="shared" si="4"/>
        <v>197</v>
      </c>
      <c r="T12" s="5">
        <f t="shared" si="0"/>
        <v>2</v>
      </c>
      <c r="U12" s="5"/>
      <c r="V12" s="5">
        <v>0.61399999999999999</v>
      </c>
      <c r="W12" s="5">
        <f>(114.5-92.8)+(114.3-92.8)+(113.5-92.5)</f>
        <v>64.2</v>
      </c>
      <c r="X12" s="5">
        <v>0.22</v>
      </c>
      <c r="Y12" s="5">
        <f t="shared" si="1"/>
        <v>14.124000000000001</v>
      </c>
      <c r="Z12" s="10">
        <v>8171.2824919870518</v>
      </c>
      <c r="AA12" s="10">
        <v>55</v>
      </c>
      <c r="AB12" s="10">
        <f t="shared" si="2"/>
        <v>51823.511192546779</v>
      </c>
      <c r="AC12" s="12">
        <v>1.583</v>
      </c>
      <c r="AD12" s="10">
        <f t="shared" si="3"/>
        <v>76799421.545807377</v>
      </c>
      <c r="AE12" s="2">
        <v>17</v>
      </c>
      <c r="AF12" s="2">
        <v>16</v>
      </c>
      <c r="AG12" s="2">
        <v>22</v>
      </c>
      <c r="AI12" s="17"/>
      <c r="AJ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</row>
    <row r="13" spans="1:121">
      <c r="A13" s="4">
        <v>341</v>
      </c>
      <c r="B13" s="5" t="s">
        <v>14</v>
      </c>
      <c r="C13" s="5" t="s">
        <v>19</v>
      </c>
      <c r="D13" s="5">
        <v>2</v>
      </c>
      <c r="E13" s="5" t="s">
        <v>16</v>
      </c>
      <c r="F13" s="5">
        <v>4</v>
      </c>
      <c r="G13" s="5" t="s">
        <v>17</v>
      </c>
      <c r="H13" s="5">
        <v>54</v>
      </c>
      <c r="I13" s="5">
        <v>56</v>
      </c>
      <c r="J13" s="5">
        <v>11.84</v>
      </c>
      <c r="K13" s="5">
        <v>11.02</v>
      </c>
      <c r="L13" s="11">
        <v>11.417</v>
      </c>
      <c r="M13" s="11">
        <v>11.436999999999999</v>
      </c>
      <c r="N13" s="11">
        <v>11.427</v>
      </c>
      <c r="O13" s="4" t="s">
        <v>28</v>
      </c>
      <c r="P13" s="10">
        <v>16587</v>
      </c>
      <c r="Q13" s="6">
        <v>16.587</v>
      </c>
      <c r="R13" s="10">
        <v>936.16025641025601</v>
      </c>
      <c r="S13" s="5">
        <f t="shared" si="4"/>
        <v>43</v>
      </c>
      <c r="T13" s="5">
        <f t="shared" si="0"/>
        <v>2</v>
      </c>
      <c r="U13" s="5"/>
      <c r="V13" s="5">
        <f>0.3604+0.2957</f>
        <v>0.65610000000000002</v>
      </c>
      <c r="W13" s="5">
        <f>(114.2-104.4)+(102.3-92.5)+(114.1-92.4)+(112-92.7)+(113.8-97.6)+(113.6-103)+(113.5-91.8)+(105.1-91.7)</f>
        <v>122.49999999999997</v>
      </c>
      <c r="X13" s="5">
        <v>0.22</v>
      </c>
      <c r="Y13" s="5">
        <f t="shared" si="1"/>
        <v>26.949999999999992</v>
      </c>
      <c r="Z13" s="10">
        <v>8171.2824919870518</v>
      </c>
      <c r="AA13" s="10">
        <v>302</v>
      </c>
      <c r="AB13" s="10">
        <f t="shared" si="2"/>
        <v>139562.37793404443</v>
      </c>
      <c r="AC13" s="12">
        <v>1.583</v>
      </c>
      <c r="AD13" s="10">
        <f t="shared" si="3"/>
        <v>206823305.64343283</v>
      </c>
      <c r="AI13" s="17">
        <f t="shared" si="5"/>
        <v>10.264900662251655</v>
      </c>
      <c r="AJ13" s="17"/>
      <c r="AL13" s="17">
        <v>1.6556291390728477</v>
      </c>
      <c r="AM13" s="17">
        <v>3.9735099337748347</v>
      </c>
      <c r="AN13" s="17">
        <v>21.523178807947019</v>
      </c>
      <c r="AO13" s="17">
        <v>1.3245033112582782</v>
      </c>
      <c r="AP13" s="17">
        <v>0</v>
      </c>
      <c r="AQ13" s="17">
        <v>0</v>
      </c>
      <c r="AR13" s="17">
        <v>4.3046357615894042</v>
      </c>
      <c r="AS13" s="17">
        <v>2.9801324503311259</v>
      </c>
      <c r="AT13" s="17">
        <v>0.66225165562913912</v>
      </c>
      <c r="AU13" s="17">
        <v>0</v>
      </c>
      <c r="AV13" s="17">
        <v>0.66225165562913912</v>
      </c>
      <c r="AW13" s="17">
        <v>0</v>
      </c>
      <c r="AX13" s="17">
        <v>0.99337748344370869</v>
      </c>
      <c r="AY13" s="17">
        <v>0</v>
      </c>
      <c r="AZ13" s="17">
        <v>0.66225165562913912</v>
      </c>
      <c r="BA13" s="17">
        <v>0.99337748344370869</v>
      </c>
      <c r="BB13" s="17">
        <v>0</v>
      </c>
      <c r="BC13" s="17">
        <v>0.33112582781456956</v>
      </c>
      <c r="BD13" s="17">
        <v>0</v>
      </c>
      <c r="BE13" s="17">
        <v>0</v>
      </c>
      <c r="BF13" s="17">
        <v>1.6556291390728477</v>
      </c>
      <c r="BG13" s="17">
        <v>0</v>
      </c>
      <c r="BH13" s="17">
        <v>8.9403973509933774</v>
      </c>
      <c r="BI13" s="17">
        <v>0.99337748344370869</v>
      </c>
      <c r="BJ13" s="17">
        <v>0</v>
      </c>
      <c r="BK13" s="17">
        <v>0.99337748344370869</v>
      </c>
      <c r="BL13" s="17">
        <v>1.6556291390728477</v>
      </c>
      <c r="BM13" s="17">
        <v>0.33112582781456956</v>
      </c>
      <c r="BN13" s="17">
        <v>0</v>
      </c>
      <c r="BO13" s="17">
        <v>0</v>
      </c>
      <c r="BP13" s="17">
        <v>0</v>
      </c>
      <c r="BQ13" s="17">
        <v>0</v>
      </c>
      <c r="BR13" s="17">
        <v>0.66225165562913912</v>
      </c>
      <c r="BS13" s="17">
        <v>0</v>
      </c>
      <c r="BT13" s="17">
        <v>0.33112582781456956</v>
      </c>
      <c r="BU13" s="17">
        <v>2.6490066225165565</v>
      </c>
      <c r="BV13" s="17">
        <v>2.6490066225165565</v>
      </c>
      <c r="BW13" s="17">
        <v>0.99337748344370869</v>
      </c>
      <c r="BX13" s="17">
        <v>0.66225165562913912</v>
      </c>
      <c r="BY13" s="17">
        <v>2.3178807947019866</v>
      </c>
      <c r="BZ13" s="17">
        <v>3.6423841059602649</v>
      </c>
      <c r="CA13" s="17">
        <v>0</v>
      </c>
      <c r="CB13" s="17">
        <v>0</v>
      </c>
      <c r="CC13" s="17">
        <v>0</v>
      </c>
      <c r="CD13" s="17">
        <v>0.33112582781456956</v>
      </c>
      <c r="CE13" s="17">
        <v>0.33112582781456956</v>
      </c>
      <c r="CF13" s="17">
        <v>0</v>
      </c>
      <c r="CG13" s="17">
        <v>0</v>
      </c>
      <c r="CH13" s="17">
        <v>0</v>
      </c>
      <c r="CI13" s="17">
        <v>0.33112582781456956</v>
      </c>
      <c r="CJ13" s="17">
        <v>2.3178807947019866</v>
      </c>
      <c r="CK13" s="17">
        <v>0</v>
      </c>
      <c r="CL13" s="17">
        <v>0</v>
      </c>
      <c r="CM13" s="17">
        <v>0</v>
      </c>
      <c r="CN13" s="17">
        <v>11.258278145695364</v>
      </c>
      <c r="CO13" s="17">
        <v>0</v>
      </c>
      <c r="CP13" s="17">
        <v>0.33112582781456956</v>
      </c>
      <c r="CQ13" s="17">
        <v>0</v>
      </c>
      <c r="CR13" s="17">
        <v>0</v>
      </c>
      <c r="CS13" s="17">
        <v>6.6225165562913908</v>
      </c>
      <c r="CT13" s="17">
        <v>0</v>
      </c>
      <c r="CU13" s="17">
        <v>0</v>
      </c>
      <c r="CV13" s="17">
        <v>0</v>
      </c>
      <c r="CW13" s="17">
        <v>0</v>
      </c>
      <c r="CX13" s="17">
        <v>1.6556291390728477</v>
      </c>
      <c r="CY13" s="17">
        <v>0</v>
      </c>
      <c r="CZ13" s="17">
        <v>0.99337748344370869</v>
      </c>
      <c r="DA13" s="17">
        <v>0</v>
      </c>
      <c r="DB13" s="17">
        <v>0.99337748344370869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0.66225165562913912</v>
      </c>
      <c r="DI13" s="17">
        <v>0</v>
      </c>
      <c r="DJ13" s="17">
        <v>2.9801324503311259</v>
      </c>
      <c r="DK13" s="17">
        <v>0.99337748344370869</v>
      </c>
      <c r="DL13" s="17">
        <v>0</v>
      </c>
      <c r="DM13" s="17">
        <v>0</v>
      </c>
      <c r="DN13" s="17">
        <v>0.66225165562913912</v>
      </c>
      <c r="DO13" s="17">
        <v>0.99337748344370869</v>
      </c>
      <c r="DP13" s="17">
        <v>0</v>
      </c>
      <c r="DQ13" s="17">
        <v>35.76158940397351</v>
      </c>
    </row>
    <row r="14" spans="1:121">
      <c r="A14" s="4">
        <v>341</v>
      </c>
      <c r="B14" s="5" t="s">
        <v>14</v>
      </c>
      <c r="C14" s="5" t="s">
        <v>19</v>
      </c>
      <c r="D14" s="5">
        <v>2</v>
      </c>
      <c r="E14" s="5" t="s">
        <v>16</v>
      </c>
      <c r="F14" s="5">
        <v>5</v>
      </c>
      <c r="G14" s="5" t="s">
        <v>17</v>
      </c>
      <c r="H14" s="5">
        <v>54</v>
      </c>
      <c r="I14" s="5">
        <v>56</v>
      </c>
      <c r="J14" s="5">
        <v>13.34</v>
      </c>
      <c r="K14" s="5">
        <v>12.02</v>
      </c>
      <c r="L14" s="11">
        <v>12.917</v>
      </c>
      <c r="M14" s="11">
        <v>12.936999999999999</v>
      </c>
      <c r="N14" s="11">
        <v>12.927</v>
      </c>
      <c r="O14" s="5" t="s">
        <v>29</v>
      </c>
      <c r="P14" s="10">
        <v>16707</v>
      </c>
      <c r="Q14" s="6">
        <v>16.707000000000001</v>
      </c>
      <c r="R14" s="10">
        <v>936.16025641025601</v>
      </c>
      <c r="S14" s="5">
        <f t="shared" si="4"/>
        <v>120</v>
      </c>
      <c r="T14" s="5">
        <f t="shared" si="0"/>
        <v>2</v>
      </c>
      <c r="U14" s="4"/>
      <c r="V14" s="5">
        <v>0.62460000000000004</v>
      </c>
      <c r="W14" s="5">
        <f>(114.7-93)+(115-93.3)+(115-93.4)</f>
        <v>65</v>
      </c>
      <c r="X14" s="5">
        <v>0.22</v>
      </c>
      <c r="Y14" s="5">
        <f t="shared" si="1"/>
        <v>14.3</v>
      </c>
      <c r="Z14" s="10">
        <v>8171.2824919870518</v>
      </c>
      <c r="AA14" s="10">
        <v>23</v>
      </c>
      <c r="AB14" s="10">
        <f t="shared" si="2"/>
        <v>21041.66216764208</v>
      </c>
      <c r="AC14" s="12">
        <v>1.583</v>
      </c>
      <c r="AD14" s="10">
        <f t="shared" si="3"/>
        <v>31182516.306799784</v>
      </c>
      <c r="AE14" s="2">
        <v>11</v>
      </c>
      <c r="AF14" s="2">
        <v>6</v>
      </c>
      <c r="AG14" s="2">
        <v>6</v>
      </c>
      <c r="AI14" s="17"/>
      <c r="AJ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</row>
    <row r="15" spans="1:121">
      <c r="A15" s="4">
        <v>341</v>
      </c>
      <c r="B15" s="5" t="s">
        <v>14</v>
      </c>
      <c r="C15" s="5" t="s">
        <v>19</v>
      </c>
      <c r="D15" s="5">
        <v>2</v>
      </c>
      <c r="E15" s="5" t="s">
        <v>16</v>
      </c>
      <c r="F15" s="5">
        <v>6</v>
      </c>
      <c r="G15" s="5" t="s">
        <v>17</v>
      </c>
      <c r="H15" s="5">
        <v>0</v>
      </c>
      <c r="I15" s="5">
        <v>2</v>
      </c>
      <c r="J15" s="5">
        <v>14.3</v>
      </c>
      <c r="K15" s="5">
        <v>13.02</v>
      </c>
      <c r="L15" s="11">
        <v>13.877000000000001</v>
      </c>
      <c r="M15" s="11">
        <v>13.897</v>
      </c>
      <c r="N15" s="11">
        <v>13.887</v>
      </c>
      <c r="O15" s="5" t="s">
        <v>30</v>
      </c>
      <c r="P15" s="10">
        <v>16784</v>
      </c>
      <c r="Q15" s="6">
        <v>16.783999999999999</v>
      </c>
      <c r="R15" s="10">
        <v>936.16025641025601</v>
      </c>
      <c r="S15" s="5">
        <f t="shared" si="4"/>
        <v>77</v>
      </c>
      <c r="T15" s="5">
        <f t="shared" si="0"/>
        <v>2</v>
      </c>
      <c r="U15" s="4"/>
      <c r="V15" s="5">
        <f>0.419+0.3068</f>
        <v>0.7258</v>
      </c>
      <c r="W15" s="5">
        <f>(113.8-93.4)+(115.3-94.4)+(114.5-94.1)</f>
        <v>61.699999999999989</v>
      </c>
      <c r="X15" s="5">
        <v>0.22</v>
      </c>
      <c r="Y15" s="5">
        <f t="shared" si="1"/>
        <v>13.573999999999998</v>
      </c>
      <c r="Z15" s="10">
        <v>8171.2824919870518</v>
      </c>
      <c r="AA15" s="10">
        <v>6</v>
      </c>
      <c r="AB15" s="10">
        <f t="shared" si="2"/>
        <v>4976.4158717921537</v>
      </c>
      <c r="AC15" s="12">
        <v>1.6910000000000001</v>
      </c>
      <c r="AD15" s="10">
        <f t="shared" si="3"/>
        <v>7877900.1846928485</v>
      </c>
      <c r="AE15" s="2">
        <v>4</v>
      </c>
      <c r="AF15" s="2">
        <v>1</v>
      </c>
      <c r="AG15" s="2">
        <v>1</v>
      </c>
      <c r="AI15" s="17"/>
      <c r="AJ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</row>
    <row r="16" spans="1:121">
      <c r="A16" s="4">
        <v>341</v>
      </c>
      <c r="B16" s="5" t="s">
        <v>14</v>
      </c>
      <c r="C16" s="5" t="s">
        <v>19</v>
      </c>
      <c r="D16" s="5">
        <v>2</v>
      </c>
      <c r="E16" s="5" t="s">
        <v>16</v>
      </c>
      <c r="F16" s="5">
        <v>7</v>
      </c>
      <c r="G16" s="5" t="s">
        <v>17</v>
      </c>
      <c r="H16" s="5">
        <v>5</v>
      </c>
      <c r="I16" s="5">
        <v>7</v>
      </c>
      <c r="J16" s="5">
        <v>15.75</v>
      </c>
      <c r="K16" s="5">
        <v>14.02</v>
      </c>
      <c r="L16" s="11">
        <v>15.327</v>
      </c>
      <c r="M16" s="11">
        <v>15.347</v>
      </c>
      <c r="N16" s="11">
        <v>15.337</v>
      </c>
      <c r="O16" s="4" t="s">
        <v>31</v>
      </c>
      <c r="P16" s="10">
        <v>16901</v>
      </c>
      <c r="Q16" s="6">
        <v>16.901</v>
      </c>
      <c r="R16" s="10">
        <v>936.16025641025601</v>
      </c>
      <c r="S16" s="5">
        <f t="shared" si="4"/>
        <v>117</v>
      </c>
      <c r="T16" s="5">
        <f t="shared" si="0"/>
        <v>2</v>
      </c>
      <c r="U16" s="5" t="s">
        <v>93</v>
      </c>
      <c r="V16" s="5">
        <v>0.38100000000000001</v>
      </c>
      <c r="W16" s="5">
        <f>(116.3-92.5)+(116-92.6)+(115.7-92.6)</f>
        <v>70.300000000000011</v>
      </c>
      <c r="X16" s="5">
        <v>0.22</v>
      </c>
      <c r="Y16" s="5">
        <f t="shared" si="1"/>
        <v>15.466000000000003</v>
      </c>
      <c r="Z16" s="10">
        <v>8171.2824919870518</v>
      </c>
      <c r="AA16" s="10">
        <v>1</v>
      </c>
      <c r="AB16" s="10">
        <f t="shared" si="2"/>
        <v>1386.7150959851735</v>
      </c>
      <c r="AC16" s="12">
        <v>1.6910000000000001</v>
      </c>
      <c r="AD16" s="10">
        <f t="shared" si="3"/>
        <v>2195235.1636648406</v>
      </c>
      <c r="AE16" s="2">
        <v>0</v>
      </c>
      <c r="AF16" s="2">
        <v>0</v>
      </c>
      <c r="AG16" s="2">
        <v>1</v>
      </c>
      <c r="AI16" s="17"/>
      <c r="AJ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</row>
    <row r="17" spans="1:121">
      <c r="A17" s="4">
        <v>341</v>
      </c>
      <c r="B17" s="5" t="s">
        <v>14</v>
      </c>
      <c r="C17" s="5" t="s">
        <v>19</v>
      </c>
      <c r="D17" s="5">
        <v>3</v>
      </c>
      <c r="E17" s="5" t="s">
        <v>16</v>
      </c>
      <c r="F17" s="5">
        <v>1</v>
      </c>
      <c r="G17" s="5" t="s">
        <v>17</v>
      </c>
      <c r="H17" s="5">
        <v>102</v>
      </c>
      <c r="I17" s="5">
        <v>104</v>
      </c>
      <c r="J17" s="5">
        <v>17.32</v>
      </c>
      <c r="K17" s="5">
        <v>15.02</v>
      </c>
      <c r="L17" s="11">
        <v>16.896999999999998</v>
      </c>
      <c r="M17" s="11">
        <v>16.917000000000002</v>
      </c>
      <c r="N17" s="11">
        <v>16.907</v>
      </c>
      <c r="O17" s="5" t="s">
        <v>32</v>
      </c>
      <c r="P17" s="10">
        <v>17028</v>
      </c>
      <c r="Q17" s="6">
        <v>17.027999999999999</v>
      </c>
      <c r="R17" s="10">
        <v>2247.4500000000003</v>
      </c>
      <c r="S17" s="5">
        <f t="shared" si="4"/>
        <v>127</v>
      </c>
      <c r="T17" s="5">
        <f t="shared" si="0"/>
        <v>2</v>
      </c>
      <c r="U17" s="4"/>
      <c r="V17" s="5">
        <v>0.63800000000000001</v>
      </c>
      <c r="W17" s="5">
        <f>(114.5-92.8)+(114.4-95.5)+(114.5-92.9)</f>
        <v>62.2</v>
      </c>
      <c r="X17" s="5">
        <v>0.22</v>
      </c>
      <c r="Y17" s="5">
        <f t="shared" si="1"/>
        <v>13.684000000000001</v>
      </c>
      <c r="Z17" s="10">
        <v>8171.2824919870518</v>
      </c>
      <c r="AA17" s="10">
        <v>3</v>
      </c>
      <c r="AB17" s="10">
        <f t="shared" si="2"/>
        <v>2807.8747753779157</v>
      </c>
      <c r="AC17" s="5">
        <v>1.6811849999999999</v>
      </c>
      <c r="AD17" s="10">
        <f t="shared" si="3"/>
        <v>10609215.726815052</v>
      </c>
      <c r="AE17" s="2">
        <v>2</v>
      </c>
      <c r="AF17" s="2">
        <v>0</v>
      </c>
      <c r="AG17" s="2">
        <v>1</v>
      </c>
      <c r="AI17" s="17"/>
      <c r="AJ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</row>
    <row r="18" spans="1:121">
      <c r="A18" s="4">
        <v>341</v>
      </c>
      <c r="B18" s="5" t="s">
        <v>14</v>
      </c>
      <c r="C18" s="5" t="s">
        <v>19</v>
      </c>
      <c r="D18" s="5">
        <v>3</v>
      </c>
      <c r="E18" s="5" t="s">
        <v>16</v>
      </c>
      <c r="F18" s="5">
        <v>2</v>
      </c>
      <c r="G18" s="5" t="s">
        <v>17</v>
      </c>
      <c r="H18" s="5">
        <v>51</v>
      </c>
      <c r="I18" s="5">
        <v>53</v>
      </c>
      <c r="J18" s="5">
        <v>18.309999999999999</v>
      </c>
      <c r="K18" s="5">
        <v>16.02</v>
      </c>
      <c r="L18" s="11">
        <v>17.887</v>
      </c>
      <c r="M18" s="11">
        <v>17.907</v>
      </c>
      <c r="N18" s="11">
        <v>17.896999999999998</v>
      </c>
      <c r="O18" s="5" t="s">
        <v>33</v>
      </c>
      <c r="P18" s="10">
        <v>17108</v>
      </c>
      <c r="Q18" s="6">
        <v>17.108000000000001</v>
      </c>
      <c r="R18" s="10">
        <v>2247.4500000000003</v>
      </c>
      <c r="S18" s="5">
        <f t="shared" si="4"/>
        <v>80</v>
      </c>
      <c r="T18" s="5">
        <f t="shared" si="0"/>
        <v>2</v>
      </c>
      <c r="U18" s="4"/>
      <c r="V18" s="5">
        <f>0.4369+0.3067</f>
        <v>0.74360000000000004</v>
      </c>
      <c r="W18" s="5">
        <f>(114.2-97.7)+(102.2-92.7)+(112.1-100)</f>
        <v>38.099999999999994</v>
      </c>
      <c r="X18" s="5">
        <v>0.22</v>
      </c>
      <c r="Y18" s="5">
        <f t="shared" si="1"/>
        <v>8.3819999999999997</v>
      </c>
      <c r="Z18" s="10">
        <v>8171.2824919870518</v>
      </c>
      <c r="AA18" s="10">
        <v>309</v>
      </c>
      <c r="AB18" s="10">
        <f t="shared" si="2"/>
        <v>405099.46228559886</v>
      </c>
      <c r="AC18" s="5">
        <v>1.6811849999999999</v>
      </c>
      <c r="AD18" s="10">
        <f t="shared" si="3"/>
        <v>1530619393.6751511</v>
      </c>
      <c r="AI18" s="17">
        <f t="shared" si="5"/>
        <v>6.7961165048543695</v>
      </c>
      <c r="AJ18" s="17"/>
      <c r="AL18" s="17">
        <v>14.886731391585762</v>
      </c>
      <c r="AM18" s="17">
        <v>5.825242718446602</v>
      </c>
      <c r="AN18" s="17">
        <v>32.362459546925564</v>
      </c>
      <c r="AO18" s="17">
        <v>0.3236245954692557</v>
      </c>
      <c r="AP18" s="17">
        <v>0</v>
      </c>
      <c r="AQ18" s="17">
        <v>0.3236245954692557</v>
      </c>
      <c r="AR18" s="17">
        <v>1.6181229773462782</v>
      </c>
      <c r="AS18" s="17">
        <v>2.2653721682847898</v>
      </c>
      <c r="AT18" s="17">
        <v>0.3236245954692557</v>
      </c>
      <c r="AU18" s="17">
        <v>0</v>
      </c>
      <c r="AV18" s="17">
        <v>0.3236245954692557</v>
      </c>
      <c r="AW18" s="17">
        <v>0</v>
      </c>
      <c r="AX18" s="17">
        <v>0</v>
      </c>
      <c r="AY18" s="17">
        <v>0</v>
      </c>
      <c r="AZ18" s="17">
        <v>0</v>
      </c>
      <c r="BA18" s="17">
        <v>0.3236245954692557</v>
      </c>
      <c r="BB18" s="17">
        <v>0</v>
      </c>
      <c r="BC18" s="17">
        <v>0.3236245954692557</v>
      </c>
      <c r="BD18" s="17">
        <v>0</v>
      </c>
      <c r="BE18" s="17">
        <v>0</v>
      </c>
      <c r="BF18" s="17">
        <v>0</v>
      </c>
      <c r="BG18" s="17">
        <v>0.3236245954692557</v>
      </c>
      <c r="BH18" s="17">
        <v>0.64724919093851141</v>
      </c>
      <c r="BI18" s="17">
        <v>1.6181229773462782</v>
      </c>
      <c r="BJ18" s="17">
        <v>0</v>
      </c>
      <c r="BK18" s="17">
        <v>1.9417475728155338</v>
      </c>
      <c r="BL18" s="17">
        <v>0.3236245954692557</v>
      </c>
      <c r="BM18" s="17">
        <v>0.3236245954692557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1.6181229773462782</v>
      </c>
      <c r="BV18" s="17">
        <v>1.6181229773462782</v>
      </c>
      <c r="BW18" s="17">
        <v>0.97087378640776689</v>
      </c>
      <c r="BX18" s="17">
        <v>0</v>
      </c>
      <c r="BY18" s="17">
        <v>0</v>
      </c>
      <c r="BZ18" s="17">
        <v>3.2362459546925564</v>
      </c>
      <c r="CA18" s="17">
        <v>0</v>
      </c>
      <c r="CB18" s="17">
        <v>0</v>
      </c>
      <c r="CC18" s="17">
        <v>0</v>
      </c>
      <c r="CD18" s="17">
        <v>0</v>
      </c>
      <c r="CE18" s="17">
        <v>0.64724919093851141</v>
      </c>
      <c r="CF18" s="17">
        <v>0</v>
      </c>
      <c r="CG18" s="17">
        <v>0</v>
      </c>
      <c r="CH18" s="17">
        <v>0</v>
      </c>
      <c r="CI18" s="17">
        <v>0.3236245954692557</v>
      </c>
      <c r="CJ18" s="17">
        <v>5.825242718446602</v>
      </c>
      <c r="CK18" s="17">
        <v>0</v>
      </c>
      <c r="CL18" s="17">
        <v>0.3236245954692557</v>
      </c>
      <c r="CM18" s="17">
        <v>0</v>
      </c>
      <c r="CN18" s="17">
        <v>2.912621359223301</v>
      </c>
      <c r="CO18" s="17">
        <v>0</v>
      </c>
      <c r="CP18" s="17">
        <v>0.3236245954692557</v>
      </c>
      <c r="CQ18" s="17">
        <v>0</v>
      </c>
      <c r="CR18" s="17">
        <v>0</v>
      </c>
      <c r="CS18" s="17">
        <v>2.912621359223301</v>
      </c>
      <c r="CT18" s="17">
        <v>1.2944983818770228</v>
      </c>
      <c r="CU18" s="17">
        <v>0</v>
      </c>
      <c r="CV18" s="17">
        <v>0</v>
      </c>
      <c r="CW18" s="17">
        <v>0.3236245954692557</v>
      </c>
      <c r="CX18" s="17">
        <v>1.6181229773462782</v>
      </c>
      <c r="CY18" s="17">
        <v>0</v>
      </c>
      <c r="CZ18" s="17">
        <v>0</v>
      </c>
      <c r="DA18" s="17">
        <v>0</v>
      </c>
      <c r="DB18" s="17">
        <v>0.64724919093851141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3.8834951456310676</v>
      </c>
      <c r="DI18" s="17">
        <v>0</v>
      </c>
      <c r="DJ18" s="17">
        <v>3.8834951456310676</v>
      </c>
      <c r="DK18" s="17">
        <v>3.2362459546925564</v>
      </c>
      <c r="DL18" s="17">
        <v>0</v>
      </c>
      <c r="DM18" s="17">
        <v>0</v>
      </c>
      <c r="DN18" s="17">
        <v>0</v>
      </c>
      <c r="DO18" s="17">
        <v>0</v>
      </c>
      <c r="DP18" s="17">
        <v>0.3236245954692557</v>
      </c>
      <c r="DQ18" s="17">
        <v>57.605177993527512</v>
      </c>
    </row>
    <row r="19" spans="1:121">
      <c r="A19" s="2">
        <v>341</v>
      </c>
      <c r="B19" s="5" t="s">
        <v>14</v>
      </c>
      <c r="C19" s="5" t="s">
        <v>19</v>
      </c>
      <c r="D19" s="5">
        <v>3</v>
      </c>
      <c r="E19" s="5" t="s">
        <v>16</v>
      </c>
      <c r="F19" s="5">
        <v>2</v>
      </c>
      <c r="G19" s="1" t="s">
        <v>17</v>
      </c>
      <c r="H19" s="5">
        <v>100</v>
      </c>
      <c r="I19" s="5">
        <v>102</v>
      </c>
      <c r="J19" s="5">
        <v>18.8</v>
      </c>
      <c r="K19" s="5">
        <v>17.02</v>
      </c>
      <c r="L19" s="11">
        <v>18.376999999999999</v>
      </c>
      <c r="M19" s="11">
        <v>18.396999999999998</v>
      </c>
      <c r="N19" s="11">
        <v>18.387</v>
      </c>
      <c r="O19" s="2" t="s">
        <v>34</v>
      </c>
      <c r="P19" s="10">
        <v>17148</v>
      </c>
      <c r="Q19" s="6">
        <v>17.148</v>
      </c>
      <c r="R19" s="10">
        <v>2247.4500000000003</v>
      </c>
      <c r="S19" s="5">
        <f t="shared" si="4"/>
        <v>40</v>
      </c>
      <c r="T19" s="5">
        <f t="shared" si="0"/>
        <v>2</v>
      </c>
      <c r="U19" s="5" t="s">
        <v>93</v>
      </c>
      <c r="V19" s="5">
        <v>0.314</v>
      </c>
      <c r="W19" s="5">
        <f>(115.5-92)+(115-93)+(113.9-93.6)</f>
        <v>65.800000000000011</v>
      </c>
      <c r="X19" s="5">
        <v>0.22</v>
      </c>
      <c r="Y19" s="5">
        <f t="shared" si="1"/>
        <v>14.476000000000003</v>
      </c>
      <c r="Z19" s="10">
        <v>8171.2824919870518</v>
      </c>
      <c r="AA19" s="10">
        <v>1</v>
      </c>
      <c r="AB19" s="10">
        <f t="shared" si="2"/>
        <v>1797.6784090660603</v>
      </c>
      <c r="AC19" s="1">
        <v>1.6811849999999999</v>
      </c>
      <c r="AD19" s="10">
        <f t="shared" si="3"/>
        <v>6792310.7598887086</v>
      </c>
      <c r="AE19" s="2">
        <v>0</v>
      </c>
      <c r="AF19" s="2">
        <v>0</v>
      </c>
      <c r="AG19" s="2">
        <v>1</v>
      </c>
      <c r="AI19" s="17"/>
      <c r="AJ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</row>
    <row r="20" spans="1:121">
      <c r="A20" s="2">
        <v>341</v>
      </c>
      <c r="B20" s="5" t="s">
        <v>14</v>
      </c>
      <c r="C20" s="5" t="s">
        <v>15</v>
      </c>
      <c r="D20" s="5">
        <v>3</v>
      </c>
      <c r="E20" s="5" t="s">
        <v>16</v>
      </c>
      <c r="F20" s="5">
        <v>2</v>
      </c>
      <c r="G20" s="1" t="s">
        <v>17</v>
      </c>
      <c r="H20" s="5">
        <v>100</v>
      </c>
      <c r="I20" s="5">
        <v>102</v>
      </c>
      <c r="J20" s="5">
        <v>20.5</v>
      </c>
      <c r="K20" s="5">
        <v>18.02</v>
      </c>
      <c r="L20" s="11">
        <v>20.352</v>
      </c>
      <c r="M20" s="11">
        <v>20.372</v>
      </c>
      <c r="N20" s="11">
        <v>20.362000000000002</v>
      </c>
      <c r="O20" s="2" t="s">
        <v>35</v>
      </c>
      <c r="P20" s="10">
        <v>17304</v>
      </c>
      <c r="Q20" s="6">
        <v>17.303999999999998</v>
      </c>
      <c r="R20" s="10">
        <v>2247.4500000000003</v>
      </c>
      <c r="S20" s="5">
        <f t="shared" si="4"/>
        <v>156</v>
      </c>
      <c r="T20" s="5">
        <f t="shared" si="0"/>
        <v>2</v>
      </c>
      <c r="U20" s="5">
        <v>1</v>
      </c>
      <c r="V20" s="5">
        <v>0.2969</v>
      </c>
      <c r="W20" s="5">
        <f>(112.9-93.6)+(112.8-93.4)+(114.2-93.7)+(114.6-93.4)+(114.1-92.8)+(114.7-92.4)+(115.8-93.3)+(112.2-93.3)+(115.5-92.9)</f>
        <v>188</v>
      </c>
      <c r="X20" s="5">
        <v>0.22</v>
      </c>
      <c r="Y20" s="5">
        <f t="shared" si="1"/>
        <v>41.36</v>
      </c>
      <c r="Z20" s="10">
        <v>8171.2824919870518</v>
      </c>
      <c r="AA20" s="10">
        <v>331</v>
      </c>
      <c r="AB20" s="10">
        <f t="shared" si="2"/>
        <v>220255.86971625188</v>
      </c>
      <c r="AC20" s="12">
        <v>1.681</v>
      </c>
      <c r="AD20" s="10">
        <f t="shared" si="3"/>
        <v>832118625.4359616</v>
      </c>
      <c r="AI20" s="17">
        <f t="shared" si="5"/>
        <v>26.888217522658611</v>
      </c>
      <c r="AJ20" s="17"/>
      <c r="AL20" s="17">
        <v>3.3232628398791544</v>
      </c>
      <c r="AM20" s="17">
        <v>4.5317220543806647</v>
      </c>
      <c r="AN20" s="17">
        <v>6.3444108761329305</v>
      </c>
      <c r="AO20" s="17">
        <v>0</v>
      </c>
      <c r="AP20" s="17">
        <v>0</v>
      </c>
      <c r="AQ20" s="17">
        <v>0.60422960725075525</v>
      </c>
      <c r="AR20" s="17">
        <v>6.6465256797583088</v>
      </c>
      <c r="AS20" s="17">
        <v>3.3232628398791544</v>
      </c>
      <c r="AT20" s="17">
        <v>0</v>
      </c>
      <c r="AU20" s="17">
        <v>0</v>
      </c>
      <c r="AV20" s="17">
        <v>0.30211480362537763</v>
      </c>
      <c r="AW20" s="17">
        <v>0</v>
      </c>
      <c r="AX20" s="17">
        <v>0.30211480362537763</v>
      </c>
      <c r="AY20" s="17">
        <v>0</v>
      </c>
      <c r="AZ20" s="17">
        <v>0.60422960725075525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0.30211480362537763</v>
      </c>
      <c r="BG20" s="17">
        <v>0</v>
      </c>
      <c r="BH20" s="17">
        <v>0.60422960725075525</v>
      </c>
      <c r="BI20" s="17">
        <v>3.6253776435045322</v>
      </c>
      <c r="BJ20" s="17">
        <v>0</v>
      </c>
      <c r="BK20" s="17">
        <v>9.0634441087613293</v>
      </c>
      <c r="BL20" s="17">
        <v>0.90634441087613304</v>
      </c>
      <c r="BM20" s="17">
        <v>0</v>
      </c>
      <c r="BN20" s="17">
        <v>0</v>
      </c>
      <c r="BO20" s="17">
        <v>2.416918429003021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1.2084592145015105</v>
      </c>
      <c r="BV20" s="17">
        <v>5.1359516616314203</v>
      </c>
      <c r="BW20" s="17">
        <v>0.60422960725075525</v>
      </c>
      <c r="BX20" s="17">
        <v>0</v>
      </c>
      <c r="BY20" s="17">
        <v>1.8126888217522661</v>
      </c>
      <c r="BZ20" s="17">
        <v>3.9274924471299091</v>
      </c>
      <c r="CA20" s="17">
        <v>0</v>
      </c>
      <c r="CB20" s="17">
        <v>0</v>
      </c>
      <c r="CC20" s="17">
        <v>0</v>
      </c>
      <c r="CD20" s="17">
        <v>0</v>
      </c>
      <c r="CE20" s="17">
        <v>0.60422960725075525</v>
      </c>
      <c r="CF20" s="17">
        <v>0</v>
      </c>
      <c r="CG20" s="17">
        <v>0</v>
      </c>
      <c r="CH20" s="17">
        <v>0.30211480362537763</v>
      </c>
      <c r="CI20" s="17">
        <v>2.1148036253776437</v>
      </c>
      <c r="CJ20" s="17">
        <v>3.9274924471299091</v>
      </c>
      <c r="CK20" s="17">
        <v>0</v>
      </c>
      <c r="CL20" s="17">
        <v>0</v>
      </c>
      <c r="CM20" s="17">
        <v>0</v>
      </c>
      <c r="CN20" s="17">
        <v>10.574018126888216</v>
      </c>
      <c r="CO20" s="17">
        <v>0</v>
      </c>
      <c r="CP20" s="17">
        <v>1.8126888217522661</v>
      </c>
      <c r="CQ20" s="17">
        <v>0</v>
      </c>
      <c r="CR20" s="17">
        <v>0</v>
      </c>
      <c r="CS20" s="17">
        <v>10.876132930513595</v>
      </c>
      <c r="CT20" s="17">
        <v>0</v>
      </c>
      <c r="CU20" s="17">
        <v>0</v>
      </c>
      <c r="CV20" s="17">
        <v>0</v>
      </c>
      <c r="CW20" s="17">
        <v>0.30211480362537763</v>
      </c>
      <c r="CX20" s="17">
        <v>0</v>
      </c>
      <c r="CY20" s="17">
        <v>0</v>
      </c>
      <c r="CZ20" s="17">
        <v>2.416918429003021</v>
      </c>
      <c r="DA20" s="17">
        <v>0</v>
      </c>
      <c r="DB20" s="17">
        <v>0.30211480362537763</v>
      </c>
      <c r="DC20" s="17">
        <v>0.30211480362537763</v>
      </c>
      <c r="DD20" s="17">
        <v>0</v>
      </c>
      <c r="DE20" s="17">
        <v>0</v>
      </c>
      <c r="DF20" s="17">
        <v>0</v>
      </c>
      <c r="DG20" s="17">
        <v>0</v>
      </c>
      <c r="DH20" s="17">
        <v>3.0211480362537766</v>
      </c>
      <c r="DI20" s="17">
        <v>0.60422960725075525</v>
      </c>
      <c r="DJ20" s="17">
        <v>6.6465256797583088</v>
      </c>
      <c r="DK20" s="17">
        <v>0</v>
      </c>
      <c r="DL20" s="17">
        <v>0.60422960725075525</v>
      </c>
      <c r="DM20" s="17">
        <v>0</v>
      </c>
      <c r="DN20" s="17">
        <v>0</v>
      </c>
      <c r="DO20" s="17">
        <v>0</v>
      </c>
      <c r="DP20" s="17">
        <v>0</v>
      </c>
      <c r="DQ20" s="17">
        <v>24.773413897280967</v>
      </c>
    </row>
    <row r="21" spans="1:121">
      <c r="A21" s="2">
        <v>341</v>
      </c>
      <c r="B21" s="5" t="s">
        <v>14</v>
      </c>
      <c r="C21" s="5" t="s">
        <v>15</v>
      </c>
      <c r="D21" s="5">
        <v>3</v>
      </c>
      <c r="E21" s="5" t="s">
        <v>16</v>
      </c>
      <c r="F21" s="5">
        <v>3</v>
      </c>
      <c r="G21" s="1" t="s">
        <v>17</v>
      </c>
      <c r="H21" s="5">
        <v>0</v>
      </c>
      <c r="I21" s="5">
        <v>2</v>
      </c>
      <c r="J21" s="5">
        <v>21</v>
      </c>
      <c r="K21" s="5">
        <v>19.02</v>
      </c>
      <c r="L21" s="11">
        <v>20.852</v>
      </c>
      <c r="M21" s="11">
        <v>20.872</v>
      </c>
      <c r="N21" s="11">
        <v>20.862000000000002</v>
      </c>
      <c r="O21" s="2" t="s">
        <v>36</v>
      </c>
      <c r="P21" s="10">
        <v>17343</v>
      </c>
      <c r="Q21" s="6">
        <v>17.343</v>
      </c>
      <c r="R21" s="10">
        <v>2247.4500000000003</v>
      </c>
      <c r="S21" s="5">
        <f t="shared" si="4"/>
        <v>39</v>
      </c>
      <c r="T21" s="5">
        <f t="shared" si="0"/>
        <v>2</v>
      </c>
      <c r="U21" s="5"/>
      <c r="V21" s="5">
        <v>0.30399999999999999</v>
      </c>
      <c r="W21" s="5">
        <f>(116.4-92.5)+(116.4-92.5)+(116.4-92.5)+(116.4-92.4)+(116.2-92.4)+(110.3-92.5)</f>
        <v>137.30000000000001</v>
      </c>
      <c r="X21" s="5">
        <v>0.22</v>
      </c>
      <c r="Y21" s="5">
        <f t="shared" si="1"/>
        <v>30.206000000000003</v>
      </c>
      <c r="Z21" s="10">
        <v>8171.2824919870518</v>
      </c>
      <c r="AA21" s="10">
        <v>309</v>
      </c>
      <c r="AB21" s="10">
        <f t="shared" si="2"/>
        <v>274967.84034977347</v>
      </c>
      <c r="AC21" s="12">
        <v>1.4450000000000001</v>
      </c>
      <c r="AD21" s="10">
        <f t="shared" si="3"/>
        <v>892976003.18747234</v>
      </c>
      <c r="AI21" s="17">
        <f t="shared" si="5"/>
        <v>22.006472491909385</v>
      </c>
      <c r="AJ21" s="17"/>
      <c r="AL21" s="17">
        <v>3.8834951456310676</v>
      </c>
      <c r="AM21" s="17">
        <v>3.5598705501618122</v>
      </c>
      <c r="AN21" s="17">
        <v>5.5016181229773462</v>
      </c>
      <c r="AO21" s="17">
        <v>0.97087378640776689</v>
      </c>
      <c r="AP21" s="17">
        <v>0</v>
      </c>
      <c r="AQ21" s="17">
        <v>0.64724919093851141</v>
      </c>
      <c r="AR21" s="17">
        <v>3.5598705501618122</v>
      </c>
      <c r="AS21" s="17">
        <v>1.2944983818770228</v>
      </c>
      <c r="AT21" s="17">
        <v>3.2362459546925564</v>
      </c>
      <c r="AU21" s="17">
        <v>0</v>
      </c>
      <c r="AV21" s="17">
        <v>0.97087378640776689</v>
      </c>
      <c r="AW21" s="17">
        <v>0.3236245954692557</v>
      </c>
      <c r="AX21" s="17">
        <v>0.3236245954692557</v>
      </c>
      <c r="AY21" s="17">
        <v>0</v>
      </c>
      <c r="AZ21" s="17">
        <v>0.3236245954692557</v>
      </c>
      <c r="BA21" s="17">
        <v>0</v>
      </c>
      <c r="BB21" s="17">
        <v>0.3236245954692557</v>
      </c>
      <c r="BC21" s="17">
        <v>0</v>
      </c>
      <c r="BD21" s="17">
        <v>0.3236245954692557</v>
      </c>
      <c r="BE21" s="17">
        <v>0</v>
      </c>
      <c r="BF21" s="17">
        <v>0</v>
      </c>
      <c r="BG21" s="17">
        <v>0</v>
      </c>
      <c r="BH21" s="17">
        <v>0.97087378640776689</v>
      </c>
      <c r="BI21" s="17">
        <v>1.6181229773462782</v>
      </c>
      <c r="BJ21" s="17">
        <v>0</v>
      </c>
      <c r="BK21" s="17">
        <v>4.2071197411003238</v>
      </c>
      <c r="BL21" s="17">
        <v>0.64724919093851141</v>
      </c>
      <c r="BM21" s="17">
        <v>0</v>
      </c>
      <c r="BN21" s="17">
        <v>0</v>
      </c>
      <c r="BO21" s="17">
        <v>6.1488673139158578</v>
      </c>
      <c r="BP21" s="17">
        <v>0.64724919093851141</v>
      </c>
      <c r="BQ21" s="17">
        <v>0</v>
      </c>
      <c r="BR21" s="17">
        <v>0</v>
      </c>
      <c r="BS21" s="17">
        <v>0</v>
      </c>
      <c r="BT21" s="17">
        <v>0.64724919093851141</v>
      </c>
      <c r="BU21" s="17">
        <v>0.97087378640776689</v>
      </c>
      <c r="BV21" s="17">
        <v>4.2071197411003238</v>
      </c>
      <c r="BW21" s="17">
        <v>0.3236245954692557</v>
      </c>
      <c r="BX21" s="17">
        <v>0.3236245954692557</v>
      </c>
      <c r="BY21" s="17">
        <v>1.9417475728155338</v>
      </c>
      <c r="BZ21" s="17">
        <v>3.5598705501618122</v>
      </c>
      <c r="CA21" s="17">
        <v>0</v>
      </c>
      <c r="CB21" s="17">
        <v>0</v>
      </c>
      <c r="CC21" s="17">
        <v>0</v>
      </c>
      <c r="CD21" s="17">
        <v>0.3236245954692557</v>
      </c>
      <c r="CE21" s="17">
        <v>0</v>
      </c>
      <c r="CF21" s="17">
        <v>0</v>
      </c>
      <c r="CG21" s="17">
        <v>0</v>
      </c>
      <c r="CH21" s="17">
        <v>0</v>
      </c>
      <c r="CI21" s="17">
        <v>4.2071197411003238</v>
      </c>
      <c r="CJ21" s="17">
        <v>10.355987055016183</v>
      </c>
      <c r="CK21" s="17">
        <v>0</v>
      </c>
      <c r="CL21" s="17">
        <v>0.64724919093851141</v>
      </c>
      <c r="CM21" s="17">
        <v>0.64724919093851141</v>
      </c>
      <c r="CN21" s="17">
        <v>3.8834951456310676</v>
      </c>
      <c r="CO21" s="17">
        <v>0</v>
      </c>
      <c r="CP21" s="17">
        <v>1.6181229773462782</v>
      </c>
      <c r="CQ21" s="17">
        <v>0</v>
      </c>
      <c r="CR21" s="17">
        <v>0.3236245954692557</v>
      </c>
      <c r="CS21" s="17">
        <v>9.3851132686084142</v>
      </c>
      <c r="CT21" s="17">
        <v>0</v>
      </c>
      <c r="CU21" s="17">
        <v>0</v>
      </c>
      <c r="CV21" s="17">
        <v>0</v>
      </c>
      <c r="CW21" s="17">
        <v>0</v>
      </c>
      <c r="CX21" s="17">
        <v>0.64724919093851141</v>
      </c>
      <c r="CY21" s="17">
        <v>0.64724919093851141</v>
      </c>
      <c r="CZ21" s="17">
        <v>0.64724919093851141</v>
      </c>
      <c r="DA21" s="17">
        <v>0</v>
      </c>
      <c r="DB21" s="17">
        <v>0.64724919093851141</v>
      </c>
      <c r="DC21" s="17">
        <v>0</v>
      </c>
      <c r="DD21" s="17">
        <v>0.64724919093851141</v>
      </c>
      <c r="DE21" s="17">
        <v>0</v>
      </c>
      <c r="DF21" s="17">
        <v>0</v>
      </c>
      <c r="DG21" s="17">
        <v>0</v>
      </c>
      <c r="DH21" s="17">
        <v>3.5598705501618122</v>
      </c>
      <c r="DI21" s="17">
        <v>0.97087378640776689</v>
      </c>
      <c r="DJ21" s="17">
        <v>7.4433656957928811</v>
      </c>
      <c r="DK21" s="17">
        <v>0</v>
      </c>
      <c r="DL21" s="17">
        <v>0</v>
      </c>
      <c r="DM21" s="17">
        <v>0</v>
      </c>
      <c r="DN21" s="17">
        <v>0</v>
      </c>
      <c r="DO21" s="17">
        <v>1.9417475728155338</v>
      </c>
      <c r="DP21" s="17">
        <v>0</v>
      </c>
      <c r="DQ21" s="17">
        <v>19.417475728155338</v>
      </c>
    </row>
    <row r="22" spans="1:121">
      <c r="A22" s="2">
        <v>341</v>
      </c>
      <c r="B22" s="5" t="s">
        <v>14</v>
      </c>
      <c r="C22" s="5" t="s">
        <v>15</v>
      </c>
      <c r="D22" s="5">
        <v>3</v>
      </c>
      <c r="E22" s="5" t="s">
        <v>16</v>
      </c>
      <c r="F22" s="5">
        <v>3</v>
      </c>
      <c r="G22" s="1" t="s">
        <v>17</v>
      </c>
      <c r="H22" s="5">
        <v>100</v>
      </c>
      <c r="I22" s="5">
        <v>102</v>
      </c>
      <c r="J22" s="5">
        <v>22</v>
      </c>
      <c r="K22" s="5">
        <v>20.02</v>
      </c>
      <c r="L22" s="11">
        <v>21.852</v>
      </c>
      <c r="M22" s="11">
        <v>21.872</v>
      </c>
      <c r="N22" s="11">
        <v>21.862000000000002</v>
      </c>
      <c r="O22" s="2" t="s">
        <v>37</v>
      </c>
      <c r="P22" s="10">
        <v>17428</v>
      </c>
      <c r="Q22" s="6">
        <v>17.428000000000001</v>
      </c>
      <c r="R22" s="10">
        <v>2247.4500000000003</v>
      </c>
      <c r="S22" s="5">
        <f t="shared" si="4"/>
        <v>85</v>
      </c>
      <c r="T22" s="5">
        <f t="shared" si="0"/>
        <v>2</v>
      </c>
      <c r="U22" s="5">
        <v>2</v>
      </c>
      <c r="V22" s="5">
        <v>0.3034</v>
      </c>
      <c r="W22" s="5">
        <f>(115-92.3)+(116-93)+(116-92.4)+(116.2-92.3)+(116.2-92.4)+(116.1-92.4)+(116.2-92.5)+(115.9-92.5)</f>
        <v>187.79999999999998</v>
      </c>
      <c r="X22" s="5">
        <v>0.22</v>
      </c>
      <c r="Y22" s="5">
        <f t="shared" si="1"/>
        <v>41.315999999999995</v>
      </c>
      <c r="Z22" s="10">
        <v>8171.2824919870518</v>
      </c>
      <c r="AA22" s="10">
        <v>241</v>
      </c>
      <c r="AB22" s="10">
        <f t="shared" si="2"/>
        <v>157099.00060655072</v>
      </c>
      <c r="AC22" s="12">
        <v>1.4450000000000001</v>
      </c>
      <c r="AD22" s="10">
        <f t="shared" si="3"/>
        <v>510189255.17956316</v>
      </c>
      <c r="AE22" s="2">
        <v>108</v>
      </c>
      <c r="AF22" s="2">
        <v>70</v>
      </c>
      <c r="AG22" s="2">
        <v>63</v>
      </c>
      <c r="AI22" s="17">
        <f t="shared" si="5"/>
        <v>11.688311688311689</v>
      </c>
      <c r="AJ22" s="17"/>
      <c r="AL22" s="17">
        <v>4.8701298701298708</v>
      </c>
      <c r="AM22" s="17">
        <v>4.220779220779221</v>
      </c>
      <c r="AN22" s="17">
        <v>4.220779220779221</v>
      </c>
      <c r="AO22" s="17">
        <v>0</v>
      </c>
      <c r="AP22" s="17">
        <v>0</v>
      </c>
      <c r="AQ22" s="17">
        <v>0.64935064935064934</v>
      </c>
      <c r="AR22" s="17">
        <v>6.4935064935064926</v>
      </c>
      <c r="AS22" s="17">
        <v>5.1948051948051948</v>
      </c>
      <c r="AT22" s="17">
        <v>0.64935064935064934</v>
      </c>
      <c r="AU22" s="17">
        <v>0</v>
      </c>
      <c r="AV22" s="17">
        <v>0.32467532467532467</v>
      </c>
      <c r="AW22" s="17">
        <v>0</v>
      </c>
      <c r="AX22" s="17">
        <v>1.2987012987012987</v>
      </c>
      <c r="AY22" s="17">
        <v>0</v>
      </c>
      <c r="AZ22" s="17">
        <v>1.6233766233766231</v>
      </c>
      <c r="BA22" s="17">
        <v>0.32467532467532467</v>
      </c>
      <c r="BB22" s="17">
        <v>0</v>
      </c>
      <c r="BC22" s="17">
        <v>0</v>
      </c>
      <c r="BD22" s="17">
        <v>0</v>
      </c>
      <c r="BE22" s="17">
        <v>2.9220779220779218</v>
      </c>
      <c r="BF22" s="17">
        <v>0</v>
      </c>
      <c r="BG22" s="17">
        <v>0.32467532467532467</v>
      </c>
      <c r="BH22" s="17">
        <v>2.5974025974025974</v>
      </c>
      <c r="BI22" s="17">
        <v>0</v>
      </c>
      <c r="BJ22" s="17">
        <v>0</v>
      </c>
      <c r="BK22" s="17">
        <v>1.2987012987012987</v>
      </c>
      <c r="BL22" s="17">
        <v>0.32467532467532467</v>
      </c>
      <c r="BM22" s="17">
        <v>0</v>
      </c>
      <c r="BN22" s="17">
        <v>0</v>
      </c>
      <c r="BO22" s="17">
        <v>2.5974025974025974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1.2987012987012987</v>
      </c>
      <c r="BV22" s="17">
        <v>16.558441558441558</v>
      </c>
      <c r="BW22" s="17">
        <v>0</v>
      </c>
      <c r="BX22" s="17">
        <v>0.97402597402597402</v>
      </c>
      <c r="BY22" s="17">
        <v>2.2727272727272729</v>
      </c>
      <c r="BZ22" s="17">
        <v>0.97402597402597402</v>
      </c>
      <c r="CA22" s="17">
        <v>0</v>
      </c>
      <c r="CB22" s="17">
        <v>0</v>
      </c>
      <c r="CC22" s="17">
        <v>0</v>
      </c>
      <c r="CD22" s="17">
        <v>0</v>
      </c>
      <c r="CE22" s="17">
        <v>1.948051948051948</v>
      </c>
      <c r="CF22" s="17">
        <v>0</v>
      </c>
      <c r="CG22" s="17">
        <v>0</v>
      </c>
      <c r="CH22" s="17">
        <v>0</v>
      </c>
      <c r="CI22" s="17">
        <v>1.2987012987012987</v>
      </c>
      <c r="CJ22" s="17">
        <v>6.8181818181818175</v>
      </c>
      <c r="CK22" s="17">
        <v>0.32467532467532467</v>
      </c>
      <c r="CL22" s="17">
        <v>0.32467532467532467</v>
      </c>
      <c r="CM22" s="17">
        <v>0</v>
      </c>
      <c r="CN22" s="17">
        <v>5.1948051948051948</v>
      </c>
      <c r="CO22" s="17">
        <v>0</v>
      </c>
      <c r="CP22" s="17">
        <v>0.32467532467532467</v>
      </c>
      <c r="CQ22" s="17">
        <v>0</v>
      </c>
      <c r="CR22" s="17">
        <v>0</v>
      </c>
      <c r="CS22" s="17">
        <v>7.4675324675324672</v>
      </c>
      <c r="CT22" s="17">
        <v>0</v>
      </c>
      <c r="CU22" s="17">
        <v>0</v>
      </c>
      <c r="CV22" s="17">
        <v>0</v>
      </c>
      <c r="CW22" s="17">
        <v>0</v>
      </c>
      <c r="CX22" s="17">
        <v>2.5974025974025974</v>
      </c>
      <c r="CY22" s="17">
        <v>0.64935064935064934</v>
      </c>
      <c r="CZ22" s="17">
        <v>1.6233766233766231</v>
      </c>
      <c r="DA22" s="17">
        <v>0</v>
      </c>
      <c r="DB22" s="17">
        <v>0</v>
      </c>
      <c r="DC22" s="17">
        <v>0</v>
      </c>
      <c r="DD22" s="17">
        <v>0.97402597402597402</v>
      </c>
      <c r="DE22" s="17">
        <v>0</v>
      </c>
      <c r="DF22" s="17">
        <v>0</v>
      </c>
      <c r="DG22" s="17">
        <v>0.64935064935064934</v>
      </c>
      <c r="DH22" s="17">
        <v>1.2987012987012987</v>
      </c>
      <c r="DI22" s="17">
        <v>0</v>
      </c>
      <c r="DJ22" s="17">
        <v>5.5194805194805197</v>
      </c>
      <c r="DK22" s="17">
        <v>0.32467532467532467</v>
      </c>
      <c r="DL22" s="17">
        <v>0</v>
      </c>
      <c r="DM22" s="17">
        <v>0</v>
      </c>
      <c r="DN22" s="17">
        <v>0.32467532467532467</v>
      </c>
      <c r="DO22" s="17">
        <v>0</v>
      </c>
      <c r="DP22" s="17">
        <v>0.32467532467532467</v>
      </c>
      <c r="DQ22" s="17">
        <v>25.649350649350648</v>
      </c>
    </row>
    <row r="23" spans="1:121">
      <c r="A23" s="2">
        <v>341</v>
      </c>
      <c r="B23" s="5" t="s">
        <v>14</v>
      </c>
      <c r="C23" s="5" t="s">
        <v>15</v>
      </c>
      <c r="D23" s="5">
        <v>3</v>
      </c>
      <c r="E23" s="5" t="s">
        <v>16</v>
      </c>
      <c r="F23" s="5">
        <v>4</v>
      </c>
      <c r="G23" s="1" t="s">
        <v>17</v>
      </c>
      <c r="H23" s="5">
        <v>0</v>
      </c>
      <c r="I23" s="5">
        <v>2</v>
      </c>
      <c r="J23" s="5">
        <v>22.5</v>
      </c>
      <c r="K23" s="5">
        <v>21.02</v>
      </c>
      <c r="L23" s="11">
        <v>22.352</v>
      </c>
      <c r="M23" s="11">
        <v>22.372</v>
      </c>
      <c r="N23" s="11">
        <v>22.362000000000002</v>
      </c>
      <c r="O23" s="2" t="s">
        <v>38</v>
      </c>
      <c r="P23" s="10">
        <v>17459</v>
      </c>
      <c r="Q23" s="6">
        <v>17.459</v>
      </c>
      <c r="R23" s="10">
        <v>2247.4500000000003</v>
      </c>
      <c r="S23" s="5">
        <f t="shared" si="4"/>
        <v>31</v>
      </c>
      <c r="T23" s="5">
        <f t="shared" si="0"/>
        <v>2</v>
      </c>
      <c r="U23" s="5"/>
      <c r="V23" s="5">
        <v>0.67700000000000005</v>
      </c>
      <c r="W23" s="5">
        <f>(115.9-92.1)+(115.8-92.2)+(115.8-92.2)+(115.8-92.2)+(115.7-92)+(115.6-92)+(115.7-93.5)+(99.6-91.9)+(115.6-100)+(115.6-91.9)</f>
        <v>211.09999999999994</v>
      </c>
      <c r="X23" s="5">
        <v>0.22</v>
      </c>
      <c r="Y23" s="5">
        <f t="shared" si="1"/>
        <v>46.441999999999986</v>
      </c>
      <c r="Z23" s="10">
        <v>8171.2824919870518</v>
      </c>
      <c r="AA23" s="10">
        <v>300</v>
      </c>
      <c r="AB23" s="10">
        <f t="shared" si="2"/>
        <v>77967.19262342299</v>
      </c>
      <c r="AC23" s="12">
        <v>1.4450000000000001</v>
      </c>
      <c r="AD23" s="10">
        <f t="shared" si="3"/>
        <v>253203545.40388489</v>
      </c>
      <c r="AE23" s="2">
        <v>7</v>
      </c>
      <c r="AF23" s="2">
        <v>8</v>
      </c>
      <c r="AG23" s="2">
        <v>4</v>
      </c>
      <c r="AI23" s="17">
        <f t="shared" si="5"/>
        <v>6</v>
      </c>
      <c r="AJ23" s="17"/>
      <c r="AL23" s="17">
        <v>15.333333333333332</v>
      </c>
      <c r="AM23" s="17">
        <v>1.6666666666666667</v>
      </c>
      <c r="AN23" s="17">
        <v>3.3333333333333335</v>
      </c>
      <c r="AO23" s="17">
        <v>3.3333333333333335</v>
      </c>
      <c r="AP23" s="17">
        <v>0</v>
      </c>
      <c r="AQ23" s="17">
        <v>0.33333333333333337</v>
      </c>
      <c r="AR23" s="17">
        <v>6.3333333333333339</v>
      </c>
      <c r="AS23" s="17">
        <v>5</v>
      </c>
      <c r="AT23" s="17">
        <v>1</v>
      </c>
      <c r="AU23" s="17">
        <v>0.33333333333333337</v>
      </c>
      <c r="AV23" s="17">
        <v>0.66666666666666674</v>
      </c>
      <c r="AW23" s="17">
        <v>0</v>
      </c>
      <c r="AX23" s="17">
        <v>0</v>
      </c>
      <c r="AY23" s="17">
        <v>0</v>
      </c>
      <c r="AZ23" s="17">
        <v>1</v>
      </c>
      <c r="BA23" s="17">
        <v>0.33333333333333337</v>
      </c>
      <c r="BB23" s="17">
        <v>0</v>
      </c>
      <c r="BC23" s="17">
        <v>0</v>
      </c>
      <c r="BD23" s="17">
        <v>0</v>
      </c>
      <c r="BE23" s="17">
        <v>0.66666666666666674</v>
      </c>
      <c r="BF23" s="17">
        <v>0.33333333333333337</v>
      </c>
      <c r="BG23" s="17">
        <v>0</v>
      </c>
      <c r="BH23" s="17">
        <v>3</v>
      </c>
      <c r="BI23" s="17">
        <v>0</v>
      </c>
      <c r="BJ23" s="17">
        <v>0</v>
      </c>
      <c r="BK23" s="17">
        <v>0.66666666666666674</v>
      </c>
      <c r="BL23" s="17">
        <v>2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2.3333333333333335</v>
      </c>
      <c r="BT23" s="17">
        <v>0</v>
      </c>
      <c r="BU23" s="17">
        <v>1.3333333333333335</v>
      </c>
      <c r="BV23" s="17">
        <v>7.333333333333333</v>
      </c>
      <c r="BW23" s="17">
        <v>1</v>
      </c>
      <c r="BX23" s="17">
        <v>1</v>
      </c>
      <c r="BY23" s="17">
        <v>3.3333333333333335</v>
      </c>
      <c r="BZ23" s="17">
        <v>0.33333333333333337</v>
      </c>
      <c r="CA23" s="17">
        <v>0</v>
      </c>
      <c r="CB23" s="17">
        <v>0.66666666666666674</v>
      </c>
      <c r="CC23" s="17">
        <v>0</v>
      </c>
      <c r="CD23" s="17">
        <v>1</v>
      </c>
      <c r="CE23" s="17">
        <v>2.3333333333333335</v>
      </c>
      <c r="CF23" s="17">
        <v>0</v>
      </c>
      <c r="CG23" s="17">
        <v>0</v>
      </c>
      <c r="CH23" s="17">
        <v>0.33333333333333337</v>
      </c>
      <c r="CI23" s="17">
        <v>0.66666666666666674</v>
      </c>
      <c r="CJ23" s="17">
        <v>6.666666666666667</v>
      </c>
      <c r="CK23" s="17">
        <v>0</v>
      </c>
      <c r="CL23" s="17">
        <v>2.3333333333333335</v>
      </c>
      <c r="CM23" s="17">
        <v>0</v>
      </c>
      <c r="CN23" s="17">
        <v>10.333333333333334</v>
      </c>
      <c r="CO23" s="17">
        <v>0</v>
      </c>
      <c r="CP23" s="17">
        <v>0</v>
      </c>
      <c r="CQ23" s="17">
        <v>0</v>
      </c>
      <c r="CR23" s="17">
        <v>0</v>
      </c>
      <c r="CS23" s="17">
        <v>3.3333333333333335</v>
      </c>
      <c r="CT23" s="17">
        <v>0</v>
      </c>
      <c r="CU23" s="17">
        <v>0</v>
      </c>
      <c r="CV23" s="17">
        <v>0</v>
      </c>
      <c r="CW23" s="17">
        <v>0</v>
      </c>
      <c r="CX23" s="17">
        <v>2.3333333333333335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1</v>
      </c>
      <c r="DI23" s="17">
        <v>0.66666666666666674</v>
      </c>
      <c r="DJ23" s="17">
        <v>1</v>
      </c>
      <c r="DK23" s="17">
        <v>0</v>
      </c>
      <c r="DL23" s="17">
        <v>0</v>
      </c>
      <c r="DM23" s="17">
        <v>0</v>
      </c>
      <c r="DN23" s="17">
        <v>1</v>
      </c>
      <c r="DO23" s="17">
        <v>0.66666666666666674</v>
      </c>
      <c r="DP23" s="17">
        <v>3.6666666666666665</v>
      </c>
      <c r="DQ23" s="17">
        <v>35.333333333333329</v>
      </c>
    </row>
    <row r="24" spans="1:121">
      <c r="A24" s="2">
        <v>341</v>
      </c>
      <c r="B24" s="5" t="s">
        <v>14</v>
      </c>
      <c r="C24" s="5" t="s">
        <v>15</v>
      </c>
      <c r="D24" s="5">
        <v>3</v>
      </c>
      <c r="E24" s="5" t="s">
        <v>16</v>
      </c>
      <c r="F24" s="5">
        <v>4</v>
      </c>
      <c r="G24" s="1" t="s">
        <v>17</v>
      </c>
      <c r="H24" s="5">
        <v>51</v>
      </c>
      <c r="I24" s="5">
        <v>53</v>
      </c>
      <c r="J24" s="5">
        <v>23.01</v>
      </c>
      <c r="K24" s="5">
        <v>22.02</v>
      </c>
      <c r="L24" s="11">
        <v>22.861999999999998</v>
      </c>
      <c r="M24" s="11">
        <v>22.882000000000001</v>
      </c>
      <c r="N24" s="11">
        <v>22.872</v>
      </c>
      <c r="O24" s="2" t="s">
        <v>39</v>
      </c>
      <c r="P24" s="10">
        <v>17478</v>
      </c>
      <c r="Q24" s="6">
        <v>17.478000000000002</v>
      </c>
      <c r="R24" s="10">
        <v>2247.4500000000003</v>
      </c>
      <c r="S24" s="5">
        <f t="shared" si="4"/>
        <v>19</v>
      </c>
      <c r="T24" s="5">
        <f t="shared" si="0"/>
        <v>2</v>
      </c>
      <c r="U24" s="5" t="s">
        <v>19</v>
      </c>
      <c r="V24" s="5">
        <v>0.315</v>
      </c>
      <c r="W24" s="5">
        <f>(115.5-91.7)+(114.7-91.7)+(115.4-91.7)+(115.1-92.3)+(115.4-91.7)+(115.5-91.7)+(115.5-91.7)</f>
        <v>164.60000000000002</v>
      </c>
      <c r="X24" s="5">
        <v>0.22</v>
      </c>
      <c r="Y24" s="5">
        <f t="shared" si="1"/>
        <v>36.212000000000003</v>
      </c>
      <c r="Z24" s="10">
        <v>8171.2824919870518</v>
      </c>
      <c r="AA24" s="10">
        <v>297</v>
      </c>
      <c r="AB24" s="10">
        <f t="shared" si="2"/>
        <v>212756.87793752088</v>
      </c>
      <c r="AC24" s="12">
        <v>1.4450000000000001</v>
      </c>
      <c r="AD24" s="10">
        <f t="shared" si="3"/>
        <v>690941843.4883846</v>
      </c>
      <c r="AI24" s="17">
        <f t="shared" si="5"/>
        <v>8.7542087542087543</v>
      </c>
      <c r="AJ24" s="17"/>
      <c r="AL24" s="17">
        <v>4.0404040404040407</v>
      </c>
      <c r="AM24" s="17">
        <v>4.7138047138047137</v>
      </c>
      <c r="AN24" s="17">
        <v>3.3670033670033668</v>
      </c>
      <c r="AO24" s="17">
        <v>0</v>
      </c>
      <c r="AP24" s="17">
        <v>0</v>
      </c>
      <c r="AQ24" s="17">
        <v>3.3670033670033668</v>
      </c>
      <c r="AR24" s="17">
        <v>4.7138047138047137</v>
      </c>
      <c r="AS24" s="17">
        <v>2.3569023569023568</v>
      </c>
      <c r="AT24" s="17">
        <v>0.67340067340067333</v>
      </c>
      <c r="AU24" s="17">
        <v>0</v>
      </c>
      <c r="AV24" s="17">
        <v>2.6936026936026933</v>
      </c>
      <c r="AW24" s="17">
        <v>0</v>
      </c>
      <c r="AX24" s="17">
        <v>0</v>
      </c>
      <c r="AY24" s="17">
        <v>0</v>
      </c>
      <c r="AZ24" s="17">
        <v>0</v>
      </c>
      <c r="BA24" s="17">
        <v>2.0202020202020203</v>
      </c>
      <c r="BB24" s="17">
        <v>1.0101010101010102</v>
      </c>
      <c r="BC24" s="17">
        <v>0</v>
      </c>
      <c r="BD24" s="17">
        <v>0</v>
      </c>
      <c r="BE24" s="17">
        <v>0.33670033670033667</v>
      </c>
      <c r="BF24" s="17">
        <v>0.67340067340067333</v>
      </c>
      <c r="BG24" s="17">
        <v>0</v>
      </c>
      <c r="BH24" s="17">
        <v>20.875420875420875</v>
      </c>
      <c r="BI24" s="17">
        <v>0</v>
      </c>
      <c r="BJ24" s="17">
        <v>0</v>
      </c>
      <c r="BK24" s="17">
        <v>1.0101010101010102</v>
      </c>
      <c r="BL24" s="17">
        <v>2.0202020202020203</v>
      </c>
      <c r="BM24" s="17">
        <v>0</v>
      </c>
      <c r="BN24" s="17">
        <v>0</v>
      </c>
      <c r="BO24" s="17">
        <v>3.0303030303030303</v>
      </c>
      <c r="BP24" s="17">
        <v>0</v>
      </c>
      <c r="BQ24" s="17">
        <v>0</v>
      </c>
      <c r="BR24" s="17">
        <v>0</v>
      </c>
      <c r="BS24" s="17">
        <v>1.3468013468013467</v>
      </c>
      <c r="BT24" s="17">
        <v>0.33670033670033667</v>
      </c>
      <c r="BU24" s="17">
        <v>1.3468013468013467</v>
      </c>
      <c r="BV24" s="17">
        <v>2.6936026936026933</v>
      </c>
      <c r="BW24" s="17">
        <v>1.0101010101010102</v>
      </c>
      <c r="BX24" s="17">
        <v>0</v>
      </c>
      <c r="BY24" s="17">
        <v>0.67340067340067333</v>
      </c>
      <c r="BZ24" s="17">
        <v>1.3468013468013467</v>
      </c>
      <c r="CA24" s="17">
        <v>0</v>
      </c>
      <c r="CB24" s="17">
        <v>0.33670033670033667</v>
      </c>
      <c r="CC24" s="17">
        <v>0</v>
      </c>
      <c r="CD24" s="17">
        <v>0</v>
      </c>
      <c r="CE24" s="17">
        <v>0</v>
      </c>
      <c r="CF24" s="17">
        <v>1.0101010101010102</v>
      </c>
      <c r="CG24" s="17">
        <v>0</v>
      </c>
      <c r="CH24" s="17">
        <v>0</v>
      </c>
      <c r="CI24" s="17">
        <v>1.0101010101010102</v>
      </c>
      <c r="CJ24" s="17">
        <v>3.7037037037037033</v>
      </c>
      <c r="CK24" s="17">
        <v>0</v>
      </c>
      <c r="CL24" s="17">
        <v>1.3468013468013467</v>
      </c>
      <c r="CM24" s="17">
        <v>0</v>
      </c>
      <c r="CN24" s="17">
        <v>9.4276094276094273</v>
      </c>
      <c r="CO24" s="17">
        <v>0</v>
      </c>
      <c r="CP24" s="17">
        <v>1.6835016835016834</v>
      </c>
      <c r="CQ24" s="17">
        <v>0.33670033670033667</v>
      </c>
      <c r="CR24" s="17">
        <v>0.33670033670033667</v>
      </c>
      <c r="CS24" s="17">
        <v>2.6936026936026933</v>
      </c>
      <c r="CT24" s="17">
        <v>0</v>
      </c>
      <c r="CU24" s="17">
        <v>0</v>
      </c>
      <c r="CV24" s="17">
        <v>0</v>
      </c>
      <c r="CW24" s="17">
        <v>0</v>
      </c>
      <c r="CX24" s="17">
        <v>3.7037037037037033</v>
      </c>
      <c r="CY24" s="17">
        <v>0</v>
      </c>
      <c r="CZ24" s="17">
        <v>2.3569023569023568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0.67340067340067333</v>
      </c>
      <c r="DI24" s="17">
        <v>1.6835016835016834</v>
      </c>
      <c r="DJ24" s="17">
        <v>1.3468013468013467</v>
      </c>
      <c r="DK24" s="17">
        <v>0.67340067340067333</v>
      </c>
      <c r="DL24" s="17">
        <v>1.3468013468013467</v>
      </c>
      <c r="DM24" s="17">
        <v>0</v>
      </c>
      <c r="DN24" s="17">
        <v>0.33670033670033667</v>
      </c>
      <c r="DO24" s="17">
        <v>0.33670033670033667</v>
      </c>
      <c r="DP24" s="17">
        <v>0</v>
      </c>
      <c r="DQ24" s="17">
        <v>22.558922558922557</v>
      </c>
    </row>
    <row r="25" spans="1:121">
      <c r="A25" s="2">
        <v>341</v>
      </c>
      <c r="B25" s="5" t="s">
        <v>14</v>
      </c>
      <c r="C25" s="5" t="s">
        <v>15</v>
      </c>
      <c r="D25" s="5">
        <v>3</v>
      </c>
      <c r="E25" s="5" t="s">
        <v>16</v>
      </c>
      <c r="F25" s="5">
        <v>5</v>
      </c>
      <c r="G25" s="1" t="s">
        <v>17</v>
      </c>
      <c r="H25" s="5">
        <v>0</v>
      </c>
      <c r="I25" s="5">
        <v>2</v>
      </c>
      <c r="J25" s="5">
        <v>24</v>
      </c>
      <c r="K25" s="5">
        <v>23.02</v>
      </c>
      <c r="L25" s="11">
        <v>23.852</v>
      </c>
      <c r="M25" s="11">
        <v>23.872</v>
      </c>
      <c r="N25" s="11">
        <v>23.862000000000002</v>
      </c>
      <c r="O25" s="2" t="s">
        <v>40</v>
      </c>
      <c r="P25" s="10">
        <v>17511</v>
      </c>
      <c r="Q25" s="6">
        <v>17.510999999999999</v>
      </c>
      <c r="R25" s="10">
        <v>2247.4500000000003</v>
      </c>
      <c r="S25" s="5">
        <f t="shared" si="4"/>
        <v>33</v>
      </c>
      <c r="T25" s="5">
        <f t="shared" si="0"/>
        <v>2</v>
      </c>
      <c r="U25" s="5"/>
      <c r="V25" s="5">
        <v>0.3029</v>
      </c>
      <c r="W25" s="5">
        <f>(115.5-91.6)+(115.5-91.6)+(115.4-91.6)</f>
        <v>71.600000000000023</v>
      </c>
      <c r="X25" s="5">
        <v>0.22</v>
      </c>
      <c r="Y25" s="5">
        <f t="shared" si="1"/>
        <v>15.752000000000004</v>
      </c>
      <c r="Z25" s="10">
        <v>8171.2824919870518</v>
      </c>
      <c r="AA25" s="10">
        <v>11</v>
      </c>
      <c r="AB25" s="10">
        <f t="shared" si="2"/>
        <v>18838.570014964858</v>
      </c>
      <c r="AC25" s="12">
        <v>1.6919999999999999</v>
      </c>
      <c r="AD25" s="10">
        <f t="shared" si="3"/>
        <v>71637155.15278466</v>
      </c>
      <c r="AE25" s="2">
        <v>3</v>
      </c>
      <c r="AF25" s="2">
        <v>1</v>
      </c>
      <c r="AG25" s="2">
        <v>7</v>
      </c>
      <c r="AI25" s="17"/>
      <c r="AJ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</row>
    <row r="26" spans="1:121">
      <c r="A26" s="2">
        <v>341</v>
      </c>
      <c r="B26" s="5" t="s">
        <v>14</v>
      </c>
      <c r="C26" s="5" t="s">
        <v>15</v>
      </c>
      <c r="D26" s="5">
        <v>3</v>
      </c>
      <c r="E26" s="5" t="s">
        <v>16</v>
      </c>
      <c r="F26" s="5">
        <v>6</v>
      </c>
      <c r="G26" s="1" t="s">
        <v>17</v>
      </c>
      <c r="H26" s="5">
        <v>51</v>
      </c>
      <c r="I26" s="5">
        <v>53</v>
      </c>
      <c r="J26" s="5">
        <v>26.01</v>
      </c>
      <c r="K26" s="5">
        <v>24.02</v>
      </c>
      <c r="L26" s="11">
        <v>25.861999999999998</v>
      </c>
      <c r="M26" s="11">
        <v>25.882000000000001</v>
      </c>
      <c r="N26" s="11">
        <v>25.872</v>
      </c>
      <c r="O26" s="2" t="s">
        <v>41</v>
      </c>
      <c r="P26" s="10">
        <v>17575</v>
      </c>
      <c r="Q26" s="6">
        <v>17.574999999999999</v>
      </c>
      <c r="R26" s="10">
        <v>2247.4500000000003</v>
      </c>
      <c r="S26" s="5">
        <f t="shared" si="4"/>
        <v>64</v>
      </c>
      <c r="T26" s="5">
        <f t="shared" si="0"/>
        <v>2</v>
      </c>
      <c r="U26" s="5"/>
      <c r="V26" s="5">
        <v>0.29799999999999999</v>
      </c>
      <c r="W26" s="5">
        <f>(116.2-92.5)+(116.4-92.5)+(116.4-92.4)</f>
        <v>71.600000000000009</v>
      </c>
      <c r="X26" s="5">
        <v>0.22</v>
      </c>
      <c r="Y26" s="5">
        <f t="shared" si="1"/>
        <v>15.752000000000002</v>
      </c>
      <c r="Z26" s="10">
        <v>8171.2824919870518</v>
      </c>
      <c r="AA26" s="10">
        <v>4</v>
      </c>
      <c r="AB26" s="10">
        <f t="shared" si="2"/>
        <v>6963.0297224317956</v>
      </c>
      <c r="AC26" s="12">
        <v>1.6919999999999999</v>
      </c>
      <c r="AD26" s="10">
        <f t="shared" si="3"/>
        <v>26478211.465257443</v>
      </c>
      <c r="AE26" s="2">
        <v>1</v>
      </c>
      <c r="AF26" s="2">
        <v>2</v>
      </c>
      <c r="AG26" s="2">
        <v>1</v>
      </c>
      <c r="AI26" s="17"/>
      <c r="AJ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</row>
    <row r="27" spans="1:121">
      <c r="A27" s="2">
        <v>341</v>
      </c>
      <c r="B27" s="5" t="s">
        <v>14</v>
      </c>
      <c r="C27" s="5" t="s">
        <v>15</v>
      </c>
      <c r="D27" s="5">
        <v>4</v>
      </c>
      <c r="E27" s="5" t="s">
        <v>16</v>
      </c>
      <c r="F27" s="5">
        <v>1</v>
      </c>
      <c r="G27" s="1" t="s">
        <v>17</v>
      </c>
      <c r="H27" s="5">
        <v>100</v>
      </c>
      <c r="I27" s="5">
        <v>102</v>
      </c>
      <c r="J27" s="5">
        <v>28.5</v>
      </c>
      <c r="K27" s="5">
        <v>25.02</v>
      </c>
      <c r="L27" s="11">
        <v>29.018000000000001</v>
      </c>
      <c r="M27" s="11">
        <v>29.068000000000001</v>
      </c>
      <c r="N27" s="11">
        <v>29.042999999999999</v>
      </c>
      <c r="O27" s="2" t="s">
        <v>42</v>
      </c>
      <c r="P27" s="10">
        <v>17679</v>
      </c>
      <c r="Q27" s="6">
        <v>17.678999999999998</v>
      </c>
      <c r="R27" s="10">
        <v>2247.4500000000003</v>
      </c>
      <c r="S27" s="5">
        <f t="shared" si="4"/>
        <v>104</v>
      </c>
      <c r="T27" s="5">
        <f t="shared" si="0"/>
        <v>2</v>
      </c>
      <c r="U27" s="5"/>
      <c r="V27" s="5">
        <v>0.30299999999999999</v>
      </c>
      <c r="W27" s="5">
        <f>(115.7-91.9)+(115.7-91.9)+(115.6-91.9)</f>
        <v>71.299999999999983</v>
      </c>
      <c r="X27" s="5">
        <v>0.22</v>
      </c>
      <c r="Y27" s="5">
        <f t="shared" si="1"/>
        <v>15.685999999999996</v>
      </c>
      <c r="Z27" s="10">
        <v>8171.2824919870518</v>
      </c>
      <c r="AA27" s="10">
        <v>14</v>
      </c>
      <c r="AB27" s="10">
        <f t="shared" si="2"/>
        <v>24069.297859902137</v>
      </c>
      <c r="AC27" s="12">
        <v>1.7390000000000001</v>
      </c>
      <c r="AD27" s="10">
        <f t="shared" si="3"/>
        <v>94070411.10343726</v>
      </c>
      <c r="AE27" s="2">
        <v>2</v>
      </c>
      <c r="AF27" s="2">
        <v>4</v>
      </c>
      <c r="AG27" s="2">
        <v>8</v>
      </c>
      <c r="AI27" s="17"/>
      <c r="AJ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</row>
    <row r="28" spans="1:121">
      <c r="A28" s="2">
        <v>341</v>
      </c>
      <c r="B28" s="5" t="s">
        <v>14</v>
      </c>
      <c r="C28" s="5" t="s">
        <v>15</v>
      </c>
      <c r="D28" s="5">
        <v>5</v>
      </c>
      <c r="E28" s="5" t="s">
        <v>16</v>
      </c>
      <c r="F28" s="5">
        <v>3</v>
      </c>
      <c r="G28" s="1" t="s">
        <v>17</v>
      </c>
      <c r="H28" s="5">
        <v>100</v>
      </c>
      <c r="I28" s="5">
        <v>102</v>
      </c>
      <c r="J28" s="5">
        <v>32.770000000000003</v>
      </c>
      <c r="K28" s="5">
        <v>26.02</v>
      </c>
      <c r="L28" s="11">
        <v>32.536000000000001</v>
      </c>
      <c r="M28" s="11">
        <v>32.555999999999997</v>
      </c>
      <c r="N28" s="11">
        <v>32.545999999999999</v>
      </c>
      <c r="O28" s="2" t="s">
        <v>43</v>
      </c>
      <c r="P28" s="10">
        <v>17794</v>
      </c>
      <c r="Q28" s="6">
        <v>17.794</v>
      </c>
      <c r="R28" s="10">
        <v>2247.4500000000003</v>
      </c>
      <c r="S28" s="10">
        <f t="shared" si="4"/>
        <v>115</v>
      </c>
      <c r="T28" s="5">
        <f t="shared" si="0"/>
        <v>2</v>
      </c>
      <c r="U28" s="5" t="s">
        <v>93</v>
      </c>
      <c r="V28" s="5">
        <v>0.36299999999999999</v>
      </c>
      <c r="W28" s="5">
        <f>(116.1-96.1)+(112-92.7)+(115.6-92)</f>
        <v>62.899999999999991</v>
      </c>
      <c r="X28" s="5">
        <v>0.22</v>
      </c>
      <c r="Y28" s="5">
        <f t="shared" si="1"/>
        <v>13.837999999999997</v>
      </c>
      <c r="Z28" s="10">
        <v>8171.2824919870518</v>
      </c>
      <c r="AA28" s="10">
        <v>6</v>
      </c>
      <c r="AB28" s="10">
        <f t="shared" si="2"/>
        <v>9760.2630819996848</v>
      </c>
      <c r="AC28" s="12">
        <v>1.7390000000000001</v>
      </c>
      <c r="AD28" s="10">
        <f t="shared" si="3"/>
        <v>38146187.975470304</v>
      </c>
      <c r="AE28" s="2">
        <v>4</v>
      </c>
      <c r="AF28" s="2">
        <v>0</v>
      </c>
      <c r="AG28" s="2">
        <v>2</v>
      </c>
      <c r="AI28" s="17"/>
      <c r="AJ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</row>
    <row r="29" spans="1:121">
      <c r="A29" s="2">
        <v>341</v>
      </c>
      <c r="B29" s="5" t="s">
        <v>14</v>
      </c>
      <c r="C29" s="5" t="s">
        <v>15</v>
      </c>
      <c r="D29" s="5">
        <v>6</v>
      </c>
      <c r="E29" s="5" t="s">
        <v>16</v>
      </c>
      <c r="F29" s="5">
        <v>3</v>
      </c>
      <c r="G29" s="1" t="s">
        <v>17</v>
      </c>
      <c r="H29" s="5">
        <v>0</v>
      </c>
      <c r="I29" s="5">
        <v>2</v>
      </c>
      <c r="J29" s="1">
        <v>35.65</v>
      </c>
      <c r="K29" s="5">
        <v>27.02</v>
      </c>
      <c r="L29" s="11">
        <v>35.415999999999997</v>
      </c>
      <c r="M29" s="11">
        <v>35.436</v>
      </c>
      <c r="N29" s="11">
        <v>35.426000000000002</v>
      </c>
      <c r="O29" s="1" t="s">
        <v>44</v>
      </c>
      <c r="P29" s="10">
        <v>17888</v>
      </c>
      <c r="Q29" s="6">
        <v>17.888000000000002</v>
      </c>
      <c r="R29" s="10">
        <v>2247.4500000000003</v>
      </c>
      <c r="S29" s="5">
        <f t="shared" si="4"/>
        <v>94</v>
      </c>
      <c r="T29" s="5">
        <f t="shared" si="0"/>
        <v>2</v>
      </c>
      <c r="U29" s="5"/>
      <c r="V29" s="5">
        <f>0.4206+0.296</f>
        <v>0.7165999999999999</v>
      </c>
      <c r="W29" s="5">
        <f>(116.1-96)+(115.6-94.5)+(115.8-94.1)</f>
        <v>62.899999999999991</v>
      </c>
      <c r="X29" s="5">
        <v>0.22</v>
      </c>
      <c r="Y29" s="5">
        <f t="shared" si="1"/>
        <v>13.837999999999997</v>
      </c>
      <c r="Z29" s="10">
        <v>8171.2824919870518</v>
      </c>
      <c r="AA29" s="10">
        <v>0</v>
      </c>
      <c r="AB29" s="10">
        <f t="shared" si="2"/>
        <v>0</v>
      </c>
      <c r="AC29" s="1">
        <v>2.0122610000000001</v>
      </c>
      <c r="AD29" s="10">
        <f t="shared" si="3"/>
        <v>0</v>
      </c>
      <c r="AE29" s="2">
        <v>0</v>
      </c>
      <c r="AF29" s="2">
        <v>0</v>
      </c>
      <c r="AG29" s="2">
        <v>0</v>
      </c>
      <c r="AI29" s="17"/>
      <c r="AJ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</row>
    <row r="30" spans="1:121">
      <c r="A30" s="2">
        <v>341</v>
      </c>
      <c r="B30" s="5" t="s">
        <v>14</v>
      </c>
      <c r="C30" s="5" t="s">
        <v>15</v>
      </c>
      <c r="D30" s="5">
        <v>6</v>
      </c>
      <c r="E30" s="5" t="s">
        <v>16</v>
      </c>
      <c r="F30" s="5" t="s">
        <v>24</v>
      </c>
      <c r="G30" s="1" t="s">
        <v>17</v>
      </c>
      <c r="H30" s="5">
        <v>32</v>
      </c>
      <c r="I30" s="5">
        <v>34</v>
      </c>
      <c r="J30" s="5">
        <v>38.18</v>
      </c>
      <c r="K30" s="5">
        <v>28.02</v>
      </c>
      <c r="L30" s="11">
        <v>37.945999999999998</v>
      </c>
      <c r="M30" s="11">
        <v>37.966000000000001</v>
      </c>
      <c r="N30" s="11">
        <v>37.956000000000003</v>
      </c>
      <c r="O30" s="4" t="s">
        <v>46</v>
      </c>
      <c r="P30" s="10">
        <v>17969</v>
      </c>
      <c r="Q30" s="6">
        <v>17.969000000000001</v>
      </c>
      <c r="R30" s="10">
        <v>1381.1</v>
      </c>
      <c r="S30" s="10">
        <f t="shared" si="4"/>
        <v>81</v>
      </c>
      <c r="T30" s="5">
        <f t="shared" si="0"/>
        <v>2</v>
      </c>
      <c r="U30" s="5" t="s">
        <v>93</v>
      </c>
      <c r="V30" s="5">
        <v>0.311</v>
      </c>
      <c r="W30" s="5">
        <f>(116.5-93.2)+(116.5-93.4)+(116.4-93.3)</f>
        <v>69.5</v>
      </c>
      <c r="X30" s="5">
        <v>0.22</v>
      </c>
      <c r="Y30" s="5">
        <f t="shared" si="1"/>
        <v>15.290000000000001</v>
      </c>
      <c r="Z30" s="10">
        <v>8171.2824919870518</v>
      </c>
      <c r="AA30" s="10">
        <v>2</v>
      </c>
      <c r="AB30" s="10">
        <f t="shared" si="2"/>
        <v>3436.7848569613625</v>
      </c>
      <c r="AC30" s="12">
        <v>1.7390000000000001</v>
      </c>
      <c r="AD30" s="10">
        <f t="shared" si="3"/>
        <v>8254239.2611858984</v>
      </c>
      <c r="AE30" s="20">
        <v>0</v>
      </c>
      <c r="AF30" s="20">
        <v>2</v>
      </c>
      <c r="AG30" s="20">
        <v>0</v>
      </c>
      <c r="AH30" s="20"/>
      <c r="AI30" s="17"/>
      <c r="AJ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</row>
    <row r="31" spans="1:121">
      <c r="A31" s="2">
        <v>341</v>
      </c>
      <c r="B31" s="5" t="s">
        <v>14</v>
      </c>
      <c r="C31" s="5" t="s">
        <v>19</v>
      </c>
      <c r="D31" s="5">
        <v>6</v>
      </c>
      <c r="E31" s="5" t="s">
        <v>16</v>
      </c>
      <c r="F31" s="5">
        <v>1</v>
      </c>
      <c r="G31" s="1" t="s">
        <v>17</v>
      </c>
      <c r="H31" s="5">
        <v>0</v>
      </c>
      <c r="I31" s="5">
        <v>2</v>
      </c>
      <c r="J31" s="5">
        <v>44.8</v>
      </c>
      <c r="K31" s="5">
        <v>29.02</v>
      </c>
      <c r="L31" s="11">
        <v>46.567999999999998</v>
      </c>
      <c r="M31" s="11">
        <v>46.588000000000001</v>
      </c>
      <c r="N31" s="11">
        <v>46.578000000000003</v>
      </c>
      <c r="O31" s="4" t="s">
        <v>47</v>
      </c>
      <c r="P31" s="10">
        <v>18235</v>
      </c>
      <c r="Q31" s="6">
        <v>18.234999999999999</v>
      </c>
      <c r="R31" s="10">
        <v>1381.1</v>
      </c>
      <c r="S31" s="5">
        <f t="shared" si="4"/>
        <v>266</v>
      </c>
      <c r="T31" s="5">
        <f t="shared" si="0"/>
        <v>2</v>
      </c>
      <c r="U31" s="5" t="s">
        <v>93</v>
      </c>
      <c r="V31" s="5">
        <v>0.32900000000000001</v>
      </c>
      <c r="W31" s="5">
        <f>(115.7-91.9)+(115.7-91.9)+(115.6-92.7)</f>
        <v>70.499999999999986</v>
      </c>
      <c r="X31" s="5">
        <v>0.22</v>
      </c>
      <c r="Y31" s="5">
        <f t="shared" si="1"/>
        <v>15.509999999999996</v>
      </c>
      <c r="Z31" s="10">
        <v>8171.2824919870518</v>
      </c>
      <c r="AA31" s="10">
        <v>1</v>
      </c>
      <c r="AB31" s="10">
        <f t="shared" si="2"/>
        <v>1601.3362282177111</v>
      </c>
      <c r="AC31" s="12">
        <v>2.012</v>
      </c>
      <c r="AD31" s="10">
        <f t="shared" si="3"/>
        <v>4449750.1951604588</v>
      </c>
      <c r="AE31" s="2">
        <v>0</v>
      </c>
      <c r="AF31" s="2">
        <v>2</v>
      </c>
      <c r="AG31" s="2">
        <v>0</v>
      </c>
      <c r="AI31" s="17"/>
      <c r="AJ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</row>
    <row r="32" spans="1:121">
      <c r="A32" s="2">
        <v>341</v>
      </c>
      <c r="B32" s="5" t="s">
        <v>14</v>
      </c>
      <c r="C32" s="5" t="s">
        <v>19</v>
      </c>
      <c r="D32" s="5">
        <v>6</v>
      </c>
      <c r="E32" s="5" t="s">
        <v>16</v>
      </c>
      <c r="F32" s="5">
        <v>3</v>
      </c>
      <c r="G32" s="1" t="s">
        <v>17</v>
      </c>
      <c r="H32" s="5">
        <v>5</v>
      </c>
      <c r="I32" s="5">
        <v>7</v>
      </c>
      <c r="J32" s="5">
        <v>47.85</v>
      </c>
      <c r="K32" s="5">
        <v>30.02</v>
      </c>
      <c r="L32" s="11">
        <v>49.618000000000002</v>
      </c>
      <c r="M32" s="11">
        <v>49.637999999999998</v>
      </c>
      <c r="N32" s="11">
        <v>49.628</v>
      </c>
      <c r="O32" s="4" t="s">
        <v>48</v>
      </c>
      <c r="P32" s="10">
        <v>18339</v>
      </c>
      <c r="Q32" s="6">
        <v>18.338999999999999</v>
      </c>
      <c r="R32" s="10">
        <v>1381.1</v>
      </c>
      <c r="S32" s="5">
        <f t="shared" si="4"/>
        <v>104</v>
      </c>
      <c r="T32" s="5">
        <f t="shared" si="0"/>
        <v>2</v>
      </c>
      <c r="U32" s="5"/>
      <c r="V32" s="5">
        <v>0.69299999999999995</v>
      </c>
      <c r="W32" s="5">
        <f>(113.7-92.6)+(114.2-92.7)+(113.8-92.8)</f>
        <v>63.600000000000009</v>
      </c>
      <c r="X32" s="5">
        <v>0.22</v>
      </c>
      <c r="Y32" s="5">
        <f t="shared" si="1"/>
        <v>13.992000000000003</v>
      </c>
      <c r="Z32" s="10">
        <v>8171.2824919870518</v>
      </c>
      <c r="AA32" s="10">
        <v>0</v>
      </c>
      <c r="AB32" s="10">
        <f t="shared" si="2"/>
        <v>0</v>
      </c>
      <c r="AC32" s="12">
        <v>2.012</v>
      </c>
      <c r="AD32" s="10">
        <f t="shared" si="3"/>
        <v>0</v>
      </c>
      <c r="AE32" s="2">
        <v>0</v>
      </c>
      <c r="AF32" s="2">
        <v>1</v>
      </c>
      <c r="AG32" s="2">
        <v>0</v>
      </c>
      <c r="AI32" s="17"/>
      <c r="AJ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</row>
    <row r="33" spans="1:121">
      <c r="A33" s="2">
        <v>341</v>
      </c>
      <c r="B33" s="5" t="s">
        <v>14</v>
      </c>
      <c r="C33" s="5" t="s">
        <v>19</v>
      </c>
      <c r="D33" s="5">
        <v>6</v>
      </c>
      <c r="E33" s="5" t="s">
        <v>16</v>
      </c>
      <c r="F33" s="5">
        <v>4</v>
      </c>
      <c r="G33" s="1" t="s">
        <v>17</v>
      </c>
      <c r="H33" s="5">
        <v>100</v>
      </c>
      <c r="I33" s="5">
        <v>102</v>
      </c>
      <c r="J33" s="1">
        <v>50.3</v>
      </c>
      <c r="K33" s="5">
        <v>31.02</v>
      </c>
      <c r="L33" s="11">
        <v>52.067999999999998</v>
      </c>
      <c r="M33" s="11">
        <v>52.088000000000001</v>
      </c>
      <c r="N33" s="11">
        <v>52.078000000000003</v>
      </c>
      <c r="O33" s="5" t="s">
        <v>45</v>
      </c>
      <c r="P33" s="10">
        <v>18456</v>
      </c>
      <c r="Q33" s="6">
        <v>18.456</v>
      </c>
      <c r="R33" s="10">
        <v>1381.1</v>
      </c>
      <c r="S33" s="5">
        <f t="shared" si="4"/>
        <v>117</v>
      </c>
      <c r="T33" s="5">
        <f t="shared" si="0"/>
        <v>2</v>
      </c>
      <c r="U33" s="5"/>
      <c r="V33" s="5">
        <f>0.302+0.3206</f>
        <v>0.62260000000000004</v>
      </c>
      <c r="W33" s="5">
        <f>(111.5-95.5)+(112.8-93.4)+(111.9-95)</f>
        <v>52.3</v>
      </c>
      <c r="X33" s="5">
        <v>0.22</v>
      </c>
      <c r="Y33" s="5">
        <f t="shared" si="1"/>
        <v>11.506</v>
      </c>
      <c r="Z33" s="10">
        <v>8171.2824919870518</v>
      </c>
      <c r="AA33" s="10">
        <v>7</v>
      </c>
      <c r="AB33" s="10">
        <f t="shared" si="2"/>
        <v>7984.6296821559918</v>
      </c>
      <c r="AC33" s="1">
        <v>1.9250339999999999</v>
      </c>
      <c r="AD33" s="10">
        <f t="shared" si="3"/>
        <v>21228451.141449194</v>
      </c>
      <c r="AE33" s="2">
        <v>3</v>
      </c>
      <c r="AF33" s="2">
        <v>1</v>
      </c>
      <c r="AG33" s="2">
        <v>3</v>
      </c>
      <c r="AI33" s="17"/>
      <c r="AJ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</row>
    <row r="34" spans="1:121">
      <c r="A34" s="2">
        <v>341</v>
      </c>
      <c r="B34" s="5" t="s">
        <v>14</v>
      </c>
      <c r="C34" s="5" t="s">
        <v>19</v>
      </c>
      <c r="D34" s="5">
        <v>7</v>
      </c>
      <c r="E34" s="5" t="s">
        <v>16</v>
      </c>
      <c r="F34" s="5">
        <v>1</v>
      </c>
      <c r="G34" s="1" t="s">
        <v>17</v>
      </c>
      <c r="H34" s="5">
        <v>0</v>
      </c>
      <c r="I34" s="5">
        <v>2</v>
      </c>
      <c r="J34" s="5">
        <v>50.8</v>
      </c>
      <c r="K34" s="5">
        <v>32.020000000000003</v>
      </c>
      <c r="L34" s="11">
        <v>52.567999999999998</v>
      </c>
      <c r="M34" s="11">
        <v>52.588000000000001</v>
      </c>
      <c r="N34" s="11">
        <v>52.578000000000003</v>
      </c>
      <c r="O34" s="4" t="s">
        <v>49</v>
      </c>
      <c r="P34" s="10">
        <v>18919</v>
      </c>
      <c r="Q34" s="6">
        <v>18.919</v>
      </c>
      <c r="R34" s="10">
        <v>193.21666666666701</v>
      </c>
      <c r="S34" s="5">
        <f t="shared" si="4"/>
        <v>463</v>
      </c>
      <c r="T34" s="5">
        <f t="shared" ref="T34:T67" si="6">I34-H34</f>
        <v>2</v>
      </c>
      <c r="U34" s="5">
        <v>1</v>
      </c>
      <c r="V34" s="5">
        <v>0.29780000000000001</v>
      </c>
      <c r="W34" s="5">
        <f>(113.7-91.7)+(115.4-91.4)+(115.3-91.4)+(115.2-91.4)+(115-91.5)+(110-98.3)</f>
        <v>128.89999999999998</v>
      </c>
      <c r="X34" s="5">
        <v>0.22</v>
      </c>
      <c r="Y34" s="5">
        <f t="shared" si="1"/>
        <v>28.357999999999993</v>
      </c>
      <c r="Z34" s="10">
        <v>8171.2824919870518</v>
      </c>
      <c r="AA34" s="3">
        <v>308</v>
      </c>
      <c r="AB34" s="10">
        <f t="shared" si="2"/>
        <v>298016.73322966497</v>
      </c>
      <c r="AC34" s="12">
        <v>1.925</v>
      </c>
      <c r="AD34" s="10">
        <f t="shared" ref="AD34:AD65" si="7">AB34*AC34*R34</f>
        <v>110844964.62563601</v>
      </c>
      <c r="AI34" s="17">
        <f t="shared" si="5"/>
        <v>13.311688311688311</v>
      </c>
      <c r="AJ34" s="17"/>
      <c r="AL34" s="17">
        <v>11.688311688311687</v>
      </c>
      <c r="AM34" s="17">
        <v>3.8961038961038961</v>
      </c>
      <c r="AN34" s="17">
        <v>8.4415584415584419</v>
      </c>
      <c r="AO34" s="17">
        <v>4.5454545454545459</v>
      </c>
      <c r="AP34" s="17">
        <v>0</v>
      </c>
      <c r="AQ34" s="17">
        <v>1.948051948051948</v>
      </c>
      <c r="AR34" s="17">
        <v>2.2727272727272729</v>
      </c>
      <c r="AS34" s="17">
        <v>2.9220779220779218</v>
      </c>
      <c r="AT34" s="17">
        <v>1.2987012987012987</v>
      </c>
      <c r="AU34" s="17">
        <v>0</v>
      </c>
      <c r="AV34" s="17">
        <v>0.64935064935064934</v>
      </c>
      <c r="AW34" s="17">
        <v>0</v>
      </c>
      <c r="AX34" s="17">
        <v>0</v>
      </c>
      <c r="AY34" s="17">
        <v>0.32467532467532467</v>
      </c>
      <c r="AZ34" s="17">
        <v>0.97402597402597402</v>
      </c>
      <c r="BA34" s="17">
        <v>0</v>
      </c>
      <c r="BB34" s="17">
        <v>0</v>
      </c>
      <c r="BC34" s="17">
        <v>1.2987012987012987</v>
      </c>
      <c r="BD34" s="17">
        <v>0</v>
      </c>
      <c r="BE34" s="17">
        <v>0</v>
      </c>
      <c r="BF34" s="17">
        <v>0.32467532467532467</v>
      </c>
      <c r="BG34" s="17">
        <v>0</v>
      </c>
      <c r="BH34" s="17">
        <v>8.1168831168831161</v>
      </c>
      <c r="BI34" s="17">
        <v>0.32467532467532467</v>
      </c>
      <c r="BJ34" s="17">
        <v>0</v>
      </c>
      <c r="BK34" s="17">
        <v>1.2987012987012987</v>
      </c>
      <c r="BL34" s="17">
        <v>0</v>
      </c>
      <c r="BM34" s="17">
        <v>0</v>
      </c>
      <c r="BN34" s="17">
        <v>0</v>
      </c>
      <c r="BO34" s="17">
        <v>5.1948051948051948</v>
      </c>
      <c r="BP34" s="17">
        <v>0</v>
      </c>
      <c r="BQ34" s="17">
        <v>0.32467532467532467</v>
      </c>
      <c r="BR34" s="17">
        <v>0.32467532467532467</v>
      </c>
      <c r="BS34" s="17">
        <v>0.64935064935064934</v>
      </c>
      <c r="BT34" s="17">
        <v>0</v>
      </c>
      <c r="BU34" s="17">
        <v>0.64935064935064934</v>
      </c>
      <c r="BV34" s="17">
        <v>7.4675324675324672</v>
      </c>
      <c r="BW34" s="17">
        <v>0.32467532467532467</v>
      </c>
      <c r="BX34" s="17">
        <v>0</v>
      </c>
      <c r="BY34" s="17">
        <v>0.32467532467532467</v>
      </c>
      <c r="BZ34" s="17">
        <v>2.2727272727272729</v>
      </c>
      <c r="CA34" s="17">
        <v>0</v>
      </c>
      <c r="CB34" s="17">
        <v>0</v>
      </c>
      <c r="CC34" s="17">
        <v>0</v>
      </c>
      <c r="CD34" s="17">
        <v>0</v>
      </c>
      <c r="CE34" s="17">
        <v>0.97402597402597402</v>
      </c>
      <c r="CF34" s="17">
        <v>0</v>
      </c>
      <c r="CG34" s="17">
        <v>0</v>
      </c>
      <c r="CH34" s="17">
        <v>0</v>
      </c>
      <c r="CI34" s="17">
        <v>1.948051948051948</v>
      </c>
      <c r="CJ34" s="17">
        <v>5.1948051948051948</v>
      </c>
      <c r="CK34" s="17">
        <v>0.64935064935064934</v>
      </c>
      <c r="CL34" s="17">
        <v>0.64935064935064934</v>
      </c>
      <c r="CM34" s="17">
        <v>0</v>
      </c>
      <c r="CN34" s="17">
        <v>6.4935064935064926</v>
      </c>
      <c r="CO34" s="17">
        <v>0</v>
      </c>
      <c r="CP34" s="17">
        <v>0.64935064935064934</v>
      </c>
      <c r="CQ34" s="17">
        <v>0.64935064935064934</v>
      </c>
      <c r="CR34" s="17">
        <v>0</v>
      </c>
      <c r="CS34" s="17">
        <v>6.4935064935064926</v>
      </c>
      <c r="CT34" s="17">
        <v>0</v>
      </c>
      <c r="CU34" s="17">
        <v>0.32467532467532467</v>
      </c>
      <c r="CV34" s="17">
        <v>0</v>
      </c>
      <c r="CW34" s="17">
        <v>0</v>
      </c>
      <c r="CX34" s="17">
        <v>1.6233766233766231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0.32467532467532467</v>
      </c>
      <c r="DE34" s="17">
        <v>0.32467532467532467</v>
      </c>
      <c r="DF34" s="17">
        <v>0</v>
      </c>
      <c r="DG34" s="17">
        <v>0.64935064935064934</v>
      </c>
      <c r="DH34" s="17">
        <v>0</v>
      </c>
      <c r="DI34" s="17">
        <v>0.32467532467532467</v>
      </c>
      <c r="DJ34" s="17">
        <v>3.8961038961038961</v>
      </c>
      <c r="DK34" s="17">
        <v>0</v>
      </c>
      <c r="DL34" s="17">
        <v>0.97402597402597402</v>
      </c>
      <c r="DM34" s="17">
        <v>0</v>
      </c>
      <c r="DN34" s="17">
        <v>0</v>
      </c>
      <c r="DO34" s="17">
        <v>0</v>
      </c>
      <c r="DP34" s="17">
        <v>0</v>
      </c>
      <c r="DQ34" s="17">
        <v>35.714285714285715</v>
      </c>
    </row>
    <row r="35" spans="1:121">
      <c r="A35" s="2">
        <v>341</v>
      </c>
      <c r="B35" s="5" t="s">
        <v>14</v>
      </c>
      <c r="C35" s="5" t="s">
        <v>19</v>
      </c>
      <c r="D35" s="5">
        <v>7</v>
      </c>
      <c r="E35" s="5" t="s">
        <v>16</v>
      </c>
      <c r="F35" s="5">
        <v>1</v>
      </c>
      <c r="G35" s="1" t="s">
        <v>17</v>
      </c>
      <c r="H35" s="5">
        <v>51</v>
      </c>
      <c r="I35" s="5">
        <v>53</v>
      </c>
      <c r="J35" s="1">
        <v>51.31</v>
      </c>
      <c r="K35" s="5">
        <v>33.020000000000003</v>
      </c>
      <c r="L35" s="11">
        <v>53.078000000000003</v>
      </c>
      <c r="M35" s="11">
        <v>53.097999999999999</v>
      </c>
      <c r="N35" s="11">
        <v>53.088000000000001</v>
      </c>
      <c r="O35" s="4" t="s">
        <v>50</v>
      </c>
      <c r="P35" s="10">
        <v>19149</v>
      </c>
      <c r="Q35" s="6">
        <v>19.149000000000001</v>
      </c>
      <c r="R35" s="10">
        <v>289.63333333333304</v>
      </c>
      <c r="S35" s="5">
        <f t="shared" ref="S35:S67" si="8">P35-P34</f>
        <v>230</v>
      </c>
      <c r="T35" s="5">
        <f t="shared" si="6"/>
        <v>2</v>
      </c>
      <c r="U35" s="5" t="s">
        <v>94</v>
      </c>
      <c r="V35" s="5">
        <v>0.435</v>
      </c>
      <c r="W35" s="5">
        <v>19.099999999999994</v>
      </c>
      <c r="X35" s="5">
        <v>0.22</v>
      </c>
      <c r="Y35" s="5">
        <f t="shared" si="1"/>
        <v>4.2019999999999991</v>
      </c>
      <c r="Z35" s="10">
        <v>8171.2824919870518</v>
      </c>
      <c r="AA35" s="3">
        <v>257</v>
      </c>
      <c r="AB35" s="10">
        <f t="shared" si="2"/>
        <v>1148888.925602298</v>
      </c>
      <c r="AC35" s="12">
        <v>1.925</v>
      </c>
      <c r="AD35" s="10">
        <f t="shared" si="7"/>
        <v>640556318.61749458</v>
      </c>
      <c r="AI35" s="17">
        <f t="shared" si="5"/>
        <v>1.1673151750972763</v>
      </c>
      <c r="AJ35" s="17"/>
      <c r="AL35" s="17">
        <v>0</v>
      </c>
      <c r="AM35" s="17">
        <v>1.1673151750972763</v>
      </c>
      <c r="AN35" s="17">
        <v>2.3346303501945527</v>
      </c>
      <c r="AO35" s="17">
        <v>0</v>
      </c>
      <c r="AP35" s="17">
        <v>0</v>
      </c>
      <c r="AQ35" s="17">
        <v>0</v>
      </c>
      <c r="AR35" s="17">
        <v>0.77821011673151752</v>
      </c>
      <c r="AS35" s="17">
        <v>0.38910505836575876</v>
      </c>
      <c r="AT35" s="17">
        <v>0.77821011673151752</v>
      </c>
      <c r="AU35" s="17">
        <v>0</v>
      </c>
      <c r="AV35" s="17">
        <v>7.782101167315175</v>
      </c>
      <c r="AW35" s="17">
        <v>0</v>
      </c>
      <c r="AX35" s="17">
        <v>0.77821011673151752</v>
      </c>
      <c r="AY35" s="17">
        <v>0</v>
      </c>
      <c r="AZ35" s="17">
        <v>0.38910505836575876</v>
      </c>
      <c r="BA35" s="17">
        <v>0.38910505836575876</v>
      </c>
      <c r="BB35" s="17">
        <v>0</v>
      </c>
      <c r="BC35" s="17">
        <v>0</v>
      </c>
      <c r="BD35" s="17">
        <v>0</v>
      </c>
      <c r="BE35" s="17">
        <v>2.7237354085603114</v>
      </c>
      <c r="BF35" s="17">
        <v>3.5019455252918288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0.77821011673151752</v>
      </c>
      <c r="BM35" s="17">
        <v>0</v>
      </c>
      <c r="BN35" s="17">
        <v>0</v>
      </c>
      <c r="BO35" s="17">
        <v>0.38910505836575876</v>
      </c>
      <c r="BP35" s="17">
        <v>0.38910505836575876</v>
      </c>
      <c r="BQ35" s="17">
        <v>0</v>
      </c>
      <c r="BR35" s="17">
        <v>0.38910505836575876</v>
      </c>
      <c r="BS35" s="17">
        <v>0</v>
      </c>
      <c r="BT35" s="17">
        <v>0</v>
      </c>
      <c r="BU35" s="17">
        <v>0.77821011673151752</v>
      </c>
      <c r="BV35" s="17">
        <v>12.840466926070038</v>
      </c>
      <c r="BW35" s="17">
        <v>1.9455252918287937</v>
      </c>
      <c r="BX35" s="17">
        <v>0.38910505836575876</v>
      </c>
      <c r="BY35" s="17">
        <v>0</v>
      </c>
      <c r="BZ35" s="17">
        <v>1.1673151750972763</v>
      </c>
      <c r="CA35" s="17">
        <v>0</v>
      </c>
      <c r="CB35" s="17">
        <v>0</v>
      </c>
      <c r="CC35" s="17">
        <v>0</v>
      </c>
      <c r="CD35" s="17">
        <v>0</v>
      </c>
      <c r="CE35" s="17">
        <v>1.556420233463035</v>
      </c>
      <c r="CF35" s="17">
        <v>0</v>
      </c>
      <c r="CG35" s="17">
        <v>0</v>
      </c>
      <c r="CH35" s="17">
        <v>0</v>
      </c>
      <c r="CI35" s="17">
        <v>2.3346303501945527</v>
      </c>
      <c r="CJ35" s="17">
        <v>2.7237354085603114</v>
      </c>
      <c r="CK35" s="17">
        <v>1.1673151750972763</v>
      </c>
      <c r="CL35" s="17">
        <v>5.836575875486381</v>
      </c>
      <c r="CM35" s="17">
        <v>0</v>
      </c>
      <c r="CN35" s="17">
        <v>28.01556420233463</v>
      </c>
      <c r="CO35" s="17">
        <v>0</v>
      </c>
      <c r="CP35" s="17">
        <v>0.38910505836575876</v>
      </c>
      <c r="CQ35" s="17">
        <v>0</v>
      </c>
      <c r="CR35" s="17">
        <v>0</v>
      </c>
      <c r="CS35" s="17">
        <v>0</v>
      </c>
      <c r="CT35" s="17">
        <v>0</v>
      </c>
      <c r="CU35" s="17">
        <v>0.77821011673151752</v>
      </c>
      <c r="CV35" s="17">
        <v>0</v>
      </c>
      <c r="CW35" s="17">
        <v>0</v>
      </c>
      <c r="CX35" s="17">
        <v>6.2256809338521402</v>
      </c>
      <c r="CY35" s="17">
        <v>0</v>
      </c>
      <c r="CZ35" s="17">
        <v>1.1673151750972763</v>
      </c>
      <c r="DA35" s="17">
        <v>0</v>
      </c>
      <c r="DB35" s="17">
        <v>0.38910505836575876</v>
      </c>
      <c r="DC35" s="17">
        <v>0</v>
      </c>
      <c r="DD35" s="17">
        <v>0.77821011673151752</v>
      </c>
      <c r="DE35" s="17">
        <v>0</v>
      </c>
      <c r="DF35" s="17">
        <v>0</v>
      </c>
      <c r="DG35" s="17">
        <v>1.1673151750972763</v>
      </c>
      <c r="DH35" s="17">
        <v>2.3346303501945527</v>
      </c>
      <c r="DI35" s="17">
        <v>0</v>
      </c>
      <c r="DJ35" s="17">
        <v>3.1128404669260701</v>
      </c>
      <c r="DK35" s="17">
        <v>0.38910505836575876</v>
      </c>
      <c r="DL35" s="17">
        <v>0.38910505836575876</v>
      </c>
      <c r="DM35" s="17">
        <v>0</v>
      </c>
      <c r="DN35" s="17">
        <v>0</v>
      </c>
      <c r="DO35" s="17">
        <v>0.77821011673151752</v>
      </c>
      <c r="DP35" s="17">
        <v>0.38910505836575876</v>
      </c>
      <c r="DQ35" s="17">
        <v>4.6692607003891053</v>
      </c>
    </row>
    <row r="36" spans="1:121">
      <c r="A36" s="2">
        <v>341</v>
      </c>
      <c r="B36" s="5" t="s">
        <v>14</v>
      </c>
      <c r="C36" s="5" t="s">
        <v>19</v>
      </c>
      <c r="D36" s="5">
        <v>7</v>
      </c>
      <c r="E36" s="5" t="s">
        <v>16</v>
      </c>
      <c r="F36" s="5">
        <v>1</v>
      </c>
      <c r="G36" s="1" t="s">
        <v>17</v>
      </c>
      <c r="H36" s="5">
        <v>100</v>
      </c>
      <c r="I36" s="5">
        <v>102</v>
      </c>
      <c r="J36" s="1">
        <v>51.8</v>
      </c>
      <c r="K36" s="5">
        <v>34.020000000000003</v>
      </c>
      <c r="L36" s="11">
        <v>53.567999999999998</v>
      </c>
      <c r="M36" s="11">
        <v>53.588000000000001</v>
      </c>
      <c r="N36" s="11">
        <v>53.578000000000003</v>
      </c>
      <c r="O36" s="4" t="s">
        <v>51</v>
      </c>
      <c r="P36" s="10">
        <v>19363.5</v>
      </c>
      <c r="Q36" s="6">
        <v>19.363499999999998</v>
      </c>
      <c r="R36" s="10">
        <v>193.21666666666701</v>
      </c>
      <c r="S36" s="5">
        <f t="shared" si="8"/>
        <v>214.5</v>
      </c>
      <c r="T36" s="5">
        <f t="shared" si="6"/>
        <v>2</v>
      </c>
      <c r="U36" s="5" t="s">
        <v>93</v>
      </c>
      <c r="V36" s="5">
        <v>0.35399999999999998</v>
      </c>
      <c r="W36" s="5">
        <v>35.900000000000006</v>
      </c>
      <c r="X36" s="5">
        <v>0.22</v>
      </c>
      <c r="Y36" s="5">
        <f t="shared" si="1"/>
        <v>7.8980000000000015</v>
      </c>
      <c r="Z36" s="10">
        <v>8171.2824919870518</v>
      </c>
      <c r="AA36" s="3">
        <v>328</v>
      </c>
      <c r="AB36" s="10">
        <f t="shared" si="2"/>
        <v>958613.80102369934</v>
      </c>
      <c r="AC36" s="12">
        <v>1.925</v>
      </c>
      <c r="AD36" s="10">
        <f t="shared" si="7"/>
        <v>356548814.26484084</v>
      </c>
      <c r="AI36" s="17">
        <f t="shared" si="5"/>
        <v>1.8292682926829267</v>
      </c>
      <c r="AJ36" s="17"/>
      <c r="AL36" s="17">
        <v>2.7439024390243905</v>
      </c>
      <c r="AM36" s="17">
        <v>1.8292682926829267</v>
      </c>
      <c r="AN36" s="17">
        <v>3.0487804878048781</v>
      </c>
      <c r="AO36" s="17">
        <v>1.524390243902439</v>
      </c>
      <c r="AP36" s="17">
        <v>0</v>
      </c>
      <c r="AQ36" s="17">
        <v>3.3536585365853662</v>
      </c>
      <c r="AR36" s="17">
        <v>11.280487804878049</v>
      </c>
      <c r="AS36" s="17">
        <v>2.4390243902439024</v>
      </c>
      <c r="AT36" s="17">
        <v>0.3048780487804878</v>
      </c>
      <c r="AU36" s="17">
        <v>0</v>
      </c>
      <c r="AV36" s="17">
        <v>3.0487804878048781</v>
      </c>
      <c r="AW36" s="17">
        <v>0</v>
      </c>
      <c r="AX36" s="17">
        <v>0.3048780487804878</v>
      </c>
      <c r="AY36" s="17">
        <v>0</v>
      </c>
      <c r="AZ36" s="17">
        <v>0.91463414634146334</v>
      </c>
      <c r="BA36" s="17">
        <v>0</v>
      </c>
      <c r="BB36" s="17">
        <v>0</v>
      </c>
      <c r="BC36" s="17">
        <v>0</v>
      </c>
      <c r="BD36" s="17">
        <v>0</v>
      </c>
      <c r="BE36" s="17">
        <v>0.3048780487804878</v>
      </c>
      <c r="BF36" s="17">
        <v>6.0975609756097562</v>
      </c>
      <c r="BG36" s="17">
        <v>0</v>
      </c>
      <c r="BH36" s="17">
        <v>0</v>
      </c>
      <c r="BI36" s="17">
        <v>0</v>
      </c>
      <c r="BJ36" s="17">
        <v>0</v>
      </c>
      <c r="BK36" s="17">
        <v>0.6097560975609756</v>
      </c>
      <c r="BL36" s="17">
        <v>1.2195121951219512</v>
      </c>
      <c r="BM36" s="17">
        <v>0</v>
      </c>
      <c r="BN36" s="17">
        <v>0</v>
      </c>
      <c r="BO36" s="17">
        <v>0</v>
      </c>
      <c r="BP36" s="17">
        <v>1.8292682926829267</v>
      </c>
      <c r="BQ36" s="17">
        <v>0</v>
      </c>
      <c r="BR36" s="17">
        <v>0</v>
      </c>
      <c r="BS36" s="17">
        <v>0</v>
      </c>
      <c r="BT36" s="17">
        <v>0</v>
      </c>
      <c r="BU36" s="17">
        <v>1.2195121951219512</v>
      </c>
      <c r="BV36" s="17">
        <v>2.7439024390243905</v>
      </c>
      <c r="BW36" s="17">
        <v>0.6097560975609756</v>
      </c>
      <c r="BX36" s="17">
        <v>0.3048780487804878</v>
      </c>
      <c r="BY36" s="17">
        <v>0.6097560975609756</v>
      </c>
      <c r="BZ36" s="17">
        <v>2.1341463414634148</v>
      </c>
      <c r="CA36" s="17">
        <v>0</v>
      </c>
      <c r="CB36" s="17">
        <v>0</v>
      </c>
      <c r="CC36" s="17">
        <v>0.3048780487804878</v>
      </c>
      <c r="CD36" s="17">
        <v>0</v>
      </c>
      <c r="CE36" s="17">
        <v>0.91463414634146334</v>
      </c>
      <c r="CF36" s="17">
        <v>0</v>
      </c>
      <c r="CG36" s="17">
        <v>0</v>
      </c>
      <c r="CH36" s="17">
        <v>0</v>
      </c>
      <c r="CI36" s="17">
        <v>1.524390243902439</v>
      </c>
      <c r="CJ36" s="17">
        <v>3.0487804878048781</v>
      </c>
      <c r="CK36" s="17">
        <v>0</v>
      </c>
      <c r="CL36" s="17">
        <v>1.8292682926829267</v>
      </c>
      <c r="CM36" s="17">
        <v>0</v>
      </c>
      <c r="CN36" s="17">
        <v>24.085365853658537</v>
      </c>
      <c r="CO36" s="17">
        <v>0</v>
      </c>
      <c r="CP36" s="17">
        <v>1.2195121951219512</v>
      </c>
      <c r="CQ36" s="17">
        <v>0</v>
      </c>
      <c r="CR36" s="17">
        <v>3.9634146341463414</v>
      </c>
      <c r="CS36" s="17">
        <v>0</v>
      </c>
      <c r="CT36" s="17">
        <v>0</v>
      </c>
      <c r="CU36" s="17">
        <v>0.6097560975609756</v>
      </c>
      <c r="CV36" s="17">
        <v>0</v>
      </c>
      <c r="CW36" s="17">
        <v>0.6097560975609756</v>
      </c>
      <c r="CX36" s="17">
        <v>0.91463414634146334</v>
      </c>
      <c r="CY36" s="17">
        <v>0</v>
      </c>
      <c r="CZ36" s="17">
        <v>0</v>
      </c>
      <c r="DA36" s="17">
        <v>0</v>
      </c>
      <c r="DB36" s="17">
        <v>0.91463414634146334</v>
      </c>
      <c r="DC36" s="17">
        <v>0</v>
      </c>
      <c r="DD36" s="17">
        <v>0</v>
      </c>
      <c r="DE36" s="17">
        <v>0</v>
      </c>
      <c r="DF36" s="17">
        <v>0.6097560975609756</v>
      </c>
      <c r="DG36" s="17">
        <v>0.3048780487804878</v>
      </c>
      <c r="DH36" s="17">
        <v>1.2195121951219512</v>
      </c>
      <c r="DI36" s="17">
        <v>1.524390243902439</v>
      </c>
      <c r="DJ36" s="17">
        <v>4.8780487804878048</v>
      </c>
      <c r="DK36" s="17">
        <v>0</v>
      </c>
      <c r="DL36" s="17">
        <v>0</v>
      </c>
      <c r="DM36" s="17">
        <v>0</v>
      </c>
      <c r="DN36" s="17">
        <v>0</v>
      </c>
      <c r="DO36" s="17">
        <v>2.7439024390243905</v>
      </c>
      <c r="DP36" s="17">
        <v>0.3048780487804878</v>
      </c>
      <c r="DQ36" s="17">
        <v>26.219512195121951</v>
      </c>
    </row>
    <row r="37" spans="1:121">
      <c r="A37" s="2">
        <v>341</v>
      </c>
      <c r="B37" s="1" t="s">
        <v>14</v>
      </c>
      <c r="C37" s="1" t="s">
        <v>19</v>
      </c>
      <c r="D37" s="1">
        <v>7</v>
      </c>
      <c r="E37" s="1" t="s">
        <v>16</v>
      </c>
      <c r="F37" s="1">
        <v>2</v>
      </c>
      <c r="G37" s="1" t="s">
        <v>17</v>
      </c>
      <c r="H37" s="2">
        <v>35</v>
      </c>
      <c r="I37" s="5">
        <v>36</v>
      </c>
      <c r="J37" s="1">
        <v>52.65</v>
      </c>
      <c r="K37" s="5">
        <v>35.020000000000003</v>
      </c>
      <c r="L37" s="11">
        <v>54.417999999999999</v>
      </c>
      <c r="M37" s="11">
        <v>54.468000000000004</v>
      </c>
      <c r="N37" s="11">
        <v>54.442999999999998</v>
      </c>
      <c r="O37" s="1" t="s">
        <v>98</v>
      </c>
      <c r="P37" s="10">
        <v>19862</v>
      </c>
      <c r="Q37" s="6">
        <v>19.861999999999998</v>
      </c>
      <c r="R37" s="10">
        <v>174.166666666666</v>
      </c>
      <c r="S37" s="10">
        <f t="shared" si="8"/>
        <v>498.5</v>
      </c>
      <c r="T37" s="5">
        <f t="shared" si="6"/>
        <v>1</v>
      </c>
      <c r="U37" s="5"/>
      <c r="V37" s="5">
        <v>0.70199999999999996</v>
      </c>
      <c r="W37" s="19">
        <f>(103.1-95)+(104.9-100)+(105-97.6)</f>
        <v>20.400000000000006</v>
      </c>
      <c r="X37" s="5">
        <v>0.22</v>
      </c>
      <c r="Y37" s="5">
        <f t="shared" si="1"/>
        <v>4.4880000000000013</v>
      </c>
      <c r="Z37" s="10">
        <v>8171.2824919870518</v>
      </c>
      <c r="AA37" s="10">
        <v>304</v>
      </c>
      <c r="AB37" s="10">
        <f t="shared" si="2"/>
        <v>788449.43831352214</v>
      </c>
      <c r="AC37" s="1">
        <v>1.5171289999999999</v>
      </c>
      <c r="AD37" s="10">
        <f t="shared" si="7"/>
        <v>208334597.62576881</v>
      </c>
      <c r="AI37" s="17">
        <f t="shared" si="5"/>
        <v>7.2368421052631575</v>
      </c>
      <c r="AJ37" s="17"/>
      <c r="AL37" s="17">
        <v>2.9605263157894735</v>
      </c>
      <c r="AM37" s="17">
        <v>2.9605263157894735</v>
      </c>
      <c r="AN37" s="17">
        <v>13.157894736842104</v>
      </c>
      <c r="AO37" s="17">
        <v>0.6578947368421052</v>
      </c>
      <c r="AP37" s="17">
        <v>0</v>
      </c>
      <c r="AQ37" s="17">
        <v>0.3289473684210526</v>
      </c>
      <c r="AR37" s="17">
        <v>6.5789473684210522</v>
      </c>
      <c r="AS37" s="17">
        <v>6.9078947368421062</v>
      </c>
      <c r="AT37" s="17">
        <v>1.6447368421052631</v>
      </c>
      <c r="AU37" s="17">
        <v>0.3289473684210526</v>
      </c>
      <c r="AV37" s="17">
        <v>4.6052631578947363</v>
      </c>
      <c r="AW37" s="17">
        <v>0</v>
      </c>
      <c r="AX37" s="17">
        <v>1.6447368421052631</v>
      </c>
      <c r="AY37" s="17">
        <v>0</v>
      </c>
      <c r="AZ37" s="17">
        <v>0.3289473684210526</v>
      </c>
      <c r="BA37" s="17">
        <v>0.3289473684210526</v>
      </c>
      <c r="BB37" s="17">
        <v>0</v>
      </c>
      <c r="BC37" s="17">
        <v>0.98684210526315785</v>
      </c>
      <c r="BD37" s="17">
        <v>0.3289473684210526</v>
      </c>
      <c r="BE37" s="17">
        <v>0.6578947368421052</v>
      </c>
      <c r="BF37" s="17">
        <v>0.6578947368421052</v>
      </c>
      <c r="BG37" s="17">
        <v>0</v>
      </c>
      <c r="BH37" s="17">
        <v>0.3289473684210526</v>
      </c>
      <c r="BI37" s="17">
        <v>0.3289473684210526</v>
      </c>
      <c r="BJ37" s="17">
        <v>0</v>
      </c>
      <c r="BK37" s="17">
        <v>0.6578947368421052</v>
      </c>
      <c r="BL37" s="17">
        <v>1.3157894736842104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1.3157894736842104</v>
      </c>
      <c r="BV37" s="17">
        <v>5.9210526315789469</v>
      </c>
      <c r="BW37" s="17">
        <v>0.3289473684210526</v>
      </c>
      <c r="BX37" s="17">
        <v>0.98684210526315785</v>
      </c>
      <c r="BY37" s="17">
        <v>0</v>
      </c>
      <c r="BZ37" s="17">
        <v>2.3026315789473681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0.6578947368421052</v>
      </c>
      <c r="CG37" s="17">
        <v>0.6578947368421052</v>
      </c>
      <c r="CH37" s="17">
        <v>0</v>
      </c>
      <c r="CI37" s="17">
        <v>0.6578947368421052</v>
      </c>
      <c r="CJ37" s="17">
        <v>9.5394736842105274</v>
      </c>
      <c r="CK37" s="17">
        <v>0</v>
      </c>
      <c r="CL37" s="17">
        <v>1.3157894736842104</v>
      </c>
      <c r="CM37" s="17">
        <v>0</v>
      </c>
      <c r="CN37" s="17">
        <v>13.486842105263158</v>
      </c>
      <c r="CO37" s="17">
        <v>0</v>
      </c>
      <c r="CP37" s="17">
        <v>0.98684210526315785</v>
      </c>
      <c r="CQ37" s="17">
        <v>0</v>
      </c>
      <c r="CR37" s="17">
        <v>0</v>
      </c>
      <c r="CS37" s="17">
        <v>4.9342105263157894</v>
      </c>
      <c r="CT37" s="17">
        <v>0</v>
      </c>
      <c r="CU37" s="17">
        <v>0</v>
      </c>
      <c r="CV37" s="17">
        <v>0</v>
      </c>
      <c r="CW37" s="17">
        <v>0</v>
      </c>
      <c r="CX37" s="17">
        <v>0.98684210526315785</v>
      </c>
      <c r="CY37" s="17">
        <v>0.98684210526315785</v>
      </c>
      <c r="CZ37" s="17">
        <v>0.3289473684210526</v>
      </c>
      <c r="DA37" s="17">
        <v>0</v>
      </c>
      <c r="DB37" s="17">
        <v>1.6447368421052631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0.6578947368421052</v>
      </c>
      <c r="DI37" s="17">
        <v>0</v>
      </c>
      <c r="DJ37" s="17">
        <v>1.3157894736842104</v>
      </c>
      <c r="DK37" s="17">
        <v>2.3026315789473681</v>
      </c>
      <c r="DL37" s="17">
        <v>0</v>
      </c>
      <c r="DM37" s="17">
        <v>0</v>
      </c>
      <c r="DN37" s="17">
        <v>0.6578947368421052</v>
      </c>
      <c r="DO37" s="17">
        <v>0.3289473684210526</v>
      </c>
      <c r="DP37" s="17">
        <v>0</v>
      </c>
      <c r="DQ37" s="17">
        <v>33.55263157894737</v>
      </c>
    </row>
    <row r="38" spans="1:121">
      <c r="A38" s="2">
        <v>341</v>
      </c>
      <c r="B38" s="5" t="s">
        <v>14</v>
      </c>
      <c r="C38" s="5" t="s">
        <v>19</v>
      </c>
      <c r="D38" s="5">
        <v>7</v>
      </c>
      <c r="E38" s="5" t="s">
        <v>16</v>
      </c>
      <c r="F38" s="5">
        <v>2</v>
      </c>
      <c r="G38" s="1" t="s">
        <v>17</v>
      </c>
      <c r="H38" s="5">
        <v>100</v>
      </c>
      <c r="I38" s="5">
        <v>102</v>
      </c>
      <c r="J38" s="1">
        <v>53.3</v>
      </c>
      <c r="K38" s="5">
        <v>36.020000000000003</v>
      </c>
      <c r="L38" s="11">
        <v>55.067999999999998</v>
      </c>
      <c r="M38" s="11">
        <v>55.088000000000001</v>
      </c>
      <c r="N38" s="11">
        <v>55.078000000000003</v>
      </c>
      <c r="O38" s="2" t="s">
        <v>52</v>
      </c>
      <c r="P38" s="10">
        <v>20222</v>
      </c>
      <c r="Q38" s="6">
        <v>20.222000000000001</v>
      </c>
      <c r="R38" s="10">
        <v>174.166666666666</v>
      </c>
      <c r="S38" s="10">
        <f t="shared" si="8"/>
        <v>360</v>
      </c>
      <c r="T38" s="5">
        <f t="shared" si="6"/>
        <v>2</v>
      </c>
      <c r="U38" s="5" t="s">
        <v>93</v>
      </c>
      <c r="V38" s="5">
        <v>0.33700000000000002</v>
      </c>
      <c r="W38" s="5">
        <v>118.10000000000001</v>
      </c>
      <c r="X38" s="5">
        <v>0.22</v>
      </c>
      <c r="Y38" s="5">
        <f t="shared" si="1"/>
        <v>25.982000000000003</v>
      </c>
      <c r="Z38" s="10">
        <v>8171.2824919870518</v>
      </c>
      <c r="AA38" s="10">
        <v>308</v>
      </c>
      <c r="AB38" s="10">
        <f t="shared" si="2"/>
        <v>287434.21404638403</v>
      </c>
      <c r="AC38" s="12">
        <v>1.925</v>
      </c>
      <c r="AD38" s="10">
        <f t="shared" si="7"/>
        <v>96368308.471842527</v>
      </c>
      <c r="AI38" s="17">
        <f t="shared" si="5"/>
        <v>3.5714285714285712</v>
      </c>
      <c r="AJ38" s="17"/>
      <c r="AL38" s="17">
        <v>2.5974025974025974</v>
      </c>
      <c r="AM38" s="17">
        <v>0.32467532467532467</v>
      </c>
      <c r="AN38" s="17">
        <v>2.5974025974025974</v>
      </c>
      <c r="AO38" s="17">
        <v>0.64935064935064934</v>
      </c>
      <c r="AP38" s="17">
        <v>0</v>
      </c>
      <c r="AQ38" s="17">
        <v>0.64935064935064934</v>
      </c>
      <c r="AR38" s="17">
        <v>3.5714285714285712</v>
      </c>
      <c r="AS38" s="17">
        <v>2.5974025974025974</v>
      </c>
      <c r="AT38" s="17">
        <v>0.64935064935064934</v>
      </c>
      <c r="AU38" s="17">
        <v>0</v>
      </c>
      <c r="AV38" s="17">
        <v>8.7662337662337659</v>
      </c>
      <c r="AW38" s="17">
        <v>0</v>
      </c>
      <c r="AX38" s="17">
        <v>1.2987012987012987</v>
      </c>
      <c r="AY38" s="17">
        <v>0</v>
      </c>
      <c r="AZ38" s="17">
        <v>0</v>
      </c>
      <c r="BA38" s="17">
        <v>0.32467532467532467</v>
      </c>
      <c r="BB38" s="17">
        <v>0</v>
      </c>
      <c r="BC38" s="17">
        <v>0</v>
      </c>
      <c r="BD38" s="17">
        <v>0</v>
      </c>
      <c r="BE38" s="17">
        <v>0.32467532467532467</v>
      </c>
      <c r="BF38" s="17">
        <v>0.64935064935064934</v>
      </c>
      <c r="BG38" s="17">
        <v>0</v>
      </c>
      <c r="BH38" s="17">
        <v>2.2727272727272729</v>
      </c>
      <c r="BI38" s="17">
        <v>0.32467532467532467</v>
      </c>
      <c r="BJ38" s="17">
        <v>0</v>
      </c>
      <c r="BK38" s="17">
        <v>2.2727272727272729</v>
      </c>
      <c r="BL38" s="17">
        <v>0.97402597402597402</v>
      </c>
      <c r="BM38" s="17">
        <v>0</v>
      </c>
      <c r="BN38" s="17">
        <v>0</v>
      </c>
      <c r="BO38" s="17">
        <v>0</v>
      </c>
      <c r="BP38" s="17">
        <v>2.5974025974025974</v>
      </c>
      <c r="BQ38" s="17">
        <v>0</v>
      </c>
      <c r="BR38" s="17">
        <v>0</v>
      </c>
      <c r="BS38" s="17">
        <v>0.64935064935064934</v>
      </c>
      <c r="BT38" s="17">
        <v>0</v>
      </c>
      <c r="BU38" s="17">
        <v>0.97402597402597402</v>
      </c>
      <c r="BV38" s="17">
        <v>4.220779220779221</v>
      </c>
      <c r="BW38" s="17">
        <v>0.64935064935064934</v>
      </c>
      <c r="BX38" s="17">
        <v>0.32467532467532467</v>
      </c>
      <c r="BY38" s="17">
        <v>0.32467532467532467</v>
      </c>
      <c r="BZ38" s="17">
        <v>2.5974025974025974</v>
      </c>
      <c r="CA38" s="17">
        <v>0</v>
      </c>
      <c r="CB38" s="17">
        <v>0</v>
      </c>
      <c r="CC38" s="17">
        <v>0.32467532467532467</v>
      </c>
      <c r="CD38" s="17">
        <v>0</v>
      </c>
      <c r="CE38" s="17">
        <v>0.64935064935064934</v>
      </c>
      <c r="CF38" s="17">
        <v>0</v>
      </c>
      <c r="CG38" s="17">
        <v>0</v>
      </c>
      <c r="CH38" s="17">
        <v>0</v>
      </c>
      <c r="CI38" s="17">
        <v>1.6233766233766231</v>
      </c>
      <c r="CJ38" s="17">
        <v>2.2727272727272729</v>
      </c>
      <c r="CK38" s="17">
        <v>0.64935064935064934</v>
      </c>
      <c r="CL38" s="17">
        <v>0.64935064935064934</v>
      </c>
      <c r="CM38" s="17">
        <v>0</v>
      </c>
      <c r="CN38" s="17">
        <v>33.116883116883116</v>
      </c>
      <c r="CO38" s="17">
        <v>0</v>
      </c>
      <c r="CP38" s="17">
        <v>0.32467532467532467</v>
      </c>
      <c r="CQ38" s="17">
        <v>0</v>
      </c>
      <c r="CR38" s="17">
        <v>0.97402597402597402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1.948051948051948</v>
      </c>
      <c r="CY38" s="17">
        <v>1.6233766233766231</v>
      </c>
      <c r="CZ38" s="17">
        <v>1.2987012987012987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1.948051948051948</v>
      </c>
      <c r="DJ38" s="17">
        <v>4.8701298701298708</v>
      </c>
      <c r="DK38" s="17">
        <v>1.948051948051948</v>
      </c>
      <c r="DL38" s="17">
        <v>1.948051948051948</v>
      </c>
      <c r="DM38" s="17">
        <v>0</v>
      </c>
      <c r="DN38" s="17">
        <v>0</v>
      </c>
      <c r="DO38" s="17">
        <v>0.64935064935064934</v>
      </c>
      <c r="DP38" s="17">
        <v>0</v>
      </c>
      <c r="DQ38" s="17">
        <v>12.987012987012987</v>
      </c>
    </row>
    <row r="39" spans="1:121">
      <c r="A39" s="2">
        <v>341</v>
      </c>
      <c r="B39" s="5" t="s">
        <v>14</v>
      </c>
      <c r="C39" s="5" t="s">
        <v>19</v>
      </c>
      <c r="D39" s="5">
        <v>7</v>
      </c>
      <c r="E39" s="5" t="s">
        <v>16</v>
      </c>
      <c r="F39" s="5">
        <v>3</v>
      </c>
      <c r="G39" s="1" t="s">
        <v>17</v>
      </c>
      <c r="H39" s="5">
        <v>51</v>
      </c>
      <c r="I39" s="5">
        <v>53</v>
      </c>
      <c r="J39" s="5">
        <v>54.31</v>
      </c>
      <c r="K39" s="5">
        <v>37.020000000000003</v>
      </c>
      <c r="L39" s="11">
        <v>56.078000000000003</v>
      </c>
      <c r="M39" s="11">
        <v>56.097999999999999</v>
      </c>
      <c r="N39" s="11">
        <v>56.088000000000001</v>
      </c>
      <c r="O39" s="2" t="s">
        <v>53</v>
      </c>
      <c r="P39" s="10">
        <v>20800</v>
      </c>
      <c r="Q39" s="6">
        <v>20.8</v>
      </c>
      <c r="R39" s="10">
        <v>96.671052631578704</v>
      </c>
      <c r="S39" s="5">
        <f t="shared" si="8"/>
        <v>578</v>
      </c>
      <c r="T39" s="5">
        <f t="shared" si="6"/>
        <v>2</v>
      </c>
      <c r="U39" s="5"/>
      <c r="V39" s="5">
        <v>0.71799999999999997</v>
      </c>
      <c r="W39" s="5">
        <f>(115.6-91.8)+(102.5-91.7)+(107.8-106.4)+(113.1-109.3)+(115.4-91.7)+(115.4-91.7)+(115.4-91.6)+(115.4-105.4)+(99-91.6)</f>
        <v>128.4</v>
      </c>
      <c r="X39" s="5">
        <v>0.22</v>
      </c>
      <c r="Y39" s="5">
        <f t="shared" si="1"/>
        <v>28.248000000000001</v>
      </c>
      <c r="Z39" s="10">
        <v>8171.2824919870518</v>
      </c>
      <c r="AA39" s="10">
        <v>304</v>
      </c>
      <c r="AB39" s="10">
        <f t="shared" si="2"/>
        <v>122476.18770772361</v>
      </c>
      <c r="AC39" s="12">
        <v>1.5169999999999999</v>
      </c>
      <c r="AD39" s="10">
        <f t="shared" si="7"/>
        <v>17961131.315808836</v>
      </c>
      <c r="AI39" s="17">
        <f t="shared" si="5"/>
        <v>3.947368421052631</v>
      </c>
      <c r="AJ39" s="17"/>
      <c r="AL39" s="17">
        <v>6.25</v>
      </c>
      <c r="AM39" s="17">
        <v>4.9342105263157894</v>
      </c>
      <c r="AN39" s="17">
        <v>6.5789473684210522</v>
      </c>
      <c r="AO39" s="17">
        <v>8.2236842105263168</v>
      </c>
      <c r="AP39" s="17">
        <v>0</v>
      </c>
      <c r="AQ39" s="17">
        <v>0</v>
      </c>
      <c r="AR39" s="17">
        <v>7.8947368421052628</v>
      </c>
      <c r="AS39" s="17">
        <v>2.6315789473684208</v>
      </c>
      <c r="AT39" s="17">
        <v>2.9605263157894735</v>
      </c>
      <c r="AU39" s="17">
        <v>0.3289473684210526</v>
      </c>
      <c r="AV39" s="17">
        <v>0.6578947368421052</v>
      </c>
      <c r="AW39" s="17">
        <v>0</v>
      </c>
      <c r="AX39" s="17">
        <v>0</v>
      </c>
      <c r="AY39" s="17">
        <v>0</v>
      </c>
      <c r="AZ39" s="17">
        <v>0.3289473684210526</v>
      </c>
      <c r="BA39" s="17">
        <v>0</v>
      </c>
      <c r="BB39" s="17">
        <v>0</v>
      </c>
      <c r="BC39" s="17">
        <v>0.98684210526315785</v>
      </c>
      <c r="BD39" s="17">
        <v>0</v>
      </c>
      <c r="BE39" s="17">
        <v>0.98684210526315785</v>
      </c>
      <c r="BF39" s="17">
        <v>0.3289473684210526</v>
      </c>
      <c r="BG39" s="17">
        <v>0</v>
      </c>
      <c r="BH39" s="17">
        <v>9.2105263157894726</v>
      </c>
      <c r="BI39" s="17">
        <v>0</v>
      </c>
      <c r="BJ39" s="17">
        <v>0</v>
      </c>
      <c r="BK39" s="17">
        <v>1.3157894736842104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0.3289473684210526</v>
      </c>
      <c r="BT39" s="17">
        <v>1.9736842105263157</v>
      </c>
      <c r="BU39" s="17">
        <v>0.3289473684210526</v>
      </c>
      <c r="BV39" s="17">
        <v>3.2894736842105261</v>
      </c>
      <c r="BW39" s="17">
        <v>0</v>
      </c>
      <c r="BX39" s="17">
        <v>0</v>
      </c>
      <c r="BY39" s="17">
        <v>1.9736842105263157</v>
      </c>
      <c r="BZ39" s="17">
        <v>1.9736842105263157</v>
      </c>
      <c r="CA39" s="17">
        <v>0</v>
      </c>
      <c r="CB39" s="17">
        <v>0</v>
      </c>
      <c r="CC39" s="17">
        <v>0.98684210526315785</v>
      </c>
      <c r="CD39" s="17">
        <v>0</v>
      </c>
      <c r="CE39" s="17">
        <v>1.6447368421052631</v>
      </c>
      <c r="CF39" s="17">
        <v>0</v>
      </c>
      <c r="CG39" s="17">
        <v>0</v>
      </c>
      <c r="CH39" s="17">
        <v>0</v>
      </c>
      <c r="CI39" s="17">
        <v>0.6578947368421052</v>
      </c>
      <c r="CJ39" s="17">
        <v>12.5</v>
      </c>
      <c r="CK39" s="17">
        <v>0.6578947368421052</v>
      </c>
      <c r="CL39" s="17">
        <v>0.6578947368421052</v>
      </c>
      <c r="CM39" s="17">
        <v>0</v>
      </c>
      <c r="CN39" s="17">
        <v>7.8947368421052628</v>
      </c>
      <c r="CO39" s="17">
        <v>0</v>
      </c>
      <c r="CP39" s="17">
        <v>0</v>
      </c>
      <c r="CQ39" s="17">
        <v>0</v>
      </c>
      <c r="CR39" s="17">
        <v>0</v>
      </c>
      <c r="CS39" s="17">
        <v>2.6315789473684208</v>
      </c>
      <c r="CT39" s="17">
        <v>0</v>
      </c>
      <c r="CU39" s="17">
        <v>0</v>
      </c>
      <c r="CV39" s="17">
        <v>0</v>
      </c>
      <c r="CW39" s="17">
        <v>0</v>
      </c>
      <c r="CX39" s="17">
        <v>1.6447368421052631</v>
      </c>
      <c r="CY39" s="17">
        <v>0.3289473684210526</v>
      </c>
      <c r="CZ39" s="17">
        <v>0</v>
      </c>
      <c r="DA39" s="17">
        <v>0</v>
      </c>
      <c r="DB39" s="17">
        <v>0</v>
      </c>
      <c r="DC39" s="17">
        <v>0.3289473684210526</v>
      </c>
      <c r="DD39" s="17">
        <v>0</v>
      </c>
      <c r="DE39" s="17">
        <v>0</v>
      </c>
      <c r="DF39" s="17">
        <v>0</v>
      </c>
      <c r="DG39" s="17">
        <v>0.3289473684210526</v>
      </c>
      <c r="DH39" s="17">
        <v>0.3289473684210526</v>
      </c>
      <c r="DI39" s="17">
        <v>0.98684210526315785</v>
      </c>
      <c r="DJ39" s="17">
        <v>0.98684210526315785</v>
      </c>
      <c r="DK39" s="17">
        <v>0.98684210526315785</v>
      </c>
      <c r="DL39" s="17">
        <v>0.3289473684210526</v>
      </c>
      <c r="DM39" s="17">
        <v>0</v>
      </c>
      <c r="DN39" s="17">
        <v>0.3289473684210526</v>
      </c>
      <c r="DO39" s="17">
        <v>1.6447368421052631</v>
      </c>
      <c r="DP39" s="17">
        <v>0.6578947368421052</v>
      </c>
      <c r="DQ39" s="17">
        <v>36.513157894736835</v>
      </c>
    </row>
    <row r="40" spans="1:121">
      <c r="A40" s="2">
        <v>341</v>
      </c>
      <c r="B40" s="5" t="s">
        <v>14</v>
      </c>
      <c r="C40" s="5" t="s">
        <v>19</v>
      </c>
      <c r="D40" s="5">
        <v>7</v>
      </c>
      <c r="E40" s="5" t="s">
        <v>16</v>
      </c>
      <c r="F40" s="5">
        <v>3</v>
      </c>
      <c r="G40" s="1" t="s">
        <v>17</v>
      </c>
      <c r="H40" s="5">
        <v>100</v>
      </c>
      <c r="I40" s="5">
        <v>102</v>
      </c>
      <c r="J40" s="5">
        <v>54.8</v>
      </c>
      <c r="K40" s="5">
        <v>38.020000000000003</v>
      </c>
      <c r="L40" s="11">
        <v>56.567999999999998</v>
      </c>
      <c r="M40" s="11">
        <v>56.588000000000001</v>
      </c>
      <c r="N40" s="11">
        <v>56.578000000000003</v>
      </c>
      <c r="O40" s="2" t="s">
        <v>54</v>
      </c>
      <c r="P40" s="10">
        <v>21082</v>
      </c>
      <c r="Q40" s="6">
        <v>21.082000000000001</v>
      </c>
      <c r="R40" s="10">
        <v>96.671052631578704</v>
      </c>
      <c r="S40" s="5">
        <f t="shared" si="8"/>
        <v>282</v>
      </c>
      <c r="T40" s="5">
        <f t="shared" si="6"/>
        <v>2</v>
      </c>
      <c r="U40" s="5"/>
      <c r="V40" s="5">
        <v>0.69099999999999995</v>
      </c>
      <c r="W40" s="5">
        <f>(116.2-92.5)+(116-92.4)+(116.1-92.4)+(116.1-92.4)+(116.1-92.5)</f>
        <v>118.29999999999997</v>
      </c>
      <c r="X40" s="5">
        <v>0.22</v>
      </c>
      <c r="Y40" s="5">
        <f t="shared" si="1"/>
        <v>26.025999999999993</v>
      </c>
      <c r="Z40" s="10">
        <v>8171.2824919870518</v>
      </c>
      <c r="AA40" s="10">
        <v>327</v>
      </c>
      <c r="AB40" s="10">
        <f t="shared" si="2"/>
        <v>148577.31464126249</v>
      </c>
      <c r="AC40" s="12">
        <v>1.5169999999999999</v>
      </c>
      <c r="AD40" s="10">
        <f t="shared" si="7"/>
        <v>21788861.237176422</v>
      </c>
      <c r="AI40" s="17">
        <f t="shared" si="5"/>
        <v>6.1162079510703364</v>
      </c>
      <c r="AJ40" s="17"/>
      <c r="AL40" s="17">
        <v>0</v>
      </c>
      <c r="AM40" s="17">
        <v>2.4464831804281344</v>
      </c>
      <c r="AN40" s="17">
        <v>5.81039755351682</v>
      </c>
      <c r="AO40" s="17">
        <v>2.7522935779816518</v>
      </c>
      <c r="AP40" s="17">
        <v>0</v>
      </c>
      <c r="AQ40" s="17">
        <v>0</v>
      </c>
      <c r="AR40" s="17">
        <v>7.3394495412844041</v>
      </c>
      <c r="AS40" s="17">
        <v>2.4464831804281344</v>
      </c>
      <c r="AT40" s="17">
        <v>2.4464831804281344</v>
      </c>
      <c r="AU40" s="17">
        <v>0.3058103975535168</v>
      </c>
      <c r="AV40" s="17">
        <v>1.2232415902140672</v>
      </c>
      <c r="AW40" s="17">
        <v>0.3058103975535168</v>
      </c>
      <c r="AX40" s="17">
        <v>3.0581039755351682</v>
      </c>
      <c r="AY40" s="17">
        <v>0</v>
      </c>
      <c r="AZ40" s="17">
        <v>0.3058103975535168</v>
      </c>
      <c r="BA40" s="17">
        <v>0.6116207951070336</v>
      </c>
      <c r="BB40" s="17">
        <v>0</v>
      </c>
      <c r="BC40" s="17">
        <v>0.6116207951070336</v>
      </c>
      <c r="BD40" s="17">
        <v>0.3058103975535168</v>
      </c>
      <c r="BE40" s="17">
        <v>1.2232415902140672</v>
      </c>
      <c r="BF40" s="17">
        <v>0</v>
      </c>
      <c r="BG40" s="17">
        <v>0</v>
      </c>
      <c r="BH40" s="17">
        <v>6.4220183486238538</v>
      </c>
      <c r="BI40" s="17">
        <v>0.6116207951070336</v>
      </c>
      <c r="BJ40" s="17">
        <v>0</v>
      </c>
      <c r="BK40" s="17">
        <v>0.3058103975535168</v>
      </c>
      <c r="BL40" s="17">
        <v>0.6116207951070336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0.6116207951070336</v>
      </c>
      <c r="BU40" s="17">
        <v>0</v>
      </c>
      <c r="BV40" s="17">
        <v>3.3639143730886847</v>
      </c>
      <c r="BW40" s="17">
        <v>0.6116207951070336</v>
      </c>
      <c r="BX40" s="17">
        <v>0.91743119266055051</v>
      </c>
      <c r="BY40" s="17">
        <v>4.8929663608562688</v>
      </c>
      <c r="BZ40" s="17">
        <v>1.834862385321101</v>
      </c>
      <c r="CA40" s="17">
        <v>0</v>
      </c>
      <c r="CB40" s="17">
        <v>0.3058103975535168</v>
      </c>
      <c r="CC40" s="17">
        <v>0</v>
      </c>
      <c r="CD40" s="17">
        <v>0</v>
      </c>
      <c r="CE40" s="17">
        <v>0.91743119266055051</v>
      </c>
      <c r="CF40" s="17">
        <v>0</v>
      </c>
      <c r="CG40" s="17">
        <v>0</v>
      </c>
      <c r="CH40" s="17">
        <v>0</v>
      </c>
      <c r="CI40" s="17">
        <v>0.3058103975535168</v>
      </c>
      <c r="CJ40" s="17">
        <v>12.538226299694188</v>
      </c>
      <c r="CK40" s="17">
        <v>1.834862385321101</v>
      </c>
      <c r="CL40" s="17">
        <v>11.009174311926607</v>
      </c>
      <c r="CM40" s="17">
        <v>0</v>
      </c>
      <c r="CN40" s="17">
        <v>7.0336391437308867</v>
      </c>
      <c r="CO40" s="17">
        <v>0.3058103975535168</v>
      </c>
      <c r="CP40" s="17">
        <v>0</v>
      </c>
      <c r="CQ40" s="17">
        <v>0</v>
      </c>
      <c r="CR40" s="17">
        <v>0</v>
      </c>
      <c r="CS40" s="17">
        <v>4.5871559633027523</v>
      </c>
      <c r="CT40" s="17">
        <v>0</v>
      </c>
      <c r="CU40" s="17">
        <v>0.3058103975535168</v>
      </c>
      <c r="CV40" s="17">
        <v>0</v>
      </c>
      <c r="CW40" s="17">
        <v>0</v>
      </c>
      <c r="CX40" s="17">
        <v>0.3058103975535168</v>
      </c>
      <c r="CY40" s="17">
        <v>0.91743119266055051</v>
      </c>
      <c r="CZ40" s="17">
        <v>0.3058103975535168</v>
      </c>
      <c r="DA40" s="17">
        <v>0</v>
      </c>
      <c r="DB40" s="17">
        <v>0.91743119266055051</v>
      </c>
      <c r="DC40" s="17">
        <v>0</v>
      </c>
      <c r="DD40" s="17">
        <v>0</v>
      </c>
      <c r="DE40" s="17">
        <v>0</v>
      </c>
      <c r="DF40" s="17">
        <v>0</v>
      </c>
      <c r="DG40" s="17">
        <v>0.3058103975535168</v>
      </c>
      <c r="DH40" s="17">
        <v>0.6116207951070336</v>
      </c>
      <c r="DI40" s="17">
        <v>1.2232415902140672</v>
      </c>
      <c r="DJ40" s="17">
        <v>1.2232415902140672</v>
      </c>
      <c r="DK40" s="17">
        <v>1.834862385321101</v>
      </c>
      <c r="DL40" s="17">
        <v>0.3058103975535168</v>
      </c>
      <c r="DM40" s="17">
        <v>0</v>
      </c>
      <c r="DN40" s="17">
        <v>0</v>
      </c>
      <c r="DO40" s="17">
        <v>1.5290519877675841</v>
      </c>
      <c r="DP40" s="17">
        <v>0</v>
      </c>
      <c r="DQ40" s="17">
        <v>20.795107033639145</v>
      </c>
    </row>
    <row r="41" spans="1:121">
      <c r="A41" s="2">
        <v>341</v>
      </c>
      <c r="B41" s="5" t="s">
        <v>14</v>
      </c>
      <c r="C41" s="5" t="s">
        <v>19</v>
      </c>
      <c r="D41" s="5">
        <v>7</v>
      </c>
      <c r="E41" s="5" t="s">
        <v>16</v>
      </c>
      <c r="F41" s="5">
        <v>3</v>
      </c>
      <c r="G41" s="1" t="s">
        <v>17</v>
      </c>
      <c r="H41" s="5">
        <v>147</v>
      </c>
      <c r="I41" s="5">
        <v>149</v>
      </c>
      <c r="J41" s="5">
        <v>55.27</v>
      </c>
      <c r="K41" s="5">
        <v>39.020000000000003</v>
      </c>
      <c r="L41" s="11">
        <v>57.037999999999997</v>
      </c>
      <c r="M41" s="11">
        <v>57.058</v>
      </c>
      <c r="N41" s="11">
        <v>57.048000000000002</v>
      </c>
      <c r="O41" s="2" t="s">
        <v>55</v>
      </c>
      <c r="P41" s="10">
        <v>21350</v>
      </c>
      <c r="Q41" s="6">
        <v>21.35</v>
      </c>
      <c r="R41" s="10">
        <v>96.671052631578704</v>
      </c>
      <c r="S41" s="5">
        <f t="shared" si="8"/>
        <v>268</v>
      </c>
      <c r="T41" s="5">
        <f t="shared" si="6"/>
        <v>2</v>
      </c>
      <c r="U41" s="5">
        <v>1</v>
      </c>
      <c r="V41" s="5">
        <v>0.29730000000000001</v>
      </c>
      <c r="W41" s="5">
        <f>(115.9-92)+(115.9-92)+(115.9-92)+(115.8-92.9)</f>
        <v>94.600000000000009</v>
      </c>
      <c r="X41" s="5">
        <v>0.22</v>
      </c>
      <c r="Y41" s="5">
        <f t="shared" si="1"/>
        <v>20.812000000000001</v>
      </c>
      <c r="Z41" s="10">
        <v>8171.2824919870518</v>
      </c>
      <c r="AA41" s="10">
        <v>346</v>
      </c>
      <c r="AB41" s="10">
        <f t="shared" si="2"/>
        <v>456938.33750786353</v>
      </c>
      <c r="AC41" s="12">
        <v>1.5169999999999999</v>
      </c>
      <c r="AD41" s="10">
        <f t="shared" si="7"/>
        <v>67010001.183181472</v>
      </c>
      <c r="AI41" s="17">
        <f t="shared" si="5"/>
        <v>2.0231213872832368</v>
      </c>
      <c r="AJ41" s="17"/>
      <c r="AL41" s="17">
        <v>4.0462427745664744</v>
      </c>
      <c r="AM41" s="17">
        <v>3.4682080924855487</v>
      </c>
      <c r="AN41" s="17">
        <v>7.2254335260115612</v>
      </c>
      <c r="AO41" s="17">
        <v>6.0693641618497107</v>
      </c>
      <c r="AP41" s="17">
        <v>0</v>
      </c>
      <c r="AQ41" s="17">
        <v>0</v>
      </c>
      <c r="AR41" s="17">
        <v>5.4913294797687859</v>
      </c>
      <c r="AS41" s="17">
        <v>2.601156069364162</v>
      </c>
      <c r="AT41" s="17">
        <v>0.28901734104046239</v>
      </c>
      <c r="AU41" s="17">
        <v>0</v>
      </c>
      <c r="AV41" s="17">
        <v>0.28901734104046239</v>
      </c>
      <c r="AW41" s="17">
        <v>0</v>
      </c>
      <c r="AX41" s="17">
        <v>0</v>
      </c>
      <c r="AY41" s="17">
        <v>0</v>
      </c>
      <c r="AZ41" s="17">
        <v>1.1560693641618496</v>
      </c>
      <c r="BA41" s="17">
        <v>0</v>
      </c>
      <c r="BB41" s="17">
        <v>0</v>
      </c>
      <c r="BC41" s="17">
        <v>0.28901734104046239</v>
      </c>
      <c r="BD41" s="17">
        <v>0.28901734104046239</v>
      </c>
      <c r="BE41" s="17">
        <v>4.3352601156069364</v>
      </c>
      <c r="BF41" s="17">
        <v>0.28901734104046239</v>
      </c>
      <c r="BG41" s="17">
        <v>0</v>
      </c>
      <c r="BH41" s="17">
        <v>13.005780346820808</v>
      </c>
      <c r="BI41" s="17">
        <v>0</v>
      </c>
      <c r="BJ41" s="17">
        <v>0</v>
      </c>
      <c r="BK41" s="17">
        <v>0.28901734104046239</v>
      </c>
      <c r="BL41" s="17">
        <v>0.57803468208092479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0.28901734104046239</v>
      </c>
      <c r="BT41" s="17">
        <v>0.28901734104046239</v>
      </c>
      <c r="BU41" s="17">
        <v>0</v>
      </c>
      <c r="BV41" s="17">
        <v>2.3121387283236992</v>
      </c>
      <c r="BW41" s="17">
        <v>0</v>
      </c>
      <c r="BX41" s="17">
        <v>0.57803468208092479</v>
      </c>
      <c r="BY41" s="17">
        <v>0.57803468208092479</v>
      </c>
      <c r="BZ41" s="17">
        <v>2.3121387283236992</v>
      </c>
      <c r="CA41" s="17">
        <v>0</v>
      </c>
      <c r="CB41" s="17">
        <v>0</v>
      </c>
      <c r="CC41" s="17">
        <v>0</v>
      </c>
      <c r="CD41" s="17">
        <v>0.28901734104046239</v>
      </c>
      <c r="CE41" s="17">
        <v>0.57803468208092479</v>
      </c>
      <c r="CF41" s="17">
        <v>0</v>
      </c>
      <c r="CG41" s="17">
        <v>0</v>
      </c>
      <c r="CH41" s="17">
        <v>0</v>
      </c>
      <c r="CI41" s="17">
        <v>0.28901734104046239</v>
      </c>
      <c r="CJ41" s="17">
        <v>3.4682080924855487</v>
      </c>
      <c r="CK41" s="17">
        <v>0</v>
      </c>
      <c r="CL41" s="17">
        <v>7.2254335260115612</v>
      </c>
      <c r="CM41" s="17">
        <v>0.57803468208092479</v>
      </c>
      <c r="CN41" s="17">
        <v>19.364161849710982</v>
      </c>
      <c r="CO41" s="17">
        <v>0</v>
      </c>
      <c r="CP41" s="17">
        <v>0.57803468208092479</v>
      </c>
      <c r="CQ41" s="17">
        <v>0.86705202312138718</v>
      </c>
      <c r="CR41" s="17">
        <v>0</v>
      </c>
      <c r="CS41" s="17">
        <v>1.1560693641618496</v>
      </c>
      <c r="CT41" s="17">
        <v>0</v>
      </c>
      <c r="CU41" s="17">
        <v>0</v>
      </c>
      <c r="CV41" s="17">
        <v>0</v>
      </c>
      <c r="CW41" s="17">
        <v>0.28901734104046239</v>
      </c>
      <c r="CX41" s="17">
        <v>1.4450867052023122</v>
      </c>
      <c r="CY41" s="17">
        <v>0.86705202312138718</v>
      </c>
      <c r="CZ41" s="17">
        <v>1.4450867052023122</v>
      </c>
      <c r="DA41" s="17">
        <v>0</v>
      </c>
      <c r="DB41" s="17">
        <v>0</v>
      </c>
      <c r="DC41" s="17">
        <v>0</v>
      </c>
      <c r="DD41" s="17">
        <v>0</v>
      </c>
      <c r="DE41" s="17">
        <v>0.28901734104046239</v>
      </c>
      <c r="DF41" s="17">
        <v>0</v>
      </c>
      <c r="DG41" s="17">
        <v>0</v>
      </c>
      <c r="DH41" s="17">
        <v>0.57803468208092479</v>
      </c>
      <c r="DI41" s="17">
        <v>1.4450867052023122</v>
      </c>
      <c r="DJ41" s="17">
        <v>1.7341040462427744</v>
      </c>
      <c r="DK41" s="17">
        <v>0.28901734104046239</v>
      </c>
      <c r="DL41" s="17">
        <v>0.86705202312138718</v>
      </c>
      <c r="DM41" s="17">
        <v>0</v>
      </c>
      <c r="DN41" s="17">
        <v>0.28901734104046239</v>
      </c>
      <c r="DO41" s="17">
        <v>0</v>
      </c>
      <c r="DP41" s="17">
        <v>0</v>
      </c>
      <c r="DQ41" s="17">
        <v>28.901734104046245</v>
      </c>
    </row>
    <row r="42" spans="1:121">
      <c r="A42" s="2">
        <v>341</v>
      </c>
      <c r="B42" s="1" t="s">
        <v>14</v>
      </c>
      <c r="C42" s="1" t="s">
        <v>19</v>
      </c>
      <c r="D42" s="1">
        <v>7</v>
      </c>
      <c r="E42" s="1" t="s">
        <v>16</v>
      </c>
      <c r="F42" s="1">
        <v>4</v>
      </c>
      <c r="G42" s="1" t="s">
        <v>17</v>
      </c>
      <c r="H42" s="1">
        <v>27</v>
      </c>
      <c r="I42" s="1">
        <v>28</v>
      </c>
      <c r="J42" s="1">
        <v>55.57</v>
      </c>
      <c r="K42" s="5">
        <v>40.020000000000003</v>
      </c>
      <c r="L42" s="11">
        <v>57.338000000000001</v>
      </c>
      <c r="M42" s="11">
        <v>57.347999999999999</v>
      </c>
      <c r="N42" s="11">
        <v>57.343000000000004</v>
      </c>
      <c r="O42" s="1" t="s">
        <v>99</v>
      </c>
      <c r="P42" s="10">
        <v>21890</v>
      </c>
      <c r="Q42" s="6">
        <v>21.89</v>
      </c>
      <c r="R42" s="10">
        <v>663.52272727272793</v>
      </c>
      <c r="S42" s="5">
        <f t="shared" si="8"/>
        <v>540</v>
      </c>
      <c r="T42" s="5">
        <f t="shared" si="6"/>
        <v>1</v>
      </c>
      <c r="U42" s="5"/>
      <c r="V42" s="5">
        <v>0.67200000000000004</v>
      </c>
      <c r="W42" s="19">
        <f>(115.4-109.4)+(110-101.4)+(103-94.8)</f>
        <v>22.799999999999997</v>
      </c>
      <c r="X42" s="5">
        <v>0.22</v>
      </c>
      <c r="Y42" s="5">
        <f t="shared" si="1"/>
        <v>5.0159999999999991</v>
      </c>
      <c r="Z42" s="10">
        <v>8171.2824919870518</v>
      </c>
      <c r="AA42" s="10">
        <v>320</v>
      </c>
      <c r="AB42" s="10">
        <f t="shared" si="2"/>
        <v>775735.02809932525</v>
      </c>
      <c r="AC42" s="1">
        <v>1.506248</v>
      </c>
      <c r="AD42" s="10">
        <f t="shared" si="7"/>
        <v>775292689.17681694</v>
      </c>
      <c r="AI42" s="17">
        <f t="shared" si="5"/>
        <v>12.1875</v>
      </c>
      <c r="AJ42" s="17"/>
      <c r="AL42" s="17">
        <v>9.0625</v>
      </c>
      <c r="AM42" s="17">
        <v>5.3125</v>
      </c>
      <c r="AN42" s="17">
        <v>21.25</v>
      </c>
      <c r="AO42" s="17">
        <v>1.5625</v>
      </c>
      <c r="AP42" s="17">
        <v>0</v>
      </c>
      <c r="AQ42" s="17">
        <v>0</v>
      </c>
      <c r="AR42" s="17">
        <v>6.8750000000000009</v>
      </c>
      <c r="AS42" s="17">
        <v>0.625</v>
      </c>
      <c r="AT42" s="17">
        <v>1.25</v>
      </c>
      <c r="AU42" s="17">
        <v>0</v>
      </c>
      <c r="AV42" s="17">
        <v>0.3125</v>
      </c>
      <c r="AW42" s="17">
        <v>0</v>
      </c>
      <c r="AX42" s="17">
        <v>0</v>
      </c>
      <c r="AY42" s="17">
        <v>0</v>
      </c>
      <c r="AZ42" s="17">
        <v>1.25</v>
      </c>
      <c r="BA42" s="17">
        <v>0.3125</v>
      </c>
      <c r="BB42" s="17">
        <v>0</v>
      </c>
      <c r="BC42" s="17">
        <v>0</v>
      </c>
      <c r="BD42" s="17">
        <v>0</v>
      </c>
      <c r="BE42" s="17">
        <v>0</v>
      </c>
      <c r="BF42" s="17">
        <v>0.3125</v>
      </c>
      <c r="BG42" s="17">
        <v>0</v>
      </c>
      <c r="BH42" s="17">
        <v>0.3125</v>
      </c>
      <c r="BI42" s="17">
        <v>0</v>
      </c>
      <c r="BJ42" s="17">
        <v>0</v>
      </c>
      <c r="BK42" s="17">
        <v>4.0625</v>
      </c>
      <c r="BL42" s="17">
        <v>2.5</v>
      </c>
      <c r="BM42" s="17">
        <v>0.3125</v>
      </c>
      <c r="BN42" s="17">
        <v>0</v>
      </c>
      <c r="BO42" s="17">
        <v>0.9375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0.625</v>
      </c>
      <c r="BV42" s="17">
        <v>4.6875</v>
      </c>
      <c r="BW42" s="17">
        <v>0.625</v>
      </c>
      <c r="BX42" s="17">
        <v>1.25</v>
      </c>
      <c r="BY42" s="17">
        <v>0.625</v>
      </c>
      <c r="BZ42" s="17">
        <v>1.5625</v>
      </c>
      <c r="CA42" s="17">
        <v>0</v>
      </c>
      <c r="CB42" s="17">
        <v>0</v>
      </c>
      <c r="CC42" s="17">
        <v>0</v>
      </c>
      <c r="CD42" s="17">
        <v>0</v>
      </c>
      <c r="CE42" s="17">
        <v>0.3125</v>
      </c>
      <c r="CF42" s="17">
        <v>0</v>
      </c>
      <c r="CG42" s="17">
        <v>0</v>
      </c>
      <c r="CH42" s="17">
        <v>0</v>
      </c>
      <c r="CI42" s="17">
        <v>0.3125</v>
      </c>
      <c r="CJ42" s="17">
        <v>3.75</v>
      </c>
      <c r="CK42" s="17">
        <v>0.3125</v>
      </c>
      <c r="CL42" s="17">
        <v>1.25</v>
      </c>
      <c r="CM42" s="17">
        <v>0</v>
      </c>
      <c r="CN42" s="17">
        <v>2.1875</v>
      </c>
      <c r="CO42" s="17">
        <v>0</v>
      </c>
      <c r="CP42" s="17">
        <v>4.0625</v>
      </c>
      <c r="CQ42" s="17">
        <v>0</v>
      </c>
      <c r="CR42" s="17">
        <v>0</v>
      </c>
      <c r="CS42" s="17">
        <v>4.6875</v>
      </c>
      <c r="CT42" s="17">
        <v>0</v>
      </c>
      <c r="CU42" s="17">
        <v>1.5625</v>
      </c>
      <c r="CV42" s="17">
        <v>0</v>
      </c>
      <c r="CW42" s="17">
        <v>0.625</v>
      </c>
      <c r="CX42" s="17">
        <v>1.5625</v>
      </c>
      <c r="CY42" s="17">
        <v>0</v>
      </c>
      <c r="CZ42" s="17">
        <v>0.3125</v>
      </c>
      <c r="DA42" s="17">
        <v>0</v>
      </c>
      <c r="DB42" s="17">
        <v>0.625</v>
      </c>
      <c r="DC42" s="17">
        <v>0</v>
      </c>
      <c r="DD42" s="17">
        <v>0</v>
      </c>
      <c r="DE42" s="17">
        <v>0</v>
      </c>
      <c r="DF42" s="17">
        <v>0</v>
      </c>
      <c r="DG42" s="17">
        <v>1.25</v>
      </c>
      <c r="DH42" s="17">
        <v>4.0625</v>
      </c>
      <c r="DI42" s="17">
        <v>0.625</v>
      </c>
      <c r="DJ42" s="17">
        <v>4.0625</v>
      </c>
      <c r="DK42" s="17">
        <v>1.875</v>
      </c>
      <c r="DL42" s="17">
        <v>0</v>
      </c>
      <c r="DM42" s="17">
        <v>0</v>
      </c>
      <c r="DN42" s="17">
        <v>0</v>
      </c>
      <c r="DO42" s="17">
        <v>0.3125</v>
      </c>
      <c r="DP42" s="17">
        <v>0.625</v>
      </c>
      <c r="DQ42" s="17">
        <v>44.6875</v>
      </c>
    </row>
    <row r="43" spans="1:121">
      <c r="A43" s="2">
        <v>341</v>
      </c>
      <c r="B43" s="5" t="s">
        <v>14</v>
      </c>
      <c r="C43" s="5" t="s">
        <v>19</v>
      </c>
      <c r="D43" s="5">
        <v>7</v>
      </c>
      <c r="E43" s="5" t="s">
        <v>16</v>
      </c>
      <c r="F43" s="5">
        <v>4</v>
      </c>
      <c r="G43" s="1" t="s">
        <v>17</v>
      </c>
      <c r="H43" s="5">
        <v>51</v>
      </c>
      <c r="I43" s="5">
        <v>53</v>
      </c>
      <c r="J43" s="5">
        <v>55.81</v>
      </c>
      <c r="K43" s="5">
        <v>41.02</v>
      </c>
      <c r="L43" s="11">
        <v>57.578000000000003</v>
      </c>
      <c r="M43" s="11">
        <v>57.597999999999999</v>
      </c>
      <c r="N43" s="11">
        <v>57.588000000000001</v>
      </c>
      <c r="O43" s="2" t="s">
        <v>56</v>
      </c>
      <c r="P43" s="10">
        <v>22379</v>
      </c>
      <c r="Q43" s="6">
        <v>22.379000000000001</v>
      </c>
      <c r="R43" s="10">
        <v>663.52272727272793</v>
      </c>
      <c r="S43" s="5">
        <f t="shared" si="8"/>
        <v>489</v>
      </c>
      <c r="T43" s="5">
        <f t="shared" si="6"/>
        <v>2</v>
      </c>
      <c r="U43" s="5"/>
      <c r="V43" s="5">
        <v>0.34300000000000003</v>
      </c>
      <c r="W43" s="5">
        <f>(114.7-91.7)+(110.6-97)+(110-105.5)</f>
        <v>41.099999999999994</v>
      </c>
      <c r="X43" s="5">
        <v>0.22</v>
      </c>
      <c r="Y43" s="5">
        <f t="shared" si="1"/>
        <v>9.041999999999998</v>
      </c>
      <c r="Z43" s="10">
        <v>8171.2824919870518</v>
      </c>
      <c r="AA43" s="10">
        <v>314</v>
      </c>
      <c r="AB43" s="10">
        <f t="shared" si="2"/>
        <v>827296.62046308501</v>
      </c>
      <c r="AC43" s="12">
        <v>1.506</v>
      </c>
      <c r="AD43" s="10">
        <f t="shared" si="7"/>
        <v>826688745.46900463</v>
      </c>
      <c r="AI43" s="17">
        <f t="shared" si="5"/>
        <v>9.8726114649681538</v>
      </c>
      <c r="AJ43" s="17"/>
      <c r="AL43" s="17">
        <v>2.2292993630573248</v>
      </c>
      <c r="AM43" s="17">
        <v>5.7324840764331215</v>
      </c>
      <c r="AN43" s="17">
        <v>7.6433121019108281</v>
      </c>
      <c r="AO43" s="17">
        <v>0.95541401273885351</v>
      </c>
      <c r="AP43" s="17">
        <v>0</v>
      </c>
      <c r="AQ43" s="17">
        <v>0</v>
      </c>
      <c r="AR43" s="17">
        <v>3.8216560509554141</v>
      </c>
      <c r="AS43" s="17">
        <v>2.8662420382165608</v>
      </c>
      <c r="AT43" s="17">
        <v>0</v>
      </c>
      <c r="AU43" s="17">
        <v>0</v>
      </c>
      <c r="AV43" s="17">
        <v>0</v>
      </c>
      <c r="AW43" s="17">
        <v>0.31847133757961787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0.31847133757961787</v>
      </c>
      <c r="BG43" s="17">
        <v>0</v>
      </c>
      <c r="BH43" s="17">
        <v>5.7324840764331215</v>
      </c>
      <c r="BI43" s="17">
        <v>0</v>
      </c>
      <c r="BJ43" s="17">
        <v>0</v>
      </c>
      <c r="BK43" s="17">
        <v>1.910828025477707</v>
      </c>
      <c r="BL43" s="17">
        <v>0.63694267515923575</v>
      </c>
      <c r="BM43" s="17">
        <v>0</v>
      </c>
      <c r="BN43" s="17">
        <v>0</v>
      </c>
      <c r="BO43" s="17">
        <v>4.4585987261146496</v>
      </c>
      <c r="BP43" s="17">
        <v>1.2738853503184715</v>
      </c>
      <c r="BQ43" s="17">
        <v>0</v>
      </c>
      <c r="BR43" s="17">
        <v>0</v>
      </c>
      <c r="BS43" s="17">
        <v>0.63694267515923575</v>
      </c>
      <c r="BT43" s="17">
        <v>0.31847133757961787</v>
      </c>
      <c r="BU43" s="17">
        <v>0.63694267515923575</v>
      </c>
      <c r="BV43" s="17">
        <v>1.2738853503184715</v>
      </c>
      <c r="BW43" s="17">
        <v>0.63694267515923575</v>
      </c>
      <c r="BX43" s="17">
        <v>0</v>
      </c>
      <c r="BY43" s="17">
        <v>0</v>
      </c>
      <c r="BZ43" s="17">
        <v>0.31847133757961787</v>
      </c>
      <c r="CA43" s="17">
        <v>0</v>
      </c>
      <c r="CB43" s="17">
        <v>0</v>
      </c>
      <c r="CC43" s="17">
        <v>0</v>
      </c>
      <c r="CD43" s="17">
        <v>0</v>
      </c>
      <c r="CE43" s="17">
        <v>0.31847133757961787</v>
      </c>
      <c r="CF43" s="17">
        <v>0</v>
      </c>
      <c r="CG43" s="17">
        <v>0</v>
      </c>
      <c r="CH43" s="17">
        <v>0</v>
      </c>
      <c r="CI43" s="17">
        <v>0</v>
      </c>
      <c r="CJ43" s="17">
        <v>0.63694267515923575</v>
      </c>
      <c r="CK43" s="17">
        <v>0</v>
      </c>
      <c r="CL43" s="17">
        <v>1.5923566878980893</v>
      </c>
      <c r="CM43" s="17">
        <v>0</v>
      </c>
      <c r="CN43" s="17">
        <v>12.101910828025478</v>
      </c>
      <c r="CO43" s="17">
        <v>0</v>
      </c>
      <c r="CP43" s="17">
        <v>2.547770700636943</v>
      </c>
      <c r="CQ43" s="17">
        <v>0</v>
      </c>
      <c r="CR43" s="17">
        <v>0</v>
      </c>
      <c r="CS43" s="17">
        <v>2.8662420382165608</v>
      </c>
      <c r="CT43" s="17">
        <v>0</v>
      </c>
      <c r="CU43" s="17">
        <v>5.4140127388535033</v>
      </c>
      <c r="CV43" s="17">
        <v>0</v>
      </c>
      <c r="CW43" s="17">
        <v>0</v>
      </c>
      <c r="CX43" s="17">
        <v>5.4140127388535033</v>
      </c>
      <c r="CY43" s="17">
        <v>0</v>
      </c>
      <c r="CZ43" s="17">
        <v>1.2738853503184715</v>
      </c>
      <c r="DA43" s="17">
        <v>0</v>
      </c>
      <c r="DB43" s="17">
        <v>0.31847133757961787</v>
      </c>
      <c r="DC43" s="17">
        <v>0</v>
      </c>
      <c r="DD43" s="17">
        <v>0</v>
      </c>
      <c r="DE43" s="17">
        <v>0</v>
      </c>
      <c r="DF43" s="17">
        <v>0</v>
      </c>
      <c r="DG43" s="17">
        <v>0.31847133757961787</v>
      </c>
      <c r="DH43" s="17">
        <v>11.146496815286625</v>
      </c>
      <c r="DI43" s="17">
        <v>1.910828025477707</v>
      </c>
      <c r="DJ43" s="17">
        <v>12.101910828025478</v>
      </c>
      <c r="DK43" s="17">
        <v>0</v>
      </c>
      <c r="DL43" s="17">
        <v>0.31847133757961787</v>
      </c>
      <c r="DM43" s="17">
        <v>0</v>
      </c>
      <c r="DN43" s="17">
        <v>0</v>
      </c>
      <c r="DO43" s="17">
        <v>0</v>
      </c>
      <c r="DP43" s="17">
        <v>0</v>
      </c>
      <c r="DQ43" s="17">
        <v>23.248407643312106</v>
      </c>
    </row>
    <row r="44" spans="1:121">
      <c r="A44" s="2">
        <v>341</v>
      </c>
      <c r="B44" s="5" t="s">
        <v>14</v>
      </c>
      <c r="C44" s="5" t="s">
        <v>19</v>
      </c>
      <c r="D44" s="5">
        <v>7</v>
      </c>
      <c r="E44" s="5" t="s">
        <v>16</v>
      </c>
      <c r="F44" s="5">
        <v>4</v>
      </c>
      <c r="G44" s="1" t="s">
        <v>17</v>
      </c>
      <c r="H44" s="5">
        <v>75</v>
      </c>
      <c r="I44" s="5">
        <v>76</v>
      </c>
      <c r="J44" s="1">
        <v>56.05</v>
      </c>
      <c r="K44" s="5">
        <v>42.02</v>
      </c>
      <c r="L44" s="11">
        <v>57.817999999999998</v>
      </c>
      <c r="M44" s="11">
        <v>57.828000000000003</v>
      </c>
      <c r="N44" s="11">
        <v>57.823</v>
      </c>
      <c r="O44" s="1" t="s">
        <v>100</v>
      </c>
      <c r="P44" s="10">
        <v>22864</v>
      </c>
      <c r="Q44" s="6">
        <v>22.864000000000001</v>
      </c>
      <c r="R44" s="10">
        <v>289.63333333333304</v>
      </c>
      <c r="S44" s="5">
        <f t="shared" si="8"/>
        <v>485</v>
      </c>
      <c r="T44" s="5">
        <f t="shared" si="6"/>
        <v>1</v>
      </c>
      <c r="U44" s="5"/>
      <c r="V44" s="5">
        <v>0.61199999999999999</v>
      </c>
      <c r="W44" s="19">
        <f>(113.5-107.5)+(105-93.2)+(105.1-95)</f>
        <v>27.899999999999991</v>
      </c>
      <c r="X44" s="5">
        <v>0.22</v>
      </c>
      <c r="Y44" s="5">
        <f t="shared" si="1"/>
        <v>6.1379999999999981</v>
      </c>
      <c r="Z44" s="10">
        <v>8171.2824919870518</v>
      </c>
      <c r="AA44" s="10">
        <v>307</v>
      </c>
      <c r="AB44" s="10">
        <f t="shared" si="2"/>
        <v>667805.96526088042</v>
      </c>
      <c r="AC44" s="1">
        <v>1.506248</v>
      </c>
      <c r="AD44" s="10">
        <f t="shared" si="7"/>
        <v>291336782.69321871</v>
      </c>
      <c r="AI44" s="17">
        <f t="shared" si="5"/>
        <v>20.521172638436479</v>
      </c>
      <c r="AJ44" s="17"/>
      <c r="AL44" s="17">
        <v>4.234527687296417</v>
      </c>
      <c r="AM44" s="17">
        <v>2.9315960912052117</v>
      </c>
      <c r="AN44" s="17">
        <v>15.309446254071663</v>
      </c>
      <c r="AO44" s="17">
        <v>0.97719869706840379</v>
      </c>
      <c r="AP44" s="17">
        <v>0</v>
      </c>
      <c r="AQ44" s="17">
        <v>0.32573289902280134</v>
      </c>
      <c r="AR44" s="17">
        <v>2.6058631921824107</v>
      </c>
      <c r="AS44" s="17">
        <v>1.6286644951140066</v>
      </c>
      <c r="AT44" s="17">
        <v>1.9543973941368076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1.3029315960912053</v>
      </c>
      <c r="BA44" s="17">
        <v>0.65146579804560267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0.32573289902280134</v>
      </c>
      <c r="BI44" s="17">
        <v>0</v>
      </c>
      <c r="BJ44" s="17">
        <v>0</v>
      </c>
      <c r="BK44" s="17">
        <v>3.9087947882736152</v>
      </c>
      <c r="BL44" s="17">
        <v>7.8175895765472303</v>
      </c>
      <c r="BM44" s="17">
        <v>0.65146579804560267</v>
      </c>
      <c r="BN44" s="17">
        <v>0</v>
      </c>
      <c r="BO44" s="17">
        <v>1.9543973941368076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1.3029315960912053</v>
      </c>
      <c r="BV44" s="17">
        <v>2.6058631921824107</v>
      </c>
      <c r="BW44" s="17">
        <v>0.32573289902280134</v>
      </c>
      <c r="BX44" s="17">
        <v>0.65146579804560267</v>
      </c>
      <c r="BY44" s="17">
        <v>0.32573289902280134</v>
      </c>
      <c r="BZ44" s="17">
        <v>1.6286644951140066</v>
      </c>
      <c r="CA44" s="17">
        <v>0</v>
      </c>
      <c r="CB44" s="17">
        <v>0</v>
      </c>
      <c r="CC44" s="17">
        <v>0</v>
      </c>
      <c r="CD44" s="17">
        <v>0</v>
      </c>
      <c r="CE44" s="17">
        <v>0.65146579804560267</v>
      </c>
      <c r="CF44" s="17">
        <v>0</v>
      </c>
      <c r="CG44" s="17">
        <v>0</v>
      </c>
      <c r="CH44" s="17">
        <v>0</v>
      </c>
      <c r="CI44" s="17">
        <v>0.65146579804560267</v>
      </c>
      <c r="CJ44" s="17">
        <v>2.2801302931596092</v>
      </c>
      <c r="CK44" s="17">
        <v>0.32573289902280134</v>
      </c>
      <c r="CL44" s="17">
        <v>0.32573289902280134</v>
      </c>
      <c r="CM44" s="17">
        <v>0</v>
      </c>
      <c r="CN44" s="17">
        <v>14.006514657980457</v>
      </c>
      <c r="CO44" s="17">
        <v>0</v>
      </c>
      <c r="CP44" s="17">
        <v>0.32573289902280134</v>
      </c>
      <c r="CQ44" s="17">
        <v>0</v>
      </c>
      <c r="CR44" s="17">
        <v>0</v>
      </c>
      <c r="CS44" s="17">
        <v>6.8403908794788277</v>
      </c>
      <c r="CT44" s="17">
        <v>0</v>
      </c>
      <c r="CU44" s="17">
        <v>1.9543973941368076</v>
      </c>
      <c r="CV44" s="17">
        <v>0</v>
      </c>
      <c r="CW44" s="17">
        <v>0</v>
      </c>
      <c r="CX44" s="17">
        <v>3.9087947882736152</v>
      </c>
      <c r="CY44" s="17">
        <v>0.32573289902280134</v>
      </c>
      <c r="CZ44" s="17">
        <v>0</v>
      </c>
      <c r="DA44" s="17">
        <v>0</v>
      </c>
      <c r="DB44" s="17">
        <v>0.65146579804560267</v>
      </c>
      <c r="DC44" s="17">
        <v>0</v>
      </c>
      <c r="DD44" s="17">
        <v>0</v>
      </c>
      <c r="DE44" s="17">
        <v>0</v>
      </c>
      <c r="DF44" s="17">
        <v>0</v>
      </c>
      <c r="DG44" s="17">
        <v>0.65146579804560267</v>
      </c>
      <c r="DH44" s="17">
        <v>5.2117263843648214</v>
      </c>
      <c r="DI44" s="17">
        <v>0</v>
      </c>
      <c r="DJ44" s="17">
        <v>3.2573289902280131</v>
      </c>
      <c r="DK44" s="17">
        <v>4.5602605863192185</v>
      </c>
      <c r="DL44" s="17">
        <v>0</v>
      </c>
      <c r="DM44" s="17">
        <v>0</v>
      </c>
      <c r="DN44" s="17">
        <v>0.32573289902280134</v>
      </c>
      <c r="DO44" s="17">
        <v>0</v>
      </c>
      <c r="DP44" s="17">
        <v>0.32573289902280134</v>
      </c>
      <c r="DQ44" s="17">
        <v>28.01302931596091</v>
      </c>
    </row>
    <row r="45" spans="1:121">
      <c r="A45" s="2">
        <v>341</v>
      </c>
      <c r="B45" s="5" t="s">
        <v>14</v>
      </c>
      <c r="C45" s="5" t="s">
        <v>19</v>
      </c>
      <c r="D45" s="5">
        <v>7</v>
      </c>
      <c r="E45" s="5" t="s">
        <v>16</v>
      </c>
      <c r="F45" s="5">
        <v>4</v>
      </c>
      <c r="G45" s="1" t="s">
        <v>17</v>
      </c>
      <c r="H45" s="5">
        <v>100</v>
      </c>
      <c r="I45" s="5">
        <v>102</v>
      </c>
      <c r="J45" s="5">
        <v>56.3</v>
      </c>
      <c r="K45" s="5">
        <v>43.02</v>
      </c>
      <c r="L45" s="11">
        <v>58.067999999999998</v>
      </c>
      <c r="M45" s="11">
        <v>58.088000000000001</v>
      </c>
      <c r="N45" s="11">
        <v>58.078000000000003</v>
      </c>
      <c r="O45" s="2" t="s">
        <v>57</v>
      </c>
      <c r="P45" s="10">
        <v>23372</v>
      </c>
      <c r="Q45" s="6">
        <v>23.372</v>
      </c>
      <c r="R45" s="10">
        <v>663.52272727272793</v>
      </c>
      <c r="S45" s="5">
        <f t="shared" si="8"/>
        <v>508</v>
      </c>
      <c r="T45" s="5">
        <f t="shared" si="6"/>
        <v>2</v>
      </c>
      <c r="U45" s="5"/>
      <c r="V45" s="5">
        <v>0.72899999999999998</v>
      </c>
      <c r="W45" s="5">
        <f>(115.3-91.8)+(115.5-96.8)+(115.7-92)+(115.1-91.4)</f>
        <v>89.6</v>
      </c>
      <c r="X45" s="5">
        <v>0.22</v>
      </c>
      <c r="Y45" s="5">
        <f t="shared" si="1"/>
        <v>19.712</v>
      </c>
      <c r="Z45" s="10">
        <v>8171.2824919870518</v>
      </c>
      <c r="AA45" s="10">
        <v>339</v>
      </c>
      <c r="AB45" s="10">
        <f t="shared" si="2"/>
        <v>192766.56311681151</v>
      </c>
      <c r="AC45" s="12">
        <v>1.506</v>
      </c>
      <c r="AD45" s="10">
        <f t="shared" si="7"/>
        <v>192624923.50350335</v>
      </c>
      <c r="AI45" s="17">
        <f t="shared" si="5"/>
        <v>10.914454277286136</v>
      </c>
      <c r="AJ45" s="17"/>
      <c r="AL45" s="17">
        <v>3.8348082595870205</v>
      </c>
      <c r="AM45" s="17">
        <v>6.4896755162241888</v>
      </c>
      <c r="AN45" s="17">
        <v>5.0147492625368733</v>
      </c>
      <c r="AO45" s="17">
        <v>5.6047197640117989</v>
      </c>
      <c r="AP45" s="17">
        <v>0</v>
      </c>
      <c r="AQ45" s="17">
        <v>0</v>
      </c>
      <c r="AR45" s="17">
        <v>9.4395280235988199</v>
      </c>
      <c r="AS45" s="17">
        <v>2.0648967551622417</v>
      </c>
      <c r="AT45" s="17">
        <v>0.29498525073746312</v>
      </c>
      <c r="AU45" s="17">
        <v>0.29498525073746312</v>
      </c>
      <c r="AV45" s="17">
        <v>0.29498525073746312</v>
      </c>
      <c r="AW45" s="17">
        <v>0</v>
      </c>
      <c r="AX45" s="17">
        <v>0</v>
      </c>
      <c r="AY45" s="17">
        <v>0</v>
      </c>
      <c r="AZ45" s="17">
        <v>1.1799410029498525</v>
      </c>
      <c r="BA45" s="17">
        <v>0.29498525073746312</v>
      </c>
      <c r="BB45" s="17">
        <v>0</v>
      </c>
      <c r="BC45" s="17">
        <v>0.88495575221238942</v>
      </c>
      <c r="BD45" s="17">
        <v>0</v>
      </c>
      <c r="BE45" s="17">
        <v>1.7699115044247788</v>
      </c>
      <c r="BF45" s="17">
        <v>1.4749262536873156</v>
      </c>
      <c r="BG45" s="17">
        <v>0</v>
      </c>
      <c r="BH45" s="17">
        <v>4.1297935103244834</v>
      </c>
      <c r="BI45" s="17">
        <v>0</v>
      </c>
      <c r="BJ45" s="17">
        <v>0</v>
      </c>
      <c r="BK45" s="17">
        <v>0.58997050147492625</v>
      </c>
      <c r="BL45" s="17">
        <v>0.29498525073746312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3.5398230088495577</v>
      </c>
      <c r="BW45" s="17">
        <v>0.58997050147492625</v>
      </c>
      <c r="BX45" s="17">
        <v>0.58997050147492625</v>
      </c>
      <c r="BY45" s="17">
        <v>2.6548672566371683</v>
      </c>
      <c r="BZ45" s="17">
        <v>0.88495575221238942</v>
      </c>
      <c r="CA45" s="17">
        <v>0</v>
      </c>
      <c r="CB45" s="17">
        <v>0</v>
      </c>
      <c r="CC45" s="17">
        <v>0</v>
      </c>
      <c r="CD45" s="17">
        <v>0</v>
      </c>
      <c r="CE45" s="17">
        <v>2.9498525073746311</v>
      </c>
      <c r="CF45" s="17">
        <v>0</v>
      </c>
      <c r="CG45" s="17">
        <v>0</v>
      </c>
      <c r="CH45" s="17">
        <v>0</v>
      </c>
      <c r="CI45" s="17">
        <v>0.58997050147492625</v>
      </c>
      <c r="CJ45" s="17">
        <v>9.7345132743362832</v>
      </c>
      <c r="CK45" s="17">
        <v>0</v>
      </c>
      <c r="CL45" s="17">
        <v>1.1799410029498525</v>
      </c>
      <c r="CM45" s="17">
        <v>0</v>
      </c>
      <c r="CN45" s="17">
        <v>8.8495575221238933</v>
      </c>
      <c r="CO45" s="17">
        <v>0</v>
      </c>
      <c r="CP45" s="17">
        <v>0.58997050147492625</v>
      </c>
      <c r="CQ45" s="17">
        <v>0</v>
      </c>
      <c r="CR45" s="17">
        <v>0</v>
      </c>
      <c r="CS45" s="17">
        <v>10.029498525073747</v>
      </c>
      <c r="CT45" s="17">
        <v>0</v>
      </c>
      <c r="CU45" s="17">
        <v>0</v>
      </c>
      <c r="CV45" s="17">
        <v>0</v>
      </c>
      <c r="CW45" s="17">
        <v>0</v>
      </c>
      <c r="CX45" s="17">
        <v>0.58997050147492625</v>
      </c>
      <c r="CY45" s="17">
        <v>0</v>
      </c>
      <c r="CZ45" s="17">
        <v>0.29498525073746312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0.29498525073746312</v>
      </c>
      <c r="DH45" s="17">
        <v>0</v>
      </c>
      <c r="DI45" s="17">
        <v>0.29498525073746312</v>
      </c>
      <c r="DJ45" s="17">
        <v>3.5398230088495577</v>
      </c>
      <c r="DK45" s="17">
        <v>0</v>
      </c>
      <c r="DL45" s="17">
        <v>2.6548672566371683</v>
      </c>
      <c r="DM45" s="17">
        <v>0</v>
      </c>
      <c r="DN45" s="17">
        <v>0.29498525073746312</v>
      </c>
      <c r="DO45" s="17">
        <v>5.8997050147492622</v>
      </c>
      <c r="DP45" s="17">
        <v>0</v>
      </c>
      <c r="DQ45" s="17">
        <v>32.448377581120944</v>
      </c>
    </row>
    <row r="46" spans="1:121">
      <c r="A46" s="2">
        <v>341</v>
      </c>
      <c r="B46" s="5" t="s">
        <v>14</v>
      </c>
      <c r="C46" s="5" t="s">
        <v>19</v>
      </c>
      <c r="D46" s="5">
        <v>8</v>
      </c>
      <c r="E46" s="5" t="s">
        <v>16</v>
      </c>
      <c r="F46" s="5">
        <v>1</v>
      </c>
      <c r="G46" s="1" t="s">
        <v>17</v>
      </c>
      <c r="H46" s="5">
        <v>0</v>
      </c>
      <c r="I46" s="5">
        <v>4</v>
      </c>
      <c r="J46" s="5">
        <v>60.3</v>
      </c>
      <c r="K46" s="5">
        <v>44.02</v>
      </c>
      <c r="L46" s="11">
        <v>62.067999999999998</v>
      </c>
      <c r="M46" s="11">
        <v>62.107999999999997</v>
      </c>
      <c r="N46" s="11">
        <v>62.087999999999994</v>
      </c>
      <c r="O46" s="2" t="s">
        <v>58</v>
      </c>
      <c r="P46" s="10">
        <v>23788.5</v>
      </c>
      <c r="Q46" s="6">
        <v>23.788499999999999</v>
      </c>
      <c r="R46" s="10">
        <v>663.52272727272793</v>
      </c>
      <c r="S46" s="5">
        <f t="shared" si="8"/>
        <v>416.5</v>
      </c>
      <c r="T46" s="5">
        <f t="shared" si="6"/>
        <v>4</v>
      </c>
      <c r="U46" s="5"/>
      <c r="V46" s="5">
        <v>0.63200000000000001</v>
      </c>
      <c r="W46" s="1">
        <f>(114.8-93)+(114.1-93)+(114.8-93)</f>
        <v>64.699999999999989</v>
      </c>
      <c r="X46" s="5">
        <v>0.22</v>
      </c>
      <c r="Y46" s="5">
        <f t="shared" si="1"/>
        <v>14.233999999999998</v>
      </c>
      <c r="Z46" s="10">
        <v>8171.2824919870518</v>
      </c>
      <c r="AA46" s="10">
        <v>1</v>
      </c>
      <c r="AB46" s="10">
        <f t="shared" si="2"/>
        <v>908.33528518663775</v>
      </c>
      <c r="AC46" s="12">
        <v>1.8680000000000001</v>
      </c>
      <c r="AD46" s="10">
        <f t="shared" si="7"/>
        <v>1125845.6654571064</v>
      </c>
      <c r="AE46" s="2">
        <v>1</v>
      </c>
      <c r="AF46" s="2">
        <v>0</v>
      </c>
      <c r="AG46" s="2">
        <v>0</v>
      </c>
      <c r="AI46" s="17"/>
      <c r="AJ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</row>
    <row r="47" spans="1:121">
      <c r="A47" s="2">
        <v>341</v>
      </c>
      <c r="B47" s="5" t="s">
        <v>14</v>
      </c>
      <c r="C47" s="5" t="s">
        <v>19</v>
      </c>
      <c r="D47" s="5">
        <v>9</v>
      </c>
      <c r="E47" s="5" t="s">
        <v>16</v>
      </c>
      <c r="F47" s="5">
        <v>1</v>
      </c>
      <c r="G47" s="1" t="s">
        <v>17</v>
      </c>
      <c r="H47" s="5">
        <v>8</v>
      </c>
      <c r="I47" s="5">
        <v>10</v>
      </c>
      <c r="J47" s="5">
        <v>65.58</v>
      </c>
      <c r="K47" s="5">
        <v>45.02</v>
      </c>
      <c r="L47" s="11">
        <v>67.347999999999999</v>
      </c>
      <c r="M47" s="11">
        <v>67.367999999999995</v>
      </c>
      <c r="N47" s="11">
        <v>67.358000000000004</v>
      </c>
      <c r="O47" s="2" t="s">
        <v>59</v>
      </c>
      <c r="P47" s="10">
        <v>24250</v>
      </c>
      <c r="Q47" s="6">
        <v>24.25</v>
      </c>
      <c r="R47" s="10">
        <v>1059</v>
      </c>
      <c r="S47" s="5">
        <f t="shared" si="8"/>
        <v>461.5</v>
      </c>
      <c r="T47" s="5">
        <f t="shared" si="6"/>
        <v>2</v>
      </c>
      <c r="U47" s="5"/>
      <c r="V47" s="5">
        <v>0.625</v>
      </c>
      <c r="W47" s="1">
        <f>(106.4-94)+(107-94)+(110.3-93.2)+(114.4-93.9)</f>
        <v>63</v>
      </c>
      <c r="X47" s="5">
        <v>0.22</v>
      </c>
      <c r="Y47" s="5">
        <f t="shared" si="1"/>
        <v>13.86</v>
      </c>
      <c r="Z47" s="10">
        <v>8171.2824919870518</v>
      </c>
      <c r="AA47" s="10">
        <v>1</v>
      </c>
      <c r="AB47" s="10">
        <f t="shared" si="2"/>
        <v>943.29379416877941</v>
      </c>
      <c r="AC47" s="12">
        <v>1.9379999999999999</v>
      </c>
      <c r="AD47" s="10">
        <f t="shared" si="7"/>
        <v>1935961.4721119408</v>
      </c>
      <c r="AE47" s="2">
        <v>1</v>
      </c>
      <c r="AF47" s="2">
        <v>0</v>
      </c>
      <c r="AG47" s="2">
        <v>0</v>
      </c>
      <c r="AI47" s="17"/>
      <c r="AJ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</row>
    <row r="48" spans="1:121">
      <c r="A48" s="2">
        <v>341</v>
      </c>
      <c r="B48" s="5" t="s">
        <v>14</v>
      </c>
      <c r="C48" s="5" t="s">
        <v>19</v>
      </c>
      <c r="D48" s="5">
        <v>9</v>
      </c>
      <c r="E48" s="5" t="s">
        <v>16</v>
      </c>
      <c r="F48" s="5">
        <v>3</v>
      </c>
      <c r="G48" s="1" t="s">
        <v>17</v>
      </c>
      <c r="H48" s="5">
        <v>55</v>
      </c>
      <c r="I48" s="5">
        <v>59</v>
      </c>
      <c r="J48" s="1">
        <v>69.05</v>
      </c>
      <c r="K48" s="5">
        <v>46.02</v>
      </c>
      <c r="L48" s="11">
        <v>70.817999999999998</v>
      </c>
      <c r="M48" s="11">
        <v>70.858000000000004</v>
      </c>
      <c r="N48" s="11">
        <v>70.837999999999994</v>
      </c>
      <c r="O48" s="1" t="s">
        <v>60</v>
      </c>
      <c r="P48" s="10">
        <v>24566</v>
      </c>
      <c r="Q48" s="6">
        <v>24.565999999999999</v>
      </c>
      <c r="R48" s="10">
        <v>1059</v>
      </c>
      <c r="S48" s="5">
        <f t="shared" si="8"/>
        <v>316</v>
      </c>
      <c r="T48" s="5">
        <f t="shared" si="6"/>
        <v>4</v>
      </c>
      <c r="U48" s="5"/>
      <c r="V48" s="5">
        <v>0.61529999999999996</v>
      </c>
      <c r="W48" s="1">
        <f>(115.1-93.4)+(114.9-93.4)+(115.1-94.3)</f>
        <v>63.999999999999986</v>
      </c>
      <c r="X48" s="5">
        <v>0.22</v>
      </c>
      <c r="Y48" s="5">
        <f t="shared" si="1"/>
        <v>14.079999999999997</v>
      </c>
      <c r="Z48" s="10">
        <v>8171.2824919870518</v>
      </c>
      <c r="AA48" s="10">
        <v>1</v>
      </c>
      <c r="AB48" s="10">
        <f t="shared" si="2"/>
        <v>943.19318689551085</v>
      </c>
      <c r="AC48" s="1">
        <v>1.9331290000000001</v>
      </c>
      <c r="AD48" s="10">
        <f t="shared" si="7"/>
        <v>1930889.6342193501</v>
      </c>
      <c r="AE48" s="2">
        <v>0</v>
      </c>
      <c r="AF48" s="2">
        <v>1</v>
      </c>
      <c r="AG48" s="2">
        <v>0</v>
      </c>
      <c r="AI48" s="17"/>
      <c r="AJ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</row>
    <row r="49" spans="1:121">
      <c r="A49" s="2">
        <v>341</v>
      </c>
      <c r="B49" s="5" t="s">
        <v>14</v>
      </c>
      <c r="C49" s="5" t="s">
        <v>19</v>
      </c>
      <c r="D49" s="5">
        <v>10</v>
      </c>
      <c r="E49" s="5" t="s">
        <v>16</v>
      </c>
      <c r="F49" s="5">
        <v>1</v>
      </c>
      <c r="G49" s="1" t="s">
        <v>17</v>
      </c>
      <c r="H49" s="5">
        <v>5</v>
      </c>
      <c r="I49" s="5">
        <v>7</v>
      </c>
      <c r="J49" s="1">
        <v>70.25</v>
      </c>
      <c r="K49" s="5">
        <v>47.02</v>
      </c>
      <c r="L49" s="11">
        <v>72.018000000000001</v>
      </c>
      <c r="M49" s="11">
        <v>72.067999999999998</v>
      </c>
      <c r="N49" s="11">
        <v>72.043000000000006</v>
      </c>
      <c r="O49" s="2" t="s">
        <v>61</v>
      </c>
      <c r="P49" s="10">
        <v>24675</v>
      </c>
      <c r="Q49" s="6">
        <v>24.675000000000001</v>
      </c>
      <c r="R49" s="10">
        <v>1059</v>
      </c>
      <c r="S49" s="5">
        <f t="shared" si="8"/>
        <v>109</v>
      </c>
      <c r="T49" s="5">
        <f t="shared" si="6"/>
        <v>2</v>
      </c>
      <c r="U49" s="5"/>
      <c r="V49" s="5">
        <v>0.66400000000000003</v>
      </c>
      <c r="W49" s="1">
        <f>(113.8-92)+(114-92.2)+(113.5-92.5)</f>
        <v>64.599999999999994</v>
      </c>
      <c r="X49" s="5">
        <v>0.22</v>
      </c>
      <c r="Y49" s="5">
        <f t="shared" si="1"/>
        <v>14.211999999999998</v>
      </c>
      <c r="Z49" s="10">
        <v>8171.2824919870518</v>
      </c>
      <c r="AA49" s="10">
        <v>3</v>
      </c>
      <c r="AB49" s="10">
        <f t="shared" si="2"/>
        <v>2597.6952571008592</v>
      </c>
      <c r="AC49" s="12">
        <v>1.9330000000000001</v>
      </c>
      <c r="AD49" s="10">
        <f t="shared" si="7"/>
        <v>5317604.282962543</v>
      </c>
      <c r="AE49" s="2">
        <v>1</v>
      </c>
      <c r="AF49" s="2">
        <v>1</v>
      </c>
      <c r="AG49" s="2">
        <v>1</v>
      </c>
      <c r="AI49" s="17"/>
      <c r="AJ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</row>
    <row r="50" spans="1:121">
      <c r="A50" s="2">
        <v>341</v>
      </c>
      <c r="B50" s="5" t="s">
        <v>14</v>
      </c>
      <c r="C50" s="5" t="s">
        <v>19</v>
      </c>
      <c r="D50" s="5">
        <v>11</v>
      </c>
      <c r="E50" s="5" t="s">
        <v>16</v>
      </c>
      <c r="F50" s="4">
        <v>1</v>
      </c>
      <c r="G50" s="1" t="s">
        <v>17</v>
      </c>
      <c r="H50" s="5">
        <v>51</v>
      </c>
      <c r="I50" s="5">
        <v>55</v>
      </c>
      <c r="J50" s="1">
        <v>71.31</v>
      </c>
      <c r="K50" s="5">
        <v>48.02</v>
      </c>
      <c r="L50" s="11">
        <v>73.078000000000003</v>
      </c>
      <c r="M50" s="11">
        <v>73.117999999999995</v>
      </c>
      <c r="N50" s="11">
        <v>73.097999999999999</v>
      </c>
      <c r="O50" s="1" t="s">
        <v>62</v>
      </c>
      <c r="P50" s="10">
        <v>24772</v>
      </c>
      <c r="Q50" s="6">
        <v>24.771999999999998</v>
      </c>
      <c r="R50" s="10">
        <v>1059</v>
      </c>
      <c r="S50" s="5">
        <f t="shared" si="8"/>
        <v>97</v>
      </c>
      <c r="T50" s="5">
        <f t="shared" si="6"/>
        <v>4</v>
      </c>
      <c r="U50" s="5"/>
      <c r="V50" s="5">
        <v>0.60209999999999997</v>
      </c>
      <c r="W50" s="1">
        <f>(114.6-93.4)+(113.7-93.8)+(112.2-94.3)</f>
        <v>59</v>
      </c>
      <c r="X50" s="5">
        <v>0.22</v>
      </c>
      <c r="Y50" s="5">
        <f t="shared" si="1"/>
        <v>12.98</v>
      </c>
      <c r="Z50" s="10">
        <v>8171.2824919870518</v>
      </c>
      <c r="AA50" s="10">
        <v>2</v>
      </c>
      <c r="AB50" s="10">
        <f t="shared" si="2"/>
        <v>2091.110105894662</v>
      </c>
      <c r="AC50" s="1">
        <v>1.9169179999999999</v>
      </c>
      <c r="AD50" s="10">
        <f t="shared" si="7"/>
        <v>4244987.3114876952</v>
      </c>
      <c r="AE50" s="2">
        <v>1</v>
      </c>
      <c r="AF50" s="2">
        <v>0</v>
      </c>
      <c r="AG50" s="2">
        <v>1</v>
      </c>
      <c r="AI50" s="17"/>
      <c r="AJ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</row>
    <row r="51" spans="1:121">
      <c r="A51" s="2">
        <v>341</v>
      </c>
      <c r="B51" s="5" t="s">
        <v>14</v>
      </c>
      <c r="C51" s="5" t="s">
        <v>19</v>
      </c>
      <c r="D51" s="5">
        <v>11</v>
      </c>
      <c r="E51" s="5" t="s">
        <v>16</v>
      </c>
      <c r="F51" s="4">
        <v>1</v>
      </c>
      <c r="G51" s="1" t="s">
        <v>17</v>
      </c>
      <c r="H51" s="5">
        <v>146</v>
      </c>
      <c r="I51" s="5">
        <v>150</v>
      </c>
      <c r="J51" s="1">
        <v>72.260000000000005</v>
      </c>
      <c r="K51" s="5">
        <v>49.02</v>
      </c>
      <c r="L51" s="11">
        <v>74.028000000000006</v>
      </c>
      <c r="M51" s="11">
        <v>74.067999999999998</v>
      </c>
      <c r="N51" s="11">
        <v>74.048000000000002</v>
      </c>
      <c r="O51" s="1" t="s">
        <v>63</v>
      </c>
      <c r="P51" s="10">
        <v>24860</v>
      </c>
      <c r="Q51" s="6">
        <v>24.86</v>
      </c>
      <c r="R51" s="10">
        <v>1059</v>
      </c>
      <c r="S51" s="5">
        <f t="shared" si="8"/>
        <v>88</v>
      </c>
      <c r="T51" s="5">
        <f t="shared" si="6"/>
        <v>4</v>
      </c>
      <c r="U51" s="5"/>
      <c r="V51" s="5">
        <v>0.64739999999999998</v>
      </c>
      <c r="W51" s="1">
        <f>(114.1-92.3)+(113.8-92.1)+(112.2-94.3)</f>
        <v>61.400000000000006</v>
      </c>
      <c r="X51" s="5">
        <v>0.22</v>
      </c>
      <c r="Y51" s="5">
        <f t="shared" si="1"/>
        <v>13.508000000000001</v>
      </c>
      <c r="Z51" s="10">
        <v>8171.2824919870518</v>
      </c>
      <c r="AA51" s="10">
        <v>1</v>
      </c>
      <c r="AB51" s="10">
        <f t="shared" si="2"/>
        <v>934.3863337437873</v>
      </c>
      <c r="AC51" s="1">
        <v>1.9169179999999999</v>
      </c>
      <c r="AD51" s="10">
        <f t="shared" si="7"/>
        <v>1896819.3590518143</v>
      </c>
      <c r="AE51" s="2">
        <v>0</v>
      </c>
      <c r="AF51" s="2">
        <v>0</v>
      </c>
      <c r="AG51" s="2">
        <v>1</v>
      </c>
      <c r="AI51" s="17"/>
      <c r="AJ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</row>
    <row r="52" spans="1:121">
      <c r="A52" s="2">
        <v>341</v>
      </c>
      <c r="B52" s="5" t="s">
        <v>14</v>
      </c>
      <c r="C52" s="5" t="s">
        <v>19</v>
      </c>
      <c r="D52" s="5">
        <v>11</v>
      </c>
      <c r="E52" s="5" t="s">
        <v>16</v>
      </c>
      <c r="F52" s="2">
        <v>2</v>
      </c>
      <c r="G52" s="1" t="s">
        <v>17</v>
      </c>
      <c r="H52" s="1">
        <v>100</v>
      </c>
      <c r="I52" s="1">
        <v>104</v>
      </c>
      <c r="J52" s="1">
        <v>73.3</v>
      </c>
      <c r="K52" s="5">
        <v>50.02</v>
      </c>
      <c r="L52" s="11">
        <v>75.067999999999998</v>
      </c>
      <c r="M52" s="11">
        <v>75.108000000000004</v>
      </c>
      <c r="N52" s="11">
        <v>75.087999999999994</v>
      </c>
      <c r="O52" s="1" t="s">
        <v>64</v>
      </c>
      <c r="P52" s="10">
        <v>24954.5</v>
      </c>
      <c r="Q52" s="6">
        <v>24.954499999999999</v>
      </c>
      <c r="R52" s="10">
        <v>2043.4999999999998</v>
      </c>
      <c r="S52" s="5">
        <f t="shared" si="8"/>
        <v>94.5</v>
      </c>
      <c r="T52" s="5">
        <f t="shared" si="6"/>
        <v>4</v>
      </c>
      <c r="V52" s="5">
        <v>0.64900000000000002</v>
      </c>
      <c r="W52" s="1">
        <f>(114.6-92.9)+(115.2-93.4)+(115.6-94.1)</f>
        <v>64.999999999999986</v>
      </c>
      <c r="X52" s="5">
        <v>0.22</v>
      </c>
      <c r="Y52" s="5">
        <f t="shared" si="1"/>
        <v>14.299999999999997</v>
      </c>
      <c r="Z52" s="10">
        <v>8171.2824919870518</v>
      </c>
      <c r="AA52" s="10">
        <v>0</v>
      </c>
      <c r="AB52" s="10">
        <f t="shared" si="2"/>
        <v>0</v>
      </c>
      <c r="AC52" s="1">
        <v>1.9169179999999999</v>
      </c>
      <c r="AD52" s="10">
        <f t="shared" si="7"/>
        <v>0</v>
      </c>
      <c r="AE52" s="2">
        <v>0</v>
      </c>
      <c r="AF52" s="2">
        <v>0</v>
      </c>
      <c r="AG52" s="2">
        <v>0</v>
      </c>
      <c r="AI52" s="17"/>
      <c r="AJ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</row>
    <row r="53" spans="1:121">
      <c r="A53" s="2">
        <v>341</v>
      </c>
      <c r="B53" s="1" t="s">
        <v>14</v>
      </c>
      <c r="C53" s="1" t="s">
        <v>19</v>
      </c>
      <c r="D53" s="1">
        <v>11</v>
      </c>
      <c r="E53" s="1" t="s">
        <v>16</v>
      </c>
      <c r="F53" s="1">
        <v>3</v>
      </c>
      <c r="G53" s="1" t="s">
        <v>17</v>
      </c>
      <c r="H53" s="5">
        <v>51</v>
      </c>
      <c r="I53" s="5">
        <v>53</v>
      </c>
      <c r="J53" s="1">
        <v>74.31</v>
      </c>
      <c r="K53" s="5">
        <v>51.02</v>
      </c>
      <c r="L53" s="11">
        <v>76.078000000000003</v>
      </c>
      <c r="M53" s="11">
        <v>76.097999999999999</v>
      </c>
      <c r="N53" s="11">
        <v>76.087999999999994</v>
      </c>
      <c r="O53" s="1" t="s">
        <v>65</v>
      </c>
      <c r="P53" s="10">
        <v>25045</v>
      </c>
      <c r="Q53" s="6">
        <v>25.045000000000002</v>
      </c>
      <c r="R53" s="10">
        <v>2043.4999999999998</v>
      </c>
      <c r="S53" s="5">
        <f t="shared" si="8"/>
        <v>90.5</v>
      </c>
      <c r="T53" s="5">
        <f t="shared" si="6"/>
        <v>2</v>
      </c>
      <c r="U53" s="5"/>
      <c r="V53" s="5">
        <v>0.63390000000000002</v>
      </c>
      <c r="W53" s="1">
        <f>(113.7-92)+(113.9-92.2)+(113.8-92.3)</f>
        <v>64.900000000000006</v>
      </c>
      <c r="X53" s="5">
        <v>0.22</v>
      </c>
      <c r="Y53" s="5">
        <f t="shared" si="1"/>
        <v>14.278</v>
      </c>
      <c r="Z53" s="10">
        <v>8171.2824919870518</v>
      </c>
      <c r="AA53" s="10">
        <v>0</v>
      </c>
      <c r="AB53" s="10">
        <f t="shared" si="2"/>
        <v>0</v>
      </c>
      <c r="AC53" s="1">
        <v>1.9416720000000001</v>
      </c>
      <c r="AD53" s="10">
        <f t="shared" si="7"/>
        <v>0</v>
      </c>
      <c r="AE53" s="2">
        <v>0</v>
      </c>
      <c r="AF53" s="2">
        <v>0</v>
      </c>
      <c r="AG53" s="2">
        <v>0</v>
      </c>
      <c r="AI53" s="17"/>
      <c r="AJ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</row>
    <row r="54" spans="1:121">
      <c r="A54" s="2">
        <v>341</v>
      </c>
      <c r="B54" s="5" t="s">
        <v>14</v>
      </c>
      <c r="C54" s="5" t="s">
        <v>19</v>
      </c>
      <c r="D54" s="5">
        <v>12</v>
      </c>
      <c r="E54" s="5" t="s">
        <v>16</v>
      </c>
      <c r="F54" s="5">
        <v>1</v>
      </c>
      <c r="G54" s="1" t="s">
        <v>17</v>
      </c>
      <c r="H54" s="5">
        <v>51</v>
      </c>
      <c r="I54" s="5">
        <v>53</v>
      </c>
      <c r="J54" s="1">
        <v>76.010000000000005</v>
      </c>
      <c r="K54" s="5">
        <v>52.02</v>
      </c>
      <c r="L54" s="11">
        <v>77.778000000000006</v>
      </c>
      <c r="M54" s="11">
        <v>77.798000000000002</v>
      </c>
      <c r="N54" s="11">
        <v>77.788000000000011</v>
      </c>
      <c r="O54" s="1" t="s">
        <v>66</v>
      </c>
      <c r="P54" s="10">
        <v>25199</v>
      </c>
      <c r="Q54" s="6">
        <v>25.199000000000002</v>
      </c>
      <c r="R54" s="10">
        <v>2043.4999999999998</v>
      </c>
      <c r="S54" s="5">
        <f t="shared" si="8"/>
        <v>154</v>
      </c>
      <c r="T54" s="5">
        <f t="shared" si="6"/>
        <v>2</v>
      </c>
      <c r="U54" s="5"/>
      <c r="V54" s="5">
        <v>0.623</v>
      </c>
      <c r="W54" s="1">
        <f>(115.9-94.2)+(115.9-95.2)+(116-94.4)</f>
        <v>64</v>
      </c>
      <c r="X54" s="5">
        <v>0.22</v>
      </c>
      <c r="Y54" s="5">
        <f t="shared" si="1"/>
        <v>14.08</v>
      </c>
      <c r="Z54" s="10">
        <v>8171.2824919870518</v>
      </c>
      <c r="AA54" s="10">
        <v>1</v>
      </c>
      <c r="AB54" s="10">
        <f t="shared" si="2"/>
        <v>931.53574301253241</v>
      </c>
      <c r="AC54" s="1">
        <v>2.0021140000000002</v>
      </c>
      <c r="AD54" s="10">
        <f t="shared" si="7"/>
        <v>3811210.7779090684</v>
      </c>
      <c r="AE54" s="2">
        <v>1</v>
      </c>
      <c r="AF54" s="2">
        <v>0</v>
      </c>
      <c r="AG54" s="2">
        <v>0</v>
      </c>
      <c r="AI54" s="17"/>
      <c r="AJ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</row>
    <row r="55" spans="1:121">
      <c r="A55" s="2">
        <v>341</v>
      </c>
      <c r="B55" s="5" t="s">
        <v>14</v>
      </c>
      <c r="C55" s="5" t="s">
        <v>19</v>
      </c>
      <c r="D55" s="5">
        <v>12</v>
      </c>
      <c r="E55" s="5" t="s">
        <v>16</v>
      </c>
      <c r="F55" s="5">
        <v>2</v>
      </c>
      <c r="G55" s="1" t="s">
        <v>17</v>
      </c>
      <c r="H55" s="5">
        <v>51</v>
      </c>
      <c r="I55" s="5">
        <v>53</v>
      </c>
      <c r="J55" s="5">
        <v>77.510000000000005</v>
      </c>
      <c r="K55" s="5">
        <v>53.02</v>
      </c>
      <c r="L55" s="11">
        <v>79.278000000000006</v>
      </c>
      <c r="M55" s="11">
        <v>79.298000000000002</v>
      </c>
      <c r="N55" s="11">
        <v>79.288000000000011</v>
      </c>
      <c r="O55" s="2" t="s">
        <v>67</v>
      </c>
      <c r="P55" s="10">
        <v>25332</v>
      </c>
      <c r="Q55" s="6">
        <v>25.332000000000001</v>
      </c>
      <c r="R55" s="10">
        <v>2043.4999999999998</v>
      </c>
      <c r="S55" s="5">
        <f t="shared" si="8"/>
        <v>133</v>
      </c>
      <c r="T55" s="5">
        <f t="shared" si="6"/>
        <v>2</v>
      </c>
      <c r="U55" s="5"/>
      <c r="V55" s="5">
        <v>0.61399999999999999</v>
      </c>
      <c r="W55" s="5">
        <f>(114.2-94.2)+(114.3-93.7)+(113.9-93.3)</f>
        <v>61.2</v>
      </c>
      <c r="X55" s="5">
        <v>0.22</v>
      </c>
      <c r="Y55" s="5">
        <f t="shared" si="1"/>
        <v>13.464</v>
      </c>
      <c r="Z55" s="10">
        <v>8171.2824919870518</v>
      </c>
      <c r="AA55" s="10">
        <v>1</v>
      </c>
      <c r="AB55" s="10">
        <f t="shared" si="2"/>
        <v>988.43417069563361</v>
      </c>
      <c r="AC55" s="12">
        <v>2.0019999999999998</v>
      </c>
      <c r="AD55" s="10">
        <f t="shared" si="7"/>
        <v>4043770.1860886868</v>
      </c>
      <c r="AE55" s="2">
        <v>0</v>
      </c>
      <c r="AF55" s="2">
        <v>0</v>
      </c>
      <c r="AG55" s="2">
        <v>1</v>
      </c>
      <c r="AI55" s="17"/>
      <c r="AJ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</row>
    <row r="56" spans="1:121">
      <c r="A56" s="2">
        <v>341</v>
      </c>
      <c r="B56" s="5" t="s">
        <v>14</v>
      </c>
      <c r="C56" s="5" t="s">
        <v>19</v>
      </c>
      <c r="D56" s="5">
        <v>12</v>
      </c>
      <c r="E56" s="5" t="s">
        <v>16</v>
      </c>
      <c r="F56" s="5">
        <v>3</v>
      </c>
      <c r="G56" s="1" t="s">
        <v>17</v>
      </c>
      <c r="H56" s="5">
        <v>0</v>
      </c>
      <c r="I56" s="5">
        <v>2</v>
      </c>
      <c r="J56" s="1">
        <v>78.5</v>
      </c>
      <c r="K56" s="5">
        <v>54.02</v>
      </c>
      <c r="L56" s="11">
        <v>80.268000000000001</v>
      </c>
      <c r="M56" s="11">
        <v>80.287999999999997</v>
      </c>
      <c r="N56" s="11">
        <v>80.277999999999992</v>
      </c>
      <c r="O56" s="1" t="s">
        <v>68</v>
      </c>
      <c r="P56" s="10">
        <v>25424</v>
      </c>
      <c r="Q56" s="6">
        <v>25.423999999999999</v>
      </c>
      <c r="R56" s="10">
        <v>2043.4999999999998</v>
      </c>
      <c r="S56" s="5">
        <f t="shared" si="8"/>
        <v>92</v>
      </c>
      <c r="T56" s="5">
        <f t="shared" si="6"/>
        <v>2</v>
      </c>
      <c r="U56" s="5"/>
      <c r="V56" s="5">
        <v>0.66890000000000005</v>
      </c>
      <c r="W56" s="5">
        <f>(115.1-93.5)+(114.7-93.7)+(114.8-93.1)</f>
        <v>64.3</v>
      </c>
      <c r="X56" s="5">
        <v>0.22</v>
      </c>
      <c r="Y56" s="5">
        <f t="shared" si="1"/>
        <v>14.145999999999999</v>
      </c>
      <c r="Z56" s="10">
        <v>8171.2824919870518</v>
      </c>
      <c r="AA56" s="10">
        <v>8</v>
      </c>
      <c r="AB56" s="10">
        <f t="shared" si="2"/>
        <v>6908.5254559705272</v>
      </c>
      <c r="AC56" s="1">
        <v>1.816913</v>
      </c>
      <c r="AD56" s="10">
        <f t="shared" si="7"/>
        <v>25650399.676030148</v>
      </c>
      <c r="AE56" s="2">
        <v>4</v>
      </c>
      <c r="AF56" s="2">
        <v>2</v>
      </c>
      <c r="AG56" s="2">
        <v>2</v>
      </c>
      <c r="AI56" s="17"/>
      <c r="AJ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</row>
    <row r="57" spans="1:121">
      <c r="A57" s="2">
        <v>341</v>
      </c>
      <c r="B57" s="5" t="s">
        <v>14</v>
      </c>
      <c r="C57" s="5" t="s">
        <v>19</v>
      </c>
      <c r="D57" s="5">
        <v>12</v>
      </c>
      <c r="E57" s="5" t="s">
        <v>16</v>
      </c>
      <c r="F57" s="5">
        <v>3</v>
      </c>
      <c r="G57" s="1" t="s">
        <v>17</v>
      </c>
      <c r="H57" s="5">
        <v>100</v>
      </c>
      <c r="I57" s="5">
        <v>102</v>
      </c>
      <c r="J57" s="5">
        <v>79.5</v>
      </c>
      <c r="K57" s="5">
        <v>55.02</v>
      </c>
      <c r="L57" s="11">
        <v>81.268000000000001</v>
      </c>
      <c r="M57" s="11">
        <v>81.287999999999997</v>
      </c>
      <c r="N57" s="11">
        <v>81.277999999999992</v>
      </c>
      <c r="O57" s="2" t="s">
        <v>69</v>
      </c>
      <c r="P57" s="10">
        <v>25535</v>
      </c>
      <c r="Q57" s="6">
        <v>25.535</v>
      </c>
      <c r="R57" s="10">
        <v>2043.4999999999998</v>
      </c>
      <c r="S57" s="5">
        <f t="shared" si="8"/>
        <v>111</v>
      </c>
      <c r="T57" s="5">
        <f t="shared" si="6"/>
        <v>2</v>
      </c>
      <c r="U57" s="5"/>
      <c r="V57" s="5">
        <v>0.66</v>
      </c>
      <c r="W57" s="5">
        <f>(112.8-92.8)+(113.9-92.7)+(110.5-92.7)+(113.5-92.7)+(116.1-92.7)+(116.1-92.6)+(116.4-92.6)+(116.4-92.6)+(116.2-92.6)+(116.4-92.7)+(116.4-92.7)+(116.4-92.6)+(116.2-92.7)+(116.4-92.6)+(116.4-92.6)+(116.4-92.6)+(116.4-92.6)+(116.4-92.6)+(116.3-92.6)</f>
        <v>435.30000000000007</v>
      </c>
      <c r="X57" s="5">
        <v>0.22</v>
      </c>
      <c r="Y57" s="5">
        <f t="shared" si="1"/>
        <v>95.76600000000002</v>
      </c>
      <c r="Z57" s="10">
        <v>8171.2824919870518</v>
      </c>
      <c r="AA57" s="10">
        <v>303</v>
      </c>
      <c r="AB57" s="10">
        <f t="shared" si="2"/>
        <v>39172.164522742562</v>
      </c>
      <c r="AC57" s="12">
        <v>1.8169999999999999</v>
      </c>
      <c r="AD57" s="10">
        <f t="shared" si="7"/>
        <v>145447794.17344177</v>
      </c>
      <c r="AI57" s="17">
        <f t="shared" si="5"/>
        <v>6.6006600660065997</v>
      </c>
      <c r="AJ57" s="17"/>
      <c r="AL57" s="17">
        <v>3.3003300330032999</v>
      </c>
      <c r="AM57" s="17">
        <v>1.6501650165016499</v>
      </c>
      <c r="AN57" s="17">
        <v>11.221122112211221</v>
      </c>
      <c r="AO57" s="17">
        <v>1.9801980198019802</v>
      </c>
      <c r="AP57" s="17">
        <v>0</v>
      </c>
      <c r="AQ57" s="17">
        <v>0.33003300330033003</v>
      </c>
      <c r="AR57" s="17">
        <v>6.6006600660065997</v>
      </c>
      <c r="AS57" s="17">
        <v>3.9603960396039604</v>
      </c>
      <c r="AT57" s="17">
        <v>0</v>
      </c>
      <c r="AU57" s="17">
        <v>0</v>
      </c>
      <c r="AV57" s="17">
        <v>0.66006600660066006</v>
      </c>
      <c r="AW57" s="17">
        <v>0</v>
      </c>
      <c r="AX57" s="17">
        <v>0.66006600660066006</v>
      </c>
      <c r="AY57" s="17">
        <v>0</v>
      </c>
      <c r="AZ57" s="17">
        <v>0.66006600660066006</v>
      </c>
      <c r="BA57" s="17">
        <v>1.6501650165016499</v>
      </c>
      <c r="BB57" s="17">
        <v>0</v>
      </c>
      <c r="BC57" s="17">
        <v>0.33003300330033003</v>
      </c>
      <c r="BD57" s="17">
        <v>0</v>
      </c>
      <c r="BE57" s="17">
        <v>0.33003300330033003</v>
      </c>
      <c r="BF57" s="17">
        <v>0</v>
      </c>
      <c r="BG57" s="17">
        <v>0</v>
      </c>
      <c r="BH57" s="17">
        <v>6.6006600660065997</v>
      </c>
      <c r="BI57" s="17">
        <v>0</v>
      </c>
      <c r="BJ57" s="17">
        <v>0</v>
      </c>
      <c r="BK57" s="17">
        <v>1.6501650165016499</v>
      </c>
      <c r="BL57" s="17">
        <v>1.6501650165016499</v>
      </c>
      <c r="BM57" s="17">
        <v>0.33003300330033003</v>
      </c>
      <c r="BN57" s="17">
        <v>0</v>
      </c>
      <c r="BO57" s="17">
        <v>0</v>
      </c>
      <c r="BP57" s="17">
        <v>0.33003300330033003</v>
      </c>
      <c r="BQ57" s="17">
        <v>0</v>
      </c>
      <c r="BR57" s="17">
        <v>0.33003300330033003</v>
      </c>
      <c r="BS57" s="17">
        <v>0</v>
      </c>
      <c r="BT57" s="17">
        <v>2.9702970297029703</v>
      </c>
      <c r="BU57" s="17">
        <v>2.3102310231023102</v>
      </c>
      <c r="BV57" s="17">
        <v>1.3201320132013201</v>
      </c>
      <c r="BW57" s="17">
        <v>0</v>
      </c>
      <c r="BX57" s="17">
        <v>1.6501650165016499</v>
      </c>
      <c r="BY57" s="17">
        <v>9.9009900990099009</v>
      </c>
      <c r="BZ57" s="17">
        <v>0.33003300330033003</v>
      </c>
      <c r="CA57" s="17">
        <v>0</v>
      </c>
      <c r="CB57" s="17">
        <v>0</v>
      </c>
      <c r="CC57" s="17">
        <v>0.99009900990099009</v>
      </c>
      <c r="CD57" s="17">
        <v>0</v>
      </c>
      <c r="CE57" s="17">
        <v>2.3102310231023102</v>
      </c>
      <c r="CF57" s="17">
        <v>0</v>
      </c>
      <c r="CG57" s="17">
        <v>0</v>
      </c>
      <c r="CH57" s="17">
        <v>0</v>
      </c>
      <c r="CI57" s="17">
        <v>0.66006600660066006</v>
      </c>
      <c r="CJ57" s="17">
        <v>3.9603960396039604</v>
      </c>
      <c r="CK57" s="17">
        <v>0</v>
      </c>
      <c r="CL57" s="17">
        <v>1.6501650165016499</v>
      </c>
      <c r="CM57" s="17">
        <v>0</v>
      </c>
      <c r="CN57" s="17">
        <v>6.9306930693069315</v>
      </c>
      <c r="CO57" s="17">
        <v>0</v>
      </c>
      <c r="CP57" s="17">
        <v>0</v>
      </c>
      <c r="CQ57" s="17">
        <v>0</v>
      </c>
      <c r="CR57" s="17">
        <v>0.33003300330033003</v>
      </c>
      <c r="CS57" s="17">
        <v>3.3003300330032999</v>
      </c>
      <c r="CT57" s="17">
        <v>0</v>
      </c>
      <c r="CU57" s="17">
        <v>0.33003300330033003</v>
      </c>
      <c r="CV57" s="17">
        <v>0</v>
      </c>
      <c r="CW57" s="17">
        <v>0.66006600660066006</v>
      </c>
      <c r="CX57" s="17">
        <v>4.2904290429042904</v>
      </c>
      <c r="CY57" s="17">
        <v>0</v>
      </c>
      <c r="CZ57" s="17">
        <v>1.3201320132013201</v>
      </c>
      <c r="DA57" s="17">
        <v>0</v>
      </c>
      <c r="DB57" s="17">
        <v>0.33003300330033003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0.99009900990099009</v>
      </c>
      <c r="DI57" s="17">
        <v>0.33003300330033003</v>
      </c>
      <c r="DJ57" s="17">
        <v>3.6303630363036308</v>
      </c>
      <c r="DK57" s="17">
        <v>0</v>
      </c>
      <c r="DL57" s="17">
        <v>0</v>
      </c>
      <c r="DM57" s="17">
        <v>0</v>
      </c>
      <c r="DN57" s="17">
        <v>0.99009900990099009</v>
      </c>
      <c r="DO57" s="17">
        <v>2.3102310231023102</v>
      </c>
      <c r="DP57" s="17">
        <v>1.9801980198019802</v>
      </c>
      <c r="DQ57" s="17">
        <v>29.042904290429043</v>
      </c>
    </row>
    <row r="58" spans="1:121">
      <c r="A58" s="2">
        <v>341</v>
      </c>
      <c r="B58" s="5" t="s">
        <v>14</v>
      </c>
      <c r="C58" s="5" t="s">
        <v>19</v>
      </c>
      <c r="D58" s="5">
        <v>13</v>
      </c>
      <c r="E58" s="5" t="s">
        <v>16</v>
      </c>
      <c r="F58" s="5">
        <v>2</v>
      </c>
      <c r="G58" s="1" t="s">
        <v>17</v>
      </c>
      <c r="H58" s="5">
        <v>100</v>
      </c>
      <c r="I58" s="5">
        <v>102</v>
      </c>
      <c r="J58" s="5">
        <v>82.7</v>
      </c>
      <c r="K58" s="5">
        <v>56.02</v>
      </c>
      <c r="L58" s="11">
        <v>84.468000000000004</v>
      </c>
      <c r="M58" s="11">
        <v>84.488</v>
      </c>
      <c r="N58" s="11">
        <v>84.478000000000009</v>
      </c>
      <c r="O58" s="2" t="s">
        <v>70</v>
      </c>
      <c r="P58" s="10">
        <v>25659</v>
      </c>
      <c r="Q58" s="6">
        <v>25.658999999999999</v>
      </c>
      <c r="R58" s="10">
        <v>2043.4999999999998</v>
      </c>
      <c r="S58" s="5">
        <f t="shared" si="8"/>
        <v>124</v>
      </c>
      <c r="T58" s="5">
        <f t="shared" si="6"/>
        <v>2</v>
      </c>
      <c r="U58" s="5"/>
      <c r="V58" s="5">
        <v>0.65300000000000002</v>
      </c>
      <c r="W58" s="5">
        <f>(113.2-92.2)+(113.2-92.2)+(112-92.2)</f>
        <v>61.8</v>
      </c>
      <c r="X58" s="5">
        <v>0.22</v>
      </c>
      <c r="Y58" s="5">
        <f t="shared" si="1"/>
        <v>13.596</v>
      </c>
      <c r="Z58" s="10">
        <v>8171.2824919870518</v>
      </c>
      <c r="AA58" s="10">
        <v>3</v>
      </c>
      <c r="AB58" s="10">
        <f t="shared" si="2"/>
        <v>2761.1318295986925</v>
      </c>
      <c r="AC58" s="12">
        <v>1.927</v>
      </c>
      <c r="AD58" s="10">
        <f t="shared" si="7"/>
        <v>10872852.566323556</v>
      </c>
      <c r="AE58" s="2">
        <v>3</v>
      </c>
      <c r="AF58" s="2">
        <v>0</v>
      </c>
      <c r="AG58" s="2">
        <v>0</v>
      </c>
    </row>
    <row r="59" spans="1:121">
      <c r="A59" s="2">
        <v>341</v>
      </c>
      <c r="B59" s="5" t="s">
        <v>14</v>
      </c>
      <c r="C59" s="5" t="s">
        <v>19</v>
      </c>
      <c r="D59" s="5">
        <v>16</v>
      </c>
      <c r="E59" s="5" t="s">
        <v>16</v>
      </c>
      <c r="F59" s="5">
        <v>1</v>
      </c>
      <c r="G59" s="1" t="s">
        <v>17</v>
      </c>
      <c r="H59" s="5">
        <v>0</v>
      </c>
      <c r="I59" s="5">
        <v>4</v>
      </c>
      <c r="J59" s="5">
        <v>87.3</v>
      </c>
      <c r="K59" s="5">
        <v>57.02</v>
      </c>
      <c r="L59" s="11">
        <v>89.067999999999998</v>
      </c>
      <c r="M59" s="11">
        <v>89.108000000000004</v>
      </c>
      <c r="N59" s="11">
        <v>89.087999999999994</v>
      </c>
      <c r="O59" s="2" t="s">
        <v>71</v>
      </c>
      <c r="P59" s="10">
        <v>25797</v>
      </c>
      <c r="Q59" s="6">
        <v>25.797000000000001</v>
      </c>
      <c r="R59" s="10">
        <v>2043.4999999999998</v>
      </c>
      <c r="S59" s="5">
        <f t="shared" si="8"/>
        <v>138</v>
      </c>
      <c r="T59" s="5">
        <f t="shared" si="6"/>
        <v>4</v>
      </c>
      <c r="U59" s="5"/>
      <c r="V59" s="5">
        <v>0.65400000000000003</v>
      </c>
      <c r="W59" s="1">
        <f>(113.3-93.1)</f>
        <v>20.200000000000003</v>
      </c>
      <c r="X59" s="5">
        <v>0.22</v>
      </c>
      <c r="Y59" s="5">
        <f t="shared" si="1"/>
        <v>4.4440000000000008</v>
      </c>
      <c r="Z59" s="10">
        <v>8171.2824919870518</v>
      </c>
      <c r="AA59" s="10">
        <v>16</v>
      </c>
      <c r="AB59" s="10">
        <f t="shared" si="2"/>
        <v>44984.035056645385</v>
      </c>
      <c r="AC59" s="12">
        <v>1.6060000000000001</v>
      </c>
      <c r="AD59" s="10">
        <f t="shared" si="7"/>
        <v>147631350.27503726</v>
      </c>
      <c r="AE59" s="2">
        <v>6</v>
      </c>
      <c r="AF59" s="2">
        <v>4</v>
      </c>
      <c r="AG59" s="2">
        <v>6</v>
      </c>
    </row>
    <row r="60" spans="1:121">
      <c r="A60" s="2">
        <v>341</v>
      </c>
      <c r="B60" s="5" t="s">
        <v>14</v>
      </c>
      <c r="C60" s="5" t="s">
        <v>19</v>
      </c>
      <c r="D60" s="5">
        <v>17</v>
      </c>
      <c r="E60" s="5" t="s">
        <v>16</v>
      </c>
      <c r="F60" s="5">
        <v>2</v>
      </c>
      <c r="G60" s="1" t="s">
        <v>17</v>
      </c>
      <c r="H60" s="5">
        <v>51</v>
      </c>
      <c r="I60" s="5">
        <v>55</v>
      </c>
      <c r="J60" s="1">
        <v>90.41</v>
      </c>
      <c r="K60" s="5">
        <v>58.02</v>
      </c>
      <c r="L60" s="11">
        <v>92.177999999999997</v>
      </c>
      <c r="M60" s="11">
        <v>92.218000000000004</v>
      </c>
      <c r="N60" s="11">
        <v>92.198000000000008</v>
      </c>
      <c r="O60" s="1" t="s">
        <v>72</v>
      </c>
      <c r="P60" s="10">
        <v>25891</v>
      </c>
      <c r="Q60" s="6">
        <v>25.890999999999998</v>
      </c>
      <c r="R60" s="10">
        <v>2043.4999999999998</v>
      </c>
      <c r="S60" s="5">
        <f t="shared" si="8"/>
        <v>94</v>
      </c>
      <c r="T60" s="5">
        <f t="shared" si="6"/>
        <v>4</v>
      </c>
      <c r="U60" s="5"/>
      <c r="V60" s="5">
        <v>0.62009999999999998</v>
      </c>
      <c r="W60" s="1">
        <f>(114.5-92.8)+(114.9-94.9)+(115.5-98.2)</f>
        <v>59</v>
      </c>
      <c r="X60" s="5">
        <v>0.22</v>
      </c>
      <c r="Y60" s="5">
        <f t="shared" si="1"/>
        <v>12.98</v>
      </c>
      <c r="Z60" s="10">
        <v>8171.2824919870518</v>
      </c>
      <c r="AA60" s="10">
        <v>1</v>
      </c>
      <c r="AB60" s="10">
        <f t="shared" si="2"/>
        <v>1015.2051239793387</v>
      </c>
      <c r="AC60" s="1">
        <v>1.8668929999999999</v>
      </c>
      <c r="AD60" s="10">
        <f t="shared" si="7"/>
        <v>3873003.3303114888</v>
      </c>
      <c r="AE60" s="2">
        <v>0</v>
      </c>
      <c r="AF60" s="2">
        <v>0</v>
      </c>
      <c r="AG60" s="2">
        <v>1</v>
      </c>
    </row>
    <row r="61" spans="1:121">
      <c r="A61" s="2">
        <v>341</v>
      </c>
      <c r="B61" s="5" t="s">
        <v>14</v>
      </c>
      <c r="C61" s="5" t="s">
        <v>19</v>
      </c>
      <c r="D61" s="5">
        <v>19</v>
      </c>
      <c r="E61" s="5" t="s">
        <v>16</v>
      </c>
      <c r="F61" s="5">
        <v>1</v>
      </c>
      <c r="G61" s="1" t="s">
        <v>17</v>
      </c>
      <c r="H61" s="5">
        <v>4</v>
      </c>
      <c r="I61" s="5">
        <v>8</v>
      </c>
      <c r="J61" s="5">
        <v>93.24</v>
      </c>
      <c r="K61" s="5">
        <v>59.02</v>
      </c>
      <c r="L61" s="11">
        <v>95.007999999999996</v>
      </c>
      <c r="M61" s="11">
        <v>95.048000000000002</v>
      </c>
      <c r="N61" s="11">
        <v>95.027999999999992</v>
      </c>
      <c r="O61" s="2" t="s">
        <v>73</v>
      </c>
      <c r="P61" s="10">
        <v>25978</v>
      </c>
      <c r="Q61" s="6">
        <v>25.978000000000002</v>
      </c>
      <c r="R61" s="10">
        <v>1973.69539295393</v>
      </c>
      <c r="S61" s="5">
        <f t="shared" si="8"/>
        <v>87</v>
      </c>
      <c r="T61" s="5">
        <f t="shared" si="6"/>
        <v>4</v>
      </c>
      <c r="U61" s="5"/>
      <c r="V61" s="5">
        <v>0.64600000000000002</v>
      </c>
      <c r="W61" s="1">
        <f>(114.5-92.9)+(114.5-92.8)+(114.6-93.5)</f>
        <v>64.399999999999991</v>
      </c>
      <c r="X61" s="5">
        <v>0.22</v>
      </c>
      <c r="Y61" s="5">
        <f t="shared" si="1"/>
        <v>14.167999999999997</v>
      </c>
      <c r="Z61" s="10">
        <v>8171.2824919870518</v>
      </c>
      <c r="AA61" s="10">
        <v>0</v>
      </c>
      <c r="AB61" s="10">
        <f t="shared" si="2"/>
        <v>0</v>
      </c>
      <c r="AC61" s="12">
        <v>2.044</v>
      </c>
      <c r="AD61" s="10">
        <f t="shared" si="7"/>
        <v>0</v>
      </c>
      <c r="AE61" s="2">
        <v>0</v>
      </c>
      <c r="AF61" s="2">
        <v>0</v>
      </c>
      <c r="AG61" s="2">
        <v>0</v>
      </c>
    </row>
    <row r="62" spans="1:121">
      <c r="A62" s="2">
        <v>341</v>
      </c>
      <c r="B62" s="5" t="s">
        <v>14</v>
      </c>
      <c r="C62" s="5" t="s">
        <v>19</v>
      </c>
      <c r="D62" s="5">
        <v>20</v>
      </c>
      <c r="E62" s="5" t="s">
        <v>87</v>
      </c>
      <c r="F62" s="5">
        <v>1</v>
      </c>
      <c r="G62" s="1" t="s">
        <v>17</v>
      </c>
      <c r="H62" s="5">
        <v>49</v>
      </c>
      <c r="I62" s="5">
        <v>51</v>
      </c>
      <c r="J62" s="5">
        <v>96.89</v>
      </c>
      <c r="K62" s="5">
        <v>60.02</v>
      </c>
      <c r="L62" s="11">
        <v>98.658000000000001</v>
      </c>
      <c r="M62" s="11">
        <v>98.677999999999997</v>
      </c>
      <c r="N62" s="11">
        <v>98.668000000000006</v>
      </c>
      <c r="O62" s="2" t="s">
        <v>74</v>
      </c>
      <c r="P62" s="10">
        <v>26089</v>
      </c>
      <c r="Q62" s="6">
        <v>26.088999999999999</v>
      </c>
      <c r="R62" s="10">
        <v>1973.69539295393</v>
      </c>
      <c r="S62" s="5">
        <f t="shared" si="8"/>
        <v>111</v>
      </c>
      <c r="T62" s="5">
        <f t="shared" si="6"/>
        <v>2</v>
      </c>
      <c r="U62" s="5"/>
      <c r="V62" s="5">
        <v>0.629</v>
      </c>
      <c r="W62" s="1">
        <f>(108.2-92.8)+(114.2-92.8)+(114.3-92.5)</f>
        <v>58.600000000000009</v>
      </c>
      <c r="X62" s="5">
        <v>0.22</v>
      </c>
      <c r="Y62" s="5">
        <f t="shared" si="1"/>
        <v>12.892000000000001</v>
      </c>
      <c r="Z62" s="10">
        <v>8171.2824919870518</v>
      </c>
      <c r="AA62" s="10">
        <v>3</v>
      </c>
      <c r="AB62" s="10">
        <f t="shared" si="2"/>
        <v>3023.0166371722562</v>
      </c>
      <c r="AC62" s="12">
        <v>2.0070000000000001</v>
      </c>
      <c r="AD62" s="10">
        <f t="shared" si="7"/>
        <v>11974793.6172872</v>
      </c>
      <c r="AE62" s="2">
        <v>2</v>
      </c>
      <c r="AF62" s="2">
        <v>0</v>
      </c>
      <c r="AG62" s="2">
        <v>1</v>
      </c>
    </row>
    <row r="63" spans="1:121">
      <c r="A63" s="2">
        <v>341</v>
      </c>
      <c r="B63" s="5" t="s">
        <v>14</v>
      </c>
      <c r="C63" s="5" t="s">
        <v>19</v>
      </c>
      <c r="D63" s="5">
        <v>21</v>
      </c>
      <c r="E63" s="5" t="s">
        <v>87</v>
      </c>
      <c r="F63" s="5" t="s">
        <v>24</v>
      </c>
      <c r="G63" s="1" t="s">
        <v>17</v>
      </c>
      <c r="H63" s="5">
        <v>2</v>
      </c>
      <c r="I63" s="5">
        <v>4</v>
      </c>
      <c r="J63" s="1">
        <v>102.92</v>
      </c>
      <c r="K63" s="5">
        <v>61.02</v>
      </c>
      <c r="L63" s="11">
        <v>104.688</v>
      </c>
      <c r="M63" s="11">
        <v>104.708</v>
      </c>
      <c r="N63" s="11">
        <v>104.69800000000001</v>
      </c>
      <c r="O63" s="2" t="s">
        <v>75</v>
      </c>
      <c r="P63" s="10">
        <v>26275</v>
      </c>
      <c r="Q63" s="6">
        <v>26.274999999999999</v>
      </c>
      <c r="R63" s="10">
        <v>1973.69539295393</v>
      </c>
      <c r="S63" s="5">
        <f t="shared" si="8"/>
        <v>186</v>
      </c>
      <c r="T63" s="5">
        <f t="shared" si="6"/>
        <v>2</v>
      </c>
      <c r="U63" s="5"/>
      <c r="V63" s="5">
        <v>0.61099999999999999</v>
      </c>
      <c r="W63" s="1">
        <f>(113.8-94.1)+(113.8-93.4)+(115.1-94.5)</f>
        <v>60.699999999999989</v>
      </c>
      <c r="X63" s="5">
        <v>0.22</v>
      </c>
      <c r="Y63" s="5">
        <f t="shared" si="1"/>
        <v>13.353999999999997</v>
      </c>
      <c r="Z63" s="10">
        <v>8171.2824919870518</v>
      </c>
      <c r="AA63" s="10">
        <v>1</v>
      </c>
      <c r="AB63" s="10">
        <f t="shared" si="2"/>
        <v>1001.4693050632878</v>
      </c>
      <c r="AC63" s="12">
        <v>2.0310000000000001</v>
      </c>
      <c r="AD63" s="10">
        <f t="shared" si="7"/>
        <v>4014465.163137604</v>
      </c>
      <c r="AE63" s="2">
        <v>1</v>
      </c>
      <c r="AF63" s="2">
        <v>0</v>
      </c>
      <c r="AG63" s="2">
        <v>0</v>
      </c>
    </row>
    <row r="64" spans="1:121">
      <c r="A64" s="2">
        <v>341</v>
      </c>
      <c r="B64" s="5" t="s">
        <v>14</v>
      </c>
      <c r="C64" s="5" t="s">
        <v>19</v>
      </c>
      <c r="D64" s="5">
        <v>22</v>
      </c>
      <c r="E64" s="5" t="s">
        <v>87</v>
      </c>
      <c r="F64" s="5">
        <v>1</v>
      </c>
      <c r="G64" s="1" t="s">
        <v>17</v>
      </c>
      <c r="H64" s="5">
        <v>51</v>
      </c>
      <c r="I64" s="5">
        <v>53</v>
      </c>
      <c r="J64" s="1">
        <v>113.11</v>
      </c>
      <c r="K64" s="5">
        <v>62.02</v>
      </c>
      <c r="L64" s="11">
        <v>114.878</v>
      </c>
      <c r="M64" s="11">
        <v>114.898</v>
      </c>
      <c r="N64" s="11">
        <v>114.88800000000001</v>
      </c>
      <c r="O64" s="2" t="s">
        <v>76</v>
      </c>
      <c r="P64" s="10">
        <v>26600</v>
      </c>
      <c r="Q64" s="6">
        <v>26.6</v>
      </c>
      <c r="R64" s="10">
        <v>1973.69539295393</v>
      </c>
      <c r="S64" s="5">
        <f t="shared" si="8"/>
        <v>325</v>
      </c>
      <c r="T64" s="5">
        <f t="shared" si="6"/>
        <v>2</v>
      </c>
      <c r="U64" s="1"/>
      <c r="V64" s="5">
        <v>0.69299999999999995</v>
      </c>
      <c r="W64" s="1">
        <f>(115.7-92.8)+(115.8-92)+(115.9-92.1)</f>
        <v>70.500000000000014</v>
      </c>
      <c r="X64" s="5">
        <v>0.22</v>
      </c>
      <c r="Y64" s="5">
        <f t="shared" si="1"/>
        <v>15.510000000000003</v>
      </c>
      <c r="Z64" s="10">
        <v>8171.2824919870518</v>
      </c>
      <c r="AA64" s="10">
        <v>4</v>
      </c>
      <c r="AB64" s="10">
        <f t="shared" si="2"/>
        <v>3040.9213222720155</v>
      </c>
      <c r="AC64" s="12">
        <v>1.851</v>
      </c>
      <c r="AD64" s="10">
        <f t="shared" si="7"/>
        <v>11109428.799995854</v>
      </c>
      <c r="AE64" s="2">
        <v>1</v>
      </c>
      <c r="AF64" s="2">
        <v>1</v>
      </c>
      <c r="AG64" s="2">
        <v>2</v>
      </c>
    </row>
    <row r="65" spans="1:33">
      <c r="A65" s="2">
        <v>341</v>
      </c>
      <c r="B65" s="5" t="s">
        <v>14</v>
      </c>
      <c r="C65" s="5" t="s">
        <v>19</v>
      </c>
      <c r="D65" s="5">
        <v>22</v>
      </c>
      <c r="E65" s="5" t="s">
        <v>87</v>
      </c>
      <c r="F65" s="5">
        <v>1</v>
      </c>
      <c r="G65" s="1" t="s">
        <v>17</v>
      </c>
      <c r="H65" s="5">
        <v>86</v>
      </c>
      <c r="I65" s="5">
        <v>88</v>
      </c>
      <c r="J65" s="1">
        <v>113.46</v>
      </c>
      <c r="K65" s="5">
        <v>63.02</v>
      </c>
      <c r="L65" s="11">
        <v>115.22799999999999</v>
      </c>
      <c r="M65" s="11">
        <v>115.248</v>
      </c>
      <c r="N65" s="11">
        <v>115.238</v>
      </c>
      <c r="O65" s="2" t="s">
        <v>77</v>
      </c>
      <c r="P65" s="10">
        <v>26618</v>
      </c>
      <c r="Q65" s="6">
        <v>26.617999999999999</v>
      </c>
      <c r="R65" s="10">
        <v>1973.69539295393</v>
      </c>
      <c r="S65" s="5">
        <f t="shared" si="8"/>
        <v>18</v>
      </c>
      <c r="T65" s="5">
        <f t="shared" si="6"/>
        <v>2</v>
      </c>
      <c r="U65" s="1"/>
      <c r="V65" s="5">
        <v>0.72</v>
      </c>
      <c r="W65" s="1">
        <f>(115.9-92)+(113.4-91.9)+(115.4-91.9)</f>
        <v>68.900000000000006</v>
      </c>
      <c r="X65" s="5">
        <v>0.22</v>
      </c>
      <c r="Y65" s="5">
        <f t="shared" si="1"/>
        <v>15.158000000000001</v>
      </c>
      <c r="Z65" s="10">
        <v>8171.2824919870518</v>
      </c>
      <c r="AA65" s="10">
        <v>5</v>
      </c>
      <c r="AB65" s="10">
        <f t="shared" si="2"/>
        <v>3743.5688946738114</v>
      </c>
      <c r="AC65" s="12">
        <v>1.851</v>
      </c>
      <c r="AD65" s="10">
        <f t="shared" si="7"/>
        <v>13676418.323833797</v>
      </c>
      <c r="AE65" s="2">
        <v>1</v>
      </c>
      <c r="AF65" s="2">
        <v>1</v>
      </c>
      <c r="AG65" s="2">
        <v>3</v>
      </c>
    </row>
    <row r="66" spans="1:33">
      <c r="A66" s="2">
        <v>341</v>
      </c>
      <c r="B66" s="5" t="s">
        <v>14</v>
      </c>
      <c r="C66" s="5" t="s">
        <v>19</v>
      </c>
      <c r="D66" s="5">
        <v>22</v>
      </c>
      <c r="E66" s="5" t="s">
        <v>87</v>
      </c>
      <c r="F66" s="5">
        <v>2</v>
      </c>
      <c r="G66" s="1" t="s">
        <v>17</v>
      </c>
      <c r="H66" s="5">
        <v>9</v>
      </c>
      <c r="I66" s="5">
        <v>11</v>
      </c>
      <c r="J66" s="5">
        <v>113.69</v>
      </c>
      <c r="K66" s="5">
        <v>64.02</v>
      </c>
      <c r="L66" s="11">
        <v>115.458</v>
      </c>
      <c r="M66" s="11">
        <v>115.47799999999999</v>
      </c>
      <c r="N66" s="11">
        <v>115.46799999999999</v>
      </c>
      <c r="O66" s="2" t="s">
        <v>78</v>
      </c>
      <c r="P66" s="10">
        <v>26991</v>
      </c>
      <c r="Q66" s="6">
        <v>26.991</v>
      </c>
      <c r="R66" s="10">
        <v>1472.45</v>
      </c>
      <c r="S66" s="5">
        <f t="shared" si="8"/>
        <v>373</v>
      </c>
      <c r="T66" s="5">
        <f t="shared" si="6"/>
        <v>2</v>
      </c>
      <c r="U66" s="5">
        <v>2</v>
      </c>
      <c r="V66" s="5">
        <v>0.30280000000000001</v>
      </c>
      <c r="W66" s="5">
        <f>(116.1-92.4)+(116.7-93.1)+(115-95)</f>
        <v>67.3</v>
      </c>
      <c r="X66" s="5">
        <v>0.22</v>
      </c>
      <c r="Y66" s="5">
        <f t="shared" ref="Y66:Y67" si="9">W66*X66</f>
        <v>14.805999999999999</v>
      </c>
      <c r="Z66" s="10">
        <v>8171.2824919870518</v>
      </c>
      <c r="AA66" s="10">
        <v>8</v>
      </c>
      <c r="AB66" s="10">
        <f t="shared" ref="AB66:AB67" si="10">((AA66*Z66)/Y66)/V66</f>
        <v>14580.976029723841</v>
      </c>
      <c r="AC66" s="12">
        <v>1.5580000000000001</v>
      </c>
      <c r="AD66" s="10">
        <f t="shared" ref="AD66:AD67" si="11">AB66*AC66*R66</f>
        <v>33449883.205438383</v>
      </c>
      <c r="AE66" s="2">
        <v>6</v>
      </c>
      <c r="AF66" s="2">
        <v>1</v>
      </c>
      <c r="AG66" s="2">
        <v>0</v>
      </c>
    </row>
    <row r="67" spans="1:33">
      <c r="A67" s="2">
        <v>341</v>
      </c>
      <c r="B67" s="1" t="s">
        <v>14</v>
      </c>
      <c r="C67" s="1" t="s">
        <v>19</v>
      </c>
      <c r="D67" s="1">
        <v>22</v>
      </c>
      <c r="E67" s="1" t="s">
        <v>87</v>
      </c>
      <c r="F67" s="1" t="s">
        <v>24</v>
      </c>
      <c r="G67" s="1" t="s">
        <v>17</v>
      </c>
      <c r="H67" s="4">
        <v>0</v>
      </c>
      <c r="I67" s="4">
        <v>2</v>
      </c>
      <c r="J67" s="1">
        <v>114.32</v>
      </c>
      <c r="K67" s="5">
        <v>65.02</v>
      </c>
      <c r="L67" s="11">
        <v>116.08799999999999</v>
      </c>
      <c r="M67" s="11">
        <v>116.108</v>
      </c>
      <c r="N67" s="11">
        <v>116.098</v>
      </c>
      <c r="O67" s="1" t="s">
        <v>79</v>
      </c>
      <c r="P67" s="10">
        <v>27529</v>
      </c>
      <c r="Q67" s="6">
        <v>27.529</v>
      </c>
      <c r="R67" s="10">
        <v>1472.45</v>
      </c>
      <c r="S67" s="5">
        <f t="shared" si="8"/>
        <v>538</v>
      </c>
      <c r="T67" s="5">
        <f t="shared" si="6"/>
        <v>2</v>
      </c>
      <c r="V67" s="5">
        <v>0.70199999999999996</v>
      </c>
      <c r="W67" s="5">
        <f>(115.5-91.9)+(115.8-92)+(116-92.2)</f>
        <v>71.199999999999989</v>
      </c>
      <c r="X67" s="5">
        <v>0.22</v>
      </c>
      <c r="Y67" s="5">
        <f t="shared" si="9"/>
        <v>15.663999999999998</v>
      </c>
      <c r="Z67" s="10">
        <v>8171.2824919870518</v>
      </c>
      <c r="AA67" s="10">
        <v>8</v>
      </c>
      <c r="AB67" s="10">
        <f t="shared" si="10"/>
        <v>5944.8434881711482</v>
      </c>
      <c r="AC67" s="2">
        <v>1.5580000000000001</v>
      </c>
      <c r="AD67" s="10">
        <f t="shared" si="11"/>
        <v>13637929.309297554</v>
      </c>
      <c r="AE67" s="2">
        <v>14</v>
      </c>
      <c r="AF67" s="2">
        <v>6</v>
      </c>
      <c r="AG67" s="2">
        <v>6</v>
      </c>
    </row>
    <row r="68" spans="1:33">
      <c r="AC68" s="10"/>
    </row>
    <row r="69" spans="1:33">
      <c r="A69" s="23" t="s">
        <v>193</v>
      </c>
      <c r="B69" s="23"/>
      <c r="C69" s="23"/>
      <c r="D69" s="23"/>
      <c r="E69" s="23"/>
      <c r="F69" s="23"/>
      <c r="G69" s="21">
        <f>COUNTA(O2:O67)</f>
        <v>66</v>
      </c>
      <c r="AC69" s="10"/>
    </row>
    <row r="70" spans="1:33">
      <c r="AB70" s="22"/>
      <c r="AC70" s="10"/>
    </row>
    <row r="71" spans="1:33">
      <c r="A71" s="21" t="s">
        <v>194</v>
      </c>
    </row>
  </sheetData>
  <mergeCells count="1">
    <mergeCell ref="A69:F6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7 - Diatoms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2020-03-09T20:18:07Z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