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Xinni\Desktop\Clubhead Figs\"/>
    </mc:Choice>
  </mc:AlternateContent>
  <xr:revisionPtr revIDLastSave="0" documentId="13_ncr:1_{F2A80C5E-C2FA-4F6E-B2DB-46DA6E530FFC}" xr6:coauthVersionLast="45" xr6:coauthVersionMax="45" xr10:uidLastSave="{00000000-0000-0000-0000-000000000000}"/>
  <bookViews>
    <workbookView xWindow="0" yWindow="1548" windowWidth="23040" windowHeight="10416" activeTab="4" xr2:uid="{00000000-000D-0000-FFFF-FFFF00000000}"/>
  </bookViews>
  <sheets>
    <sheet name="Fig 1b" sheetId="7" r:id="rId1"/>
    <sheet name="Fig2a " sheetId="3" r:id="rId2"/>
    <sheet name="Fig 2b" sheetId="1" r:id="rId3"/>
    <sheet name="SupFig 4a" sheetId="5" r:id="rId4"/>
    <sheet name="SupFig 5" sheetId="4" r:id="rId5"/>
  </sheets>
  <definedNames>
    <definedName name="_xlnm.Print_Area" localSheetId="0">'Fig 1b'!$A$24:$AH$66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7" l="1"/>
  <c r="D21" i="7"/>
  <c r="Y21" i="7"/>
  <c r="V21" i="7"/>
  <c r="S21" i="7"/>
  <c r="P21" i="7"/>
  <c r="J21" i="7"/>
  <c r="M21" i="7"/>
  <c r="G21" i="7"/>
  <c r="G20" i="7"/>
  <c r="D22" i="7"/>
  <c r="S18" i="5"/>
  <c r="AB5" i="7"/>
  <c r="AI5" i="7"/>
  <c r="D65" i="7"/>
  <c r="V18" i="7"/>
  <c r="V8" i="7"/>
  <c r="V9" i="7"/>
  <c r="V10" i="7"/>
  <c r="V12" i="7"/>
  <c r="V15" i="7"/>
  <c r="V17" i="7"/>
  <c r="V22" i="7"/>
  <c r="AB11" i="7"/>
  <c r="AC11" i="7"/>
  <c r="D43" i="7"/>
  <c r="G43" i="7"/>
  <c r="J43" i="7"/>
  <c r="M43" i="7"/>
  <c r="J18" i="7"/>
  <c r="D9" i="7"/>
  <c r="AC12" i="7"/>
  <c r="AI12" i="7"/>
  <c r="J7" i="7"/>
  <c r="J9" i="7"/>
  <c r="J16" i="7"/>
  <c r="J8" i="7"/>
  <c r="J10" i="7"/>
  <c r="J13" i="7"/>
  <c r="J14" i="7"/>
  <c r="J15" i="7"/>
  <c r="J17" i="7"/>
  <c r="J11" i="7"/>
  <c r="J12" i="7"/>
  <c r="J22" i="7"/>
  <c r="AB7" i="7"/>
  <c r="AC7" i="7"/>
  <c r="AI7" i="7"/>
  <c r="M20" i="7"/>
  <c r="M13" i="7"/>
  <c r="M15" i="7"/>
  <c r="M18" i="7"/>
  <c r="M17" i="7"/>
  <c r="M22" i="7"/>
  <c r="AB8" i="7"/>
  <c r="AC8" i="7"/>
  <c r="AI8" i="7"/>
  <c r="AC9" i="7"/>
  <c r="AI9" i="7"/>
  <c r="S18" i="7"/>
  <c r="S15" i="7"/>
  <c r="S17" i="7"/>
  <c r="S16" i="7"/>
  <c r="S14" i="7"/>
  <c r="S12" i="7"/>
  <c r="S13" i="7"/>
  <c r="S9" i="7"/>
  <c r="S8" i="7"/>
  <c r="S10" i="7"/>
  <c r="S22" i="7"/>
  <c r="AB10" i="7"/>
  <c r="AC10" i="7"/>
  <c r="AI10" i="7"/>
  <c r="V7" i="7"/>
  <c r="V13" i="7"/>
  <c r="V14" i="7"/>
  <c r="V16" i="7"/>
  <c r="AI11" i="7"/>
  <c r="G18" i="7"/>
  <c r="G12" i="7"/>
  <c r="G11" i="7"/>
  <c r="G10" i="7"/>
  <c r="G16" i="7"/>
  <c r="G17" i="7"/>
  <c r="G22" i="7"/>
  <c r="AB6" i="7"/>
  <c r="AC6" i="7"/>
  <c r="AI6" i="7"/>
  <c r="D16" i="7"/>
  <c r="D17" i="7"/>
  <c r="D8" i="7"/>
  <c r="D12" i="7"/>
  <c r="D14" i="7"/>
  <c r="D11" i="7"/>
  <c r="D10" i="7"/>
  <c r="D13" i="7"/>
  <c r="AC5" i="7"/>
  <c r="AH5" i="7"/>
  <c r="AH6" i="7"/>
  <c r="AH7" i="7"/>
  <c r="AH8" i="7"/>
  <c r="AH9" i="7"/>
  <c r="AH10" i="7"/>
  <c r="AH11" i="7"/>
  <c r="AH12" i="7"/>
  <c r="D7" i="7"/>
  <c r="M7" i="7"/>
  <c r="D15" i="7"/>
  <c r="AB12" i="7"/>
  <c r="AB9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4" i="7"/>
  <c r="AD8" i="7"/>
  <c r="D29" i="7"/>
  <c r="D30" i="7"/>
  <c r="D31" i="7"/>
  <c r="D32" i="7"/>
  <c r="D33" i="7"/>
  <c r="D34" i="7"/>
  <c r="D35" i="7"/>
  <c r="D36" i="7"/>
  <c r="D37" i="7"/>
  <c r="D44" i="7"/>
  <c r="AE8" i="7"/>
  <c r="AD5" i="7"/>
  <c r="AE5" i="7"/>
  <c r="D51" i="7"/>
  <c r="D52" i="7"/>
  <c r="D53" i="7"/>
  <c r="D54" i="7"/>
  <c r="D55" i="7"/>
  <c r="D56" i="7"/>
  <c r="D57" i="7"/>
  <c r="D58" i="7"/>
  <c r="D59" i="7"/>
  <c r="D60" i="7"/>
  <c r="D61" i="7"/>
  <c r="D66" i="7"/>
  <c r="AF5" i="7"/>
  <c r="AG5" i="7"/>
  <c r="Y19" i="7"/>
  <c r="Y18" i="7"/>
  <c r="V19" i="7"/>
  <c r="P18" i="7"/>
  <c r="P7" i="7"/>
  <c r="M19" i="7"/>
  <c r="D45" i="7"/>
  <c r="X43" i="7"/>
  <c r="W43" i="7"/>
  <c r="Y43" i="7"/>
  <c r="U43" i="7"/>
  <c r="T36" i="7"/>
  <c r="T43" i="7"/>
  <c r="V43" i="7"/>
  <c r="R43" i="7"/>
  <c r="Q43" i="7"/>
  <c r="S43" i="7"/>
  <c r="O43" i="7"/>
  <c r="N30" i="7"/>
  <c r="N35" i="7"/>
  <c r="N36" i="7"/>
  <c r="N39" i="7"/>
  <c r="N43" i="7"/>
  <c r="P43" i="7"/>
  <c r="L43" i="7"/>
  <c r="K43" i="7"/>
  <c r="I43" i="7"/>
  <c r="H30" i="7"/>
  <c r="H32" i="7"/>
  <c r="H33" i="7"/>
  <c r="H34" i="7"/>
  <c r="H35" i="7"/>
  <c r="H36" i="7"/>
  <c r="H37" i="7"/>
  <c r="H38" i="7"/>
  <c r="H39" i="7"/>
  <c r="H40" i="7"/>
  <c r="H43" i="7"/>
  <c r="F43" i="7"/>
  <c r="E29" i="7"/>
  <c r="E30" i="7"/>
  <c r="E31" i="7"/>
  <c r="E32" i="7"/>
  <c r="E33" i="7"/>
  <c r="E34" i="7"/>
  <c r="E35" i="7"/>
  <c r="E36" i="7"/>
  <c r="E43" i="7"/>
  <c r="C43" i="7"/>
  <c r="B43" i="7"/>
  <c r="C44" i="7"/>
  <c r="B44" i="7"/>
  <c r="Y8" i="7"/>
  <c r="Y9" i="7"/>
  <c r="Y10" i="7"/>
  <c r="Y11" i="7"/>
  <c r="Y12" i="7"/>
  <c r="Y13" i="7"/>
  <c r="Y14" i="7"/>
  <c r="Y15" i="7"/>
  <c r="Y16" i="7"/>
  <c r="Y17" i="7"/>
  <c r="Y7" i="7"/>
  <c r="Y23" i="7"/>
  <c r="V11" i="7"/>
  <c r="V23" i="7"/>
  <c r="S11" i="7"/>
  <c r="S7" i="7"/>
  <c r="S23" i="7"/>
  <c r="P8" i="7"/>
  <c r="P9" i="7"/>
  <c r="P10" i="7"/>
  <c r="P11" i="7"/>
  <c r="P12" i="7"/>
  <c r="P13" i="7"/>
  <c r="P14" i="7"/>
  <c r="P15" i="7"/>
  <c r="P16" i="7"/>
  <c r="P17" i="7"/>
  <c r="P23" i="7"/>
  <c r="M8" i="7"/>
  <c r="M9" i="7"/>
  <c r="M10" i="7"/>
  <c r="M11" i="7"/>
  <c r="M12" i="7"/>
  <c r="M14" i="7"/>
  <c r="M16" i="7"/>
  <c r="M23" i="7"/>
  <c r="J23" i="7"/>
  <c r="G7" i="7"/>
  <c r="G8" i="7"/>
  <c r="G9" i="7"/>
  <c r="G13" i="7"/>
  <c r="G14" i="7"/>
  <c r="G15" i="7"/>
  <c r="G19" i="7"/>
  <c r="G23" i="7"/>
  <c r="Y22" i="7"/>
  <c r="X22" i="7"/>
  <c r="W22" i="7"/>
  <c r="U22" i="7"/>
  <c r="T22" i="7"/>
  <c r="R22" i="7"/>
  <c r="Q22" i="7"/>
  <c r="P22" i="7"/>
  <c r="O22" i="7"/>
  <c r="N22" i="7"/>
  <c r="L22" i="7"/>
  <c r="K22" i="7"/>
  <c r="I22" i="7"/>
  <c r="H22" i="7"/>
  <c r="F22" i="7"/>
  <c r="E22" i="7"/>
  <c r="C22" i="7"/>
  <c r="B22" i="7"/>
  <c r="B21" i="7"/>
  <c r="C21" i="7"/>
  <c r="E21" i="7"/>
  <c r="F21" i="7"/>
  <c r="H21" i="7"/>
  <c r="I21" i="7"/>
  <c r="K21" i="7"/>
  <c r="L21" i="7"/>
  <c r="N21" i="7"/>
  <c r="O21" i="7"/>
  <c r="Q21" i="7"/>
  <c r="R21" i="7"/>
  <c r="T21" i="7"/>
  <c r="U21" i="7"/>
  <c r="W21" i="7"/>
  <c r="X21" i="7"/>
  <c r="Y51" i="7"/>
  <c r="Y52" i="7"/>
  <c r="Y53" i="7"/>
  <c r="Y54" i="7"/>
  <c r="Y55" i="7"/>
  <c r="Y56" i="7"/>
  <c r="Y57" i="7"/>
  <c r="Y58" i="7"/>
  <c r="Y59" i="7"/>
  <c r="Y60" i="7"/>
  <c r="Y61" i="7"/>
  <c r="Y67" i="7"/>
  <c r="V51" i="7"/>
  <c r="V52" i="7"/>
  <c r="V53" i="7"/>
  <c r="V54" i="7"/>
  <c r="V55" i="7"/>
  <c r="V56" i="7"/>
  <c r="V57" i="7"/>
  <c r="V58" i="7"/>
  <c r="V59" i="7"/>
  <c r="V60" i="7"/>
  <c r="V61" i="7"/>
  <c r="V62" i="7"/>
  <c r="V67" i="7"/>
  <c r="S51" i="7"/>
  <c r="S52" i="7"/>
  <c r="S53" i="7"/>
  <c r="S54" i="7"/>
  <c r="S55" i="7"/>
  <c r="S56" i="7"/>
  <c r="S57" i="7"/>
  <c r="S58" i="7"/>
  <c r="S59" i="7"/>
  <c r="S60" i="7"/>
  <c r="S61" i="7"/>
  <c r="S62" i="7"/>
  <c r="S67" i="7"/>
  <c r="P51" i="7"/>
  <c r="P52" i="7"/>
  <c r="P53" i="7"/>
  <c r="P54" i="7"/>
  <c r="P55" i="7"/>
  <c r="P56" i="7"/>
  <c r="P57" i="7"/>
  <c r="P58" i="7"/>
  <c r="P59" i="7"/>
  <c r="P60" i="7"/>
  <c r="P61" i="7"/>
  <c r="P67" i="7"/>
  <c r="M51" i="7"/>
  <c r="M52" i="7"/>
  <c r="M53" i="7"/>
  <c r="M54" i="7"/>
  <c r="M55" i="7"/>
  <c r="M56" i="7"/>
  <c r="M57" i="7"/>
  <c r="M58" i="7"/>
  <c r="M59" i="7"/>
  <c r="M60" i="7"/>
  <c r="M67" i="7"/>
  <c r="J51" i="7"/>
  <c r="J52" i="7"/>
  <c r="J53" i="7"/>
  <c r="J54" i="7"/>
  <c r="J55" i="7"/>
  <c r="J56" i="7"/>
  <c r="J57" i="7"/>
  <c r="J58" i="7"/>
  <c r="J59" i="7"/>
  <c r="J60" i="7"/>
  <c r="J61" i="7"/>
  <c r="J67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7" i="7"/>
  <c r="D67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C66" i="7"/>
  <c r="B66" i="7"/>
  <c r="B65" i="7"/>
  <c r="C65" i="7"/>
  <c r="E65" i="7"/>
  <c r="F65" i="7"/>
  <c r="H65" i="7"/>
  <c r="I65" i="7"/>
  <c r="K65" i="7"/>
  <c r="L65" i="7"/>
  <c r="N65" i="7"/>
  <c r="O65" i="7"/>
  <c r="Q65" i="7"/>
  <c r="R65" i="7"/>
  <c r="T65" i="7"/>
  <c r="U65" i="7"/>
  <c r="W65" i="7"/>
  <c r="X65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5" i="7"/>
  <c r="V29" i="7"/>
  <c r="V30" i="7"/>
  <c r="V31" i="7"/>
  <c r="V32" i="7"/>
  <c r="V33" i="7"/>
  <c r="V34" i="7"/>
  <c r="V35" i="7"/>
  <c r="V36" i="7"/>
  <c r="V37" i="7"/>
  <c r="V38" i="7"/>
  <c r="V45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5" i="7"/>
  <c r="P29" i="7"/>
  <c r="P30" i="7"/>
  <c r="P31" i="7"/>
  <c r="P32" i="7"/>
  <c r="P33" i="7"/>
  <c r="P34" i="7"/>
  <c r="P35" i="7"/>
  <c r="P36" i="7"/>
  <c r="P37" i="7"/>
  <c r="P38" i="7"/>
  <c r="P39" i="7"/>
  <c r="P45" i="7"/>
  <c r="M45" i="7"/>
  <c r="J29" i="7"/>
  <c r="J30" i="7"/>
  <c r="J31" i="7"/>
  <c r="J32" i="7"/>
  <c r="J33" i="7"/>
  <c r="J34" i="7"/>
  <c r="J35" i="7"/>
  <c r="J36" i="7"/>
  <c r="J37" i="7"/>
  <c r="J38" i="7"/>
  <c r="J39" i="7"/>
  <c r="J40" i="7"/>
  <c r="J45" i="7"/>
  <c r="G29" i="7"/>
  <c r="G30" i="7"/>
  <c r="G31" i="7"/>
  <c r="G32" i="7"/>
  <c r="G33" i="7"/>
  <c r="G34" i="7"/>
  <c r="G35" i="7"/>
  <c r="G36" i="7"/>
  <c r="G37" i="7"/>
  <c r="G38" i="7"/>
  <c r="G39" i="7"/>
  <c r="G45" i="7"/>
  <c r="Y44" i="7"/>
  <c r="X44" i="7"/>
  <c r="W44" i="7"/>
  <c r="V44" i="7"/>
  <c r="U44" i="7"/>
  <c r="T44" i="7"/>
  <c r="S44" i="7"/>
  <c r="R44" i="7"/>
  <c r="Q44" i="7"/>
  <c r="P44" i="7"/>
  <c r="O44" i="7"/>
  <c r="N44" i="7"/>
  <c r="L44" i="7"/>
  <c r="K44" i="7"/>
  <c r="J44" i="7"/>
  <c r="I44" i="7"/>
  <c r="H44" i="7"/>
  <c r="G44" i="7"/>
  <c r="F44" i="7"/>
  <c r="E44" i="7"/>
  <c r="AD12" i="7"/>
  <c r="AE12" i="7"/>
  <c r="AF12" i="7"/>
  <c r="AG12" i="7"/>
  <c r="AD11" i="7"/>
  <c r="AE11" i="7"/>
  <c r="AF11" i="7"/>
  <c r="AG11" i="7"/>
  <c r="AD10" i="7"/>
  <c r="AE10" i="7"/>
  <c r="AF10" i="7"/>
  <c r="AG10" i="7"/>
  <c r="AD9" i="7"/>
  <c r="AE9" i="7"/>
  <c r="AF9" i="7"/>
  <c r="AG9" i="7"/>
  <c r="AF8" i="7"/>
  <c r="AG8" i="7"/>
  <c r="AD7" i="7"/>
  <c r="AE7" i="7"/>
  <c r="AF7" i="7"/>
  <c r="AG7" i="7"/>
  <c r="AD6" i="7"/>
  <c r="AE6" i="7"/>
  <c r="AF6" i="7"/>
  <c r="AG6" i="7"/>
  <c r="K31" i="5"/>
  <c r="O19" i="5"/>
  <c r="G27" i="5"/>
  <c r="G31" i="5"/>
  <c r="K29" i="5"/>
  <c r="G29" i="5"/>
  <c r="K27" i="5"/>
  <c r="L24" i="5"/>
  <c r="M24" i="5"/>
  <c r="N24" i="5"/>
  <c r="U24" i="5"/>
  <c r="O24" i="5"/>
  <c r="P24" i="5"/>
  <c r="Q24" i="5"/>
  <c r="V24" i="5"/>
  <c r="W24" i="5"/>
  <c r="R24" i="5"/>
  <c r="S24" i="5"/>
  <c r="T24" i="5"/>
  <c r="K24" i="5"/>
  <c r="G24" i="5"/>
  <c r="B19" i="5"/>
  <c r="B20" i="5"/>
  <c r="B21" i="5"/>
  <c r="B22" i="5"/>
  <c r="B23" i="5"/>
  <c r="B24" i="5"/>
  <c r="C24" i="5"/>
  <c r="L23" i="5"/>
  <c r="M23" i="5"/>
  <c r="N23" i="5"/>
  <c r="U23" i="5"/>
  <c r="O23" i="5"/>
  <c r="P23" i="5"/>
  <c r="Q23" i="5"/>
  <c r="V23" i="5"/>
  <c r="W23" i="5"/>
  <c r="R23" i="5"/>
  <c r="S23" i="5"/>
  <c r="T23" i="5"/>
  <c r="K23" i="5"/>
  <c r="G23" i="5"/>
  <c r="C23" i="5"/>
  <c r="L22" i="5"/>
  <c r="M22" i="5"/>
  <c r="N22" i="5"/>
  <c r="U22" i="5"/>
  <c r="O22" i="5"/>
  <c r="P22" i="5"/>
  <c r="Q22" i="5"/>
  <c r="V22" i="5"/>
  <c r="W22" i="5"/>
  <c r="R22" i="5"/>
  <c r="S22" i="5"/>
  <c r="T22" i="5"/>
  <c r="K22" i="5"/>
  <c r="G22" i="5"/>
  <c r="C22" i="5"/>
  <c r="L21" i="5"/>
  <c r="M21" i="5"/>
  <c r="N21" i="5"/>
  <c r="U21" i="5"/>
  <c r="O21" i="5"/>
  <c r="P21" i="5"/>
  <c r="Q21" i="5"/>
  <c r="V21" i="5"/>
  <c r="W21" i="5"/>
  <c r="R21" i="5"/>
  <c r="S21" i="5"/>
  <c r="T21" i="5"/>
  <c r="K21" i="5"/>
  <c r="G21" i="5"/>
  <c r="C21" i="5"/>
  <c r="L20" i="5"/>
  <c r="M20" i="5"/>
  <c r="N20" i="5"/>
  <c r="U20" i="5"/>
  <c r="O20" i="5"/>
  <c r="Q20" i="5"/>
  <c r="V20" i="5"/>
  <c r="W20" i="5"/>
  <c r="R20" i="5"/>
  <c r="S20" i="5"/>
  <c r="T20" i="5"/>
  <c r="K20" i="5"/>
  <c r="G20" i="5"/>
  <c r="C20" i="5"/>
  <c r="L19" i="5"/>
  <c r="M19" i="5"/>
  <c r="N19" i="5"/>
  <c r="U19" i="5"/>
  <c r="P19" i="5"/>
  <c r="Q19" i="5"/>
  <c r="V19" i="5"/>
  <c r="W19" i="5"/>
  <c r="R19" i="5"/>
  <c r="S19" i="5"/>
  <c r="T19" i="5"/>
  <c r="K19" i="5"/>
  <c r="G19" i="5"/>
  <c r="C19" i="5"/>
  <c r="L18" i="5"/>
  <c r="M18" i="5"/>
  <c r="N18" i="5"/>
  <c r="U18" i="5"/>
  <c r="P18" i="5"/>
  <c r="Q18" i="5"/>
  <c r="V18" i="5"/>
  <c r="W18" i="5"/>
  <c r="R18" i="5"/>
  <c r="T18" i="5"/>
  <c r="K18" i="5"/>
  <c r="G18" i="5"/>
  <c r="C18" i="5"/>
  <c r="L17" i="5"/>
  <c r="M17" i="5"/>
  <c r="N17" i="5"/>
  <c r="U17" i="5"/>
  <c r="O17" i="5"/>
  <c r="P17" i="5"/>
  <c r="Q17" i="5"/>
  <c r="V17" i="5"/>
  <c r="W17" i="5"/>
  <c r="R17" i="5"/>
  <c r="S17" i="5"/>
  <c r="T17" i="5"/>
  <c r="K17" i="5"/>
  <c r="G17" i="5"/>
  <c r="B12" i="5"/>
  <c r="B13" i="5"/>
  <c r="B14" i="5"/>
  <c r="B15" i="5"/>
  <c r="B16" i="5"/>
  <c r="B17" i="5"/>
  <c r="C17" i="5"/>
  <c r="L16" i="5"/>
  <c r="M16" i="5"/>
  <c r="N16" i="5"/>
  <c r="U16" i="5"/>
  <c r="O16" i="5"/>
  <c r="P16" i="5"/>
  <c r="Q16" i="5"/>
  <c r="V16" i="5"/>
  <c r="W16" i="5"/>
  <c r="R16" i="5"/>
  <c r="S16" i="5"/>
  <c r="T16" i="5"/>
  <c r="K16" i="5"/>
  <c r="G16" i="5"/>
  <c r="C16" i="5"/>
  <c r="L15" i="5"/>
  <c r="M15" i="5"/>
  <c r="N15" i="5"/>
  <c r="U15" i="5"/>
  <c r="O15" i="5"/>
  <c r="P15" i="5"/>
  <c r="Q15" i="5"/>
  <c r="V15" i="5"/>
  <c r="W15" i="5"/>
  <c r="R15" i="5"/>
  <c r="S15" i="5"/>
  <c r="T15" i="5"/>
  <c r="K15" i="5"/>
  <c r="G15" i="5"/>
  <c r="C15" i="5"/>
  <c r="L14" i="5"/>
  <c r="M14" i="5"/>
  <c r="N14" i="5"/>
  <c r="U14" i="5"/>
  <c r="O14" i="5"/>
  <c r="P14" i="5"/>
  <c r="Q14" i="5"/>
  <c r="V14" i="5"/>
  <c r="W14" i="5"/>
  <c r="R14" i="5"/>
  <c r="S14" i="5"/>
  <c r="T14" i="5"/>
  <c r="K14" i="5"/>
  <c r="G14" i="5"/>
  <c r="C14" i="5"/>
  <c r="L13" i="5"/>
  <c r="M13" i="5"/>
  <c r="N13" i="5"/>
  <c r="U13" i="5"/>
  <c r="O13" i="5"/>
  <c r="P13" i="5"/>
  <c r="Q13" i="5"/>
  <c r="V13" i="5"/>
  <c r="W13" i="5"/>
  <c r="R13" i="5"/>
  <c r="S13" i="5"/>
  <c r="T13" i="5"/>
  <c r="K13" i="5"/>
  <c r="G13" i="5"/>
  <c r="C13" i="5"/>
  <c r="L12" i="5"/>
  <c r="M12" i="5"/>
  <c r="N12" i="5"/>
  <c r="U12" i="5"/>
  <c r="O12" i="5"/>
  <c r="P12" i="5"/>
  <c r="Q12" i="5"/>
  <c r="V12" i="5"/>
  <c r="W12" i="5"/>
  <c r="R12" i="5"/>
  <c r="S12" i="5"/>
  <c r="T12" i="5"/>
  <c r="K12" i="5"/>
  <c r="G12" i="5"/>
  <c r="C12" i="5"/>
  <c r="L11" i="5"/>
  <c r="M11" i="5"/>
  <c r="N11" i="5"/>
  <c r="U11" i="5"/>
  <c r="O11" i="5"/>
  <c r="P11" i="5"/>
  <c r="Q11" i="5"/>
  <c r="V11" i="5"/>
  <c r="W11" i="5"/>
  <c r="R11" i="5"/>
  <c r="S11" i="5"/>
  <c r="T11" i="5"/>
  <c r="K11" i="5"/>
  <c r="G11" i="5"/>
  <c r="C11" i="5"/>
  <c r="L10" i="5"/>
  <c r="M10" i="5"/>
  <c r="N10" i="5"/>
  <c r="U10" i="5"/>
  <c r="O10" i="5"/>
  <c r="P10" i="5"/>
  <c r="Q10" i="5"/>
  <c r="V10" i="5"/>
  <c r="W10" i="5"/>
  <c r="R10" i="5"/>
  <c r="S10" i="5"/>
  <c r="T10" i="5"/>
  <c r="K10" i="5"/>
  <c r="G10" i="5"/>
  <c r="B5" i="5"/>
  <c r="B6" i="5"/>
  <c r="B7" i="5"/>
  <c r="B8" i="5"/>
  <c r="B9" i="5"/>
  <c r="B10" i="5"/>
  <c r="C10" i="5"/>
  <c r="L9" i="5"/>
  <c r="M9" i="5"/>
  <c r="N9" i="5"/>
  <c r="U9" i="5"/>
  <c r="O9" i="5"/>
  <c r="P9" i="5"/>
  <c r="Q9" i="5"/>
  <c r="V9" i="5"/>
  <c r="W9" i="5"/>
  <c r="R9" i="5"/>
  <c r="S9" i="5"/>
  <c r="T9" i="5"/>
  <c r="K9" i="5"/>
  <c r="G9" i="5"/>
  <c r="C9" i="5"/>
  <c r="L8" i="5"/>
  <c r="M8" i="5"/>
  <c r="N8" i="5"/>
  <c r="U8" i="5"/>
  <c r="O8" i="5"/>
  <c r="P8" i="5"/>
  <c r="Q8" i="5"/>
  <c r="V8" i="5"/>
  <c r="W8" i="5"/>
  <c r="R8" i="5"/>
  <c r="S8" i="5"/>
  <c r="T8" i="5"/>
  <c r="K8" i="5"/>
  <c r="G8" i="5"/>
  <c r="C8" i="5"/>
  <c r="L7" i="5"/>
  <c r="M7" i="5"/>
  <c r="N7" i="5"/>
  <c r="U7" i="5"/>
  <c r="O7" i="5"/>
  <c r="P7" i="5"/>
  <c r="Q7" i="5"/>
  <c r="V7" i="5"/>
  <c r="W7" i="5"/>
  <c r="R7" i="5"/>
  <c r="S7" i="5"/>
  <c r="T7" i="5"/>
  <c r="K7" i="5"/>
  <c r="G7" i="5"/>
  <c r="C7" i="5"/>
  <c r="L6" i="5"/>
  <c r="M6" i="5"/>
  <c r="N6" i="5"/>
  <c r="U6" i="5"/>
  <c r="O6" i="5"/>
  <c r="P6" i="5"/>
  <c r="Q6" i="5"/>
  <c r="V6" i="5"/>
  <c r="W6" i="5"/>
  <c r="R6" i="5"/>
  <c r="S6" i="5"/>
  <c r="T6" i="5"/>
  <c r="K6" i="5"/>
  <c r="G6" i="5"/>
  <c r="C6" i="5"/>
  <c r="L5" i="5"/>
  <c r="M5" i="5"/>
  <c r="N5" i="5"/>
  <c r="U5" i="5"/>
  <c r="O5" i="5"/>
  <c r="P5" i="5"/>
  <c r="Q5" i="5"/>
  <c r="V5" i="5"/>
  <c r="W5" i="5"/>
  <c r="R5" i="5"/>
  <c r="S5" i="5"/>
  <c r="T5" i="5"/>
  <c r="K5" i="5"/>
  <c r="G5" i="5"/>
  <c r="C5" i="5"/>
  <c r="L4" i="5"/>
  <c r="M4" i="5"/>
  <c r="N4" i="5"/>
  <c r="U4" i="5"/>
  <c r="O4" i="5"/>
  <c r="P4" i="5"/>
  <c r="Q4" i="5"/>
  <c r="V4" i="5"/>
  <c r="W4" i="5"/>
  <c r="R4" i="5"/>
  <c r="S4" i="5"/>
  <c r="T4" i="5"/>
  <c r="K4" i="5"/>
  <c r="G4" i="5"/>
  <c r="C4" i="5"/>
  <c r="J18" i="4"/>
  <c r="F30" i="4"/>
  <c r="J30" i="4"/>
  <c r="I30" i="4"/>
  <c r="H30" i="4"/>
  <c r="G30" i="4"/>
  <c r="F29" i="4"/>
  <c r="J29" i="4"/>
  <c r="I29" i="4"/>
  <c r="H29" i="4"/>
  <c r="G29" i="4"/>
  <c r="F28" i="4"/>
  <c r="J28" i="4"/>
  <c r="I28" i="4"/>
  <c r="H28" i="4"/>
  <c r="G28" i="4"/>
  <c r="F27" i="4"/>
  <c r="J27" i="4"/>
  <c r="I27" i="4"/>
  <c r="H27" i="4"/>
  <c r="G27" i="4"/>
  <c r="F26" i="4"/>
  <c r="J26" i="4"/>
  <c r="I26" i="4"/>
  <c r="H26" i="4"/>
  <c r="G26" i="4"/>
  <c r="F25" i="4"/>
  <c r="J25" i="4"/>
  <c r="I25" i="4"/>
  <c r="H25" i="4"/>
  <c r="G25" i="4"/>
  <c r="F24" i="4"/>
  <c r="J24" i="4"/>
  <c r="I24" i="4"/>
  <c r="H24" i="4"/>
  <c r="G24" i="4"/>
  <c r="F23" i="4"/>
  <c r="J23" i="4"/>
  <c r="I23" i="4"/>
  <c r="H23" i="4"/>
  <c r="G23" i="4"/>
  <c r="F22" i="4"/>
  <c r="J22" i="4"/>
  <c r="I22" i="4"/>
  <c r="H22" i="4"/>
  <c r="G22" i="4"/>
  <c r="F18" i="4"/>
  <c r="I18" i="4"/>
  <c r="H18" i="4"/>
  <c r="G18" i="4"/>
  <c r="F17" i="4"/>
  <c r="J17" i="4"/>
  <c r="I17" i="4"/>
  <c r="H17" i="4"/>
  <c r="G17" i="4"/>
  <c r="F16" i="4"/>
  <c r="J16" i="4"/>
  <c r="I16" i="4"/>
  <c r="H16" i="4"/>
  <c r="G16" i="4"/>
  <c r="F15" i="4"/>
  <c r="J15" i="4"/>
  <c r="I15" i="4"/>
  <c r="H15" i="4"/>
  <c r="G15" i="4"/>
  <c r="F14" i="4"/>
  <c r="J14" i="4"/>
  <c r="I14" i="4"/>
  <c r="H14" i="4"/>
  <c r="G14" i="4"/>
  <c r="F13" i="4"/>
  <c r="J13" i="4"/>
  <c r="I13" i="4"/>
  <c r="H13" i="4"/>
  <c r="G13" i="4"/>
  <c r="F12" i="4"/>
  <c r="J12" i="4"/>
  <c r="I12" i="4"/>
  <c r="H12" i="4"/>
  <c r="G12" i="4"/>
  <c r="F11" i="4"/>
  <c r="J11" i="4"/>
  <c r="I11" i="4"/>
  <c r="H11" i="4"/>
  <c r="G11" i="4"/>
  <c r="F10" i="4"/>
  <c r="J10" i="4"/>
  <c r="I10" i="4"/>
  <c r="H10" i="4"/>
  <c r="G10" i="4"/>
  <c r="F9" i="4"/>
  <c r="J9" i="4"/>
  <c r="I9" i="4"/>
  <c r="H9" i="4"/>
  <c r="G9" i="4"/>
  <c r="F8" i="4"/>
  <c r="J8" i="4"/>
  <c r="I8" i="4"/>
  <c r="H8" i="4"/>
  <c r="G8" i="4"/>
  <c r="F7" i="4"/>
  <c r="J7" i="4"/>
  <c r="I7" i="4"/>
  <c r="H7" i="4"/>
  <c r="G7" i="4"/>
  <c r="F6" i="4"/>
  <c r="J6" i="4"/>
  <c r="I6" i="4"/>
  <c r="H6" i="4"/>
  <c r="G6" i="4"/>
  <c r="F5" i="4"/>
  <c r="J5" i="4"/>
  <c r="I5" i="4"/>
  <c r="H5" i="4"/>
  <c r="G5" i="4"/>
  <c r="I6" i="1"/>
  <c r="I7" i="1"/>
  <c r="J6" i="1"/>
  <c r="N11" i="1"/>
  <c r="I8" i="1"/>
  <c r="I9" i="1"/>
  <c r="J8" i="1"/>
  <c r="N12" i="1"/>
  <c r="I23" i="1"/>
  <c r="I24" i="1"/>
  <c r="J23" i="1"/>
  <c r="O12" i="1"/>
  <c r="I38" i="1"/>
  <c r="I39" i="1"/>
  <c r="J38" i="1"/>
  <c r="P12" i="1"/>
  <c r="Q12" i="1"/>
  <c r="I10" i="1"/>
  <c r="I11" i="1"/>
  <c r="J10" i="1"/>
  <c r="N13" i="1"/>
  <c r="I25" i="1"/>
  <c r="I26" i="1"/>
  <c r="J25" i="1"/>
  <c r="O13" i="1"/>
  <c r="I40" i="1"/>
  <c r="I41" i="1"/>
  <c r="J40" i="1"/>
  <c r="P13" i="1"/>
  <c r="Q13" i="1"/>
  <c r="I12" i="1"/>
  <c r="I13" i="1"/>
  <c r="J12" i="1"/>
  <c r="N14" i="1"/>
  <c r="I27" i="1"/>
  <c r="I28" i="1"/>
  <c r="J27" i="1"/>
  <c r="O14" i="1"/>
  <c r="I42" i="1"/>
  <c r="I43" i="1"/>
  <c r="J42" i="1"/>
  <c r="P14" i="1"/>
  <c r="Q14" i="1"/>
  <c r="I14" i="1"/>
  <c r="I15" i="1"/>
  <c r="J14" i="1"/>
  <c r="N15" i="1"/>
  <c r="I29" i="1"/>
  <c r="I30" i="1"/>
  <c r="J29" i="1"/>
  <c r="O15" i="1"/>
  <c r="I44" i="1"/>
  <c r="I45" i="1"/>
  <c r="J44" i="1"/>
  <c r="P15" i="1"/>
  <c r="Q15" i="1"/>
  <c r="I16" i="1"/>
  <c r="I17" i="1"/>
  <c r="J16" i="1"/>
  <c r="N16" i="1"/>
  <c r="I31" i="1"/>
  <c r="I32" i="1"/>
  <c r="J31" i="1"/>
  <c r="O16" i="1"/>
  <c r="I46" i="1"/>
  <c r="I47" i="1"/>
  <c r="J46" i="1"/>
  <c r="P16" i="1"/>
  <c r="Q16" i="1"/>
  <c r="I21" i="1"/>
  <c r="I22" i="1"/>
  <c r="J21" i="1"/>
  <c r="O11" i="1"/>
  <c r="I36" i="1"/>
  <c r="I37" i="1"/>
  <c r="J36" i="1"/>
  <c r="P11" i="1"/>
  <c r="Q11" i="1"/>
</calcChain>
</file>

<file path=xl/sharedStrings.xml><?xml version="1.0" encoding="utf-8"?>
<sst xmlns="http://schemas.openxmlformats.org/spreadsheetml/2006/main" count="266" uniqueCount="70">
  <si>
    <t>Gsmpl</t>
  </si>
  <si>
    <t>Ghskp</t>
  </si>
  <si>
    <t>Avg</t>
  </si>
  <si>
    <t>C6/36</t>
  </si>
  <si>
    <t>4 deg</t>
  </si>
  <si>
    <t>29 deg</t>
  </si>
  <si>
    <t>37 deg</t>
  </si>
  <si>
    <t>BHK 21</t>
  </si>
  <si>
    <t>Reading 1</t>
  </si>
  <si>
    <t>Reading 2</t>
  </si>
  <si>
    <t>Gsmpl/Ghskp</t>
  </si>
  <si>
    <t>Cq value of sample</t>
  </si>
  <si>
    <t>Cq value of housekeeping gene</t>
  </si>
  <si>
    <t>RUN 3</t>
  </si>
  <si>
    <t>RUN 2</t>
  </si>
  <si>
    <t>RUN 1</t>
  </si>
  <si>
    <t>Attachment</t>
  </si>
  <si>
    <t>Run 1</t>
  </si>
  <si>
    <t>Run 2</t>
  </si>
  <si>
    <t>Run 3</t>
  </si>
  <si>
    <t>4G2 conc (ug/ml)</t>
  </si>
  <si>
    <t>Log conc</t>
  </si>
  <si>
    <t>pfu</t>
  </si>
  <si>
    <t>Avg pfu</t>
  </si>
  <si>
    <t>%pfu reduction</t>
  </si>
  <si>
    <t>Avg %pfu reduc</t>
  </si>
  <si>
    <t>SD</t>
  </si>
  <si>
    <t>Expt1</t>
  </si>
  <si>
    <t>Expt2</t>
  </si>
  <si>
    <t>Overall</t>
  </si>
  <si>
    <t>4deg</t>
  </si>
  <si>
    <t>29deg</t>
  </si>
  <si>
    <t>Figure 2b (Attachment Assay)</t>
  </si>
  <si>
    <t>Figure 2a</t>
  </si>
  <si>
    <t>Test experiment</t>
  </si>
  <si>
    <t>-RNase</t>
  </si>
  <si>
    <t>+RNase</t>
  </si>
  <si>
    <t>25°C</t>
  </si>
  <si>
    <t>37°C</t>
  </si>
  <si>
    <t>Control experiment</t>
  </si>
  <si>
    <t>Relative genome copies</t>
  </si>
  <si>
    <r>
      <t>4</t>
    </r>
    <r>
      <rPr>
        <b/>
        <sz val="11"/>
        <color theme="1"/>
        <rFont val="Calibri"/>
        <family val="2"/>
      </rPr>
      <t>°C</t>
    </r>
  </si>
  <si>
    <t>Supplementary Figure 5</t>
  </si>
  <si>
    <t>Micrograph</t>
  </si>
  <si>
    <t>Mature</t>
  </si>
  <si>
    <t>Partial</t>
  </si>
  <si>
    <t>Immature</t>
  </si>
  <si>
    <t>CSP</t>
  </si>
  <si>
    <t>Total</t>
  </si>
  <si>
    <t>Absolute</t>
  </si>
  <si>
    <t>Micrograph#</t>
  </si>
  <si>
    <r>
      <t>29</t>
    </r>
    <r>
      <rPr>
        <b/>
        <sz val="11"/>
        <color theme="1"/>
        <rFont val="Calibri"/>
        <family val="2"/>
      </rPr>
      <t>°C</t>
    </r>
  </si>
  <si>
    <t>Fraction of total population</t>
  </si>
  <si>
    <t>Control (without antibody)</t>
  </si>
  <si>
    <r>
      <t>Temperature (</t>
    </r>
    <r>
      <rPr>
        <b/>
        <sz val="12"/>
        <color theme="1"/>
        <rFont val="Calibri"/>
        <family val="2"/>
      </rPr>
      <t>°</t>
    </r>
    <r>
      <rPr>
        <b/>
        <sz val="8.4"/>
        <color theme="1"/>
        <rFont val="Calibri"/>
        <family val="2"/>
      </rPr>
      <t>C)</t>
    </r>
  </si>
  <si>
    <t>4°C</t>
  </si>
  <si>
    <t>29°C</t>
  </si>
  <si>
    <t>Figure 1b</t>
  </si>
  <si>
    <t>Image no.</t>
  </si>
  <si>
    <t>Round</t>
  </si>
  <si>
    <t>Club</t>
  </si>
  <si>
    <t>% club</t>
  </si>
  <si>
    <t>avg norm</t>
  </si>
  <si>
    <t>avg st dev</t>
  </si>
  <si>
    <t>normalised</t>
  </si>
  <si>
    <t>Termperature (°C)</t>
  </si>
  <si>
    <t>Average</t>
  </si>
  <si>
    <t>Temperature (°C)</t>
  </si>
  <si>
    <t>Temperature  (°C)</t>
  </si>
  <si>
    <r>
      <t>Temp (</t>
    </r>
    <r>
      <rPr>
        <b/>
        <sz val="12"/>
        <color theme="1"/>
        <rFont val="Calibri"/>
        <family val="2"/>
      </rPr>
      <t>°</t>
    </r>
    <r>
      <rPr>
        <b/>
        <sz val="8.4"/>
        <color theme="1"/>
        <rFont val="Calibri"/>
        <family val="2"/>
      </rPr>
      <t>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</si>
</sst>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8.4"/>
      <color theme="1"/>
      <name val="Calibri"/>
      <family val="2"/>
    </font>
    <font>
      <b/>
      <sz val="2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77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/>
    </xf>
    <xf numFmtId="2" fontId="2" fillId="0" borderId="0" xfId="0" applyNumberFormat="1" applyFont="1" applyAlignment="1">
      <alignment horizontal="left"/>
    </xf>
    <xf numFmtId="0" fontId="2" fillId="0" borderId="0" xfId="0" applyFont="1"/>
    <xf numFmtId="2" fontId="0" fillId="0" borderId="5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3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2" fontId="1" fillId="3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1" fillId="3" borderId="0" xfId="0" applyNumberFormat="1" applyFont="1" applyFill="1" applyAlignment="1">
      <alignment horizontal="center" vertical="center"/>
    </xf>
    <xf numFmtId="2" fontId="0" fillId="0" borderId="12" xfId="0" applyNumberFormat="1" applyFill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quotePrefix="1" applyFont="1" applyBorder="1"/>
    <xf numFmtId="0" fontId="0" fillId="0" borderId="1" xfId="0" applyBorder="1"/>
    <xf numFmtId="0" fontId="2" fillId="0" borderId="0" xfId="0" applyFont="1" applyAlignment="1">
      <alignment horizontal="left" vertical="top"/>
    </xf>
    <xf numFmtId="0" fontId="0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9" fillId="0" borderId="0" xfId="1" applyAlignment="1">
      <alignment horizontal="center" vertical="center"/>
    </xf>
    <xf numFmtId="2" fontId="9" fillId="0" borderId="0" xfId="1" applyNumberFormat="1" applyAlignment="1">
      <alignment horizontal="center" vertical="center"/>
    </xf>
    <xf numFmtId="2" fontId="9" fillId="0" borderId="0" xfId="1" applyNumberFormat="1"/>
    <xf numFmtId="0" fontId="9" fillId="0" borderId="0" xfId="1"/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2" fontId="3" fillId="5" borderId="2" xfId="1" applyNumberFormat="1" applyFont="1" applyFill="1" applyBorder="1" applyAlignment="1">
      <alignment horizontal="center" vertical="center"/>
    </xf>
    <xf numFmtId="2" fontId="3" fillId="4" borderId="2" xfId="1" applyNumberFormat="1" applyFont="1" applyFill="1" applyBorder="1" applyAlignment="1">
      <alignment horizontal="center" vertical="center"/>
    </xf>
    <xf numFmtId="2" fontId="3" fillId="4" borderId="2" xfId="1" applyNumberFormat="1" applyFont="1" applyFill="1" applyBorder="1" applyAlignment="1">
      <alignment horizontal="center" vertical="center" wrapText="1"/>
    </xf>
    <xf numFmtId="2" fontId="3" fillId="5" borderId="2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9" fillId="0" borderId="6" xfId="1" applyBorder="1" applyAlignment="1">
      <alignment horizontal="center" vertical="center"/>
    </xf>
    <xf numFmtId="0" fontId="9" fillId="4" borderId="6" xfId="1" applyFill="1" applyBorder="1" applyAlignment="1">
      <alignment horizontal="center" vertical="center"/>
    </xf>
    <xf numFmtId="2" fontId="9" fillId="4" borderId="6" xfId="1" applyNumberFormat="1" applyFill="1" applyBorder="1" applyAlignment="1">
      <alignment horizontal="center" vertical="center"/>
    </xf>
    <xf numFmtId="0" fontId="9" fillId="5" borderId="6" xfId="1" applyFill="1" applyBorder="1" applyAlignment="1">
      <alignment horizontal="center" vertical="center"/>
    </xf>
    <xf numFmtId="2" fontId="9" fillId="5" borderId="6" xfId="1" applyNumberFormat="1" applyFill="1" applyBorder="1" applyAlignment="1">
      <alignment horizontal="center" vertical="center"/>
    </xf>
    <xf numFmtId="2" fontId="3" fillId="0" borderId="6" xfId="1" applyNumberFormat="1" applyFont="1" applyBorder="1"/>
    <xf numFmtId="2" fontId="9" fillId="0" borderId="6" xfId="1" applyNumberFormat="1" applyBorder="1" applyAlignment="1">
      <alignment horizontal="center" vertical="center"/>
    </xf>
    <xf numFmtId="2" fontId="9" fillId="0" borderId="6" xfId="1" applyNumberFormat="1" applyBorder="1"/>
    <xf numFmtId="2" fontId="3" fillId="0" borderId="7" xfId="1" applyNumberFormat="1" applyFont="1" applyBorder="1"/>
    <xf numFmtId="0" fontId="3" fillId="0" borderId="8" xfId="1" applyFont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9" fillId="4" borderId="1" xfId="1" applyFill="1" applyBorder="1" applyAlignment="1">
      <alignment horizontal="center" vertical="center"/>
    </xf>
    <xf numFmtId="2" fontId="9" fillId="4" borderId="1" xfId="1" applyNumberFormat="1" applyFill="1" applyBorder="1" applyAlignment="1">
      <alignment horizontal="center" vertical="center"/>
    </xf>
    <xf numFmtId="0" fontId="9" fillId="5" borderId="1" xfId="1" applyFill="1" applyBorder="1" applyAlignment="1">
      <alignment horizontal="center" vertical="center"/>
    </xf>
    <xf numFmtId="2" fontId="9" fillId="5" borderId="1" xfId="1" applyNumberFormat="1" applyFill="1" applyBorder="1" applyAlignment="1">
      <alignment horizontal="center" vertical="center"/>
    </xf>
    <xf numFmtId="2" fontId="3" fillId="0" borderId="1" xfId="1" applyNumberFormat="1" applyFont="1" applyBorder="1"/>
    <xf numFmtId="2" fontId="9" fillId="0" borderId="1" xfId="1" applyNumberFormat="1" applyBorder="1" applyAlignment="1">
      <alignment horizontal="center" vertical="center"/>
    </xf>
    <xf numFmtId="2" fontId="9" fillId="0" borderId="1" xfId="1" applyNumberFormat="1" applyBorder="1"/>
    <xf numFmtId="2" fontId="3" fillId="0" borderId="9" xfId="1" applyNumberFormat="1" applyFont="1" applyBorder="1"/>
    <xf numFmtId="0" fontId="3" fillId="0" borderId="10" xfId="1" applyFont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9" fillId="4" borderId="11" xfId="1" applyFill="1" applyBorder="1" applyAlignment="1">
      <alignment horizontal="center" vertical="center"/>
    </xf>
    <xf numFmtId="2" fontId="9" fillId="4" borderId="11" xfId="1" applyNumberFormat="1" applyFill="1" applyBorder="1" applyAlignment="1">
      <alignment horizontal="center" vertical="center"/>
    </xf>
    <xf numFmtId="0" fontId="9" fillId="5" borderId="11" xfId="1" applyFill="1" applyBorder="1" applyAlignment="1">
      <alignment horizontal="center" vertical="center"/>
    </xf>
    <xf numFmtId="2" fontId="9" fillId="5" borderId="11" xfId="1" applyNumberFormat="1" applyFill="1" applyBorder="1" applyAlignment="1">
      <alignment horizontal="center" vertical="center"/>
    </xf>
    <xf numFmtId="2" fontId="3" fillId="0" borderId="11" xfId="1" applyNumberFormat="1" applyFont="1" applyBorder="1"/>
    <xf numFmtId="2" fontId="9" fillId="0" borderId="11" xfId="1" applyNumberFormat="1" applyBorder="1" applyAlignment="1">
      <alignment horizontal="center" vertical="center"/>
    </xf>
    <xf numFmtId="2" fontId="9" fillId="0" borderId="11" xfId="1" applyNumberFormat="1" applyBorder="1"/>
    <xf numFmtId="2" fontId="3" fillId="0" borderId="12" xfId="1" applyNumberFormat="1" applyFont="1" applyBorder="1"/>
    <xf numFmtId="0" fontId="10" fillId="0" borderId="5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9" fillId="6" borderId="6" xfId="1" applyFill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9" fillId="6" borderId="1" xfId="1" applyFill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9" fillId="0" borderId="2" xfId="1" applyBorder="1" applyAlignment="1">
      <alignment horizontal="center" vertical="center"/>
    </xf>
    <xf numFmtId="0" fontId="9" fillId="4" borderId="2" xfId="1" applyFill="1" applyBorder="1" applyAlignment="1">
      <alignment horizontal="center" vertical="center"/>
    </xf>
    <xf numFmtId="2" fontId="9" fillId="4" borderId="2" xfId="1" applyNumberFormat="1" applyFill="1" applyBorder="1" applyAlignment="1">
      <alignment horizontal="center" vertical="center"/>
    </xf>
    <xf numFmtId="0" fontId="9" fillId="5" borderId="2" xfId="1" applyFill="1" applyBorder="1" applyAlignment="1">
      <alignment horizontal="center" vertical="center"/>
    </xf>
    <xf numFmtId="2" fontId="9" fillId="5" borderId="2" xfId="1" applyNumberForma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2" fontId="3" fillId="5" borderId="1" xfId="1" applyNumberFormat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2" fontId="4" fillId="5" borderId="1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wrapText="1"/>
    </xf>
    <xf numFmtId="2" fontId="9" fillId="0" borderId="1" xfId="1" applyNumberFormat="1" applyBorder="1" applyAlignment="1">
      <alignment horizontal="center"/>
    </xf>
    <xf numFmtId="2" fontId="9" fillId="7" borderId="1" xfId="1" applyNumberFormat="1" applyFill="1" applyBorder="1" applyAlignment="1">
      <alignment horizontal="center"/>
    </xf>
    <xf numFmtId="2" fontId="9" fillId="0" borderId="0" xfId="1" applyNumberFormat="1" applyAlignment="1">
      <alignment horizontal="center"/>
    </xf>
    <xf numFmtId="1" fontId="9" fillId="0" borderId="1" xfId="1" applyNumberFormat="1" applyBorder="1" applyAlignment="1">
      <alignment horizontal="center" wrapText="1"/>
    </xf>
    <xf numFmtId="1" fontId="9" fillId="0" borderId="1" xfId="1" applyNumberFormat="1" applyBorder="1" applyAlignment="1">
      <alignment horizontal="center"/>
    </xf>
    <xf numFmtId="164" fontId="9" fillId="0" borderId="0" xfId="1" applyNumberFormat="1" applyAlignment="1">
      <alignment horizontal="center"/>
    </xf>
    <xf numFmtId="164" fontId="9" fillId="0" borderId="24" xfId="1" applyNumberFormat="1" applyBorder="1" applyAlignment="1">
      <alignment horizontal="center"/>
    </xf>
    <xf numFmtId="2" fontId="9" fillId="0" borderId="23" xfId="1" applyNumberFormat="1" applyBorder="1" applyAlignment="1">
      <alignment horizontal="center"/>
    </xf>
    <xf numFmtId="164" fontId="9" fillId="0" borderId="26" xfId="1" applyNumberFormat="1" applyBorder="1" applyAlignment="1">
      <alignment horizontal="center"/>
    </xf>
    <xf numFmtId="164" fontId="9" fillId="0" borderId="27" xfId="1" applyNumberFormat="1" applyBorder="1" applyAlignment="1">
      <alignment horizontal="center"/>
    </xf>
    <xf numFmtId="2" fontId="9" fillId="0" borderId="25" xfId="1" applyNumberFormat="1" applyBorder="1" applyAlignment="1">
      <alignment horizontal="center"/>
    </xf>
    <xf numFmtId="1" fontId="9" fillId="0" borderId="0" xfId="1" applyNumberFormat="1" applyAlignment="1">
      <alignment horizontal="center"/>
    </xf>
    <xf numFmtId="1" fontId="9" fillId="0" borderId="0" xfId="1" applyNumberFormat="1" applyAlignment="1">
      <alignment horizontal="center" wrapText="1"/>
    </xf>
    <xf numFmtId="1" fontId="9" fillId="0" borderId="0" xfId="1" applyNumberFormat="1"/>
    <xf numFmtId="1" fontId="0" fillId="0" borderId="1" xfId="0" applyNumberFormat="1" applyBorder="1" applyAlignment="1">
      <alignment horizontal="center"/>
    </xf>
    <xf numFmtId="2" fontId="7" fillId="0" borderId="1" xfId="0" applyNumberFormat="1" applyFont="1" applyBorder="1"/>
    <xf numFmtId="2" fontId="0" fillId="0" borderId="0" xfId="0" applyNumberFormat="1" applyFont="1"/>
    <xf numFmtId="2" fontId="2" fillId="0" borderId="1" xfId="0" applyNumberFormat="1" applyFont="1" applyBorder="1" applyAlignment="1">
      <alignment horizontal="center"/>
    </xf>
    <xf numFmtId="2" fontId="8" fillId="0" borderId="1" xfId="0" applyNumberFormat="1" applyFont="1" applyBorder="1"/>
    <xf numFmtId="2" fontId="9" fillId="6" borderId="6" xfId="1" applyNumberFormat="1" applyFill="1" applyBorder="1" applyAlignment="1">
      <alignment horizontal="center" vertical="center"/>
    </xf>
    <xf numFmtId="2" fontId="9" fillId="6" borderId="1" xfId="1" applyNumberForma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1" fontId="3" fillId="0" borderId="0" xfId="1" applyNumberFormat="1" applyFont="1" applyAlignment="1">
      <alignment horizontal="center" wrapText="1"/>
    </xf>
    <xf numFmtId="1" fontId="3" fillId="0" borderId="1" xfId="1" applyNumberFormat="1" applyFont="1" applyBorder="1" applyAlignment="1">
      <alignment horizontal="center" vertical="center" wrapText="1"/>
    </xf>
    <xf numFmtId="2" fontId="3" fillId="0" borderId="30" xfId="1" applyNumberFormat="1" applyFont="1" applyBorder="1" applyAlignment="1">
      <alignment horizontal="center"/>
    </xf>
    <xf numFmtId="2" fontId="3" fillId="0" borderId="31" xfId="1" applyNumberFormat="1" applyFont="1" applyBorder="1" applyAlignment="1">
      <alignment horizontal="center"/>
    </xf>
    <xf numFmtId="2" fontId="3" fillId="0" borderId="32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2" fontId="3" fillId="7" borderId="1" xfId="1" applyNumberFormat="1" applyFont="1" applyFill="1" applyBorder="1" applyAlignment="1">
      <alignment horizontal="center"/>
    </xf>
    <xf numFmtId="2" fontId="9" fillId="0" borderId="0" xfId="1" applyNumberFormat="1" applyBorder="1" applyAlignment="1">
      <alignment horizontal="center"/>
    </xf>
    <xf numFmtId="2" fontId="9" fillId="0" borderId="26" xfId="1" applyNumberFormat="1" applyBorder="1" applyAlignment="1">
      <alignment horizontal="center"/>
    </xf>
    <xf numFmtId="1" fontId="9" fillId="0" borderId="33" xfId="1" applyNumberFormat="1" applyBorder="1" applyAlignment="1">
      <alignment horizontal="center"/>
    </xf>
    <xf numFmtId="1" fontId="9" fillId="0" borderId="34" xfId="1" applyNumberFormat="1" applyBorder="1" applyAlignment="1">
      <alignment horizontal="center"/>
    </xf>
    <xf numFmtId="2" fontId="3" fillId="0" borderId="5" xfId="1" applyNumberFormat="1" applyFont="1" applyBorder="1" applyAlignment="1">
      <alignment horizontal="center"/>
    </xf>
    <xf numFmtId="2" fontId="3" fillId="0" borderId="6" xfId="1" applyNumberFormat="1" applyFont="1" applyBorder="1" applyAlignment="1">
      <alignment horizontal="center"/>
    </xf>
    <xf numFmtId="2" fontId="3" fillId="0" borderId="10" xfId="1" applyNumberFormat="1" applyFont="1" applyBorder="1" applyAlignment="1">
      <alignment horizontal="center"/>
    </xf>
    <xf numFmtId="2" fontId="3" fillId="0" borderId="11" xfId="1" applyNumberFormat="1" applyFont="1" applyBorder="1" applyAlignment="1">
      <alignment horizontal="center"/>
    </xf>
    <xf numFmtId="2" fontId="3" fillId="0" borderId="20" xfId="1" applyNumberFormat="1" applyFont="1" applyBorder="1" applyAlignment="1">
      <alignment horizontal="center"/>
    </xf>
    <xf numFmtId="2" fontId="3" fillId="0" borderId="35" xfId="1" applyNumberFormat="1" applyFont="1" applyBorder="1" applyAlignment="1">
      <alignment horizontal="center"/>
    </xf>
    <xf numFmtId="2" fontId="9" fillId="0" borderId="36" xfId="1" applyNumberFormat="1" applyBorder="1" applyAlignment="1">
      <alignment horizontal="center"/>
    </xf>
    <xf numFmtId="2" fontId="9" fillId="0" borderId="37" xfId="1" applyNumberFormat="1" applyBorder="1" applyAlignment="1">
      <alignment horizontal="center"/>
    </xf>
    <xf numFmtId="2" fontId="9" fillId="0" borderId="33" xfId="1" applyNumberFormat="1" applyBorder="1" applyAlignment="1">
      <alignment horizontal="center"/>
    </xf>
    <xf numFmtId="2" fontId="9" fillId="0" borderId="34" xfId="1" applyNumberFormat="1" applyBorder="1" applyAlignment="1">
      <alignment horizontal="center"/>
    </xf>
    <xf numFmtId="1" fontId="3" fillId="0" borderId="1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E929E578-D929-4DE6-A20A-67B778B1ECD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4AE1D-0B8C-42D2-A1E2-FE14E238BF8A}">
  <sheetPr>
    <pageSetUpPr fitToPage="1"/>
  </sheetPr>
  <dimension ref="A1:AI67"/>
  <sheetViews>
    <sheetView topLeftCell="A13" zoomScale="70" zoomScaleNormal="70" zoomScalePageLayoutView="70" workbookViewId="0">
      <selection activeCell="AC21" sqref="AC21"/>
    </sheetView>
  </sheetViews>
  <sheetFormatPr defaultColWidth="12" defaultRowHeight="15.6" x14ac:dyDescent="0.3"/>
  <cols>
    <col min="1" max="1" width="10.109375" style="136" bestFit="1" customWidth="1"/>
    <col min="2" max="22" width="7.21875" style="126" customWidth="1"/>
    <col min="23" max="23" width="7.5546875" style="126" customWidth="1"/>
    <col min="24" max="24" width="7.21875" style="126" customWidth="1"/>
    <col min="25" max="25" width="7.21875" style="58" customWidth="1"/>
    <col min="26" max="26" width="10" style="58" customWidth="1"/>
    <col min="27" max="27" width="10.21875" style="58" bestFit="1" customWidth="1"/>
    <col min="28" max="28" width="7.109375" style="58" bestFit="1" customWidth="1"/>
    <col min="29" max="29" width="11.5546875" style="58" bestFit="1" customWidth="1"/>
    <col min="30" max="30" width="7.109375" style="58" bestFit="1" customWidth="1"/>
    <col min="31" max="31" width="12.21875" style="58" customWidth="1"/>
    <col min="32" max="32" width="7.109375" style="58" bestFit="1" customWidth="1"/>
    <col min="33" max="33" width="12.21875" style="58" customWidth="1"/>
    <col min="34" max="16384" width="12" style="58"/>
  </cols>
  <sheetData>
    <row r="1" spans="1:35" ht="31.2" customHeight="1" x14ac:dyDescent="0.3">
      <c r="A1" s="150" t="s">
        <v>57</v>
      </c>
      <c r="B1" s="150"/>
      <c r="C1" s="150"/>
    </row>
    <row r="2" spans="1:35" ht="37.200000000000003" thickBot="1" x14ac:dyDescent="0.75">
      <c r="A2" s="123" t="s">
        <v>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35" x14ac:dyDescent="0.3">
      <c r="AA3" s="162" t="s">
        <v>69</v>
      </c>
      <c r="AB3" s="163" t="s">
        <v>17</v>
      </c>
      <c r="AC3" s="163"/>
      <c r="AD3" s="163" t="s">
        <v>18</v>
      </c>
      <c r="AE3" s="163"/>
      <c r="AF3" s="163" t="s">
        <v>19</v>
      </c>
      <c r="AG3" s="166"/>
      <c r="AH3" s="168" t="s">
        <v>62</v>
      </c>
      <c r="AI3" s="168" t="s">
        <v>63</v>
      </c>
    </row>
    <row r="4" spans="1:35" ht="16.2" thickBot="1" x14ac:dyDescent="0.35">
      <c r="A4" s="151" t="s">
        <v>58</v>
      </c>
      <c r="B4" s="152" t="s">
        <v>54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4"/>
      <c r="AA4" s="164"/>
      <c r="AB4" s="165" t="s">
        <v>61</v>
      </c>
      <c r="AC4" s="165" t="s">
        <v>64</v>
      </c>
      <c r="AD4" s="165" t="s">
        <v>61</v>
      </c>
      <c r="AE4" s="165" t="s">
        <v>64</v>
      </c>
      <c r="AF4" s="165" t="s">
        <v>61</v>
      </c>
      <c r="AG4" s="167" t="s">
        <v>64</v>
      </c>
      <c r="AH4" s="169"/>
      <c r="AI4" s="169"/>
    </row>
    <row r="5" spans="1:35" x14ac:dyDescent="0.3">
      <c r="A5" s="151"/>
      <c r="B5" s="155">
        <v>4</v>
      </c>
      <c r="C5" s="155"/>
      <c r="D5" s="155"/>
      <c r="E5" s="155">
        <v>10</v>
      </c>
      <c r="F5" s="155"/>
      <c r="G5" s="155"/>
      <c r="H5" s="155">
        <v>15</v>
      </c>
      <c r="I5" s="155"/>
      <c r="J5" s="155"/>
      <c r="K5" s="155">
        <v>20</v>
      </c>
      <c r="L5" s="155"/>
      <c r="M5" s="155"/>
      <c r="N5" s="155">
        <v>25</v>
      </c>
      <c r="O5" s="155"/>
      <c r="P5" s="155"/>
      <c r="Q5" s="155">
        <v>30</v>
      </c>
      <c r="R5" s="155"/>
      <c r="S5" s="155"/>
      <c r="T5" s="155">
        <v>37</v>
      </c>
      <c r="U5" s="155"/>
      <c r="V5" s="155"/>
      <c r="W5" s="155">
        <v>40</v>
      </c>
      <c r="X5" s="155"/>
      <c r="Y5" s="155"/>
      <c r="AA5" s="160">
        <v>4</v>
      </c>
      <c r="AB5" s="129">
        <f>D22</f>
        <v>12.156459237234339</v>
      </c>
      <c r="AC5" s="130">
        <f>AB5-$AB$5</f>
        <v>0</v>
      </c>
      <c r="AD5" s="129">
        <f>D44</f>
        <v>18.425241852187703</v>
      </c>
      <c r="AE5" s="130">
        <f>AD5-D44</f>
        <v>0</v>
      </c>
      <c r="AF5" s="131">
        <f>D66</f>
        <v>4.477160411477394</v>
      </c>
      <c r="AG5" s="158">
        <f>AF5-D66</f>
        <v>0</v>
      </c>
      <c r="AH5" s="170">
        <f>AVERAGE(AC5,AE5,AG5)</f>
        <v>0</v>
      </c>
      <c r="AI5" s="170">
        <f>STDEV(AB5,AD5,AF5)</f>
        <v>6.9859172841450716</v>
      </c>
    </row>
    <row r="6" spans="1:35" x14ac:dyDescent="0.3">
      <c r="A6" s="151"/>
      <c r="B6" s="156" t="s">
        <v>59</v>
      </c>
      <c r="C6" s="156" t="s">
        <v>60</v>
      </c>
      <c r="D6" s="157" t="s">
        <v>61</v>
      </c>
      <c r="E6" s="156" t="s">
        <v>59</v>
      </c>
      <c r="F6" s="156" t="s">
        <v>60</v>
      </c>
      <c r="G6" s="157" t="s">
        <v>61</v>
      </c>
      <c r="H6" s="156" t="s">
        <v>59</v>
      </c>
      <c r="I6" s="156" t="s">
        <v>60</v>
      </c>
      <c r="J6" s="157" t="s">
        <v>61</v>
      </c>
      <c r="K6" s="156" t="s">
        <v>59</v>
      </c>
      <c r="L6" s="156" t="s">
        <v>60</v>
      </c>
      <c r="M6" s="157" t="s">
        <v>61</v>
      </c>
      <c r="N6" s="156" t="s">
        <v>59</v>
      </c>
      <c r="O6" s="156" t="s">
        <v>60</v>
      </c>
      <c r="P6" s="157" t="s">
        <v>61</v>
      </c>
      <c r="Q6" s="156" t="s">
        <v>59</v>
      </c>
      <c r="R6" s="156" t="s">
        <v>60</v>
      </c>
      <c r="S6" s="157" t="s">
        <v>61</v>
      </c>
      <c r="T6" s="156" t="s">
        <v>59</v>
      </c>
      <c r="U6" s="156" t="s">
        <v>60</v>
      </c>
      <c r="V6" s="157" t="s">
        <v>61</v>
      </c>
      <c r="W6" s="156" t="s">
        <v>59</v>
      </c>
      <c r="X6" s="156" t="s">
        <v>60</v>
      </c>
      <c r="Y6" s="157" t="s">
        <v>61</v>
      </c>
      <c r="AA6" s="160">
        <v>10</v>
      </c>
      <c r="AB6" s="129">
        <f>G22</f>
        <v>12.558953521037788</v>
      </c>
      <c r="AC6" s="130">
        <f t="shared" ref="AC6:AC12" si="0">AB6-$AB$5</f>
        <v>0.40249428380344909</v>
      </c>
      <c r="AD6" s="129">
        <f>G44</f>
        <v>23.4363170159554</v>
      </c>
      <c r="AE6" s="130">
        <f>AD6-D44</f>
        <v>5.0110751637676962</v>
      </c>
      <c r="AF6" s="131">
        <f>G66</f>
        <v>4.8423220460351901</v>
      </c>
      <c r="AG6" s="158">
        <f>AF6-D66</f>
        <v>0.36516163455779616</v>
      </c>
      <c r="AH6" s="170">
        <f t="shared" ref="AH5:AH11" si="1">AVERAGE(AC6,AE6,AG6)</f>
        <v>1.9262436940429806</v>
      </c>
      <c r="AI6" s="170">
        <f>STDEV(AC6,AE6,AG6)</f>
        <v>2.6716076300849063</v>
      </c>
    </row>
    <row r="7" spans="1:35" x14ac:dyDescent="0.3">
      <c r="A7" s="172">
        <v>1</v>
      </c>
      <c r="B7" s="138">
        <v>82</v>
      </c>
      <c r="C7" s="138">
        <v>15</v>
      </c>
      <c r="D7" s="125">
        <f>C7/(B7+C7)*100</f>
        <v>15.463917525773196</v>
      </c>
      <c r="E7" s="138">
        <v>178</v>
      </c>
      <c r="F7" s="138">
        <v>22</v>
      </c>
      <c r="G7" s="125">
        <f>F7/(E7+F7)*100</f>
        <v>11</v>
      </c>
      <c r="H7" s="138">
        <v>134</v>
      </c>
      <c r="I7" s="138">
        <v>18</v>
      </c>
      <c r="J7" s="125">
        <f>I7/(H7+I7)*100</f>
        <v>11.842105263157894</v>
      </c>
      <c r="K7" s="128">
        <v>119</v>
      </c>
      <c r="L7" s="128">
        <v>32</v>
      </c>
      <c r="M7" s="125">
        <f>O7/(N7+O7)*100</f>
        <v>28.985507246376812</v>
      </c>
      <c r="N7" s="138">
        <v>98</v>
      </c>
      <c r="O7" s="138">
        <v>40</v>
      </c>
      <c r="P7" s="125">
        <f t="shared" ref="P7:P18" si="2">O7/(N7+O7)*100</f>
        <v>28.985507246376812</v>
      </c>
      <c r="Q7" s="128">
        <v>90</v>
      </c>
      <c r="R7" s="128">
        <v>40</v>
      </c>
      <c r="S7" s="125">
        <f>R7/(Q7+R7)*100</f>
        <v>30.76923076923077</v>
      </c>
      <c r="T7" s="128">
        <v>90</v>
      </c>
      <c r="U7" s="128">
        <v>40</v>
      </c>
      <c r="V7" s="125">
        <f>U7/(T7+U7)*100</f>
        <v>30.76923076923077</v>
      </c>
      <c r="W7" s="128">
        <v>96</v>
      </c>
      <c r="X7" s="128">
        <v>47</v>
      </c>
      <c r="Y7" s="125">
        <f>X7/(W7+X7)*100</f>
        <v>32.867132867132867</v>
      </c>
      <c r="AA7" s="160">
        <v>15</v>
      </c>
      <c r="AB7" s="129">
        <f>J22</f>
        <v>19.664724779207827</v>
      </c>
      <c r="AC7" s="130">
        <f t="shared" si="0"/>
        <v>7.5082655419734881</v>
      </c>
      <c r="AD7" s="129">
        <f>J44</f>
        <v>25.902405138372647</v>
      </c>
      <c r="AE7" s="130">
        <f>AD7-D44</f>
        <v>7.4771632861849433</v>
      </c>
      <c r="AF7" s="131">
        <f>J66</f>
        <v>8.947026456444128</v>
      </c>
      <c r="AG7" s="158">
        <f>AF7-D66</f>
        <v>4.469866044966734</v>
      </c>
      <c r="AH7" s="170">
        <f t="shared" si="1"/>
        <v>6.4850982910417221</v>
      </c>
      <c r="AI7" s="170">
        <f t="shared" ref="AI7:AI12" si="3">STDEV(AC7,AE7,AG7)</f>
        <v>1.7453116030652251</v>
      </c>
    </row>
    <row r="8" spans="1:35" x14ac:dyDescent="0.3">
      <c r="A8" s="172">
        <v>2</v>
      </c>
      <c r="B8" s="138">
        <v>144</v>
      </c>
      <c r="C8" s="138">
        <v>19</v>
      </c>
      <c r="D8" s="125">
        <f t="shared" ref="D8:D17" si="4">C8/(B8+C8)*100</f>
        <v>11.656441717791409</v>
      </c>
      <c r="E8" s="138">
        <v>134</v>
      </c>
      <c r="F8" s="138">
        <v>26</v>
      </c>
      <c r="G8" s="125">
        <f t="shared" ref="G8:G20" si="5">F8/(E8+F8)*100</f>
        <v>16.25</v>
      </c>
      <c r="H8" s="138">
        <v>119</v>
      </c>
      <c r="I8" s="138">
        <v>21</v>
      </c>
      <c r="J8" s="125">
        <f t="shared" ref="J8:J18" si="6">I8/(H8+I8)*100</f>
        <v>15</v>
      </c>
      <c r="K8" s="128">
        <v>112</v>
      </c>
      <c r="L8" s="128">
        <v>29</v>
      </c>
      <c r="M8" s="125">
        <f t="shared" ref="M8:M20" si="7">L8/(K8+L8)*100</f>
        <v>20.567375886524822</v>
      </c>
      <c r="N8" s="128">
        <v>87</v>
      </c>
      <c r="O8" s="128">
        <v>30</v>
      </c>
      <c r="P8" s="125">
        <f t="shared" si="2"/>
        <v>25.641025641025639</v>
      </c>
      <c r="Q8" s="128">
        <v>80</v>
      </c>
      <c r="R8" s="128">
        <v>36</v>
      </c>
      <c r="S8" s="125">
        <f t="shared" ref="S8:S18" si="8">R8/(Q8+R8)*100</f>
        <v>31.03448275862069</v>
      </c>
      <c r="T8" s="128">
        <v>111</v>
      </c>
      <c r="U8" s="128">
        <v>42</v>
      </c>
      <c r="V8" s="125">
        <f t="shared" ref="V8:V19" si="9">U8/(T8+U8)*100</f>
        <v>27.450980392156865</v>
      </c>
      <c r="W8" s="128">
        <v>83</v>
      </c>
      <c r="X8" s="128">
        <v>42</v>
      </c>
      <c r="Y8" s="125">
        <f t="shared" ref="Y8:Y19" si="10">X8/(W8+X8)*100</f>
        <v>33.6</v>
      </c>
      <c r="AA8" s="160">
        <v>20</v>
      </c>
      <c r="AB8" s="129">
        <f>M22</f>
        <v>18.20259756141353</v>
      </c>
      <c r="AC8" s="130">
        <f t="shared" si="0"/>
        <v>6.0461383241791911</v>
      </c>
      <c r="AD8" s="129">
        <f>M44</f>
        <v>27.748424695430995</v>
      </c>
      <c r="AE8" s="130">
        <f>AD8-D44</f>
        <v>9.3231828432432913</v>
      </c>
      <c r="AF8" s="131">
        <f>M66</f>
        <v>10.232299625597978</v>
      </c>
      <c r="AG8" s="158">
        <f>AF8-D66</f>
        <v>5.7551392141205842</v>
      </c>
      <c r="AH8" s="170">
        <f t="shared" si="1"/>
        <v>7.0414867938476888</v>
      </c>
      <c r="AI8" s="170">
        <f t="shared" si="3"/>
        <v>1.981356294785052</v>
      </c>
    </row>
    <row r="9" spans="1:35" x14ac:dyDescent="0.3">
      <c r="A9" s="172">
        <v>3</v>
      </c>
      <c r="B9" s="138">
        <v>125</v>
      </c>
      <c r="C9" s="138">
        <v>13</v>
      </c>
      <c r="D9" s="125">
        <f t="shared" si="4"/>
        <v>9.4202898550724647</v>
      </c>
      <c r="E9" s="138">
        <v>136</v>
      </c>
      <c r="F9" s="138">
        <v>33</v>
      </c>
      <c r="G9" s="125">
        <f t="shared" si="5"/>
        <v>19.526627218934912</v>
      </c>
      <c r="H9" s="138">
        <v>108</v>
      </c>
      <c r="I9" s="138">
        <v>34</v>
      </c>
      <c r="J9" s="125">
        <f t="shared" si="6"/>
        <v>23.943661971830984</v>
      </c>
      <c r="K9" s="128">
        <v>125</v>
      </c>
      <c r="L9" s="128">
        <v>21</v>
      </c>
      <c r="M9" s="125">
        <f t="shared" si="7"/>
        <v>14.383561643835616</v>
      </c>
      <c r="N9" s="128">
        <v>81</v>
      </c>
      <c r="O9" s="128">
        <v>39</v>
      </c>
      <c r="P9" s="125">
        <f t="shared" si="2"/>
        <v>32.5</v>
      </c>
      <c r="Q9" s="128">
        <v>101</v>
      </c>
      <c r="R9" s="128">
        <v>36</v>
      </c>
      <c r="S9" s="125">
        <f t="shared" si="8"/>
        <v>26.277372262773724</v>
      </c>
      <c r="T9" s="128">
        <v>90</v>
      </c>
      <c r="U9" s="128">
        <v>31</v>
      </c>
      <c r="V9" s="125">
        <f t="shared" si="9"/>
        <v>25.619834710743799</v>
      </c>
      <c r="W9" s="128">
        <v>107</v>
      </c>
      <c r="X9" s="128">
        <v>46</v>
      </c>
      <c r="Y9" s="125">
        <f t="shared" si="10"/>
        <v>30.065359477124183</v>
      </c>
      <c r="AA9" s="160">
        <v>25</v>
      </c>
      <c r="AB9" s="129">
        <f>P22</f>
        <v>24.819371540539908</v>
      </c>
      <c r="AC9" s="130">
        <f t="shared" si="0"/>
        <v>12.662912303305569</v>
      </c>
      <c r="AD9" s="129">
        <f>P44</f>
        <v>33.764324226237804</v>
      </c>
      <c r="AE9" s="130">
        <f>AD9-D44</f>
        <v>15.339082374050101</v>
      </c>
      <c r="AF9" s="131">
        <f>P66</f>
        <v>14.353480419031689</v>
      </c>
      <c r="AG9" s="158">
        <f>AF9-D66</f>
        <v>9.8763200075542947</v>
      </c>
      <c r="AH9" s="170">
        <f t="shared" si="1"/>
        <v>12.626104894969989</v>
      </c>
      <c r="AI9" s="170">
        <f t="shared" si="3"/>
        <v>2.731567179694101</v>
      </c>
    </row>
    <row r="10" spans="1:35" x14ac:dyDescent="0.3">
      <c r="A10" s="172">
        <v>4</v>
      </c>
      <c r="B10" s="138">
        <v>152</v>
      </c>
      <c r="C10" s="138">
        <v>17</v>
      </c>
      <c r="D10" s="125">
        <f t="shared" si="4"/>
        <v>10.059171597633137</v>
      </c>
      <c r="E10" s="138">
        <v>136</v>
      </c>
      <c r="F10" s="138">
        <v>19</v>
      </c>
      <c r="G10" s="125">
        <f t="shared" si="5"/>
        <v>12.258064516129032</v>
      </c>
      <c r="H10" s="138">
        <v>105</v>
      </c>
      <c r="I10" s="138">
        <v>28</v>
      </c>
      <c r="J10" s="125">
        <f t="shared" si="6"/>
        <v>21.052631578947366</v>
      </c>
      <c r="K10" s="128">
        <v>134</v>
      </c>
      <c r="L10" s="128">
        <v>29</v>
      </c>
      <c r="M10" s="125">
        <f t="shared" si="7"/>
        <v>17.791411042944784</v>
      </c>
      <c r="N10" s="128">
        <v>70</v>
      </c>
      <c r="O10" s="128">
        <v>30</v>
      </c>
      <c r="P10" s="125">
        <f t="shared" si="2"/>
        <v>30</v>
      </c>
      <c r="Q10" s="128">
        <v>94</v>
      </c>
      <c r="R10" s="128">
        <v>50</v>
      </c>
      <c r="S10" s="125">
        <f t="shared" si="8"/>
        <v>34.722222222222221</v>
      </c>
      <c r="T10" s="128">
        <v>101</v>
      </c>
      <c r="U10" s="128">
        <v>47</v>
      </c>
      <c r="V10" s="125">
        <f t="shared" si="9"/>
        <v>31.756756756756754</v>
      </c>
      <c r="W10" s="128">
        <v>97</v>
      </c>
      <c r="X10" s="128">
        <v>45</v>
      </c>
      <c r="Y10" s="125">
        <f t="shared" si="10"/>
        <v>31.690140845070424</v>
      </c>
      <c r="AA10" s="160">
        <v>30</v>
      </c>
      <c r="AB10" s="129">
        <f>S22</f>
        <v>26.952616033837533</v>
      </c>
      <c r="AC10" s="130">
        <f t="shared" si="0"/>
        <v>14.796156796603194</v>
      </c>
      <c r="AD10" s="129">
        <f>S44</f>
        <v>34.529274451863692</v>
      </c>
      <c r="AE10" s="130">
        <f>AD10-D44</f>
        <v>16.104032599675989</v>
      </c>
      <c r="AF10" s="131">
        <f>S66</f>
        <v>19.065956738697668</v>
      </c>
      <c r="AG10" s="158">
        <f>AF10-D66</f>
        <v>14.588796327220274</v>
      </c>
      <c r="AH10" s="170">
        <f t="shared" si="1"/>
        <v>15.162995241166485</v>
      </c>
      <c r="AI10" s="170">
        <f t="shared" si="3"/>
        <v>0.82153093286168088</v>
      </c>
    </row>
    <row r="11" spans="1:35" x14ac:dyDescent="0.3">
      <c r="A11" s="172">
        <v>5</v>
      </c>
      <c r="B11" s="138">
        <v>138</v>
      </c>
      <c r="C11" s="138">
        <v>20</v>
      </c>
      <c r="D11" s="125">
        <f t="shared" si="4"/>
        <v>12.658227848101266</v>
      </c>
      <c r="E11" s="138">
        <v>131</v>
      </c>
      <c r="F11" s="138">
        <v>12</v>
      </c>
      <c r="G11" s="125">
        <f t="shared" si="5"/>
        <v>8.3916083916083917</v>
      </c>
      <c r="H11" s="138">
        <v>123</v>
      </c>
      <c r="I11" s="138">
        <v>30</v>
      </c>
      <c r="J11" s="125">
        <f t="shared" si="6"/>
        <v>19.607843137254903</v>
      </c>
      <c r="K11" s="128">
        <v>117</v>
      </c>
      <c r="L11" s="128">
        <v>30</v>
      </c>
      <c r="M11" s="125">
        <f t="shared" si="7"/>
        <v>20.408163265306122</v>
      </c>
      <c r="N11" s="128">
        <v>109</v>
      </c>
      <c r="O11" s="128">
        <v>35</v>
      </c>
      <c r="P11" s="125">
        <f t="shared" si="2"/>
        <v>24.305555555555554</v>
      </c>
      <c r="Q11" s="128">
        <v>102</v>
      </c>
      <c r="R11" s="128">
        <v>40</v>
      </c>
      <c r="S11" s="125">
        <f t="shared" si="8"/>
        <v>28.169014084507044</v>
      </c>
      <c r="T11" s="128">
        <v>80</v>
      </c>
      <c r="U11" s="128">
        <v>34</v>
      </c>
      <c r="V11" s="125">
        <f t="shared" si="9"/>
        <v>29.82456140350877</v>
      </c>
      <c r="W11" s="128">
        <v>104</v>
      </c>
      <c r="X11" s="128">
        <v>45</v>
      </c>
      <c r="Y11" s="125">
        <f t="shared" si="10"/>
        <v>30.201342281879196</v>
      </c>
      <c r="AA11" s="160">
        <v>37</v>
      </c>
      <c r="AB11" s="129">
        <f>V22</f>
        <v>29.17259826788143</v>
      </c>
      <c r="AC11" s="130">
        <f>AB11-$AB$5</f>
        <v>17.016139030647089</v>
      </c>
      <c r="AD11" s="129">
        <f>V44</f>
        <v>38.191074990954533</v>
      </c>
      <c r="AE11" s="130">
        <f>AD11-D44</f>
        <v>19.76583313876683</v>
      </c>
      <c r="AF11" s="131">
        <f>V66</f>
        <v>26.496843143241325</v>
      </c>
      <c r="AG11" s="158">
        <f>AF11-D66</f>
        <v>22.019682731763929</v>
      </c>
      <c r="AH11" s="170">
        <f t="shared" si="1"/>
        <v>19.600551633725949</v>
      </c>
      <c r="AI11" s="170">
        <f t="shared" si="3"/>
        <v>2.5058632991801266</v>
      </c>
    </row>
    <row r="12" spans="1:35" ht="16.2" thickBot="1" x14ac:dyDescent="0.35">
      <c r="A12" s="172">
        <v>6</v>
      </c>
      <c r="B12" s="138">
        <v>158</v>
      </c>
      <c r="C12" s="138">
        <v>14</v>
      </c>
      <c r="D12" s="125">
        <f t="shared" si="4"/>
        <v>8.1395348837209305</v>
      </c>
      <c r="E12" s="138">
        <v>125</v>
      </c>
      <c r="F12" s="138">
        <v>18</v>
      </c>
      <c r="G12" s="125">
        <f t="shared" si="5"/>
        <v>12.587412587412588</v>
      </c>
      <c r="H12" s="138">
        <v>126</v>
      </c>
      <c r="I12" s="138">
        <v>33</v>
      </c>
      <c r="J12" s="125">
        <f t="shared" si="6"/>
        <v>20.754716981132077</v>
      </c>
      <c r="K12" s="128">
        <v>117</v>
      </c>
      <c r="L12" s="128">
        <v>25</v>
      </c>
      <c r="M12" s="125">
        <f t="shared" si="7"/>
        <v>17.6056338028169</v>
      </c>
      <c r="N12" s="128">
        <v>131</v>
      </c>
      <c r="O12" s="128">
        <v>44</v>
      </c>
      <c r="P12" s="125">
        <f t="shared" si="2"/>
        <v>25.142857142857146</v>
      </c>
      <c r="Q12" s="128">
        <v>118</v>
      </c>
      <c r="R12" s="128">
        <v>42</v>
      </c>
      <c r="S12" s="125">
        <f t="shared" si="8"/>
        <v>26.25</v>
      </c>
      <c r="T12" s="128">
        <v>111</v>
      </c>
      <c r="U12" s="128">
        <v>47</v>
      </c>
      <c r="V12" s="125">
        <f t="shared" si="9"/>
        <v>29.746835443037973</v>
      </c>
      <c r="W12" s="128">
        <v>94</v>
      </c>
      <c r="X12" s="128">
        <v>50</v>
      </c>
      <c r="Y12" s="125">
        <f t="shared" si="10"/>
        <v>34.722222222222221</v>
      </c>
      <c r="AA12" s="161">
        <v>40</v>
      </c>
      <c r="AB12" s="132">
        <f>Y22</f>
        <v>32.245745212938132</v>
      </c>
      <c r="AC12" s="133">
        <f t="shared" si="0"/>
        <v>20.089285975703795</v>
      </c>
      <c r="AD12" s="132">
        <f>Y44</f>
        <v>36.689846907717168</v>
      </c>
      <c r="AE12" s="133">
        <f>AD12-D44</f>
        <v>18.264605055529465</v>
      </c>
      <c r="AF12" s="134">
        <f>Y66</f>
        <v>27.637571139632634</v>
      </c>
      <c r="AG12" s="159">
        <f>AF12-D66</f>
        <v>23.160410728155242</v>
      </c>
      <c r="AH12" s="171">
        <f>AVERAGE(AC12,AE12,AG12)</f>
        <v>20.504767253129501</v>
      </c>
      <c r="AI12" s="171">
        <f>STDEV(AC12,AE12,AG12)</f>
        <v>2.474206299997467</v>
      </c>
    </row>
    <row r="13" spans="1:35" x14ac:dyDescent="0.3">
      <c r="A13" s="172">
        <v>7</v>
      </c>
      <c r="B13" s="138">
        <v>117</v>
      </c>
      <c r="C13" s="138">
        <v>12</v>
      </c>
      <c r="D13" s="125">
        <f t="shared" si="4"/>
        <v>9.3023255813953494</v>
      </c>
      <c r="E13" s="138">
        <v>131</v>
      </c>
      <c r="F13" s="138">
        <v>23</v>
      </c>
      <c r="G13" s="125">
        <f t="shared" si="5"/>
        <v>14.935064935064934</v>
      </c>
      <c r="H13" s="138">
        <v>117</v>
      </c>
      <c r="I13" s="138">
        <v>31</v>
      </c>
      <c r="J13" s="125">
        <f t="shared" si="6"/>
        <v>20.945945945945947</v>
      </c>
      <c r="K13" s="128">
        <v>99</v>
      </c>
      <c r="L13" s="128">
        <v>18</v>
      </c>
      <c r="M13" s="125">
        <f t="shared" si="7"/>
        <v>15.384615384615385</v>
      </c>
      <c r="N13" s="128">
        <v>143</v>
      </c>
      <c r="O13" s="128">
        <v>50</v>
      </c>
      <c r="P13" s="125">
        <f t="shared" si="2"/>
        <v>25.906735751295333</v>
      </c>
      <c r="Q13" s="128">
        <v>107</v>
      </c>
      <c r="R13" s="128">
        <v>44</v>
      </c>
      <c r="S13" s="125">
        <f t="shared" si="8"/>
        <v>29.139072847682119</v>
      </c>
      <c r="T13" s="128">
        <v>84</v>
      </c>
      <c r="U13" s="128">
        <v>36</v>
      </c>
      <c r="V13" s="125">
        <f t="shared" si="9"/>
        <v>30</v>
      </c>
      <c r="W13" s="128">
        <v>77</v>
      </c>
      <c r="X13" s="128">
        <v>47</v>
      </c>
      <c r="Y13" s="125">
        <f t="shared" si="10"/>
        <v>37.903225806451616</v>
      </c>
    </row>
    <row r="14" spans="1:35" x14ac:dyDescent="0.3">
      <c r="A14" s="172">
        <v>8</v>
      </c>
      <c r="B14" s="138">
        <v>91</v>
      </c>
      <c r="C14" s="138">
        <v>14</v>
      </c>
      <c r="D14" s="125">
        <f t="shared" si="4"/>
        <v>13.333333333333334</v>
      </c>
      <c r="E14" s="138">
        <v>159</v>
      </c>
      <c r="F14" s="138">
        <v>24</v>
      </c>
      <c r="G14" s="125">
        <f t="shared" si="5"/>
        <v>13.114754098360656</v>
      </c>
      <c r="H14" s="138">
        <v>84</v>
      </c>
      <c r="I14" s="138">
        <v>25</v>
      </c>
      <c r="J14" s="125">
        <f t="shared" si="6"/>
        <v>22.935779816513762</v>
      </c>
      <c r="K14" s="128">
        <v>109</v>
      </c>
      <c r="L14" s="128">
        <v>23</v>
      </c>
      <c r="M14" s="125">
        <f t="shared" si="7"/>
        <v>17.424242424242426</v>
      </c>
      <c r="N14" s="128">
        <v>126</v>
      </c>
      <c r="O14" s="128">
        <v>41</v>
      </c>
      <c r="P14" s="125">
        <f t="shared" si="2"/>
        <v>24.550898203592812</v>
      </c>
      <c r="Q14" s="128">
        <v>106</v>
      </c>
      <c r="R14" s="128">
        <v>39</v>
      </c>
      <c r="S14" s="125">
        <f t="shared" si="8"/>
        <v>26.896551724137929</v>
      </c>
      <c r="T14" s="128">
        <v>92</v>
      </c>
      <c r="U14" s="128">
        <v>34</v>
      </c>
      <c r="V14" s="125">
        <f t="shared" si="9"/>
        <v>26.984126984126984</v>
      </c>
      <c r="W14" s="128">
        <v>103</v>
      </c>
      <c r="X14" s="128">
        <v>41</v>
      </c>
      <c r="Y14" s="125">
        <f t="shared" si="10"/>
        <v>28.472222222222221</v>
      </c>
    </row>
    <row r="15" spans="1:35" x14ac:dyDescent="0.3">
      <c r="A15" s="172">
        <v>9</v>
      </c>
      <c r="B15" s="138">
        <v>100</v>
      </c>
      <c r="C15" s="138">
        <v>17</v>
      </c>
      <c r="D15" s="125">
        <f t="shared" si="4"/>
        <v>14.529914529914532</v>
      </c>
      <c r="E15" s="138">
        <v>141</v>
      </c>
      <c r="F15" s="138">
        <v>27</v>
      </c>
      <c r="G15" s="125">
        <f t="shared" si="5"/>
        <v>16.071428571428573</v>
      </c>
      <c r="H15" s="138">
        <v>102</v>
      </c>
      <c r="I15" s="138">
        <v>22</v>
      </c>
      <c r="J15" s="125">
        <f t="shared" si="6"/>
        <v>17.741935483870968</v>
      </c>
      <c r="K15" s="128">
        <v>131</v>
      </c>
      <c r="L15" s="128">
        <v>28</v>
      </c>
      <c r="M15" s="125">
        <f t="shared" si="7"/>
        <v>17.610062893081761</v>
      </c>
      <c r="N15" s="128">
        <v>120</v>
      </c>
      <c r="O15" s="128">
        <v>34</v>
      </c>
      <c r="P15" s="125">
        <f t="shared" si="2"/>
        <v>22.077922077922079</v>
      </c>
      <c r="Q15" s="128">
        <v>113</v>
      </c>
      <c r="R15" s="128">
        <v>30</v>
      </c>
      <c r="S15" s="125">
        <f t="shared" si="8"/>
        <v>20.97902097902098</v>
      </c>
      <c r="T15" s="128">
        <v>86</v>
      </c>
      <c r="U15" s="128">
        <v>36</v>
      </c>
      <c r="V15" s="125">
        <f t="shared" si="9"/>
        <v>29.508196721311474</v>
      </c>
      <c r="W15" s="128">
        <v>88</v>
      </c>
      <c r="X15" s="128">
        <v>40</v>
      </c>
      <c r="Y15" s="125">
        <f t="shared" si="10"/>
        <v>31.25</v>
      </c>
    </row>
    <row r="16" spans="1:35" x14ac:dyDescent="0.3">
      <c r="A16" s="172">
        <v>10</v>
      </c>
      <c r="B16" s="138">
        <v>126</v>
      </c>
      <c r="C16" s="138">
        <v>24</v>
      </c>
      <c r="D16" s="125">
        <f t="shared" si="4"/>
        <v>16</v>
      </c>
      <c r="E16" s="138">
        <v>124</v>
      </c>
      <c r="F16" s="138">
        <v>12</v>
      </c>
      <c r="G16" s="125">
        <f t="shared" si="5"/>
        <v>8.8235294117647065</v>
      </c>
      <c r="H16" s="138">
        <v>105</v>
      </c>
      <c r="I16" s="138">
        <v>33</v>
      </c>
      <c r="J16" s="125">
        <f t="shared" si="6"/>
        <v>23.913043478260871</v>
      </c>
      <c r="K16" s="128">
        <v>119</v>
      </c>
      <c r="L16" s="128">
        <v>26</v>
      </c>
      <c r="M16" s="125">
        <f t="shared" si="7"/>
        <v>17.931034482758619</v>
      </c>
      <c r="N16" s="128">
        <v>156</v>
      </c>
      <c r="O16" s="128">
        <v>32</v>
      </c>
      <c r="P16" s="125">
        <f t="shared" si="2"/>
        <v>17.021276595744681</v>
      </c>
      <c r="Q16" s="128">
        <v>126</v>
      </c>
      <c r="R16" s="128">
        <v>40</v>
      </c>
      <c r="S16" s="125">
        <f t="shared" si="8"/>
        <v>24.096385542168676</v>
      </c>
      <c r="T16" s="128">
        <v>89</v>
      </c>
      <c r="U16" s="128">
        <v>32</v>
      </c>
      <c r="V16" s="125">
        <f t="shared" si="9"/>
        <v>26.446280991735538</v>
      </c>
      <c r="W16" s="128">
        <v>93</v>
      </c>
      <c r="X16" s="128">
        <v>39</v>
      </c>
      <c r="Y16" s="125">
        <f t="shared" si="10"/>
        <v>29.545454545454547</v>
      </c>
    </row>
    <row r="17" spans="1:25" x14ac:dyDescent="0.3">
      <c r="A17" s="172">
        <v>11</v>
      </c>
      <c r="B17" s="138">
        <v>132</v>
      </c>
      <c r="C17" s="138">
        <v>20</v>
      </c>
      <c r="D17" s="125">
        <f t="shared" si="4"/>
        <v>13.157894736842104</v>
      </c>
      <c r="E17" s="138">
        <v>92</v>
      </c>
      <c r="F17" s="138">
        <v>11</v>
      </c>
      <c r="G17" s="125">
        <f t="shared" si="5"/>
        <v>10.679611650485436</v>
      </c>
      <c r="H17" s="138">
        <v>98</v>
      </c>
      <c r="I17" s="138">
        <v>23</v>
      </c>
      <c r="J17" s="125">
        <f t="shared" si="6"/>
        <v>19.008264462809919</v>
      </c>
      <c r="K17" s="128">
        <v>122</v>
      </c>
      <c r="L17" s="128">
        <v>28</v>
      </c>
      <c r="M17" s="125">
        <f t="shared" si="7"/>
        <v>18.666666666666668</v>
      </c>
      <c r="N17" s="128">
        <v>115</v>
      </c>
      <c r="O17" s="128">
        <v>35</v>
      </c>
      <c r="P17" s="125">
        <f t="shared" si="2"/>
        <v>23.333333333333332</v>
      </c>
      <c r="Q17" s="128">
        <v>117</v>
      </c>
      <c r="R17" s="128">
        <v>36</v>
      </c>
      <c r="S17" s="125">
        <f t="shared" si="8"/>
        <v>23.52941176470588</v>
      </c>
      <c r="T17" s="128">
        <v>80</v>
      </c>
      <c r="U17" s="128">
        <v>42</v>
      </c>
      <c r="V17" s="125">
        <f t="shared" si="9"/>
        <v>34.42622950819672</v>
      </c>
      <c r="W17" s="128">
        <v>88</v>
      </c>
      <c r="X17" s="128">
        <v>36</v>
      </c>
      <c r="Y17" s="125">
        <f t="shared" si="10"/>
        <v>29.032258064516132</v>
      </c>
    </row>
    <row r="18" spans="1:25" x14ac:dyDescent="0.3">
      <c r="A18" s="172">
        <v>12</v>
      </c>
      <c r="B18" s="138"/>
      <c r="C18" s="138"/>
      <c r="D18" s="125"/>
      <c r="E18" s="138">
        <v>123</v>
      </c>
      <c r="F18" s="138">
        <v>15</v>
      </c>
      <c r="G18" s="125">
        <f t="shared" si="5"/>
        <v>10.869565217391305</v>
      </c>
      <c r="H18" s="138">
        <v>105</v>
      </c>
      <c r="I18" s="138">
        <v>25</v>
      </c>
      <c r="J18" s="125">
        <f>I18/(H18+I18)*100</f>
        <v>19.230769230769234</v>
      </c>
      <c r="K18" s="128">
        <v>118</v>
      </c>
      <c r="L18" s="128">
        <v>27</v>
      </c>
      <c r="M18" s="125">
        <f t="shared" si="7"/>
        <v>18.620689655172416</v>
      </c>
      <c r="N18" s="128">
        <v>120</v>
      </c>
      <c r="O18" s="128">
        <v>27</v>
      </c>
      <c r="P18" s="125">
        <f t="shared" si="2"/>
        <v>18.367346938775512</v>
      </c>
      <c r="Q18" s="128">
        <v>120</v>
      </c>
      <c r="R18" s="128">
        <v>33</v>
      </c>
      <c r="S18" s="125">
        <f t="shared" si="8"/>
        <v>21.568627450980394</v>
      </c>
      <c r="T18" s="128">
        <v>117</v>
      </c>
      <c r="U18" s="128">
        <v>33</v>
      </c>
      <c r="V18" s="125">
        <f t="shared" si="9"/>
        <v>22</v>
      </c>
      <c r="W18" s="128">
        <v>79</v>
      </c>
      <c r="X18" s="128">
        <v>40</v>
      </c>
      <c r="Y18" s="125">
        <f t="shared" si="10"/>
        <v>33.613445378151262</v>
      </c>
    </row>
    <row r="19" spans="1:25" x14ac:dyDescent="0.3">
      <c r="A19" s="172">
        <v>13</v>
      </c>
      <c r="B19" s="138"/>
      <c r="C19" s="138"/>
      <c r="D19" s="125"/>
      <c r="E19" s="138">
        <v>124</v>
      </c>
      <c r="F19" s="138">
        <v>15</v>
      </c>
      <c r="G19" s="125">
        <f t="shared" si="5"/>
        <v>10.791366906474821</v>
      </c>
      <c r="H19" s="128"/>
      <c r="I19" s="128"/>
      <c r="J19" s="125"/>
      <c r="K19" s="128">
        <v>132</v>
      </c>
      <c r="L19" s="128">
        <v>25</v>
      </c>
      <c r="M19" s="125">
        <f t="shared" si="7"/>
        <v>15.923566878980891</v>
      </c>
      <c r="N19" s="128"/>
      <c r="O19" s="128"/>
      <c r="P19" s="125"/>
      <c r="Q19" s="128"/>
      <c r="R19" s="128"/>
      <c r="S19" s="125"/>
      <c r="T19" s="128">
        <v>79</v>
      </c>
      <c r="U19" s="128">
        <v>42</v>
      </c>
      <c r="V19" s="125">
        <f t="shared" si="9"/>
        <v>34.710743801652896</v>
      </c>
      <c r="W19" s="128">
        <v>88</v>
      </c>
      <c r="X19" s="128">
        <v>50</v>
      </c>
      <c r="Y19" s="125">
        <f t="shared" si="10"/>
        <v>36.231884057971016</v>
      </c>
    </row>
    <row r="20" spans="1:25" x14ac:dyDescent="0.3">
      <c r="A20" s="172">
        <v>14</v>
      </c>
      <c r="B20" s="128"/>
      <c r="C20" s="128"/>
      <c r="D20" s="125"/>
      <c r="E20" s="138">
        <v>119</v>
      </c>
      <c r="F20" s="138">
        <v>14</v>
      </c>
      <c r="G20" s="125">
        <f>F20/(E20+F20)*100</f>
        <v>10.526315789473683</v>
      </c>
      <c r="H20" s="128"/>
      <c r="I20" s="128"/>
      <c r="J20" s="125"/>
      <c r="K20" s="128">
        <v>115</v>
      </c>
      <c r="L20" s="128">
        <v>18</v>
      </c>
      <c r="M20" s="125">
        <f t="shared" si="7"/>
        <v>13.533834586466165</v>
      </c>
      <c r="N20" s="128"/>
      <c r="O20" s="128"/>
      <c r="P20" s="125"/>
      <c r="Q20" s="128"/>
      <c r="R20" s="128"/>
      <c r="S20" s="125"/>
      <c r="T20" s="128"/>
      <c r="U20" s="128"/>
      <c r="V20" s="125"/>
      <c r="W20" s="128"/>
      <c r="X20" s="128"/>
      <c r="Y20" s="125"/>
    </row>
    <row r="21" spans="1:25" s="137" customFormat="1" x14ac:dyDescent="0.3">
      <c r="A21" s="172" t="s">
        <v>48</v>
      </c>
      <c r="B21" s="128">
        <f>SUM(B7:B20)</f>
        <v>1365</v>
      </c>
      <c r="C21" s="128">
        <f>SUM(C7:C20)</f>
        <v>185</v>
      </c>
      <c r="D21" s="125">
        <f>C21/(B21+C21)*100</f>
        <v>11.935483870967742</v>
      </c>
      <c r="E21" s="128">
        <f>SUM(E7:E20)</f>
        <v>1853</v>
      </c>
      <c r="F21" s="128">
        <f>SUM(F7:F20)</f>
        <v>271</v>
      </c>
      <c r="G21" s="125">
        <f>F21/(E21+F21)*100</f>
        <v>12.758945386064029</v>
      </c>
      <c r="H21" s="128">
        <f>SUM(H7:H20)</f>
        <v>1326</v>
      </c>
      <c r="I21" s="128">
        <f>SUM(I7:I20)</f>
        <v>323</v>
      </c>
      <c r="J21" s="125">
        <f>I21/(H21+I21)*100</f>
        <v>19.587628865979383</v>
      </c>
      <c r="K21" s="128">
        <f>SUM(K7:K20)</f>
        <v>1669</v>
      </c>
      <c r="L21" s="128">
        <f>SUM(L7:L20)</f>
        <v>359</v>
      </c>
      <c r="M21" s="125">
        <f>L21/(K21+L21)*100</f>
        <v>17.702169625246547</v>
      </c>
      <c r="N21" s="128">
        <f>SUM(N7:N20)</f>
        <v>1356</v>
      </c>
      <c r="O21" s="128">
        <f>SUM(O7:O20)</f>
        <v>437</v>
      </c>
      <c r="P21" s="125">
        <f>O21/(N21+O21)*100</f>
        <v>24.372559955382041</v>
      </c>
      <c r="Q21" s="128">
        <f>SUM(Q7:Q20)</f>
        <v>1274</v>
      </c>
      <c r="R21" s="128">
        <f>SUM(R7:R20)</f>
        <v>466</v>
      </c>
      <c r="S21" s="125">
        <f>R21/(Q21+R21)*100</f>
        <v>26.7816091954023</v>
      </c>
      <c r="T21" s="128">
        <f>SUM(T7:T20)</f>
        <v>1210</v>
      </c>
      <c r="U21" s="128">
        <f>SUM(U7:U20)</f>
        <v>496</v>
      </c>
      <c r="V21" s="125">
        <f>U21/(T21+U21)*100</f>
        <v>29.073856975381005</v>
      </c>
      <c r="W21" s="128">
        <f>SUM(W7:W20)</f>
        <v>1197</v>
      </c>
      <c r="X21" s="128">
        <f>SUM(X7:X20)</f>
        <v>568</v>
      </c>
      <c r="Y21" s="125">
        <f>X21/(W21+X21)*100</f>
        <v>32.181303116147305</v>
      </c>
    </row>
    <row r="22" spans="1:25" x14ac:dyDescent="0.3">
      <c r="A22" s="172" t="s">
        <v>66</v>
      </c>
      <c r="B22" s="124">
        <f t="shared" ref="B22:C22" si="11">AVERAGE(B7:B20)</f>
        <v>124.09090909090909</v>
      </c>
      <c r="C22" s="124">
        <f t="shared" si="11"/>
        <v>16.818181818181817</v>
      </c>
      <c r="D22" s="125">
        <f>AVERAGE(D7:D20)</f>
        <v>12.156459237234339</v>
      </c>
      <c r="E22" s="124">
        <f t="shared" ref="E22:Y22" si="12">AVERAGE(E7:E20)</f>
        <v>132.35714285714286</v>
      </c>
      <c r="F22" s="124">
        <f t="shared" si="12"/>
        <v>19.357142857142858</v>
      </c>
      <c r="G22" s="125">
        <f t="shared" si="12"/>
        <v>12.558953521037788</v>
      </c>
      <c r="H22" s="124">
        <f t="shared" si="12"/>
        <v>110.5</v>
      </c>
      <c r="I22" s="124">
        <f t="shared" si="12"/>
        <v>26.916666666666668</v>
      </c>
      <c r="J22" s="125">
        <f t="shared" si="12"/>
        <v>19.664724779207827</v>
      </c>
      <c r="K22" s="124">
        <f t="shared" si="12"/>
        <v>119.21428571428571</v>
      </c>
      <c r="L22" s="124">
        <f t="shared" si="12"/>
        <v>25.642857142857142</v>
      </c>
      <c r="M22" s="125">
        <f t="shared" si="12"/>
        <v>18.20259756141353</v>
      </c>
      <c r="N22" s="124">
        <f>AVERAGE(N7:N20)</f>
        <v>113</v>
      </c>
      <c r="O22" s="124">
        <f>AVERAGE(O7:O20)</f>
        <v>36.416666666666664</v>
      </c>
      <c r="P22" s="125">
        <f t="shared" si="12"/>
        <v>24.819371540539908</v>
      </c>
      <c r="Q22" s="124">
        <f t="shared" si="12"/>
        <v>106.16666666666667</v>
      </c>
      <c r="R22" s="124">
        <f t="shared" si="12"/>
        <v>38.833333333333336</v>
      </c>
      <c r="S22" s="125">
        <f t="shared" si="12"/>
        <v>26.952616033837533</v>
      </c>
      <c r="T22" s="124">
        <f t="shared" si="12"/>
        <v>93.07692307692308</v>
      </c>
      <c r="U22" s="124">
        <f t="shared" si="12"/>
        <v>38.153846153846153</v>
      </c>
      <c r="V22" s="125">
        <f>AVERAGE(V7:V20)</f>
        <v>29.17259826788143</v>
      </c>
      <c r="W22" s="124">
        <f t="shared" si="12"/>
        <v>92.07692307692308</v>
      </c>
      <c r="X22" s="124">
        <f t="shared" si="12"/>
        <v>43.692307692307693</v>
      </c>
      <c r="Y22" s="125">
        <f t="shared" si="12"/>
        <v>32.245745212938132</v>
      </c>
    </row>
    <row r="23" spans="1:25" x14ac:dyDescent="0.3">
      <c r="A23" s="172" t="s">
        <v>26</v>
      </c>
      <c r="B23" s="124"/>
      <c r="C23" s="124"/>
      <c r="D23" s="124">
        <f>STDEVA(D7:D20)</f>
        <v>2.6533388292245563</v>
      </c>
      <c r="E23" s="124"/>
      <c r="F23" s="124"/>
      <c r="G23" s="124">
        <f>STDEVA(G7:G20)</f>
        <v>3.1372253514425963</v>
      </c>
      <c r="H23" s="124"/>
      <c r="I23" s="124"/>
      <c r="J23" s="124">
        <f>STDEVA(J7:J20)</f>
        <v>3.5558640096511973</v>
      </c>
      <c r="K23" s="124"/>
      <c r="L23" s="124"/>
      <c r="M23" s="124">
        <f>STDEVA(M7:M20)</f>
        <v>3.7023018526439033</v>
      </c>
      <c r="N23" s="124"/>
      <c r="O23" s="124"/>
      <c r="P23" s="124">
        <f>STDEVA(P7:P20)</f>
        <v>4.4481724188656049</v>
      </c>
      <c r="Q23" s="124"/>
      <c r="R23" s="124"/>
      <c r="S23" s="124">
        <f>STDEVA(S7:S20)</f>
        <v>4.0827296975249467</v>
      </c>
      <c r="T23" s="124"/>
      <c r="U23" s="124"/>
      <c r="V23" s="124">
        <f>STDEVA(V7:V20)</f>
        <v>3.5155050274892647</v>
      </c>
      <c r="W23" s="124"/>
      <c r="X23" s="124"/>
      <c r="Y23" s="124">
        <f>STDEVA(Y7:Y20)</f>
        <v>2.8898021193780741</v>
      </c>
    </row>
    <row r="24" spans="1:25" ht="36.6" x14ac:dyDescent="0.7">
      <c r="A24" s="123" t="s">
        <v>18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</row>
    <row r="26" spans="1:25" ht="16.05" customHeight="1" x14ac:dyDescent="0.3">
      <c r="A26" s="151" t="s">
        <v>58</v>
      </c>
      <c r="B26" s="152" t="s">
        <v>67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x14ac:dyDescent="0.3">
      <c r="A27" s="151"/>
      <c r="B27" s="155">
        <v>4</v>
      </c>
      <c r="C27" s="155"/>
      <c r="D27" s="155"/>
      <c r="E27" s="155">
        <v>10</v>
      </c>
      <c r="F27" s="155"/>
      <c r="G27" s="155"/>
      <c r="H27" s="155">
        <v>15</v>
      </c>
      <c r="I27" s="155"/>
      <c r="J27" s="155"/>
      <c r="K27" s="155">
        <v>20</v>
      </c>
      <c r="L27" s="155"/>
      <c r="M27" s="155"/>
      <c r="N27" s="155">
        <v>25</v>
      </c>
      <c r="O27" s="155"/>
      <c r="P27" s="155"/>
      <c r="Q27" s="155">
        <v>30</v>
      </c>
      <c r="R27" s="155"/>
      <c r="S27" s="155"/>
      <c r="T27" s="155">
        <v>37</v>
      </c>
      <c r="U27" s="155"/>
      <c r="V27" s="155"/>
      <c r="W27" s="155">
        <v>40</v>
      </c>
      <c r="X27" s="155"/>
      <c r="Y27" s="155"/>
    </row>
    <row r="28" spans="1:25" x14ac:dyDescent="0.3">
      <c r="A28" s="151"/>
      <c r="B28" s="156" t="s">
        <v>59</v>
      </c>
      <c r="C28" s="156" t="s">
        <v>60</v>
      </c>
      <c r="D28" s="157" t="s">
        <v>61</v>
      </c>
      <c r="E28" s="156" t="s">
        <v>59</v>
      </c>
      <c r="F28" s="156" t="s">
        <v>60</v>
      </c>
      <c r="G28" s="157" t="s">
        <v>61</v>
      </c>
      <c r="H28" s="156" t="s">
        <v>59</v>
      </c>
      <c r="I28" s="156" t="s">
        <v>60</v>
      </c>
      <c r="J28" s="157" t="s">
        <v>61</v>
      </c>
      <c r="K28" s="156" t="s">
        <v>59</v>
      </c>
      <c r="L28" s="156" t="s">
        <v>60</v>
      </c>
      <c r="M28" s="157" t="s">
        <v>61</v>
      </c>
      <c r="N28" s="156" t="s">
        <v>59</v>
      </c>
      <c r="O28" s="156" t="s">
        <v>60</v>
      </c>
      <c r="P28" s="157" t="s">
        <v>61</v>
      </c>
      <c r="Q28" s="156" t="s">
        <v>59</v>
      </c>
      <c r="R28" s="156" t="s">
        <v>60</v>
      </c>
      <c r="S28" s="157" t="s">
        <v>61</v>
      </c>
      <c r="T28" s="156" t="s">
        <v>59</v>
      </c>
      <c r="U28" s="156" t="s">
        <v>60</v>
      </c>
      <c r="V28" s="157" t="s">
        <v>61</v>
      </c>
      <c r="W28" s="156" t="s">
        <v>59</v>
      </c>
      <c r="X28" s="156" t="s">
        <v>60</v>
      </c>
      <c r="Y28" s="157" t="s">
        <v>61</v>
      </c>
    </row>
    <row r="29" spans="1:25" x14ac:dyDescent="0.3">
      <c r="A29" s="172">
        <v>1</v>
      </c>
      <c r="B29" s="128">
        <v>88</v>
      </c>
      <c r="C29" s="128">
        <v>16</v>
      </c>
      <c r="D29" s="125">
        <f>C29/(B29+C29)*100</f>
        <v>15.384615384615385</v>
      </c>
      <c r="E29" s="128">
        <f>23+13+22+12</f>
        <v>70</v>
      </c>
      <c r="F29" s="128">
        <v>24</v>
      </c>
      <c r="G29" s="125">
        <f>F29/(E29+F29)*100</f>
        <v>25.531914893617021</v>
      </c>
      <c r="H29" s="128">
        <v>89</v>
      </c>
      <c r="I29" s="128">
        <v>49</v>
      </c>
      <c r="J29" s="125">
        <f>I29/(H29+I29)*100</f>
        <v>35.507246376811594</v>
      </c>
      <c r="K29" s="128">
        <v>91</v>
      </c>
      <c r="L29" s="128">
        <v>41</v>
      </c>
      <c r="M29" s="125">
        <f>L29/(K29+L29)*100</f>
        <v>31.060606060606062</v>
      </c>
      <c r="N29" s="128">
        <v>94</v>
      </c>
      <c r="O29" s="128">
        <v>53</v>
      </c>
      <c r="P29" s="125">
        <f>O29/(N29+O29)*100</f>
        <v>36.054421768707485</v>
      </c>
      <c r="Q29" s="128">
        <v>88</v>
      </c>
      <c r="R29" s="128">
        <v>56</v>
      </c>
      <c r="S29" s="125">
        <f>R29/(Q29+R29)*100</f>
        <v>38.888888888888893</v>
      </c>
      <c r="T29" s="128">
        <v>51</v>
      </c>
      <c r="U29" s="128">
        <v>39</v>
      </c>
      <c r="V29" s="125">
        <f>U29/(T29+U29)*100</f>
        <v>43.333333333333336</v>
      </c>
      <c r="W29" s="128">
        <v>109</v>
      </c>
      <c r="X29" s="128">
        <v>64</v>
      </c>
      <c r="Y29" s="125">
        <f>X29/(W29+X29)*100</f>
        <v>36.994219653179186</v>
      </c>
    </row>
    <row r="30" spans="1:25" x14ac:dyDescent="0.3">
      <c r="A30" s="172">
        <v>2</v>
      </c>
      <c r="B30" s="128">
        <v>71</v>
      </c>
      <c r="C30" s="128">
        <v>18</v>
      </c>
      <c r="D30" s="125">
        <f>C30/(B30+C30)*100</f>
        <v>20.224719101123593</v>
      </c>
      <c r="E30" s="128">
        <f>26+9+24+13+6</f>
        <v>78</v>
      </c>
      <c r="F30" s="128">
        <v>22</v>
      </c>
      <c r="G30" s="125">
        <f>F30/(E30+F30)*100</f>
        <v>22</v>
      </c>
      <c r="H30" s="128">
        <f>62+15</f>
        <v>77</v>
      </c>
      <c r="I30" s="128">
        <v>33</v>
      </c>
      <c r="J30" s="125">
        <f>I30/(H30+I30)*100</f>
        <v>30</v>
      </c>
      <c r="K30" s="128">
        <v>107</v>
      </c>
      <c r="L30" s="128">
        <v>28</v>
      </c>
      <c r="M30" s="125">
        <f>L30/(K30+L30)*100</f>
        <v>20.74074074074074</v>
      </c>
      <c r="N30" s="128">
        <f>63+8</f>
        <v>71</v>
      </c>
      <c r="O30" s="128">
        <v>39</v>
      </c>
      <c r="P30" s="125">
        <f>O30/(N30+O30)*100</f>
        <v>35.454545454545453</v>
      </c>
      <c r="Q30" s="128">
        <v>90</v>
      </c>
      <c r="R30" s="128">
        <v>56</v>
      </c>
      <c r="S30" s="125">
        <f>R30/(Q30+R30)*100</f>
        <v>38.356164383561641</v>
      </c>
      <c r="T30" s="128">
        <v>76</v>
      </c>
      <c r="U30" s="128">
        <v>39</v>
      </c>
      <c r="V30" s="125">
        <f>U30/(T30+U30)*100</f>
        <v>33.913043478260867</v>
      </c>
      <c r="W30" s="128">
        <v>88</v>
      </c>
      <c r="X30" s="128">
        <v>62</v>
      </c>
      <c r="Y30" s="125">
        <f>X30/(W30+X30)*100</f>
        <v>41.333333333333336</v>
      </c>
    </row>
    <row r="31" spans="1:25" x14ac:dyDescent="0.3">
      <c r="A31" s="172">
        <v>3</v>
      </c>
      <c r="B31" s="128">
        <v>100</v>
      </c>
      <c r="C31" s="128">
        <v>35</v>
      </c>
      <c r="D31" s="125">
        <f t="shared" ref="D31:D37" si="13">C31/(B31+C31)*100</f>
        <v>25.925925925925924</v>
      </c>
      <c r="E31" s="128">
        <f>36+10+36+5+22</f>
        <v>109</v>
      </c>
      <c r="F31" s="128">
        <v>30</v>
      </c>
      <c r="G31" s="125">
        <f t="shared" ref="G31:G37" si="14">F31/(E31+F31)*100</f>
        <v>21.582733812949641</v>
      </c>
      <c r="H31" s="128">
        <v>93</v>
      </c>
      <c r="I31" s="128">
        <v>49</v>
      </c>
      <c r="J31" s="125">
        <f t="shared" ref="J31:J37" si="15">I31/(H31+I31)*100</f>
        <v>34.507042253521128</v>
      </c>
      <c r="K31" s="128">
        <v>115</v>
      </c>
      <c r="L31" s="128">
        <v>40</v>
      </c>
      <c r="M31" s="125">
        <f t="shared" ref="M31:M37" si="16">L31/(K31+L31)*100</f>
        <v>25.806451612903224</v>
      </c>
      <c r="N31" s="128">
        <v>110</v>
      </c>
      <c r="O31" s="128">
        <v>41</v>
      </c>
      <c r="P31" s="125">
        <f t="shared" ref="P31:P37" si="17">O31/(N31+O31)*100</f>
        <v>27.152317880794701</v>
      </c>
      <c r="Q31" s="128">
        <v>91</v>
      </c>
      <c r="R31" s="128">
        <v>36</v>
      </c>
      <c r="S31" s="125">
        <f t="shared" ref="S31:S37" si="18">R31/(Q31+R31)*100</f>
        <v>28.346456692913385</v>
      </c>
      <c r="T31" s="128">
        <v>81</v>
      </c>
      <c r="U31" s="128">
        <v>50</v>
      </c>
      <c r="V31" s="125">
        <f t="shared" ref="V31:V37" si="19">U31/(T31+U31)*100</f>
        <v>38.167938931297712</v>
      </c>
      <c r="W31" s="128">
        <v>69</v>
      </c>
      <c r="X31" s="128">
        <v>56</v>
      </c>
      <c r="Y31" s="125">
        <f t="shared" ref="Y31:Y37" si="20">X31/(W31+X31)*100</f>
        <v>44.800000000000004</v>
      </c>
    </row>
    <row r="32" spans="1:25" x14ac:dyDescent="0.3">
      <c r="A32" s="172">
        <v>4</v>
      </c>
      <c r="B32" s="128">
        <v>109</v>
      </c>
      <c r="C32" s="128">
        <v>23</v>
      </c>
      <c r="D32" s="125">
        <f t="shared" si="13"/>
        <v>17.424242424242426</v>
      </c>
      <c r="E32" s="128">
        <f>14+44+14+10+15</f>
        <v>97</v>
      </c>
      <c r="F32" s="128">
        <v>18</v>
      </c>
      <c r="G32" s="125">
        <f t="shared" si="14"/>
        <v>15.65217391304348</v>
      </c>
      <c r="H32" s="128">
        <f>82+25</f>
        <v>107</v>
      </c>
      <c r="I32" s="128">
        <v>43</v>
      </c>
      <c r="J32" s="125">
        <f t="shared" si="15"/>
        <v>28.666666666666668</v>
      </c>
      <c r="K32" s="128">
        <v>103</v>
      </c>
      <c r="L32" s="128">
        <v>29</v>
      </c>
      <c r="M32" s="125">
        <f t="shared" si="16"/>
        <v>21.969696969696969</v>
      </c>
      <c r="N32" s="128">
        <v>102</v>
      </c>
      <c r="O32" s="128">
        <v>45</v>
      </c>
      <c r="P32" s="125">
        <f t="shared" si="17"/>
        <v>30.612244897959183</v>
      </c>
      <c r="Q32" s="128">
        <v>84</v>
      </c>
      <c r="R32" s="128">
        <v>54</v>
      </c>
      <c r="S32" s="125">
        <f t="shared" si="18"/>
        <v>39.130434782608695</v>
      </c>
      <c r="T32" s="128">
        <v>93</v>
      </c>
      <c r="U32" s="128">
        <v>44</v>
      </c>
      <c r="V32" s="125">
        <f t="shared" si="19"/>
        <v>32.116788321167881</v>
      </c>
      <c r="W32" s="128">
        <v>124</v>
      </c>
      <c r="X32" s="128">
        <v>62</v>
      </c>
      <c r="Y32" s="125">
        <f t="shared" si="20"/>
        <v>33.333333333333329</v>
      </c>
    </row>
    <row r="33" spans="1:31" x14ac:dyDescent="0.3">
      <c r="A33" s="172">
        <v>5</v>
      </c>
      <c r="B33" s="128">
        <v>106</v>
      </c>
      <c r="C33" s="128">
        <v>30</v>
      </c>
      <c r="D33" s="125">
        <f t="shared" si="13"/>
        <v>22.058823529411764</v>
      </c>
      <c r="E33" s="128">
        <f>13+3+20+4+35</f>
        <v>75</v>
      </c>
      <c r="F33" s="128">
        <v>28</v>
      </c>
      <c r="G33" s="125">
        <f t="shared" si="14"/>
        <v>27.184466019417474</v>
      </c>
      <c r="H33" s="128">
        <f>62+49</f>
        <v>111</v>
      </c>
      <c r="I33" s="128">
        <v>24</v>
      </c>
      <c r="J33" s="125">
        <f t="shared" si="15"/>
        <v>17.777777777777779</v>
      </c>
      <c r="K33" s="128">
        <v>105</v>
      </c>
      <c r="L33" s="128">
        <v>31</v>
      </c>
      <c r="M33" s="125">
        <f t="shared" si="16"/>
        <v>22.794117647058822</v>
      </c>
      <c r="N33" s="128">
        <v>118</v>
      </c>
      <c r="O33" s="128">
        <v>56</v>
      </c>
      <c r="P33" s="125">
        <f t="shared" si="17"/>
        <v>32.183908045977013</v>
      </c>
      <c r="Q33" s="128">
        <v>96</v>
      </c>
      <c r="R33" s="128">
        <v>50</v>
      </c>
      <c r="S33" s="125">
        <f t="shared" si="18"/>
        <v>34.246575342465754</v>
      </c>
      <c r="T33" s="128">
        <v>69</v>
      </c>
      <c r="U33" s="128">
        <v>40</v>
      </c>
      <c r="V33" s="125">
        <f t="shared" si="19"/>
        <v>36.697247706422019</v>
      </c>
      <c r="W33" s="128">
        <v>100</v>
      </c>
      <c r="X33" s="128">
        <v>73</v>
      </c>
      <c r="Y33" s="125">
        <f t="shared" si="20"/>
        <v>42.196531791907518</v>
      </c>
    </row>
    <row r="34" spans="1:31" x14ac:dyDescent="0.3">
      <c r="A34" s="172">
        <v>6</v>
      </c>
      <c r="B34" s="128">
        <v>102</v>
      </c>
      <c r="C34" s="128">
        <v>14</v>
      </c>
      <c r="D34" s="125">
        <f t="shared" si="13"/>
        <v>12.068965517241379</v>
      </c>
      <c r="E34" s="128">
        <f>32+3+16+1+14+7+3</f>
        <v>76</v>
      </c>
      <c r="F34" s="128">
        <v>16</v>
      </c>
      <c r="G34" s="125">
        <f t="shared" si="14"/>
        <v>17.391304347826086</v>
      </c>
      <c r="H34" s="128">
        <f>76+36</f>
        <v>112</v>
      </c>
      <c r="I34" s="128">
        <v>30</v>
      </c>
      <c r="J34" s="125">
        <f t="shared" si="15"/>
        <v>21.12676056338028</v>
      </c>
      <c r="K34" s="128">
        <v>103</v>
      </c>
      <c r="L34" s="128">
        <v>44</v>
      </c>
      <c r="M34" s="125">
        <f t="shared" si="16"/>
        <v>29.931972789115648</v>
      </c>
      <c r="N34" s="128">
        <v>100</v>
      </c>
      <c r="O34" s="128">
        <v>59</v>
      </c>
      <c r="P34" s="125">
        <f t="shared" si="17"/>
        <v>37.106918238993707</v>
      </c>
      <c r="Q34" s="128">
        <v>89</v>
      </c>
      <c r="R34" s="128">
        <v>42</v>
      </c>
      <c r="S34" s="125">
        <f t="shared" si="18"/>
        <v>32.061068702290072</v>
      </c>
      <c r="T34" s="128">
        <v>80</v>
      </c>
      <c r="U34" s="128">
        <v>37</v>
      </c>
      <c r="V34" s="125">
        <f t="shared" si="19"/>
        <v>31.623931623931622</v>
      </c>
      <c r="W34" s="128">
        <v>72</v>
      </c>
      <c r="X34" s="128">
        <v>51</v>
      </c>
      <c r="Y34" s="125">
        <f t="shared" si="20"/>
        <v>41.463414634146339</v>
      </c>
    </row>
    <row r="35" spans="1:31" x14ac:dyDescent="0.3">
      <c r="A35" s="172">
        <v>7</v>
      </c>
      <c r="B35" s="128">
        <v>89</v>
      </c>
      <c r="C35" s="128">
        <v>16</v>
      </c>
      <c r="D35" s="125">
        <f t="shared" si="13"/>
        <v>15.238095238095239</v>
      </c>
      <c r="E35" s="128">
        <f>37+7+2+18+5+2+11+1</f>
        <v>83</v>
      </c>
      <c r="F35" s="128">
        <v>33</v>
      </c>
      <c r="G35" s="125">
        <f t="shared" si="14"/>
        <v>28.448275862068968</v>
      </c>
      <c r="H35" s="128">
        <f>93+34</f>
        <v>127</v>
      </c>
      <c r="I35" s="128">
        <v>17</v>
      </c>
      <c r="J35" s="125">
        <f t="shared" si="15"/>
        <v>11.805555555555555</v>
      </c>
      <c r="K35" s="128">
        <v>93</v>
      </c>
      <c r="L35" s="128">
        <v>41</v>
      </c>
      <c r="M35" s="125">
        <f t="shared" si="16"/>
        <v>30.597014925373134</v>
      </c>
      <c r="N35" s="128">
        <f>72+18</f>
        <v>90</v>
      </c>
      <c r="O35" s="128">
        <v>60</v>
      </c>
      <c r="P35" s="125">
        <f t="shared" si="17"/>
        <v>40</v>
      </c>
      <c r="Q35" s="128">
        <v>100</v>
      </c>
      <c r="R35" s="128">
        <v>44</v>
      </c>
      <c r="S35" s="125">
        <f t="shared" si="18"/>
        <v>30.555555555555557</v>
      </c>
      <c r="T35" s="128">
        <v>69</v>
      </c>
      <c r="U35" s="128">
        <v>39</v>
      </c>
      <c r="V35" s="125">
        <f t="shared" si="19"/>
        <v>36.111111111111107</v>
      </c>
      <c r="W35" s="128">
        <v>84</v>
      </c>
      <c r="X35" s="128">
        <v>41</v>
      </c>
      <c r="Y35" s="125">
        <f t="shared" si="20"/>
        <v>32.800000000000004</v>
      </c>
    </row>
    <row r="36" spans="1:31" x14ac:dyDescent="0.3">
      <c r="A36" s="172">
        <v>8</v>
      </c>
      <c r="B36" s="128">
        <v>99</v>
      </c>
      <c r="C36" s="128">
        <v>28</v>
      </c>
      <c r="D36" s="125">
        <f t="shared" si="13"/>
        <v>22.047244094488189</v>
      </c>
      <c r="E36" s="128">
        <f>33+7+17+9</f>
        <v>66</v>
      </c>
      <c r="F36" s="128">
        <v>17</v>
      </c>
      <c r="G36" s="125">
        <f t="shared" si="14"/>
        <v>20.481927710843372</v>
      </c>
      <c r="H36" s="128">
        <f>25+55+23</f>
        <v>103</v>
      </c>
      <c r="I36" s="128">
        <v>37</v>
      </c>
      <c r="J36" s="125">
        <f t="shared" si="15"/>
        <v>26.428571428571431</v>
      </c>
      <c r="K36" s="128">
        <v>76</v>
      </c>
      <c r="L36" s="128">
        <v>39</v>
      </c>
      <c r="M36" s="125">
        <f t="shared" si="16"/>
        <v>33.913043478260867</v>
      </c>
      <c r="N36" s="128">
        <f>76+13</f>
        <v>89</v>
      </c>
      <c r="O36" s="128">
        <v>36</v>
      </c>
      <c r="P36" s="125">
        <f t="shared" si="17"/>
        <v>28.799999999999997</v>
      </c>
      <c r="Q36" s="128">
        <v>120</v>
      </c>
      <c r="R36" s="128">
        <v>44</v>
      </c>
      <c r="S36" s="125">
        <f t="shared" si="18"/>
        <v>26.829268292682929</v>
      </c>
      <c r="T36" s="128">
        <f>26+16</f>
        <v>42</v>
      </c>
      <c r="U36" s="128">
        <v>35</v>
      </c>
      <c r="V36" s="125">
        <f t="shared" si="19"/>
        <v>45.454545454545453</v>
      </c>
      <c r="W36" s="128">
        <v>101</v>
      </c>
      <c r="X36" s="128">
        <v>61</v>
      </c>
      <c r="Y36" s="125">
        <f t="shared" si="20"/>
        <v>37.654320987654323</v>
      </c>
    </row>
    <row r="37" spans="1:31" x14ac:dyDescent="0.3">
      <c r="A37" s="172">
        <v>9</v>
      </c>
      <c r="B37" s="128">
        <v>93</v>
      </c>
      <c r="C37" s="128">
        <v>17</v>
      </c>
      <c r="D37" s="125">
        <f>C37/(B37+C37)*100</f>
        <v>15.454545454545453</v>
      </c>
      <c r="E37" s="128">
        <v>52</v>
      </c>
      <c r="F37" s="128">
        <v>20</v>
      </c>
      <c r="G37" s="125">
        <f t="shared" si="14"/>
        <v>27.777777777777779</v>
      </c>
      <c r="H37" s="128">
        <f>48+12+19</f>
        <v>79</v>
      </c>
      <c r="I37" s="128">
        <v>40</v>
      </c>
      <c r="J37" s="125">
        <f t="shared" si="15"/>
        <v>33.613445378151262</v>
      </c>
      <c r="K37" s="128">
        <v>96</v>
      </c>
      <c r="L37" s="128">
        <v>39</v>
      </c>
      <c r="M37" s="125">
        <f t="shared" si="16"/>
        <v>28.888888888888886</v>
      </c>
      <c r="N37" s="128">
        <v>69</v>
      </c>
      <c r="O37" s="128">
        <v>40</v>
      </c>
      <c r="P37" s="125">
        <f t="shared" si="17"/>
        <v>36.697247706422019</v>
      </c>
      <c r="Q37" s="128">
        <v>91</v>
      </c>
      <c r="R37" s="128">
        <v>53</v>
      </c>
      <c r="S37" s="125">
        <f t="shared" si="18"/>
        <v>36.805555555555557</v>
      </c>
      <c r="T37" s="128">
        <v>45</v>
      </c>
      <c r="U37" s="128">
        <v>38</v>
      </c>
      <c r="V37" s="125">
        <f t="shared" si="19"/>
        <v>45.783132530120483</v>
      </c>
      <c r="W37" s="128">
        <v>96</v>
      </c>
      <c r="X37" s="128">
        <v>42</v>
      </c>
      <c r="Y37" s="125">
        <f t="shared" si="20"/>
        <v>30.434782608695656</v>
      </c>
    </row>
    <row r="38" spans="1:31" x14ac:dyDescent="0.3">
      <c r="A38" s="172">
        <v>10</v>
      </c>
      <c r="B38" s="128"/>
      <c r="C38" s="128"/>
      <c r="D38" s="125"/>
      <c r="E38" s="128">
        <v>100</v>
      </c>
      <c r="F38" s="128">
        <v>29</v>
      </c>
      <c r="G38" s="125">
        <f>F38/(E38+F38)*100</f>
        <v>22.480620155038761</v>
      </c>
      <c r="H38" s="128">
        <f>23+5+15+2+35+16+21</f>
        <v>117</v>
      </c>
      <c r="I38" s="128">
        <v>41</v>
      </c>
      <c r="J38" s="125">
        <f>I38/(H38+I38)*100</f>
        <v>25.949367088607595</v>
      </c>
      <c r="K38" s="128">
        <v>80</v>
      </c>
      <c r="L38" s="128">
        <v>36</v>
      </c>
      <c r="M38" s="125">
        <f>L38/(K38+L38)*100</f>
        <v>31.03448275862069</v>
      </c>
      <c r="N38" s="128">
        <v>91</v>
      </c>
      <c r="O38" s="128">
        <v>43</v>
      </c>
      <c r="P38" s="125">
        <f>O38/(N38+O38)*100</f>
        <v>32.089552238805972</v>
      </c>
      <c r="Q38" s="128">
        <v>86</v>
      </c>
      <c r="R38" s="128">
        <v>63</v>
      </c>
      <c r="S38" s="125">
        <f>R38/(Q38+R38)*100</f>
        <v>42.281879194630875</v>
      </c>
      <c r="T38" s="128">
        <v>57</v>
      </c>
      <c r="U38" s="128">
        <v>36</v>
      </c>
      <c r="V38" s="125">
        <f>U38/(T38+U38)*100</f>
        <v>38.70967741935484</v>
      </c>
      <c r="W38" s="128">
        <v>100</v>
      </c>
      <c r="X38" s="128">
        <v>48</v>
      </c>
      <c r="Y38" s="125">
        <f>X38/(W38+X38)*100</f>
        <v>32.432432432432435</v>
      </c>
      <c r="AA38" s="135"/>
      <c r="AB38" s="135"/>
      <c r="AC38" s="135"/>
      <c r="AD38" s="129"/>
      <c r="AE38" s="129"/>
    </row>
    <row r="39" spans="1:31" x14ac:dyDescent="0.3">
      <c r="A39" s="172">
        <v>11</v>
      </c>
      <c r="B39" s="128"/>
      <c r="C39" s="128"/>
      <c r="D39" s="125"/>
      <c r="E39" s="128">
        <v>58</v>
      </c>
      <c r="F39" s="128">
        <v>24</v>
      </c>
      <c r="G39" s="125">
        <f>F39/(E39+F39)*100</f>
        <v>29.268292682926827</v>
      </c>
      <c r="H39" s="128">
        <f>78+12</f>
        <v>90</v>
      </c>
      <c r="I39" s="128">
        <v>36</v>
      </c>
      <c r="J39" s="125">
        <f>I39/(H39+I39)*100</f>
        <v>28.571428571428569</v>
      </c>
      <c r="K39" s="128">
        <v>81</v>
      </c>
      <c r="L39" s="128">
        <v>38</v>
      </c>
      <c r="M39" s="125">
        <f>L39/(K39+L39)*100</f>
        <v>31.932773109243694</v>
      </c>
      <c r="N39" s="128">
        <f>74+27</f>
        <v>101</v>
      </c>
      <c r="O39" s="128">
        <v>55</v>
      </c>
      <c r="P39" s="125">
        <f>O39/(N39+O39)*100</f>
        <v>35.256410256410255</v>
      </c>
      <c r="Q39" s="128">
        <v>90</v>
      </c>
      <c r="R39" s="128">
        <v>50</v>
      </c>
      <c r="S39" s="125">
        <f>R39/(Q39+R39)*100</f>
        <v>35.714285714285715</v>
      </c>
      <c r="T39" s="128"/>
      <c r="U39" s="128"/>
      <c r="V39" s="125"/>
      <c r="W39" s="128">
        <v>105</v>
      </c>
      <c r="X39" s="128">
        <v>51</v>
      </c>
      <c r="Y39" s="125">
        <f>X39/(W39+X39)*100</f>
        <v>32.692307692307693</v>
      </c>
      <c r="AA39" s="135"/>
      <c r="AB39" s="135"/>
      <c r="AC39" s="135"/>
      <c r="AD39" s="129"/>
      <c r="AE39" s="129"/>
    </row>
    <row r="40" spans="1:31" x14ac:dyDescent="0.3">
      <c r="A40" s="172">
        <v>12</v>
      </c>
      <c r="B40" s="128"/>
      <c r="C40" s="128"/>
      <c r="D40" s="125"/>
      <c r="E40" s="128"/>
      <c r="F40" s="128"/>
      <c r="G40" s="125"/>
      <c r="H40" s="128">
        <f>105+28</f>
        <v>133</v>
      </c>
      <c r="I40" s="128">
        <v>27</v>
      </c>
      <c r="J40" s="125">
        <f>I40/(H40+I40)*100</f>
        <v>16.875</v>
      </c>
      <c r="K40" s="128">
        <v>122</v>
      </c>
      <c r="L40" s="128">
        <v>28</v>
      </c>
      <c r="M40" s="125">
        <f t="shared" ref="M40:M42" si="21">L40/(K40+L40)*100</f>
        <v>18.666666666666668</v>
      </c>
      <c r="N40" s="128"/>
      <c r="O40" s="128"/>
      <c r="P40" s="125"/>
      <c r="Q40" s="128">
        <v>82</v>
      </c>
      <c r="R40" s="128">
        <v>51</v>
      </c>
      <c r="S40" s="125">
        <f t="shared" ref="S40:S42" si="22">R40/(Q40+R40)*100</f>
        <v>38.345864661654133</v>
      </c>
      <c r="T40" s="128"/>
      <c r="U40" s="128"/>
      <c r="V40" s="125"/>
      <c r="W40" s="128">
        <v>77</v>
      </c>
      <c r="X40" s="128">
        <v>35</v>
      </c>
      <c r="Y40" s="125">
        <f t="shared" ref="Y40:Y41" si="23">X40/(W40+X40)*100</f>
        <v>31.25</v>
      </c>
    </row>
    <row r="41" spans="1:31" x14ac:dyDescent="0.3">
      <c r="A41" s="172">
        <v>13</v>
      </c>
      <c r="B41" s="128"/>
      <c r="C41" s="128"/>
      <c r="D41" s="125"/>
      <c r="E41" s="128"/>
      <c r="F41" s="128"/>
      <c r="G41" s="125"/>
      <c r="H41" s="128"/>
      <c r="I41" s="128"/>
      <c r="J41" s="125"/>
      <c r="K41" s="128">
        <v>90</v>
      </c>
      <c r="L41" s="128">
        <v>42</v>
      </c>
      <c r="M41" s="125">
        <f t="shared" si="21"/>
        <v>31.818181818181817</v>
      </c>
      <c r="N41" s="128"/>
      <c r="O41" s="128"/>
      <c r="P41" s="125"/>
      <c r="Q41" s="128">
        <v>99</v>
      </c>
      <c r="R41" s="128">
        <v>40</v>
      </c>
      <c r="S41" s="125">
        <f t="shared" si="22"/>
        <v>28.776978417266186</v>
      </c>
      <c r="T41" s="128"/>
      <c r="U41" s="128"/>
      <c r="V41" s="125"/>
      <c r="W41" s="128">
        <v>87</v>
      </c>
      <c r="X41" s="128">
        <v>57</v>
      </c>
      <c r="Y41" s="125">
        <f t="shared" si="23"/>
        <v>39.583333333333329</v>
      </c>
    </row>
    <row r="42" spans="1:31" x14ac:dyDescent="0.3">
      <c r="A42" s="172">
        <v>14</v>
      </c>
      <c r="B42" s="128"/>
      <c r="C42" s="128"/>
      <c r="D42" s="125"/>
      <c r="E42" s="128"/>
      <c r="F42" s="128"/>
      <c r="G42" s="125"/>
      <c r="H42" s="128"/>
      <c r="I42" s="128"/>
      <c r="J42" s="125"/>
      <c r="K42" s="128">
        <v>94</v>
      </c>
      <c r="L42" s="128">
        <v>39</v>
      </c>
      <c r="M42" s="125">
        <f t="shared" si="21"/>
        <v>29.323308270676691</v>
      </c>
      <c r="N42" s="128"/>
      <c r="O42" s="128"/>
      <c r="P42" s="125"/>
      <c r="Q42" s="128">
        <v>85</v>
      </c>
      <c r="R42" s="128">
        <v>42</v>
      </c>
      <c r="S42" s="125">
        <f t="shared" si="22"/>
        <v>33.070866141732289</v>
      </c>
      <c r="T42" s="128"/>
      <c r="U42" s="128"/>
      <c r="V42" s="125"/>
      <c r="W42" s="128"/>
      <c r="X42" s="128"/>
      <c r="Y42" s="125"/>
    </row>
    <row r="43" spans="1:31" s="137" customFormat="1" x14ac:dyDescent="0.3">
      <c r="A43" s="172" t="s">
        <v>48</v>
      </c>
      <c r="B43" s="128">
        <f>SUM(B29:B42)</f>
        <v>857</v>
      </c>
      <c r="C43" s="128">
        <f>SUM(C29:C42)</f>
        <v>197</v>
      </c>
      <c r="D43" s="125">
        <f>C43/(B43+C43)*100</f>
        <v>18.690702087286528</v>
      </c>
      <c r="E43" s="128">
        <f>SUM(E29:E42)</f>
        <v>864</v>
      </c>
      <c r="F43" s="128">
        <f>SUM(F29:F42)</f>
        <v>261</v>
      </c>
      <c r="G43" s="125">
        <f>F43/(E43+F43)*100</f>
        <v>23.200000000000003</v>
      </c>
      <c r="H43" s="128">
        <f>SUM(H29:H42)</f>
        <v>1238</v>
      </c>
      <c r="I43" s="128">
        <f>SUM(I29:I42)</f>
        <v>426</v>
      </c>
      <c r="J43" s="125">
        <f>I43/(H43+I43)*100</f>
        <v>25.600961538461537</v>
      </c>
      <c r="K43" s="128">
        <f>SUM(K29:K42)</f>
        <v>1356</v>
      </c>
      <c r="L43" s="128">
        <f>SUM(L29:L42)</f>
        <v>515</v>
      </c>
      <c r="M43" s="125">
        <f>L43/(K43+L43)*100</f>
        <v>27.52538749331908</v>
      </c>
      <c r="N43" s="128">
        <f>SUM(N29:N42)</f>
        <v>1035</v>
      </c>
      <c r="O43" s="128">
        <f>SUM(O29:O42)</f>
        <v>527</v>
      </c>
      <c r="P43" s="125">
        <f>O43/(N43+O43)*100</f>
        <v>33.73879641485275</v>
      </c>
      <c r="Q43" s="128">
        <f>SUM(Q29:Q42)</f>
        <v>1291</v>
      </c>
      <c r="R43" s="128">
        <f>SUM(R29:R42)</f>
        <v>681</v>
      </c>
      <c r="S43" s="125">
        <f>R43/(Q43+R43)*100</f>
        <v>34.533468559837729</v>
      </c>
      <c r="T43" s="128">
        <f>SUM(T29:T42)</f>
        <v>663</v>
      </c>
      <c r="U43" s="128">
        <f>SUM(U29:U42)</f>
        <v>397</v>
      </c>
      <c r="V43" s="125">
        <f>U43/(T43+U43)*100</f>
        <v>37.452830188679243</v>
      </c>
      <c r="W43" s="128">
        <f>SUM(W29:W42)</f>
        <v>1212</v>
      </c>
      <c r="X43" s="128">
        <f>SUM(X29:X42)</f>
        <v>703</v>
      </c>
      <c r="Y43" s="125">
        <f>X43/(W43+X43)*100</f>
        <v>36.710182767624019</v>
      </c>
    </row>
    <row r="44" spans="1:31" x14ac:dyDescent="0.3">
      <c r="A44" s="172" t="s">
        <v>2</v>
      </c>
      <c r="B44" s="124">
        <f>AVERAGE(B29:B42)</f>
        <v>95.222222222222229</v>
      </c>
      <c r="C44" s="124">
        <f>AVERAGE(C29:C42)</f>
        <v>21.888888888888889</v>
      </c>
      <c r="D44" s="125">
        <f>AVERAGE(D29:D42)</f>
        <v>18.425241852187703</v>
      </c>
      <c r="E44" s="124">
        <f t="shared" ref="B44:Y44" si="24">AVERAGE(E29:E42)</f>
        <v>78.545454545454547</v>
      </c>
      <c r="F44" s="124">
        <f t="shared" si="24"/>
        <v>23.727272727272727</v>
      </c>
      <c r="G44" s="125">
        <f t="shared" si="24"/>
        <v>23.4363170159554</v>
      </c>
      <c r="H44" s="124">
        <f t="shared" si="24"/>
        <v>103.16666666666667</v>
      </c>
      <c r="I44" s="124">
        <f t="shared" si="24"/>
        <v>35.5</v>
      </c>
      <c r="J44" s="125">
        <f t="shared" si="24"/>
        <v>25.902405138372647</v>
      </c>
      <c r="K44" s="124">
        <f t="shared" si="24"/>
        <v>96.857142857142861</v>
      </c>
      <c r="L44" s="124">
        <f t="shared" si="24"/>
        <v>36.785714285714285</v>
      </c>
      <c r="M44" s="125">
        <f t="shared" si="24"/>
        <v>27.748424695430995</v>
      </c>
      <c r="N44" s="124">
        <f t="shared" si="24"/>
        <v>94.090909090909093</v>
      </c>
      <c r="O44" s="124">
        <f t="shared" si="24"/>
        <v>47.909090909090907</v>
      </c>
      <c r="P44" s="125">
        <f t="shared" si="24"/>
        <v>33.764324226237804</v>
      </c>
      <c r="Q44" s="124">
        <f t="shared" si="24"/>
        <v>92.214285714285708</v>
      </c>
      <c r="R44" s="124">
        <f t="shared" si="24"/>
        <v>48.642857142857146</v>
      </c>
      <c r="S44" s="125">
        <f t="shared" si="24"/>
        <v>34.529274451863692</v>
      </c>
      <c r="T44" s="124">
        <f t="shared" si="24"/>
        <v>66.3</v>
      </c>
      <c r="U44" s="124">
        <f t="shared" si="24"/>
        <v>39.700000000000003</v>
      </c>
      <c r="V44" s="125">
        <f t="shared" si="24"/>
        <v>38.191074990954533</v>
      </c>
      <c r="W44" s="124">
        <f t="shared" si="24"/>
        <v>93.230769230769226</v>
      </c>
      <c r="X44" s="124">
        <f t="shared" si="24"/>
        <v>54.07692307692308</v>
      </c>
      <c r="Y44" s="125">
        <f t="shared" si="24"/>
        <v>36.689846907717168</v>
      </c>
    </row>
    <row r="45" spans="1:31" x14ac:dyDescent="0.3">
      <c r="A45" s="172"/>
      <c r="B45" s="124"/>
      <c r="C45" s="124"/>
      <c r="D45" s="124">
        <f>STDEVA(D29:D42)</f>
        <v>4.408128778669723</v>
      </c>
      <c r="E45" s="124"/>
      <c r="F45" s="124"/>
      <c r="G45" s="124">
        <f>STDEVA(G29:G42)</f>
        <v>4.5683226302452526</v>
      </c>
      <c r="H45" s="124"/>
      <c r="I45" s="124"/>
      <c r="J45" s="124">
        <f>STDEVA(J29:J42)</f>
        <v>7.5475379920108772</v>
      </c>
      <c r="K45" s="124"/>
      <c r="L45" s="124"/>
      <c r="M45" s="124">
        <f>STDEVA(M29:M42)</f>
        <v>4.8341913893477182</v>
      </c>
      <c r="N45" s="124"/>
      <c r="O45" s="124"/>
      <c r="P45" s="124">
        <f>STDEVA(P29:P42)</f>
        <v>3.9062471253898825</v>
      </c>
      <c r="Q45" s="124"/>
      <c r="R45" s="124"/>
      <c r="S45" s="124">
        <f>STDEVA(S29:S42)</f>
        <v>4.7293888407918878</v>
      </c>
      <c r="T45" s="124"/>
      <c r="U45" s="124"/>
      <c r="V45" s="124">
        <f>STDEVA(V29:V42)</f>
        <v>5.185377939082124</v>
      </c>
      <c r="W45" s="124"/>
      <c r="X45" s="124"/>
      <c r="Y45" s="124">
        <f>STDEVA(Y29:Y42)</f>
        <v>4.8223692934584355</v>
      </c>
    </row>
    <row r="46" spans="1:31" ht="36.6" x14ac:dyDescent="0.7">
      <c r="A46" s="123" t="s">
        <v>19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</row>
    <row r="48" spans="1:31" x14ac:dyDescent="0.3">
      <c r="A48" s="151" t="s">
        <v>58</v>
      </c>
      <c r="B48" s="152" t="s">
        <v>68</v>
      </c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4"/>
    </row>
    <row r="49" spans="1:25" x14ac:dyDescent="0.3">
      <c r="A49" s="151"/>
      <c r="B49" s="155">
        <v>4</v>
      </c>
      <c r="C49" s="155"/>
      <c r="D49" s="155"/>
      <c r="E49" s="155">
        <v>10</v>
      </c>
      <c r="F49" s="155"/>
      <c r="G49" s="155"/>
      <c r="H49" s="155">
        <v>15</v>
      </c>
      <c r="I49" s="155"/>
      <c r="J49" s="155"/>
      <c r="K49" s="155">
        <v>20</v>
      </c>
      <c r="L49" s="155"/>
      <c r="M49" s="155"/>
      <c r="N49" s="155">
        <v>25</v>
      </c>
      <c r="O49" s="155"/>
      <c r="P49" s="155"/>
      <c r="Q49" s="155">
        <v>30</v>
      </c>
      <c r="R49" s="155"/>
      <c r="S49" s="155"/>
      <c r="T49" s="155">
        <v>37</v>
      </c>
      <c r="U49" s="155"/>
      <c r="V49" s="155"/>
      <c r="W49" s="155">
        <v>40</v>
      </c>
      <c r="X49" s="155"/>
      <c r="Y49" s="155"/>
    </row>
    <row r="50" spans="1:25" x14ac:dyDescent="0.3">
      <c r="A50" s="151"/>
      <c r="B50" s="156" t="s">
        <v>59</v>
      </c>
      <c r="C50" s="156" t="s">
        <v>60</v>
      </c>
      <c r="D50" s="157" t="s">
        <v>61</v>
      </c>
      <c r="E50" s="156" t="s">
        <v>59</v>
      </c>
      <c r="F50" s="156" t="s">
        <v>60</v>
      </c>
      <c r="G50" s="157" t="s">
        <v>61</v>
      </c>
      <c r="H50" s="156" t="s">
        <v>59</v>
      </c>
      <c r="I50" s="156" t="s">
        <v>60</v>
      </c>
      <c r="J50" s="157" t="s">
        <v>61</v>
      </c>
      <c r="K50" s="156" t="s">
        <v>59</v>
      </c>
      <c r="L50" s="156" t="s">
        <v>60</v>
      </c>
      <c r="M50" s="157" t="s">
        <v>61</v>
      </c>
      <c r="N50" s="156" t="s">
        <v>59</v>
      </c>
      <c r="O50" s="156" t="s">
        <v>60</v>
      </c>
      <c r="P50" s="157" t="s">
        <v>61</v>
      </c>
      <c r="Q50" s="156" t="s">
        <v>59</v>
      </c>
      <c r="R50" s="156" t="s">
        <v>60</v>
      </c>
      <c r="S50" s="157" t="s">
        <v>61</v>
      </c>
      <c r="T50" s="156" t="s">
        <v>59</v>
      </c>
      <c r="U50" s="156" t="s">
        <v>60</v>
      </c>
      <c r="V50" s="157" t="s">
        <v>61</v>
      </c>
      <c r="W50" s="156" t="s">
        <v>59</v>
      </c>
      <c r="X50" s="156" t="s">
        <v>60</v>
      </c>
      <c r="Y50" s="157" t="s">
        <v>61</v>
      </c>
    </row>
    <row r="51" spans="1:25" x14ac:dyDescent="0.3">
      <c r="A51" s="172">
        <v>1</v>
      </c>
      <c r="B51" s="128">
        <v>127</v>
      </c>
      <c r="C51" s="128">
        <v>1</v>
      </c>
      <c r="D51" s="125">
        <f>C51/(B51+C51)*100</f>
        <v>0.78125</v>
      </c>
      <c r="E51" s="128">
        <v>56</v>
      </c>
      <c r="F51" s="128">
        <v>1</v>
      </c>
      <c r="G51" s="125">
        <f>F51/(E51+F51)*100</f>
        <v>1.7543859649122806</v>
      </c>
      <c r="H51" s="128">
        <v>154</v>
      </c>
      <c r="I51" s="128">
        <v>19</v>
      </c>
      <c r="J51" s="125">
        <f>I51/(H51+I51)*100</f>
        <v>10.982658959537572</v>
      </c>
      <c r="K51" s="128">
        <v>244</v>
      </c>
      <c r="L51" s="128">
        <v>24</v>
      </c>
      <c r="M51" s="125">
        <f>L51/(K51+L51)*100</f>
        <v>8.9552238805970141</v>
      </c>
      <c r="N51" s="128">
        <v>147</v>
      </c>
      <c r="O51" s="128">
        <v>27</v>
      </c>
      <c r="P51" s="125">
        <f>O51/(N51+O51)*100</f>
        <v>15.517241379310345</v>
      </c>
      <c r="Q51" s="128">
        <v>146</v>
      </c>
      <c r="R51" s="128">
        <v>42</v>
      </c>
      <c r="S51" s="125">
        <f>R51/(Q51+R51)*100</f>
        <v>22.340425531914892</v>
      </c>
      <c r="T51" s="128">
        <v>106</v>
      </c>
      <c r="U51" s="128">
        <v>55</v>
      </c>
      <c r="V51" s="125">
        <f>U51/(T51+U51)*100</f>
        <v>34.161490683229815</v>
      </c>
      <c r="W51" s="128">
        <v>169</v>
      </c>
      <c r="X51" s="128">
        <v>60</v>
      </c>
      <c r="Y51" s="125">
        <f>X51/(W51+X51)*100</f>
        <v>26.200873362445414</v>
      </c>
    </row>
    <row r="52" spans="1:25" x14ac:dyDescent="0.3">
      <c r="A52" s="172">
        <v>2</v>
      </c>
      <c r="B52" s="128">
        <v>143</v>
      </c>
      <c r="C52" s="128">
        <v>6</v>
      </c>
      <c r="D52" s="125">
        <f t="shared" ref="D52:D61" si="25">C52/(B52+C52)*100</f>
        <v>4.0268456375838921</v>
      </c>
      <c r="E52" s="128">
        <v>37</v>
      </c>
      <c r="F52" s="128">
        <v>4</v>
      </c>
      <c r="G52" s="125">
        <f t="shared" ref="G52:G63" si="26">F52/(E52+F52)*100</f>
        <v>9.7560975609756095</v>
      </c>
      <c r="H52" s="128">
        <v>113</v>
      </c>
      <c r="I52" s="128">
        <v>10</v>
      </c>
      <c r="J52" s="125">
        <f t="shared" ref="J52:J61" si="27">I52/(H52+I52)*100</f>
        <v>8.1300813008130071</v>
      </c>
      <c r="K52" s="128">
        <v>159</v>
      </c>
      <c r="L52" s="128">
        <v>13</v>
      </c>
      <c r="M52" s="125">
        <f t="shared" ref="M52:M60" si="28">L52/(K52+L52)*100</f>
        <v>7.5581395348837201</v>
      </c>
      <c r="N52" s="128">
        <v>78</v>
      </c>
      <c r="O52" s="128">
        <v>17</v>
      </c>
      <c r="P52" s="125">
        <f t="shared" ref="P52:P61" si="29">O52/(N52+O52)*100</f>
        <v>17.894736842105264</v>
      </c>
      <c r="Q52" s="128">
        <v>153</v>
      </c>
      <c r="R52" s="128">
        <v>52</v>
      </c>
      <c r="S52" s="125">
        <f t="shared" ref="S52:S62" si="30">R52/(Q52+R52)*100</f>
        <v>25.365853658536587</v>
      </c>
      <c r="T52" s="128">
        <v>161</v>
      </c>
      <c r="U52" s="128">
        <v>54</v>
      </c>
      <c r="V52" s="125">
        <f t="shared" ref="V52:V62" si="31">U52/(T52+U52)*100</f>
        <v>25.116279069767444</v>
      </c>
      <c r="W52" s="128">
        <v>161</v>
      </c>
      <c r="X52" s="128">
        <v>62</v>
      </c>
      <c r="Y52" s="125">
        <f t="shared" ref="Y52:Y61" si="32">X52/(W52+X52)*100</f>
        <v>27.802690582959645</v>
      </c>
    </row>
    <row r="53" spans="1:25" x14ac:dyDescent="0.3">
      <c r="A53" s="172">
        <v>3</v>
      </c>
      <c r="B53" s="128">
        <v>112</v>
      </c>
      <c r="C53" s="128">
        <v>7</v>
      </c>
      <c r="D53" s="125">
        <f t="shared" si="25"/>
        <v>5.8823529411764701</v>
      </c>
      <c r="E53" s="128">
        <v>39</v>
      </c>
      <c r="F53" s="128">
        <v>4</v>
      </c>
      <c r="G53" s="125">
        <f t="shared" si="26"/>
        <v>9.3023255813953494</v>
      </c>
      <c r="H53" s="128">
        <v>140</v>
      </c>
      <c r="I53" s="128">
        <v>11</v>
      </c>
      <c r="J53" s="125">
        <f t="shared" si="27"/>
        <v>7.2847682119205297</v>
      </c>
      <c r="K53" s="128">
        <v>188</v>
      </c>
      <c r="L53" s="128">
        <v>24</v>
      </c>
      <c r="M53" s="125">
        <f t="shared" si="28"/>
        <v>11.320754716981133</v>
      </c>
      <c r="N53" s="128">
        <v>159</v>
      </c>
      <c r="O53" s="128">
        <v>21</v>
      </c>
      <c r="P53" s="125">
        <f t="shared" si="29"/>
        <v>11.666666666666666</v>
      </c>
      <c r="Q53" s="128">
        <v>136</v>
      </c>
      <c r="R53" s="128">
        <v>33</v>
      </c>
      <c r="S53" s="125">
        <f t="shared" si="30"/>
        <v>19.526627218934912</v>
      </c>
      <c r="T53" s="128">
        <v>125</v>
      </c>
      <c r="U53" s="128">
        <v>58</v>
      </c>
      <c r="V53" s="125">
        <f t="shared" si="31"/>
        <v>31.693989071038253</v>
      </c>
      <c r="W53" s="128">
        <v>79</v>
      </c>
      <c r="X53" s="128">
        <v>46</v>
      </c>
      <c r="Y53" s="125">
        <f t="shared" si="32"/>
        <v>36.799999999999997</v>
      </c>
    </row>
    <row r="54" spans="1:25" x14ac:dyDescent="0.3">
      <c r="A54" s="172">
        <v>4</v>
      </c>
      <c r="B54" s="128">
        <v>129</v>
      </c>
      <c r="C54" s="128">
        <v>7</v>
      </c>
      <c r="D54" s="125">
        <f t="shared" si="25"/>
        <v>5.1470588235294112</v>
      </c>
      <c r="E54" s="128">
        <v>232</v>
      </c>
      <c r="F54" s="128">
        <v>10</v>
      </c>
      <c r="G54" s="125">
        <f t="shared" si="26"/>
        <v>4.1322314049586781</v>
      </c>
      <c r="H54" s="128">
        <v>134</v>
      </c>
      <c r="I54" s="128">
        <v>18</v>
      </c>
      <c r="J54" s="125">
        <f t="shared" si="27"/>
        <v>11.842105263157894</v>
      </c>
      <c r="K54" s="128">
        <v>107</v>
      </c>
      <c r="L54" s="128">
        <v>15</v>
      </c>
      <c r="M54" s="125">
        <f t="shared" si="28"/>
        <v>12.295081967213115</v>
      </c>
      <c r="N54" s="128">
        <v>170</v>
      </c>
      <c r="O54" s="128">
        <v>23</v>
      </c>
      <c r="P54" s="125">
        <f t="shared" si="29"/>
        <v>11.917098445595855</v>
      </c>
      <c r="Q54" s="128">
        <v>198</v>
      </c>
      <c r="R54" s="128">
        <v>46</v>
      </c>
      <c r="S54" s="125">
        <f t="shared" si="30"/>
        <v>18.852459016393443</v>
      </c>
      <c r="T54" s="128">
        <v>100</v>
      </c>
      <c r="U54" s="128">
        <v>40</v>
      </c>
      <c r="V54" s="125">
        <f t="shared" si="31"/>
        <v>28.571428571428569</v>
      </c>
      <c r="W54" s="128">
        <v>98</v>
      </c>
      <c r="X54" s="128">
        <v>38</v>
      </c>
      <c r="Y54" s="125">
        <f t="shared" si="32"/>
        <v>27.941176470588236</v>
      </c>
    </row>
    <row r="55" spans="1:25" x14ac:dyDescent="0.3">
      <c r="A55" s="172">
        <v>5</v>
      </c>
      <c r="B55" s="128">
        <v>93</v>
      </c>
      <c r="C55" s="128">
        <v>2</v>
      </c>
      <c r="D55" s="125">
        <f t="shared" si="25"/>
        <v>2.1052631578947367</v>
      </c>
      <c r="E55" s="128">
        <v>182</v>
      </c>
      <c r="F55" s="128">
        <v>8</v>
      </c>
      <c r="G55" s="125">
        <f t="shared" si="26"/>
        <v>4.2105263157894735</v>
      </c>
      <c r="H55" s="128">
        <v>166</v>
      </c>
      <c r="I55" s="128">
        <v>18</v>
      </c>
      <c r="J55" s="125">
        <f t="shared" si="27"/>
        <v>9.7826086956521738</v>
      </c>
      <c r="K55" s="128">
        <v>180</v>
      </c>
      <c r="L55" s="128">
        <v>21</v>
      </c>
      <c r="M55" s="125">
        <f t="shared" si="28"/>
        <v>10.44776119402985</v>
      </c>
      <c r="N55" s="128">
        <v>150</v>
      </c>
      <c r="O55" s="128">
        <v>29</v>
      </c>
      <c r="P55" s="125">
        <f t="shared" si="29"/>
        <v>16.201117318435752</v>
      </c>
      <c r="Q55" s="128">
        <v>176</v>
      </c>
      <c r="R55" s="128">
        <v>58</v>
      </c>
      <c r="S55" s="125">
        <f t="shared" si="30"/>
        <v>24.786324786324787</v>
      </c>
      <c r="T55" s="128">
        <v>132</v>
      </c>
      <c r="U55" s="128">
        <v>62</v>
      </c>
      <c r="V55" s="125">
        <f t="shared" si="31"/>
        <v>31.958762886597935</v>
      </c>
      <c r="W55" s="128">
        <v>128</v>
      </c>
      <c r="X55" s="128">
        <v>50</v>
      </c>
      <c r="Y55" s="125">
        <f t="shared" si="32"/>
        <v>28.08988764044944</v>
      </c>
    </row>
    <row r="56" spans="1:25" x14ac:dyDescent="0.3">
      <c r="A56" s="172">
        <v>6</v>
      </c>
      <c r="B56" s="128">
        <v>201</v>
      </c>
      <c r="C56" s="128">
        <v>5</v>
      </c>
      <c r="D56" s="125">
        <f t="shared" si="25"/>
        <v>2.4271844660194173</v>
      </c>
      <c r="E56" s="128">
        <v>183</v>
      </c>
      <c r="F56" s="128">
        <v>11</v>
      </c>
      <c r="G56" s="125">
        <f t="shared" si="26"/>
        <v>5.6701030927835054</v>
      </c>
      <c r="H56" s="128">
        <v>129</v>
      </c>
      <c r="I56" s="128">
        <v>10</v>
      </c>
      <c r="J56" s="125">
        <f t="shared" si="27"/>
        <v>7.1942446043165464</v>
      </c>
      <c r="K56" s="128">
        <v>162</v>
      </c>
      <c r="L56" s="128">
        <v>18</v>
      </c>
      <c r="M56" s="125">
        <f t="shared" si="28"/>
        <v>10</v>
      </c>
      <c r="N56" s="128">
        <v>88</v>
      </c>
      <c r="O56" s="128">
        <v>19</v>
      </c>
      <c r="P56" s="125">
        <f t="shared" si="29"/>
        <v>17.75700934579439</v>
      </c>
      <c r="Q56" s="128">
        <v>170</v>
      </c>
      <c r="R56" s="128">
        <v>39</v>
      </c>
      <c r="S56" s="125">
        <f t="shared" si="30"/>
        <v>18.660287081339714</v>
      </c>
      <c r="T56" s="128">
        <v>154</v>
      </c>
      <c r="U56" s="128">
        <v>62</v>
      </c>
      <c r="V56" s="125">
        <f t="shared" si="31"/>
        <v>28.703703703703702</v>
      </c>
      <c r="W56" s="128">
        <v>122</v>
      </c>
      <c r="X56" s="128">
        <v>61</v>
      </c>
      <c r="Y56" s="125">
        <f t="shared" si="32"/>
        <v>33.333333333333329</v>
      </c>
    </row>
    <row r="57" spans="1:25" x14ac:dyDescent="0.3">
      <c r="A57" s="172">
        <v>7</v>
      </c>
      <c r="B57" s="128">
        <v>131</v>
      </c>
      <c r="C57" s="128">
        <v>8</v>
      </c>
      <c r="D57" s="125">
        <f t="shared" si="25"/>
        <v>5.755395683453238</v>
      </c>
      <c r="E57" s="128">
        <v>137</v>
      </c>
      <c r="F57" s="128">
        <v>10</v>
      </c>
      <c r="G57" s="125">
        <f t="shared" si="26"/>
        <v>6.8027210884353746</v>
      </c>
      <c r="H57" s="128">
        <v>136</v>
      </c>
      <c r="I57" s="128">
        <v>17</v>
      </c>
      <c r="J57" s="125">
        <f t="shared" si="27"/>
        <v>11.111111111111111</v>
      </c>
      <c r="K57" s="128">
        <v>204</v>
      </c>
      <c r="L57" s="128">
        <v>20</v>
      </c>
      <c r="M57" s="125">
        <f t="shared" si="28"/>
        <v>8.9285714285714288</v>
      </c>
      <c r="N57" s="128">
        <v>180</v>
      </c>
      <c r="O57" s="128">
        <v>46</v>
      </c>
      <c r="P57" s="125">
        <f t="shared" si="29"/>
        <v>20.353982300884958</v>
      </c>
      <c r="Q57" s="128">
        <v>198</v>
      </c>
      <c r="R57" s="128">
        <v>36</v>
      </c>
      <c r="S57" s="125">
        <f t="shared" si="30"/>
        <v>15.384615384615385</v>
      </c>
      <c r="T57" s="128">
        <v>184</v>
      </c>
      <c r="U57" s="128">
        <v>63</v>
      </c>
      <c r="V57" s="125">
        <f t="shared" si="31"/>
        <v>25.506072874493928</v>
      </c>
      <c r="W57" s="128">
        <v>119</v>
      </c>
      <c r="X57" s="128">
        <v>38</v>
      </c>
      <c r="Y57" s="125">
        <f t="shared" si="32"/>
        <v>24.203821656050955</v>
      </c>
    </row>
    <row r="58" spans="1:25" x14ac:dyDescent="0.3">
      <c r="A58" s="172">
        <v>8</v>
      </c>
      <c r="B58" s="128">
        <v>145</v>
      </c>
      <c r="C58" s="128">
        <v>8</v>
      </c>
      <c r="D58" s="125">
        <f t="shared" si="25"/>
        <v>5.2287581699346406</v>
      </c>
      <c r="E58" s="128">
        <v>160</v>
      </c>
      <c r="F58" s="128">
        <v>3</v>
      </c>
      <c r="G58" s="125">
        <f t="shared" si="26"/>
        <v>1.8404907975460123</v>
      </c>
      <c r="H58" s="128">
        <v>133</v>
      </c>
      <c r="I58" s="128">
        <v>16</v>
      </c>
      <c r="J58" s="125">
        <f t="shared" si="27"/>
        <v>10.738255033557047</v>
      </c>
      <c r="K58" s="128">
        <v>162</v>
      </c>
      <c r="L58" s="128">
        <v>16</v>
      </c>
      <c r="M58" s="125">
        <f t="shared" si="28"/>
        <v>8.9887640449438209</v>
      </c>
      <c r="N58" s="128">
        <v>190</v>
      </c>
      <c r="O58" s="128">
        <v>11</v>
      </c>
      <c r="P58" s="125">
        <f t="shared" si="29"/>
        <v>5.4726368159203984</v>
      </c>
      <c r="Q58" s="128">
        <v>181</v>
      </c>
      <c r="R58" s="128">
        <v>37</v>
      </c>
      <c r="S58" s="125">
        <f t="shared" si="30"/>
        <v>16.972477064220186</v>
      </c>
      <c r="T58" s="128">
        <v>191</v>
      </c>
      <c r="U58" s="128">
        <v>54</v>
      </c>
      <c r="V58" s="125">
        <f t="shared" si="31"/>
        <v>22.040816326530614</v>
      </c>
      <c r="W58" s="128">
        <v>129</v>
      </c>
      <c r="X58" s="128">
        <v>36</v>
      </c>
      <c r="Y58" s="125">
        <f t="shared" si="32"/>
        <v>21.818181818181817</v>
      </c>
    </row>
    <row r="59" spans="1:25" x14ac:dyDescent="0.3">
      <c r="A59" s="172">
        <v>9</v>
      </c>
      <c r="B59" s="128">
        <v>141</v>
      </c>
      <c r="C59" s="128">
        <v>7</v>
      </c>
      <c r="D59" s="125">
        <f t="shared" si="25"/>
        <v>4.7297297297297298</v>
      </c>
      <c r="E59" s="128">
        <v>158</v>
      </c>
      <c r="F59" s="128">
        <v>8</v>
      </c>
      <c r="G59" s="125">
        <f t="shared" si="26"/>
        <v>4.8192771084337354</v>
      </c>
      <c r="H59" s="128">
        <v>131</v>
      </c>
      <c r="I59" s="128">
        <v>10</v>
      </c>
      <c r="J59" s="125">
        <f t="shared" si="27"/>
        <v>7.0921985815602842</v>
      </c>
      <c r="K59" s="128">
        <v>110</v>
      </c>
      <c r="L59" s="128">
        <v>21</v>
      </c>
      <c r="M59" s="125">
        <f t="shared" si="28"/>
        <v>16.030534351145036</v>
      </c>
      <c r="N59" s="128">
        <v>190</v>
      </c>
      <c r="O59" s="128">
        <v>30</v>
      </c>
      <c r="P59" s="125">
        <f t="shared" si="29"/>
        <v>13.636363636363635</v>
      </c>
      <c r="Q59" s="128">
        <v>142</v>
      </c>
      <c r="R59" s="128">
        <v>25</v>
      </c>
      <c r="S59" s="125">
        <f t="shared" si="30"/>
        <v>14.97005988023952</v>
      </c>
      <c r="T59" s="128">
        <v>191</v>
      </c>
      <c r="U59" s="128">
        <v>41</v>
      </c>
      <c r="V59" s="125">
        <f t="shared" si="31"/>
        <v>17.672413793103448</v>
      </c>
      <c r="W59" s="128">
        <v>120</v>
      </c>
      <c r="X59" s="128">
        <v>43</v>
      </c>
      <c r="Y59" s="125">
        <f t="shared" si="32"/>
        <v>26.380368098159508</v>
      </c>
    </row>
    <row r="60" spans="1:25" x14ac:dyDescent="0.3">
      <c r="A60" s="172">
        <v>10</v>
      </c>
      <c r="B60" s="128">
        <v>168</v>
      </c>
      <c r="C60" s="128">
        <v>16</v>
      </c>
      <c r="D60" s="125">
        <f t="shared" si="25"/>
        <v>8.695652173913043</v>
      </c>
      <c r="E60" s="128">
        <v>103</v>
      </c>
      <c r="F60" s="128">
        <v>6</v>
      </c>
      <c r="G60" s="125">
        <f t="shared" si="26"/>
        <v>5.5045871559633035</v>
      </c>
      <c r="H60" s="128">
        <v>77</v>
      </c>
      <c r="I60" s="128">
        <v>7</v>
      </c>
      <c r="J60" s="125">
        <f t="shared" si="27"/>
        <v>8.3333333333333321</v>
      </c>
      <c r="K60" s="128">
        <v>201</v>
      </c>
      <c r="L60" s="128">
        <v>17</v>
      </c>
      <c r="M60" s="125">
        <f t="shared" si="28"/>
        <v>7.7981651376146797</v>
      </c>
      <c r="N60" s="128">
        <v>194</v>
      </c>
      <c r="O60" s="128">
        <v>27</v>
      </c>
      <c r="P60" s="125">
        <f t="shared" si="29"/>
        <v>12.217194570135746</v>
      </c>
      <c r="Q60" s="128">
        <v>210</v>
      </c>
      <c r="R60" s="128">
        <v>52</v>
      </c>
      <c r="S60" s="125">
        <f t="shared" si="30"/>
        <v>19.847328244274809</v>
      </c>
      <c r="T60" s="128">
        <v>190</v>
      </c>
      <c r="U60" s="128">
        <v>38</v>
      </c>
      <c r="V60" s="125">
        <f t="shared" si="31"/>
        <v>16.666666666666664</v>
      </c>
      <c r="W60" s="128">
        <v>136</v>
      </c>
      <c r="X60" s="128">
        <v>46</v>
      </c>
      <c r="Y60" s="125">
        <f t="shared" si="32"/>
        <v>25.274725274725274</v>
      </c>
    </row>
    <row r="61" spans="1:25" x14ac:dyDescent="0.3">
      <c r="A61" s="172">
        <v>11</v>
      </c>
      <c r="B61" s="128">
        <v>171</v>
      </c>
      <c r="C61" s="128">
        <v>8</v>
      </c>
      <c r="D61" s="125">
        <f t="shared" si="25"/>
        <v>4.4692737430167595</v>
      </c>
      <c r="E61" s="128">
        <v>123</v>
      </c>
      <c r="F61" s="128">
        <v>5</v>
      </c>
      <c r="G61" s="125">
        <f t="shared" si="26"/>
        <v>3.90625</v>
      </c>
      <c r="H61" s="128">
        <v>127</v>
      </c>
      <c r="I61" s="128">
        <v>8</v>
      </c>
      <c r="J61" s="125">
        <f t="shared" si="27"/>
        <v>5.9259259259259265</v>
      </c>
      <c r="K61" s="128"/>
      <c r="L61" s="128"/>
      <c r="M61" s="125"/>
      <c r="N61" s="128">
        <v>150</v>
      </c>
      <c r="O61" s="128">
        <v>27</v>
      </c>
      <c r="P61" s="125">
        <f t="shared" si="29"/>
        <v>15.254237288135593</v>
      </c>
      <c r="Q61" s="128">
        <v>176</v>
      </c>
      <c r="R61" s="128">
        <v>27</v>
      </c>
      <c r="S61" s="125">
        <f t="shared" si="30"/>
        <v>13.300492610837439</v>
      </c>
      <c r="T61" s="128">
        <v>68</v>
      </c>
      <c r="U61" s="128">
        <v>19</v>
      </c>
      <c r="V61" s="125">
        <f t="shared" si="31"/>
        <v>21.839080459770116</v>
      </c>
      <c r="W61" s="128">
        <v>79</v>
      </c>
      <c r="X61" s="128">
        <v>28</v>
      </c>
      <c r="Y61" s="125">
        <f t="shared" si="32"/>
        <v>26.168224299065418</v>
      </c>
    </row>
    <row r="62" spans="1:25" x14ac:dyDescent="0.3">
      <c r="A62" s="172">
        <v>12</v>
      </c>
      <c r="B62" s="128"/>
      <c r="C62" s="128"/>
      <c r="D62" s="125"/>
      <c r="E62" s="128">
        <v>159</v>
      </c>
      <c r="F62" s="128">
        <v>4</v>
      </c>
      <c r="G62" s="125">
        <f t="shared" si="26"/>
        <v>2.4539877300613497</v>
      </c>
      <c r="H62" s="128"/>
      <c r="I62" s="128"/>
      <c r="J62" s="125"/>
      <c r="K62" s="128"/>
      <c r="L62" s="128"/>
      <c r="M62" s="125"/>
      <c r="N62" s="128"/>
      <c r="O62" s="128"/>
      <c r="P62" s="125"/>
      <c r="Q62" s="128">
        <v>147</v>
      </c>
      <c r="R62" s="128">
        <v>34</v>
      </c>
      <c r="S62" s="125">
        <f t="shared" si="30"/>
        <v>18.784530386740332</v>
      </c>
      <c r="T62" s="128">
        <v>126</v>
      </c>
      <c r="U62" s="128">
        <v>65</v>
      </c>
      <c r="V62" s="125">
        <f t="shared" si="31"/>
        <v>34.031413612565444</v>
      </c>
      <c r="W62" s="128"/>
      <c r="X62" s="128"/>
      <c r="Y62" s="125"/>
    </row>
    <row r="63" spans="1:25" x14ac:dyDescent="0.3">
      <c r="A63" s="172">
        <v>13</v>
      </c>
      <c r="B63" s="128"/>
      <c r="C63" s="128"/>
      <c r="D63" s="125"/>
      <c r="E63" s="128">
        <v>139</v>
      </c>
      <c r="F63" s="128">
        <v>4</v>
      </c>
      <c r="G63" s="125">
        <f t="shared" si="26"/>
        <v>2.7972027972027971</v>
      </c>
      <c r="H63" s="128"/>
      <c r="I63" s="128"/>
      <c r="J63" s="125"/>
      <c r="K63" s="128"/>
      <c r="L63" s="128"/>
      <c r="M63" s="125"/>
      <c r="N63" s="128"/>
      <c r="O63" s="128"/>
      <c r="P63" s="125"/>
      <c r="Q63" s="128"/>
      <c r="R63" s="128"/>
      <c r="S63" s="125"/>
      <c r="T63" s="128"/>
      <c r="U63" s="128"/>
      <c r="V63" s="125"/>
      <c r="W63" s="128"/>
      <c r="X63" s="128"/>
      <c r="Y63" s="125"/>
    </row>
    <row r="64" spans="1:25" x14ac:dyDescent="0.3">
      <c r="A64" s="172">
        <v>14</v>
      </c>
      <c r="B64" s="128"/>
      <c r="C64" s="128"/>
      <c r="D64" s="125"/>
      <c r="E64" s="128"/>
      <c r="F64" s="128"/>
      <c r="G64" s="125"/>
      <c r="H64" s="128"/>
      <c r="I64" s="128"/>
      <c r="J64" s="125"/>
      <c r="K64" s="128"/>
      <c r="L64" s="128"/>
      <c r="M64" s="125"/>
      <c r="N64" s="128"/>
      <c r="O64" s="128"/>
      <c r="P64" s="125"/>
      <c r="Q64" s="128"/>
      <c r="R64" s="128"/>
      <c r="S64" s="125"/>
      <c r="T64" s="128"/>
      <c r="U64" s="128"/>
      <c r="V64" s="125"/>
      <c r="W64" s="128"/>
      <c r="X64" s="128"/>
      <c r="Y64" s="125"/>
    </row>
    <row r="65" spans="1:25" s="137" customFormat="1" x14ac:dyDescent="0.3">
      <c r="A65" s="172" t="s">
        <v>48</v>
      </c>
      <c r="B65" s="128">
        <f>SUM(B51:B64)</f>
        <v>1561</v>
      </c>
      <c r="C65" s="128">
        <f>SUM(C51:C64)</f>
        <v>75</v>
      </c>
      <c r="D65" s="125">
        <f t="shared" ref="D65" si="33">C65/(B65+C65)*100</f>
        <v>4.5843520782396094</v>
      </c>
      <c r="E65" s="128">
        <f>SUM(E51:E64)</f>
        <v>1708</v>
      </c>
      <c r="F65" s="128">
        <f>SUM(F51:F64)</f>
        <v>78</v>
      </c>
      <c r="G65" s="128"/>
      <c r="H65" s="128">
        <f>SUM(H51:H64)</f>
        <v>1440</v>
      </c>
      <c r="I65" s="128">
        <f>SUM(I51:I64)</f>
        <v>144</v>
      </c>
      <c r="J65" s="128"/>
      <c r="K65" s="128">
        <f>SUM(K51:K64)</f>
        <v>1717</v>
      </c>
      <c r="L65" s="128">
        <f>SUM(L51:L64)</f>
        <v>189</v>
      </c>
      <c r="M65" s="128"/>
      <c r="N65" s="128">
        <f>SUM(N51:N64)</f>
        <v>1696</v>
      </c>
      <c r="O65" s="128">
        <f>SUM(O51:O64)</f>
        <v>277</v>
      </c>
      <c r="P65" s="128"/>
      <c r="Q65" s="128">
        <f>SUM(Q51:Q64)</f>
        <v>2033</v>
      </c>
      <c r="R65" s="128">
        <f>SUM(R51:R64)</f>
        <v>481</v>
      </c>
      <c r="S65" s="128"/>
      <c r="T65" s="128">
        <f>SUM(T51:T64)</f>
        <v>1728</v>
      </c>
      <c r="U65" s="128">
        <f>SUM(U51:U64)</f>
        <v>611</v>
      </c>
      <c r="V65" s="128"/>
      <c r="W65" s="128">
        <f>SUM(W51:W64)</f>
        <v>1340</v>
      </c>
      <c r="X65" s="128">
        <f>SUM(X51:X64)</f>
        <v>508</v>
      </c>
      <c r="Y65" s="128"/>
    </row>
    <row r="66" spans="1:25" x14ac:dyDescent="0.3">
      <c r="A66" s="172" t="s">
        <v>2</v>
      </c>
      <c r="B66" s="124">
        <f t="shared" ref="B66:Y66" si="34">AVERAGE(B51:B64)</f>
        <v>141.90909090909091</v>
      </c>
      <c r="C66" s="124">
        <f t="shared" si="34"/>
        <v>6.8181818181818183</v>
      </c>
      <c r="D66" s="125">
        <f>AVERAGE(D51:D64)</f>
        <v>4.477160411477394</v>
      </c>
      <c r="E66" s="124">
        <f t="shared" si="34"/>
        <v>131.38461538461539</v>
      </c>
      <c r="F66" s="124">
        <f t="shared" si="34"/>
        <v>6</v>
      </c>
      <c r="G66" s="125">
        <f t="shared" si="34"/>
        <v>4.8423220460351901</v>
      </c>
      <c r="H66" s="124">
        <f t="shared" si="34"/>
        <v>130.90909090909091</v>
      </c>
      <c r="I66" s="124">
        <f t="shared" si="34"/>
        <v>13.090909090909092</v>
      </c>
      <c r="J66" s="125">
        <f t="shared" si="34"/>
        <v>8.947026456444128</v>
      </c>
      <c r="K66" s="124">
        <f t="shared" si="34"/>
        <v>171.7</v>
      </c>
      <c r="L66" s="124">
        <f t="shared" si="34"/>
        <v>18.899999999999999</v>
      </c>
      <c r="M66" s="125">
        <f t="shared" si="34"/>
        <v>10.232299625597978</v>
      </c>
      <c r="N66" s="124">
        <f t="shared" si="34"/>
        <v>154.18181818181819</v>
      </c>
      <c r="O66" s="124">
        <f t="shared" si="34"/>
        <v>25.181818181818183</v>
      </c>
      <c r="P66" s="125">
        <f t="shared" si="34"/>
        <v>14.353480419031689</v>
      </c>
      <c r="Q66" s="124">
        <f t="shared" si="34"/>
        <v>169.41666666666666</v>
      </c>
      <c r="R66" s="124">
        <f t="shared" si="34"/>
        <v>40.083333333333336</v>
      </c>
      <c r="S66" s="125">
        <f t="shared" si="34"/>
        <v>19.065956738697668</v>
      </c>
      <c r="T66" s="124">
        <f t="shared" si="34"/>
        <v>144</v>
      </c>
      <c r="U66" s="124">
        <f t="shared" si="34"/>
        <v>50.916666666666664</v>
      </c>
      <c r="V66" s="125">
        <f t="shared" si="34"/>
        <v>26.496843143241325</v>
      </c>
      <c r="W66" s="124">
        <f t="shared" si="34"/>
        <v>121.81818181818181</v>
      </c>
      <c r="X66" s="124">
        <f t="shared" si="34"/>
        <v>46.18181818181818</v>
      </c>
      <c r="Y66" s="125">
        <f t="shared" si="34"/>
        <v>27.637571139632634</v>
      </c>
    </row>
    <row r="67" spans="1:25" x14ac:dyDescent="0.3">
      <c r="A67" s="127"/>
      <c r="B67" s="124"/>
      <c r="C67" s="124"/>
      <c r="D67" s="124">
        <f>STDEVA(D51:D64)</f>
        <v>2.1487781612487438</v>
      </c>
      <c r="E67" s="124"/>
      <c r="F67" s="124"/>
      <c r="G67" s="124">
        <f>STDEVA(G51:G64)</f>
        <v>2.5693214478633761</v>
      </c>
      <c r="H67" s="124"/>
      <c r="I67" s="124"/>
      <c r="J67" s="124">
        <f>STDEVA(J51:J64)</f>
        <v>2.014002012448985</v>
      </c>
      <c r="K67" s="124"/>
      <c r="L67" s="124"/>
      <c r="M67" s="124">
        <f>STDEVA(M51:M64)</f>
        <v>2.5191019457515731</v>
      </c>
      <c r="N67" s="124"/>
      <c r="O67" s="124"/>
      <c r="P67" s="124">
        <f>STDEVA(P51:P64)</f>
        <v>4.0350003189197192</v>
      </c>
      <c r="Q67" s="124"/>
      <c r="R67" s="124"/>
      <c r="S67" s="124">
        <f>STDEVA(S51:S64)</f>
        <v>3.7196950673794231</v>
      </c>
      <c r="T67" s="124"/>
      <c r="U67" s="124"/>
      <c r="V67" s="124">
        <f>STDEVA(V51:V64)</f>
        <v>6.0338065731847088</v>
      </c>
      <c r="W67" s="124"/>
      <c r="X67" s="124"/>
      <c r="Y67" s="124">
        <f>STDEVA(Y51:Y64)</f>
        <v>4.1684343431703317</v>
      </c>
    </row>
  </sheetData>
  <mergeCells count="40">
    <mergeCell ref="AI3:AI4"/>
    <mergeCell ref="A1:C1"/>
    <mergeCell ref="B48:Y48"/>
    <mergeCell ref="B26:Y26"/>
    <mergeCell ref="B4:Y4"/>
    <mergeCell ref="AA3:AA4"/>
    <mergeCell ref="AH3:AH4"/>
    <mergeCell ref="K5:M5"/>
    <mergeCell ref="N5:P5"/>
    <mergeCell ref="Q5:S5"/>
    <mergeCell ref="T5:V5"/>
    <mergeCell ref="W5:Y5"/>
    <mergeCell ref="AB3:AC3"/>
    <mergeCell ref="N49:P49"/>
    <mergeCell ref="Q49:S49"/>
    <mergeCell ref="T49:V49"/>
    <mergeCell ref="W49:Y49"/>
    <mergeCell ref="A2:Y2"/>
    <mergeCell ref="A4:A6"/>
    <mergeCell ref="B5:D5"/>
    <mergeCell ref="E5:G5"/>
    <mergeCell ref="H5:J5"/>
    <mergeCell ref="W27:Y27"/>
    <mergeCell ref="AD3:AE3"/>
    <mergeCell ref="AF3:AG3"/>
    <mergeCell ref="A46:Y46"/>
    <mergeCell ref="A48:A50"/>
    <mergeCell ref="B49:D49"/>
    <mergeCell ref="E49:G49"/>
    <mergeCell ref="H49:J49"/>
    <mergeCell ref="K49:M49"/>
    <mergeCell ref="A24:Y24"/>
    <mergeCell ref="A26:A28"/>
    <mergeCell ref="B27:D27"/>
    <mergeCell ref="E27:G27"/>
    <mergeCell ref="H27:J27"/>
    <mergeCell ref="K27:M27"/>
    <mergeCell ref="N27:P27"/>
    <mergeCell ref="Q27:S27"/>
    <mergeCell ref="T27:V27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2385-7986-466E-86F0-24E2FC07308F}">
  <dimension ref="A1:G15"/>
  <sheetViews>
    <sheetView workbookViewId="0">
      <selection activeCell="D27" sqref="D27"/>
    </sheetView>
  </sheetViews>
  <sheetFormatPr defaultRowHeight="14.4" x14ac:dyDescent="0.3"/>
  <sheetData>
    <row r="1" spans="1:7" x14ac:dyDescent="0.3">
      <c r="A1" s="18" t="s">
        <v>33</v>
      </c>
    </row>
    <row r="3" spans="1:7" x14ac:dyDescent="0.3">
      <c r="A3" s="18" t="s">
        <v>39</v>
      </c>
    </row>
    <row r="4" spans="1:7" x14ac:dyDescent="0.3">
      <c r="A4" s="45" t="s">
        <v>40</v>
      </c>
      <c r="B4" s="145" t="s">
        <v>65</v>
      </c>
      <c r="C4" s="146"/>
      <c r="D4" s="146"/>
      <c r="E4" s="146"/>
      <c r="F4" s="146"/>
      <c r="G4" s="147"/>
    </row>
    <row r="5" spans="1:7" x14ac:dyDescent="0.3">
      <c r="A5" s="45"/>
      <c r="B5" s="145" t="s">
        <v>41</v>
      </c>
      <c r="C5" s="147"/>
      <c r="D5" s="148" t="s">
        <v>37</v>
      </c>
      <c r="E5" s="149"/>
      <c r="F5" s="148" t="s">
        <v>38</v>
      </c>
      <c r="G5" s="149"/>
    </row>
    <row r="6" spans="1:7" x14ac:dyDescent="0.3">
      <c r="A6" s="45"/>
      <c r="B6" s="47" t="s">
        <v>17</v>
      </c>
      <c r="C6" s="47" t="s">
        <v>18</v>
      </c>
      <c r="D6" s="47" t="s">
        <v>17</v>
      </c>
      <c r="E6" s="47" t="s">
        <v>18</v>
      </c>
      <c r="F6" s="47" t="s">
        <v>17</v>
      </c>
      <c r="G6" s="47" t="s">
        <v>18</v>
      </c>
    </row>
    <row r="7" spans="1:7" x14ac:dyDescent="0.3">
      <c r="A7" s="48" t="s">
        <v>35</v>
      </c>
      <c r="B7" s="49">
        <v>4.9461561258521307</v>
      </c>
      <c r="C7" s="49">
        <v>4.8667571144953641</v>
      </c>
      <c r="D7" s="49">
        <v>5.5869780696542826</v>
      </c>
      <c r="E7" s="49">
        <v>4.6030833705960426</v>
      </c>
      <c r="F7" s="49">
        <v>5.4087646445560758</v>
      </c>
      <c r="G7" s="49">
        <v>4.9728661898945248</v>
      </c>
    </row>
    <row r="8" spans="1:7" x14ac:dyDescent="0.3">
      <c r="A8" s="48" t="s">
        <v>36</v>
      </c>
      <c r="B8" s="49">
        <v>0.63333994817562811</v>
      </c>
      <c r="C8" s="49">
        <v>1.0471911977980248</v>
      </c>
      <c r="D8" s="49">
        <v>0.50426377619768559</v>
      </c>
      <c r="E8" s="49">
        <v>1.1162971575792469</v>
      </c>
      <c r="F8" s="49">
        <v>1.5789188750312362</v>
      </c>
      <c r="G8" s="49">
        <v>1.4438056539469188</v>
      </c>
    </row>
    <row r="10" spans="1:7" x14ac:dyDescent="0.3">
      <c r="A10" s="18" t="s">
        <v>34</v>
      </c>
    </row>
    <row r="11" spans="1:7" x14ac:dyDescent="0.3">
      <c r="A11" s="45" t="s">
        <v>40</v>
      </c>
      <c r="B11" s="145" t="s">
        <v>65</v>
      </c>
      <c r="C11" s="146"/>
      <c r="D11" s="146"/>
      <c r="E11" s="146"/>
      <c r="F11" s="146"/>
      <c r="G11" s="147"/>
    </row>
    <row r="12" spans="1:7" x14ac:dyDescent="0.3">
      <c r="A12" s="45"/>
      <c r="B12" s="145" t="s">
        <v>41</v>
      </c>
      <c r="C12" s="147"/>
      <c r="D12" s="148" t="s">
        <v>37</v>
      </c>
      <c r="E12" s="149"/>
      <c r="F12" s="148" t="s">
        <v>38</v>
      </c>
      <c r="G12" s="149"/>
    </row>
    <row r="13" spans="1:7" x14ac:dyDescent="0.3">
      <c r="A13" s="45"/>
      <c r="B13" s="47" t="s">
        <v>17</v>
      </c>
      <c r="C13" s="47" t="s">
        <v>18</v>
      </c>
      <c r="D13" s="47" t="s">
        <v>17</v>
      </c>
      <c r="E13" s="47" t="s">
        <v>18</v>
      </c>
      <c r="F13" s="47" t="s">
        <v>17</v>
      </c>
      <c r="G13" s="47" t="s">
        <v>18</v>
      </c>
    </row>
    <row r="14" spans="1:7" x14ac:dyDescent="0.3">
      <c r="A14" s="48" t="s">
        <v>35</v>
      </c>
      <c r="B14" s="49">
        <v>15.406272072747672</v>
      </c>
      <c r="C14" s="49">
        <v>16.77494693998576</v>
      </c>
      <c r="D14" s="49">
        <v>14.868449358626684</v>
      </c>
      <c r="E14" s="49">
        <v>16.777052493941568</v>
      </c>
      <c r="F14" s="49">
        <v>15.41239287819695</v>
      </c>
      <c r="G14" s="49">
        <v>17.01369682427967</v>
      </c>
    </row>
    <row r="15" spans="1:7" x14ac:dyDescent="0.3">
      <c r="A15" s="48" t="s">
        <v>36</v>
      </c>
      <c r="B15" s="49">
        <v>15.004596155369779</v>
      </c>
      <c r="C15" s="49">
        <v>17.275096834846323</v>
      </c>
      <c r="D15" s="49">
        <v>15.147008667350642</v>
      </c>
      <c r="E15" s="49">
        <v>17.098576623703117</v>
      </c>
      <c r="F15" s="49">
        <v>15.41239287819695</v>
      </c>
      <c r="G15" s="49">
        <v>16.325580318697853</v>
      </c>
    </row>
  </sheetData>
  <mergeCells count="10">
    <mergeCell ref="B11:G11"/>
    <mergeCell ref="B12:C12"/>
    <mergeCell ref="D12:E12"/>
    <mergeCell ref="F12:G12"/>
    <mergeCell ref="A11:A13"/>
    <mergeCell ref="A4:A6"/>
    <mergeCell ref="B4:G4"/>
    <mergeCell ref="B5:C5"/>
    <mergeCell ref="D5:E5"/>
    <mergeCell ref="F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workbookViewId="0">
      <selection activeCell="L52" sqref="L52"/>
    </sheetView>
  </sheetViews>
  <sheetFormatPr defaultColWidth="9.109375" defaultRowHeight="14.4" x14ac:dyDescent="0.3"/>
  <cols>
    <col min="1" max="2" width="9.109375" style="1"/>
    <col min="3" max="8" width="9.6640625" style="1" customWidth="1"/>
    <col min="9" max="9" width="12.88671875" style="1" bestFit="1" customWidth="1"/>
    <col min="10" max="16384" width="9.109375" style="1"/>
  </cols>
  <sheetData>
    <row r="1" spans="1:17" s="3" customFormat="1" x14ac:dyDescent="0.3">
      <c r="A1" s="17" t="s">
        <v>32</v>
      </c>
    </row>
    <row r="2" spans="1:17" s="2" customFormat="1" x14ac:dyDescent="0.3"/>
    <row r="3" spans="1:17" x14ac:dyDescent="0.3">
      <c r="A3" s="33" t="s">
        <v>15</v>
      </c>
      <c r="B3" s="33"/>
      <c r="C3" s="33"/>
      <c r="D3" s="33"/>
      <c r="E3" s="33"/>
      <c r="F3" s="33"/>
      <c r="G3" s="33"/>
      <c r="H3" s="33"/>
      <c r="I3" s="33"/>
      <c r="J3" s="33"/>
    </row>
    <row r="4" spans="1:17" x14ac:dyDescent="0.3">
      <c r="C4" s="34" t="s">
        <v>0</v>
      </c>
      <c r="D4" s="34"/>
      <c r="E4" s="34"/>
      <c r="F4" s="34" t="s">
        <v>1</v>
      </c>
      <c r="G4" s="34"/>
      <c r="H4" s="34"/>
    </row>
    <row r="5" spans="1:17" ht="15" thickBot="1" x14ac:dyDescent="0.35">
      <c r="C5" s="1" t="s">
        <v>8</v>
      </c>
      <c r="D5" s="1" t="s">
        <v>9</v>
      </c>
      <c r="E5" s="1" t="s">
        <v>2</v>
      </c>
      <c r="F5" s="1" t="s">
        <v>8</v>
      </c>
      <c r="G5" s="1" t="s">
        <v>9</v>
      </c>
      <c r="H5" s="1" t="s">
        <v>2</v>
      </c>
      <c r="I5" s="1" t="s">
        <v>10</v>
      </c>
      <c r="J5" s="1" t="s">
        <v>2</v>
      </c>
    </row>
    <row r="6" spans="1:17" x14ac:dyDescent="0.3">
      <c r="A6" s="19" t="s">
        <v>3</v>
      </c>
      <c r="B6" s="28" t="s">
        <v>4</v>
      </c>
      <c r="C6" s="9">
        <v>33.108851484531797</v>
      </c>
      <c r="D6" s="9">
        <v>30.694224013378399</v>
      </c>
      <c r="E6" s="9">
        <v>31.9015377489551</v>
      </c>
      <c r="F6" s="9">
        <v>15.0713072179937</v>
      </c>
      <c r="G6" s="9">
        <v>15.0043148185608</v>
      </c>
      <c r="H6" s="9">
        <v>15.03781101827725</v>
      </c>
      <c r="I6" s="9">
        <f>E6/H6</f>
        <v>2.1214216424306267</v>
      </c>
      <c r="J6" s="25">
        <f>AVERAGE(I6:I7)</f>
        <v>2.082613270819567</v>
      </c>
    </row>
    <row r="7" spans="1:17" x14ac:dyDescent="0.3">
      <c r="A7" s="20"/>
      <c r="B7" s="29"/>
      <c r="C7" s="8">
        <v>30.961761355444299</v>
      </c>
      <c r="D7" s="8">
        <v>31.0813479829601</v>
      </c>
      <c r="E7" s="8">
        <v>31.0215546692022</v>
      </c>
      <c r="F7" s="8">
        <v>14.9896330393067</v>
      </c>
      <c r="G7" s="8">
        <v>15.367036211477201</v>
      </c>
      <c r="H7" s="8">
        <v>15.178334625391951</v>
      </c>
      <c r="I7" s="8">
        <f t="shared" ref="I7:I17" si="0">E7/H7</f>
        <v>2.0438048992085078</v>
      </c>
      <c r="J7" s="26"/>
    </row>
    <row r="8" spans="1:17" ht="15" thickBot="1" x14ac:dyDescent="0.35">
      <c r="A8" s="20"/>
      <c r="B8" s="30" t="s">
        <v>5</v>
      </c>
      <c r="C8" s="8">
        <v>30.842341531326799</v>
      </c>
      <c r="D8" s="8">
        <v>31.180025418981799</v>
      </c>
      <c r="E8" s="8">
        <v>31.011183475154297</v>
      </c>
      <c r="F8" s="8">
        <v>15.411579788549799</v>
      </c>
      <c r="G8" s="8">
        <v>15.344760195508901</v>
      </c>
      <c r="H8" s="8">
        <v>15.378169992029349</v>
      </c>
      <c r="I8" s="8">
        <f t="shared" si="0"/>
        <v>2.0165717696727041</v>
      </c>
      <c r="J8" s="26">
        <f t="shared" ref="J8" si="1">AVERAGE(I8:I9)</f>
        <v>2.0234572532794219</v>
      </c>
    </row>
    <row r="9" spans="1:17" x14ac:dyDescent="0.3">
      <c r="A9" s="20"/>
      <c r="B9" s="29"/>
      <c r="C9" s="8">
        <v>30.4388917938441</v>
      </c>
      <c r="D9" s="8">
        <v>29.840228758075099</v>
      </c>
      <c r="E9" s="8">
        <v>30.1395602759596</v>
      </c>
      <c r="F9" s="8">
        <v>14.683271381756899</v>
      </c>
      <c r="G9" s="8">
        <v>15.005864081335901</v>
      </c>
      <c r="H9" s="8">
        <v>14.8445677315464</v>
      </c>
      <c r="I9" s="8">
        <f t="shared" si="0"/>
        <v>2.0303427368861402</v>
      </c>
      <c r="J9" s="26"/>
      <c r="L9" s="35"/>
      <c r="M9" s="36"/>
      <c r="N9" s="39" t="s">
        <v>16</v>
      </c>
      <c r="O9" s="40"/>
      <c r="P9" s="40"/>
      <c r="Q9" s="41"/>
    </row>
    <row r="10" spans="1:17" x14ac:dyDescent="0.3">
      <c r="A10" s="20"/>
      <c r="B10" s="30" t="s">
        <v>6</v>
      </c>
      <c r="C10" s="8">
        <v>30.4467570171213</v>
      </c>
      <c r="D10" s="8">
        <v>30.500827795212601</v>
      </c>
      <c r="E10" s="8">
        <v>30.47379240616695</v>
      </c>
      <c r="F10" s="8">
        <v>15.138951082937099</v>
      </c>
      <c r="G10" s="8">
        <v>14.714351828621099</v>
      </c>
      <c r="H10" s="8">
        <v>14.926651455779099</v>
      </c>
      <c r="I10" s="8">
        <f t="shared" si="0"/>
        <v>2.0415692358361137</v>
      </c>
      <c r="J10" s="26">
        <f t="shared" ref="J10" si="2">AVERAGE(I10:I11)</f>
        <v>2.0453174769080027</v>
      </c>
      <c r="L10" s="37"/>
      <c r="M10" s="38"/>
      <c r="N10" s="8" t="s">
        <v>17</v>
      </c>
      <c r="O10" s="8" t="s">
        <v>18</v>
      </c>
      <c r="P10" s="8" t="s">
        <v>19</v>
      </c>
      <c r="Q10" s="14" t="s">
        <v>2</v>
      </c>
    </row>
    <row r="11" spans="1:17" ht="15" thickBot="1" x14ac:dyDescent="0.35">
      <c r="A11" s="21"/>
      <c r="B11" s="31"/>
      <c r="C11" s="10">
        <v>30.664811492951198</v>
      </c>
      <c r="D11" s="10">
        <v>30.6585905280776</v>
      </c>
      <c r="E11" s="10">
        <v>30.661701010514399</v>
      </c>
      <c r="F11" s="10">
        <v>14.8568892851778</v>
      </c>
      <c r="G11" s="10">
        <v>15.070604734626301</v>
      </c>
      <c r="H11" s="10">
        <v>14.96374700990205</v>
      </c>
      <c r="I11" s="10">
        <f t="shared" si="0"/>
        <v>2.0490657179798917</v>
      </c>
      <c r="J11" s="27"/>
      <c r="L11" s="20" t="s">
        <v>3</v>
      </c>
      <c r="M11" s="13" t="s">
        <v>4</v>
      </c>
      <c r="N11" s="8">
        <f>J6</f>
        <v>2.082613270819567</v>
      </c>
      <c r="O11" s="8">
        <f>J21</f>
        <v>1.9913740824105848</v>
      </c>
      <c r="P11" s="8">
        <f>J36</f>
        <v>2.0197292491242509</v>
      </c>
      <c r="Q11" s="14">
        <f>AVERAGE(N11:P11)</f>
        <v>2.0312388674514676</v>
      </c>
    </row>
    <row r="12" spans="1:17" x14ac:dyDescent="0.3">
      <c r="A12" s="19" t="s">
        <v>7</v>
      </c>
      <c r="B12" s="28" t="s">
        <v>4</v>
      </c>
      <c r="C12" s="9">
        <v>26.265806754606999</v>
      </c>
      <c r="D12" s="9">
        <v>25.437276968620399</v>
      </c>
      <c r="E12" s="9">
        <v>25.851541861613697</v>
      </c>
      <c r="F12" s="9">
        <v>15.9506077874639</v>
      </c>
      <c r="G12" s="9">
        <v>15.8978988202414</v>
      </c>
      <c r="H12" s="9">
        <v>15.92425330385265</v>
      </c>
      <c r="I12" s="9">
        <f t="shared" si="0"/>
        <v>1.6234068479279515</v>
      </c>
      <c r="J12" s="25">
        <f t="shared" ref="J12" si="3">AVERAGE(I12:I13)</f>
        <v>1.6547057105655179</v>
      </c>
      <c r="L12" s="20"/>
      <c r="M12" s="13" t="s">
        <v>5</v>
      </c>
      <c r="N12" s="8">
        <f>J8</f>
        <v>2.0234572532794219</v>
      </c>
      <c r="O12" s="8">
        <f>J23</f>
        <v>2.0229380993955575</v>
      </c>
      <c r="P12" s="8">
        <f>J38</f>
        <v>2.1453587513688928</v>
      </c>
      <c r="Q12" s="14">
        <f t="shared" ref="Q12:Q16" si="4">AVERAGE(N12:P12)</f>
        <v>2.0639180346812904</v>
      </c>
    </row>
    <row r="13" spans="1:17" x14ac:dyDescent="0.3">
      <c r="A13" s="20"/>
      <c r="B13" s="29"/>
      <c r="C13" s="8">
        <v>25.699192985992202</v>
      </c>
      <c r="D13" s="8">
        <v>24.9201335834525</v>
      </c>
      <c r="E13" s="8">
        <v>25.309663284722351</v>
      </c>
      <c r="F13" s="8">
        <v>14.9935873126026</v>
      </c>
      <c r="G13" s="8">
        <v>15.029656618033799</v>
      </c>
      <c r="H13" s="8">
        <v>15.011621965318199</v>
      </c>
      <c r="I13" s="8">
        <f t="shared" si="0"/>
        <v>1.6860045732030839</v>
      </c>
      <c r="J13" s="26"/>
      <c r="L13" s="20"/>
      <c r="M13" s="13" t="s">
        <v>6</v>
      </c>
      <c r="N13" s="8">
        <f>J10</f>
        <v>2.0453174769080027</v>
      </c>
      <c r="O13" s="8">
        <f>J25</f>
        <v>2.1324288879221234</v>
      </c>
      <c r="P13" s="8">
        <f>J40</f>
        <v>2.1899280732256075</v>
      </c>
      <c r="Q13" s="14">
        <f t="shared" si="4"/>
        <v>2.1225581460185778</v>
      </c>
    </row>
    <row r="14" spans="1:17" x14ac:dyDescent="0.3">
      <c r="A14" s="20"/>
      <c r="B14" s="30" t="s">
        <v>5</v>
      </c>
      <c r="C14" s="8">
        <v>25.778418781928099</v>
      </c>
      <c r="D14" s="11"/>
      <c r="E14" s="8">
        <v>25.778418781928099</v>
      </c>
      <c r="F14" s="8">
        <v>15.3947295543656</v>
      </c>
      <c r="G14" s="8">
        <v>15.993534862925999</v>
      </c>
      <c r="H14" s="8">
        <v>15.694132208645801</v>
      </c>
      <c r="I14" s="8">
        <f t="shared" si="0"/>
        <v>1.6425513968670997</v>
      </c>
      <c r="J14" s="26">
        <f t="shared" ref="J14" si="5">AVERAGE(I14:I15)</f>
        <v>1.6701018513294814</v>
      </c>
      <c r="L14" s="20" t="s">
        <v>7</v>
      </c>
      <c r="M14" s="13" t="s">
        <v>4</v>
      </c>
      <c r="N14" s="8">
        <f>J12</f>
        <v>1.6547057105655179</v>
      </c>
      <c r="O14" s="8">
        <f>J27</f>
        <v>2.0297494623667633</v>
      </c>
      <c r="P14" s="8">
        <f>J42</f>
        <v>1.9343104033039524</v>
      </c>
      <c r="Q14" s="14">
        <f t="shared" si="4"/>
        <v>1.8729218587454113</v>
      </c>
    </row>
    <row r="15" spans="1:17" x14ac:dyDescent="0.3">
      <c r="A15" s="20"/>
      <c r="B15" s="29"/>
      <c r="C15" s="8">
        <v>27.0986932360195</v>
      </c>
      <c r="D15" s="8">
        <v>25.2525431252663</v>
      </c>
      <c r="E15" s="8">
        <v>26.1756181806429</v>
      </c>
      <c r="F15" s="8">
        <v>15.321363675132</v>
      </c>
      <c r="G15" s="8">
        <v>15.5160676308425</v>
      </c>
      <c r="H15" s="8">
        <v>15.418715652987249</v>
      </c>
      <c r="I15" s="8">
        <f t="shared" si="0"/>
        <v>1.6976523057918633</v>
      </c>
      <c r="J15" s="26"/>
      <c r="L15" s="20"/>
      <c r="M15" s="13" t="s">
        <v>5</v>
      </c>
      <c r="N15" s="8">
        <f>J14</f>
        <v>1.6701018513294814</v>
      </c>
      <c r="O15" s="8">
        <f>J29</f>
        <v>1.9696324697475147</v>
      </c>
      <c r="P15" s="8">
        <f>J44</f>
        <v>1.9328958461456698</v>
      </c>
      <c r="Q15" s="14">
        <f t="shared" si="4"/>
        <v>1.8575433890742221</v>
      </c>
    </row>
    <row r="16" spans="1:17" ht="15" thickBot="1" x14ac:dyDescent="0.35">
      <c r="A16" s="20"/>
      <c r="B16" s="30" t="s">
        <v>6</v>
      </c>
      <c r="C16" s="8">
        <v>25.743178424028098</v>
      </c>
      <c r="D16" s="8">
        <v>27.237249329197301</v>
      </c>
      <c r="E16" s="8">
        <v>26.4902138766127</v>
      </c>
      <c r="F16" s="8">
        <v>15.419332548467599</v>
      </c>
      <c r="G16" s="8">
        <v>15.262042485406999</v>
      </c>
      <c r="H16" s="8">
        <v>15.340687516937299</v>
      </c>
      <c r="I16" s="8">
        <f t="shared" si="0"/>
        <v>1.7267944378219988</v>
      </c>
      <c r="J16" s="26">
        <f t="shared" ref="J16" si="6">AVERAGE(I16:I17)</f>
        <v>1.6883727096166381</v>
      </c>
      <c r="L16" s="21"/>
      <c r="M16" s="15" t="s">
        <v>6</v>
      </c>
      <c r="N16" s="10">
        <f>J16</f>
        <v>1.6883727096166381</v>
      </c>
      <c r="O16" s="10">
        <f>J31</f>
        <v>2.0451004860746704</v>
      </c>
      <c r="P16" s="10">
        <f>J46</f>
        <v>2.0330703783224982</v>
      </c>
      <c r="Q16" s="16">
        <f t="shared" si="4"/>
        <v>1.9221811913379356</v>
      </c>
    </row>
    <row r="17" spans="1:10" ht="15" thickBot="1" x14ac:dyDescent="0.35">
      <c r="A17" s="21"/>
      <c r="B17" s="31"/>
      <c r="C17" s="12"/>
      <c r="D17" s="10">
        <v>26.2024914897512</v>
      </c>
      <c r="E17" s="10">
        <v>26.2024914897512</v>
      </c>
      <c r="F17" s="10">
        <v>15.5849543066251</v>
      </c>
      <c r="G17" s="10">
        <v>16.176585017820798</v>
      </c>
      <c r="H17" s="10">
        <v>15.880769662222949</v>
      </c>
      <c r="I17" s="10">
        <f t="shared" si="0"/>
        <v>1.6499509814112776</v>
      </c>
      <c r="J17" s="27"/>
    </row>
    <row r="18" spans="1:10" x14ac:dyDescent="0.3">
      <c r="A18" s="33" t="s">
        <v>14</v>
      </c>
      <c r="B18" s="33"/>
      <c r="C18" s="33"/>
      <c r="D18" s="33"/>
      <c r="E18" s="33"/>
      <c r="F18" s="33"/>
      <c r="G18" s="33"/>
      <c r="H18" s="33"/>
      <c r="I18" s="33"/>
      <c r="J18" s="33"/>
    </row>
    <row r="19" spans="1:10" x14ac:dyDescent="0.3">
      <c r="C19" s="34" t="s">
        <v>0</v>
      </c>
      <c r="D19" s="34"/>
      <c r="E19" s="34"/>
      <c r="F19" s="34" t="s">
        <v>1</v>
      </c>
      <c r="G19" s="34"/>
      <c r="H19" s="34"/>
    </row>
    <row r="20" spans="1:10" ht="15" thickBot="1" x14ac:dyDescent="0.35">
      <c r="C20" s="1" t="s">
        <v>8</v>
      </c>
      <c r="D20" s="1" t="s">
        <v>9</v>
      </c>
      <c r="E20" s="1" t="s">
        <v>2</v>
      </c>
      <c r="F20" s="1" t="s">
        <v>8</v>
      </c>
      <c r="G20" s="1" t="s">
        <v>9</v>
      </c>
      <c r="H20" s="1" t="s">
        <v>2</v>
      </c>
      <c r="I20" s="1" t="s">
        <v>10</v>
      </c>
      <c r="J20" s="1" t="s">
        <v>2</v>
      </c>
    </row>
    <row r="21" spans="1:10" x14ac:dyDescent="0.3">
      <c r="A21" s="19" t="s">
        <v>3</v>
      </c>
      <c r="B21" s="28" t="s">
        <v>4</v>
      </c>
      <c r="C21" s="9">
        <v>28.682135607107799</v>
      </c>
      <c r="D21" s="9">
        <v>30.417470455655302</v>
      </c>
      <c r="E21" s="9">
        <v>29.549803031381551</v>
      </c>
      <c r="F21" s="9">
        <v>14.8474948054963</v>
      </c>
      <c r="G21" s="9">
        <v>14.899079783334001</v>
      </c>
      <c r="H21" s="9">
        <v>14.87328729441515</v>
      </c>
      <c r="I21" s="9">
        <f>E21/H21</f>
        <v>1.9867701367186905</v>
      </c>
      <c r="J21" s="25">
        <f>AVERAGE(I21:I22)</f>
        <v>1.9913740824105848</v>
      </c>
    </row>
    <row r="22" spans="1:10" x14ac:dyDescent="0.3">
      <c r="A22" s="20"/>
      <c r="B22" s="29"/>
      <c r="C22" s="8">
        <v>30.950224945882798</v>
      </c>
      <c r="D22" s="8">
        <v>30.506328980795601</v>
      </c>
      <c r="E22" s="8">
        <v>30.728276963339198</v>
      </c>
      <c r="F22" s="8">
        <v>15.4577652545665</v>
      </c>
      <c r="G22" s="8">
        <v>15.3324303595122</v>
      </c>
      <c r="H22" s="8">
        <v>15.395097807039349</v>
      </c>
      <c r="I22" s="8">
        <f t="shared" ref="I22:I32" si="7">E22/H22</f>
        <v>1.995978028102479</v>
      </c>
      <c r="J22" s="26"/>
    </row>
    <row r="23" spans="1:10" x14ac:dyDescent="0.3">
      <c r="A23" s="20"/>
      <c r="B23" s="30" t="s">
        <v>5</v>
      </c>
      <c r="C23" s="8">
        <v>29.520256756050699</v>
      </c>
      <c r="D23" s="8">
        <v>29.699921180534499</v>
      </c>
      <c r="E23" s="8">
        <v>29.610088968292601</v>
      </c>
      <c r="F23" s="8">
        <v>14.64090956715</v>
      </c>
      <c r="G23" s="8">
        <v>14.7588379005247</v>
      </c>
      <c r="H23" s="8">
        <v>14.69987373383735</v>
      </c>
      <c r="I23" s="8">
        <f t="shared" si="7"/>
        <v>2.0143090685285086</v>
      </c>
      <c r="J23" s="26">
        <f t="shared" ref="J23" si="8">AVERAGE(I23:I24)</f>
        <v>2.0229380993955575</v>
      </c>
    </row>
    <row r="24" spans="1:10" x14ac:dyDescent="0.3">
      <c r="A24" s="20"/>
      <c r="B24" s="29"/>
      <c r="C24" s="8">
        <v>30.906676597377299</v>
      </c>
      <c r="D24" s="8">
        <v>29.7613587874377</v>
      </c>
      <c r="E24" s="8">
        <v>30.3340176924075</v>
      </c>
      <c r="F24" s="8">
        <v>14.8297954185403</v>
      </c>
      <c r="G24" s="8">
        <v>15.03288274803</v>
      </c>
      <c r="H24" s="8">
        <v>14.931339083285149</v>
      </c>
      <c r="I24" s="8">
        <f t="shared" si="7"/>
        <v>2.0315671302626059</v>
      </c>
      <c r="J24" s="26"/>
    </row>
    <row r="25" spans="1:10" x14ac:dyDescent="0.3">
      <c r="A25" s="20"/>
      <c r="B25" s="30" t="s">
        <v>6</v>
      </c>
      <c r="C25" s="8">
        <v>32.281034154018698</v>
      </c>
      <c r="D25" s="8">
        <v>31.453506020712499</v>
      </c>
      <c r="E25" s="8">
        <v>31.867270087365597</v>
      </c>
      <c r="F25" s="8">
        <v>14.498184369452099</v>
      </c>
      <c r="G25" s="8">
        <v>14.241276784576</v>
      </c>
      <c r="H25" s="8">
        <v>14.36973057701405</v>
      </c>
      <c r="I25" s="8">
        <f t="shared" si="7"/>
        <v>2.2176664980998857</v>
      </c>
      <c r="J25" s="26">
        <f t="shared" ref="J25" si="9">AVERAGE(I25:I26)</f>
        <v>2.1324288879221234</v>
      </c>
    </row>
    <row r="26" spans="1:10" ht="15" thickBot="1" x14ac:dyDescent="0.35">
      <c r="A26" s="21"/>
      <c r="B26" s="31"/>
      <c r="C26" s="10">
        <v>30.224969182172298</v>
      </c>
      <c r="D26" s="10">
        <v>29.700661542152599</v>
      </c>
      <c r="E26" s="10">
        <v>29.962815362162448</v>
      </c>
      <c r="F26" s="10">
        <v>14.603477162260999</v>
      </c>
      <c r="G26" s="10">
        <v>14.6686438045459</v>
      </c>
      <c r="H26" s="10">
        <v>14.636060483403449</v>
      </c>
      <c r="I26" s="10">
        <f t="shared" si="7"/>
        <v>2.0471912777443606</v>
      </c>
      <c r="J26" s="27"/>
    </row>
    <row r="27" spans="1:10" x14ac:dyDescent="0.3">
      <c r="A27" s="19" t="s">
        <v>7</v>
      </c>
      <c r="B27" s="28" t="s">
        <v>4</v>
      </c>
      <c r="C27" s="9">
        <v>29.462814006999899</v>
      </c>
      <c r="D27" s="9">
        <v>29.282039427830799</v>
      </c>
      <c r="E27" s="9">
        <v>29.372426717415351</v>
      </c>
      <c r="F27" s="9">
        <v>14.2544230670171</v>
      </c>
      <c r="G27" s="9">
        <v>14.1774270975436</v>
      </c>
      <c r="H27" s="9">
        <v>14.21592508228035</v>
      </c>
      <c r="I27" s="9">
        <f t="shared" si="7"/>
        <v>2.0661635839673247</v>
      </c>
      <c r="J27" s="25">
        <f t="shared" ref="J27" si="10">AVERAGE(I27:I28)</f>
        <v>2.0297494623667633</v>
      </c>
    </row>
    <row r="28" spans="1:10" x14ac:dyDescent="0.3">
      <c r="A28" s="20"/>
      <c r="B28" s="29"/>
      <c r="C28" s="8">
        <v>27.196595965973799</v>
      </c>
      <c r="D28" s="8">
        <v>27.376229467885999</v>
      </c>
      <c r="E28" s="8">
        <v>27.286412716929899</v>
      </c>
      <c r="F28" s="8">
        <v>13.5102817140437</v>
      </c>
      <c r="G28" s="8">
        <v>13.867362336998401</v>
      </c>
      <c r="H28" s="8">
        <v>13.68882202552105</v>
      </c>
      <c r="I28" s="8">
        <f t="shared" si="7"/>
        <v>1.9933353407662024</v>
      </c>
      <c r="J28" s="26"/>
    </row>
    <row r="29" spans="1:10" x14ac:dyDescent="0.3">
      <c r="A29" s="20"/>
      <c r="B29" s="30" t="s">
        <v>5</v>
      </c>
      <c r="C29" s="8">
        <v>28.801879078640699</v>
      </c>
      <c r="D29" s="8">
        <v>27.6966524296007</v>
      </c>
      <c r="E29" s="8">
        <v>28.2492657541207</v>
      </c>
      <c r="F29" s="8">
        <v>13.6398192273377</v>
      </c>
      <c r="G29" s="8">
        <v>13.7739456397137</v>
      </c>
      <c r="H29" s="8">
        <v>13.706882433525699</v>
      </c>
      <c r="I29" s="8">
        <f t="shared" si="7"/>
        <v>2.0609548444820498</v>
      </c>
      <c r="J29" s="26">
        <f t="shared" ref="J29" si="11">AVERAGE(I29:I30)</f>
        <v>1.9696324697475147</v>
      </c>
    </row>
    <row r="30" spans="1:10" x14ac:dyDescent="0.3">
      <c r="A30" s="20"/>
      <c r="B30" s="29"/>
      <c r="C30" s="8">
        <v>26.586998237801001</v>
      </c>
      <c r="D30" s="8">
        <v>26.509530933035599</v>
      </c>
      <c r="E30" s="8">
        <v>26.548264585418302</v>
      </c>
      <c r="F30" s="8">
        <v>14.1507260496873</v>
      </c>
      <c r="G30" s="8">
        <v>14.117518534532801</v>
      </c>
      <c r="H30" s="8">
        <v>14.13412229211005</v>
      </c>
      <c r="I30" s="8">
        <f t="shared" si="7"/>
        <v>1.8783100950129796</v>
      </c>
      <c r="J30" s="26"/>
    </row>
    <row r="31" spans="1:10" x14ac:dyDescent="0.3">
      <c r="A31" s="20"/>
      <c r="B31" s="30" t="s">
        <v>6</v>
      </c>
      <c r="C31" s="8">
        <v>28.713956599299198</v>
      </c>
      <c r="D31" s="8">
        <v>27.859354153347699</v>
      </c>
      <c r="E31" s="8">
        <v>28.286655376323449</v>
      </c>
      <c r="F31" s="8">
        <v>14.0703887064554</v>
      </c>
      <c r="G31" s="8">
        <v>13.9912604255557</v>
      </c>
      <c r="H31" s="8">
        <v>14.030824566005549</v>
      </c>
      <c r="I31" s="8">
        <f t="shared" si="7"/>
        <v>2.0160365660089217</v>
      </c>
      <c r="J31" s="26">
        <f t="shared" ref="J31" si="12">AVERAGE(I31:I32)</f>
        <v>2.0451004860746704</v>
      </c>
    </row>
    <row r="32" spans="1:10" ht="15" thickBot="1" x14ac:dyDescent="0.35">
      <c r="A32" s="21"/>
      <c r="B32" s="31"/>
      <c r="C32" s="10">
        <v>29.085573324456799</v>
      </c>
      <c r="D32" s="10">
        <v>29.221041911104901</v>
      </c>
      <c r="E32" s="10">
        <v>29.15330761778085</v>
      </c>
      <c r="F32" s="10">
        <v>14.085884377428</v>
      </c>
      <c r="G32" s="10">
        <v>14.0250093699283</v>
      </c>
      <c r="H32" s="10">
        <v>14.05544687367815</v>
      </c>
      <c r="I32" s="10">
        <f t="shared" si="7"/>
        <v>2.0741644061404192</v>
      </c>
      <c r="J32" s="27"/>
    </row>
    <row r="33" spans="1:10" x14ac:dyDescent="0.3">
      <c r="A33" s="42" t="s">
        <v>13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 x14ac:dyDescent="0.3">
      <c r="A34" s="4"/>
      <c r="C34" s="34" t="s">
        <v>0</v>
      </c>
      <c r="D34" s="34"/>
      <c r="E34" s="34"/>
      <c r="F34" s="34" t="s">
        <v>1</v>
      </c>
      <c r="G34" s="34"/>
      <c r="H34" s="34"/>
      <c r="J34" s="4"/>
    </row>
    <row r="35" spans="1:10" ht="15" thickBot="1" x14ac:dyDescent="0.35">
      <c r="C35" s="1" t="s">
        <v>8</v>
      </c>
      <c r="D35" s="1" t="s">
        <v>9</v>
      </c>
      <c r="E35" s="1" t="s">
        <v>2</v>
      </c>
      <c r="F35" s="1" t="s">
        <v>8</v>
      </c>
      <c r="G35" s="1" t="s">
        <v>9</v>
      </c>
      <c r="H35" s="1" t="s">
        <v>2</v>
      </c>
      <c r="I35" s="1" t="s">
        <v>10</v>
      </c>
      <c r="J35" s="1" t="s">
        <v>2</v>
      </c>
    </row>
    <row r="36" spans="1:10" x14ac:dyDescent="0.3">
      <c r="A36" s="19" t="s">
        <v>3</v>
      </c>
      <c r="B36" s="28" t="s">
        <v>4</v>
      </c>
      <c r="C36" s="9">
        <v>28.549828948521199</v>
      </c>
      <c r="D36" s="9">
        <v>28.52393593016</v>
      </c>
      <c r="E36" s="9">
        <v>28.536882439340602</v>
      </c>
      <c r="F36" s="9">
        <v>14.7607873710622</v>
      </c>
      <c r="G36" s="9">
        <v>14.8242132572258</v>
      </c>
      <c r="H36" s="9">
        <v>14.792500314144</v>
      </c>
      <c r="I36" s="9">
        <f>E36/H36</f>
        <v>1.9291452988549049</v>
      </c>
      <c r="J36" s="25">
        <f>AVERAGE(I36:I37)</f>
        <v>2.0197292491242509</v>
      </c>
    </row>
    <row r="37" spans="1:10" x14ac:dyDescent="0.3">
      <c r="A37" s="20"/>
      <c r="B37" s="29"/>
      <c r="C37" s="8">
        <v>30.056910365240299</v>
      </c>
      <c r="D37" s="8">
        <v>28.6938237777673</v>
      </c>
      <c r="E37" s="8">
        <v>29.375367071503799</v>
      </c>
      <c r="F37" s="8">
        <v>13.9798830286481</v>
      </c>
      <c r="G37" s="8">
        <v>13.859934378497799</v>
      </c>
      <c r="H37" s="8">
        <v>13.919908703572951</v>
      </c>
      <c r="I37" s="8">
        <f t="shared" ref="I37:I47" si="13">E37/H37</f>
        <v>2.1103131993935964</v>
      </c>
      <c r="J37" s="26"/>
    </row>
    <row r="38" spans="1:10" x14ac:dyDescent="0.3">
      <c r="A38" s="20"/>
      <c r="B38" s="30" t="s">
        <v>5</v>
      </c>
      <c r="C38" s="8">
        <v>28.987970979112301</v>
      </c>
      <c r="D38" s="8">
        <v>30.275737245079199</v>
      </c>
      <c r="E38" s="8">
        <v>29.631854112095752</v>
      </c>
      <c r="F38" s="8">
        <v>13.7608010131333</v>
      </c>
      <c r="G38" s="8">
        <v>13.7781758348158</v>
      </c>
      <c r="H38" s="8">
        <v>13.769488423974551</v>
      </c>
      <c r="I38" s="8">
        <f t="shared" si="13"/>
        <v>2.1519938286525351</v>
      </c>
      <c r="J38" s="26">
        <f t="shared" ref="J38" si="14">AVERAGE(I38:I39)</f>
        <v>2.1453587513688928</v>
      </c>
    </row>
    <row r="39" spans="1:10" x14ac:dyDescent="0.3">
      <c r="A39" s="20"/>
      <c r="B39" s="29"/>
      <c r="C39" s="8">
        <v>29.986933529992498</v>
      </c>
      <c r="D39" s="8">
        <v>29.390307686887802</v>
      </c>
      <c r="E39" s="8">
        <v>29.68862060844015</v>
      </c>
      <c r="F39" s="8">
        <v>13.8575652848763</v>
      </c>
      <c r="G39" s="8">
        <v>13.905367316632599</v>
      </c>
      <c r="H39" s="8">
        <v>13.88146630075445</v>
      </c>
      <c r="I39" s="8">
        <f t="shared" si="13"/>
        <v>2.1387236740852504</v>
      </c>
      <c r="J39" s="26"/>
    </row>
    <row r="40" spans="1:10" x14ac:dyDescent="0.3">
      <c r="A40" s="20"/>
      <c r="B40" s="30" t="s">
        <v>6</v>
      </c>
      <c r="C40" s="8">
        <v>30.476145293864398</v>
      </c>
      <c r="D40" s="8">
        <v>29.434015269479801</v>
      </c>
      <c r="E40" s="8">
        <v>29.9550802816721</v>
      </c>
      <c r="F40" s="8">
        <v>13.871235412071901</v>
      </c>
      <c r="G40" s="8">
        <v>13.968708802384</v>
      </c>
      <c r="H40" s="8">
        <v>13.919972107227951</v>
      </c>
      <c r="I40" s="8">
        <f t="shared" si="13"/>
        <v>2.1519497345916312</v>
      </c>
      <c r="J40" s="26">
        <f t="shared" ref="J40" si="15">AVERAGE(I40:I41)</f>
        <v>2.1899280732256075</v>
      </c>
    </row>
    <row r="41" spans="1:10" ht="15" thickBot="1" x14ac:dyDescent="0.35">
      <c r="A41" s="21"/>
      <c r="B41" s="31"/>
      <c r="C41" s="10">
        <v>31.248128747741699</v>
      </c>
      <c r="D41" s="10">
        <v>30.598285110323001</v>
      </c>
      <c r="E41" s="10">
        <v>30.92320692903235</v>
      </c>
      <c r="F41" s="10">
        <v>13.953213052466699</v>
      </c>
      <c r="G41" s="10">
        <v>13.8066665945616</v>
      </c>
      <c r="H41" s="10">
        <v>13.87993982351415</v>
      </c>
      <c r="I41" s="10">
        <f t="shared" si="13"/>
        <v>2.2279064118595837</v>
      </c>
      <c r="J41" s="27"/>
    </row>
    <row r="42" spans="1:10" x14ac:dyDescent="0.3">
      <c r="A42" s="22" t="s">
        <v>7</v>
      </c>
      <c r="B42" s="28" t="s">
        <v>4</v>
      </c>
      <c r="C42" s="7">
        <v>27.121595046324</v>
      </c>
      <c r="D42" s="7">
        <v>27.240098765137301</v>
      </c>
      <c r="E42" s="7">
        <v>27.18084690573065</v>
      </c>
      <c r="F42" s="7">
        <v>13.359307563030301</v>
      </c>
      <c r="G42" s="7">
        <v>15.5675771970232</v>
      </c>
      <c r="H42" s="7">
        <v>14.46344238002675</v>
      </c>
      <c r="I42" s="7">
        <f t="shared" si="13"/>
        <v>1.8792792332250008</v>
      </c>
      <c r="J42" s="44">
        <f t="shared" ref="J42" si="16">AVERAGE(I42:I43)</f>
        <v>1.9343104033039524</v>
      </c>
    </row>
    <row r="43" spans="1:10" x14ac:dyDescent="0.3">
      <c r="A43" s="23"/>
      <c r="B43" s="29"/>
      <c r="C43" s="5">
        <v>28.5851925186556</v>
      </c>
      <c r="D43" s="5">
        <v>29.002596416020101</v>
      </c>
      <c r="E43" s="5">
        <v>28.79389446733785</v>
      </c>
      <c r="F43" s="5">
        <v>14.3005918097364</v>
      </c>
      <c r="G43" s="5">
        <v>14.647573605992999</v>
      </c>
      <c r="H43" s="5">
        <v>14.474082707864699</v>
      </c>
      <c r="I43" s="5">
        <f t="shared" si="13"/>
        <v>1.9893415733829043</v>
      </c>
      <c r="J43" s="32"/>
    </row>
    <row r="44" spans="1:10" x14ac:dyDescent="0.3">
      <c r="A44" s="23"/>
      <c r="B44" s="30" t="s">
        <v>5</v>
      </c>
      <c r="C44" s="5">
        <v>27.1242140284408</v>
      </c>
      <c r="D44" s="5">
        <v>27.786167584753699</v>
      </c>
      <c r="E44" s="5">
        <v>27.455190806597251</v>
      </c>
      <c r="F44" s="5">
        <v>14.2697283062857</v>
      </c>
      <c r="G44" s="5">
        <v>13.806689303729</v>
      </c>
      <c r="H44" s="5">
        <v>14.038208805007351</v>
      </c>
      <c r="I44" s="5">
        <f t="shared" si="13"/>
        <v>1.9557474310258256</v>
      </c>
      <c r="J44" s="32">
        <f t="shared" ref="J44" si="17">AVERAGE(I44:I45)</f>
        <v>1.9328958461456698</v>
      </c>
    </row>
    <row r="45" spans="1:10" x14ac:dyDescent="0.3">
      <c r="A45" s="23"/>
      <c r="B45" s="29"/>
      <c r="C45" s="5">
        <v>27.422807131886302</v>
      </c>
      <c r="D45" s="5">
        <v>27.595086391247001</v>
      </c>
      <c r="E45" s="5">
        <v>27.508946761566651</v>
      </c>
      <c r="F45" s="5">
        <v>14.482287715698501</v>
      </c>
      <c r="G45" s="5">
        <v>14.32222463978</v>
      </c>
      <c r="H45" s="5">
        <v>14.40225617773925</v>
      </c>
      <c r="I45" s="5">
        <f t="shared" si="13"/>
        <v>1.910044261265514</v>
      </c>
      <c r="J45" s="32"/>
    </row>
    <row r="46" spans="1:10" x14ac:dyDescent="0.3">
      <c r="A46" s="23"/>
      <c r="B46" s="30" t="s">
        <v>6</v>
      </c>
      <c r="C46" s="5">
        <v>26.543558019581798</v>
      </c>
      <c r="D46" s="5">
        <v>29.0640400753093</v>
      </c>
      <c r="E46" s="5">
        <v>27.803799047445551</v>
      </c>
      <c r="F46" s="5">
        <v>14.133144745653</v>
      </c>
      <c r="G46" s="5">
        <v>13.455875944662001</v>
      </c>
      <c r="H46" s="5">
        <v>13.794510345157502</v>
      </c>
      <c r="I46" s="5">
        <f t="shared" si="13"/>
        <v>2.0155698427676301</v>
      </c>
      <c r="J46" s="32">
        <f t="shared" ref="J46" si="18">AVERAGE(I46:I47)</f>
        <v>2.0330703783224982</v>
      </c>
    </row>
    <row r="47" spans="1:10" ht="15" thickBot="1" x14ac:dyDescent="0.35">
      <c r="A47" s="24"/>
      <c r="B47" s="31"/>
      <c r="C47" s="6">
        <v>28.027616435751899</v>
      </c>
      <c r="D47" s="6">
        <v>27.061317746112898</v>
      </c>
      <c r="E47" s="6">
        <v>27.5444670909324</v>
      </c>
      <c r="F47" s="6">
        <v>13.450626633535601</v>
      </c>
      <c r="G47" s="6">
        <v>13.4145423830768</v>
      </c>
      <c r="H47" s="6">
        <v>13.432584508306199</v>
      </c>
      <c r="I47" s="6">
        <f t="shared" si="13"/>
        <v>2.0505709138773667</v>
      </c>
      <c r="J47" s="43"/>
    </row>
    <row r="50" spans="1:2" s="3" customFormat="1" x14ac:dyDescent="0.3">
      <c r="A50" s="3" t="s">
        <v>0</v>
      </c>
      <c r="B50" s="3" t="s">
        <v>11</v>
      </c>
    </row>
    <row r="51" spans="1:2" s="3" customFormat="1" x14ac:dyDescent="0.3">
      <c r="A51" s="3" t="s">
        <v>1</v>
      </c>
      <c r="B51" s="3" t="s">
        <v>12</v>
      </c>
    </row>
  </sheetData>
  <mergeCells count="55">
    <mergeCell ref="J46:J47"/>
    <mergeCell ref="J40:J41"/>
    <mergeCell ref="J42:J43"/>
    <mergeCell ref="L11:L13"/>
    <mergeCell ref="L14:L16"/>
    <mergeCell ref="J29:J30"/>
    <mergeCell ref="J31:J32"/>
    <mergeCell ref="L9:M10"/>
    <mergeCell ref="B40:B41"/>
    <mergeCell ref="B42:B43"/>
    <mergeCell ref="N9:Q9"/>
    <mergeCell ref="B27:B28"/>
    <mergeCell ref="B31:B32"/>
    <mergeCell ref="B36:B37"/>
    <mergeCell ref="B38:B39"/>
    <mergeCell ref="A33:J33"/>
    <mergeCell ref="A18:J18"/>
    <mergeCell ref="C34:E34"/>
    <mergeCell ref="F34:H34"/>
    <mergeCell ref="J36:J37"/>
    <mergeCell ref="J38:J39"/>
    <mergeCell ref="A27:A32"/>
    <mergeCell ref="J27:J28"/>
    <mergeCell ref="B29:B30"/>
    <mergeCell ref="A3:J3"/>
    <mergeCell ref="B8:B9"/>
    <mergeCell ref="B12:B13"/>
    <mergeCell ref="B16:B17"/>
    <mergeCell ref="B23:B24"/>
    <mergeCell ref="C19:E19"/>
    <mergeCell ref="F19:H19"/>
    <mergeCell ref="A21:A26"/>
    <mergeCell ref="J21:J22"/>
    <mergeCell ref="J23:J24"/>
    <mergeCell ref="J25:J26"/>
    <mergeCell ref="B21:B22"/>
    <mergeCell ref="B25:B26"/>
    <mergeCell ref="C4:E4"/>
    <mergeCell ref="F4:H4"/>
    <mergeCell ref="A36:A41"/>
    <mergeCell ref="A42:A47"/>
    <mergeCell ref="J6:J7"/>
    <mergeCell ref="J8:J9"/>
    <mergeCell ref="J10:J11"/>
    <mergeCell ref="J12:J13"/>
    <mergeCell ref="J14:J15"/>
    <mergeCell ref="J16:J17"/>
    <mergeCell ref="A6:A11"/>
    <mergeCell ref="A12:A17"/>
    <mergeCell ref="B6:B7"/>
    <mergeCell ref="B10:B11"/>
    <mergeCell ref="B14:B15"/>
    <mergeCell ref="B44:B45"/>
    <mergeCell ref="B46:B47"/>
    <mergeCell ref="J44:J4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EA5EC-0C98-4098-98B7-66F01AD71250}">
  <dimension ref="A1:W32"/>
  <sheetViews>
    <sheetView zoomScale="70" zoomScaleNormal="70" zoomScalePageLayoutView="70" workbookViewId="0">
      <selection activeCell="D26" sqref="D26:G26"/>
    </sheetView>
  </sheetViews>
  <sheetFormatPr defaultColWidth="12.44140625" defaultRowHeight="15.6" x14ac:dyDescent="0.3"/>
  <cols>
    <col min="1" max="1" width="17.44140625" style="56" bestFit="1" customWidth="1"/>
    <col min="2" max="2" width="17.33203125" style="56" bestFit="1" customWidth="1"/>
    <col min="3" max="3" width="16.6640625" style="56" bestFit="1" customWidth="1"/>
    <col min="4" max="6" width="12.44140625" style="56"/>
    <col min="7" max="7" width="12.44140625" style="57"/>
    <col min="8" max="10" width="12.44140625" style="56"/>
    <col min="11" max="11" width="12.44140625" style="57"/>
    <col min="12" max="16384" width="12.44140625" style="56"/>
  </cols>
  <sheetData>
    <row r="1" spans="1:23" ht="16.2" thickBot="1" x14ac:dyDescent="0.35">
      <c r="L1" s="57"/>
      <c r="M1" s="57"/>
      <c r="N1" s="57"/>
      <c r="R1" s="57"/>
      <c r="S1" s="57"/>
      <c r="T1" s="58"/>
      <c r="U1" s="57"/>
      <c r="V1" s="58"/>
      <c r="W1" s="59"/>
    </row>
    <row r="2" spans="1:23" ht="15.9" customHeight="1" x14ac:dyDescent="0.3">
      <c r="A2" s="117" t="s">
        <v>54</v>
      </c>
      <c r="B2" s="60" t="s">
        <v>20</v>
      </c>
      <c r="C2" s="60" t="s">
        <v>21</v>
      </c>
      <c r="D2" s="61" t="s">
        <v>22</v>
      </c>
      <c r="E2" s="61"/>
      <c r="F2" s="61"/>
      <c r="G2" s="62" t="s">
        <v>23</v>
      </c>
      <c r="H2" s="61" t="s">
        <v>22</v>
      </c>
      <c r="I2" s="61"/>
      <c r="J2" s="61"/>
      <c r="K2" s="62" t="s">
        <v>23</v>
      </c>
      <c r="L2" s="63" t="s">
        <v>24</v>
      </c>
      <c r="M2" s="63"/>
      <c r="N2" s="63"/>
      <c r="O2" s="63"/>
      <c r="P2" s="63"/>
      <c r="Q2" s="63"/>
      <c r="R2" s="64" t="s">
        <v>25</v>
      </c>
      <c r="S2" s="64"/>
      <c r="T2" s="64"/>
      <c r="U2" s="61" t="s">
        <v>26</v>
      </c>
      <c r="V2" s="61"/>
      <c r="W2" s="65"/>
    </row>
    <row r="3" spans="1:23" ht="16.2" thickBot="1" x14ac:dyDescent="0.35">
      <c r="A3" s="117"/>
      <c r="B3" s="66"/>
      <c r="C3" s="66"/>
      <c r="D3" s="67" t="s">
        <v>27</v>
      </c>
      <c r="E3" s="67"/>
      <c r="F3" s="67"/>
      <c r="G3" s="67"/>
      <c r="H3" s="68" t="s">
        <v>28</v>
      </c>
      <c r="I3" s="68"/>
      <c r="J3" s="68"/>
      <c r="K3" s="68"/>
      <c r="L3" s="69" t="s">
        <v>27</v>
      </c>
      <c r="M3" s="69"/>
      <c r="N3" s="69"/>
      <c r="O3" s="68" t="s">
        <v>28</v>
      </c>
      <c r="P3" s="68"/>
      <c r="Q3" s="68"/>
      <c r="R3" s="70" t="s">
        <v>27</v>
      </c>
      <c r="S3" s="71" t="s">
        <v>28</v>
      </c>
      <c r="T3" s="72" t="s">
        <v>29</v>
      </c>
      <c r="U3" s="72" t="s">
        <v>27</v>
      </c>
      <c r="V3" s="72" t="s">
        <v>28</v>
      </c>
      <c r="W3" s="73" t="s">
        <v>29</v>
      </c>
    </row>
    <row r="4" spans="1:23" x14ac:dyDescent="0.3">
      <c r="A4" s="74" t="s">
        <v>55</v>
      </c>
      <c r="B4" s="75">
        <v>100</v>
      </c>
      <c r="C4" s="75">
        <f t="shared" ref="C4:C24" si="0">LOG10(B4)</f>
        <v>2</v>
      </c>
      <c r="D4" s="76">
        <v>73</v>
      </c>
      <c r="E4" s="76">
        <v>63</v>
      </c>
      <c r="F4" s="76">
        <v>68</v>
      </c>
      <c r="G4" s="77">
        <f t="shared" ref="G4:G24" si="1">AVERAGE(D4:F4)</f>
        <v>68</v>
      </c>
      <c r="H4" s="78"/>
      <c r="I4" s="78">
        <v>68</v>
      </c>
      <c r="J4" s="78">
        <v>66</v>
      </c>
      <c r="K4" s="79">
        <f t="shared" ref="K4:K24" si="2">AVERAGE(H4:J4)</f>
        <v>67</v>
      </c>
      <c r="L4" s="77">
        <f t="shared" ref="L4:N19" si="3">(($G$27-D4)/$G$27)*100</f>
        <v>2.3411371237458192</v>
      </c>
      <c r="M4" s="77">
        <f t="shared" si="3"/>
        <v>15.719063545150503</v>
      </c>
      <c r="N4" s="77">
        <f t="shared" si="3"/>
        <v>9.0301003344481607</v>
      </c>
      <c r="O4" s="79">
        <f t="shared" ref="O4:Q10" si="4">(($K$27-H4)/$K$27)*100</f>
        <v>100</v>
      </c>
      <c r="P4" s="79">
        <f t="shared" si="4"/>
        <v>14.465408805031446</v>
      </c>
      <c r="Q4" s="79">
        <f t="shared" si="4"/>
        <v>16.981132075471699</v>
      </c>
      <c r="R4" s="77">
        <f t="shared" ref="R4:R24" si="5">AVERAGE(L4:N4)</f>
        <v>9.0301003344481607</v>
      </c>
      <c r="S4" s="79">
        <f t="shared" ref="S4:S24" si="6">AVERAGE(O4:Q4)</f>
        <v>43.815513626834381</v>
      </c>
      <c r="T4" s="80">
        <f t="shared" ref="T4:T24" si="7">AVERAGE(R4:S4)</f>
        <v>26.422806980641269</v>
      </c>
      <c r="U4" s="81">
        <f t="shared" ref="U4:U24" si="8">STDEVA(L4:N4)</f>
        <v>6.688963210702342</v>
      </c>
      <c r="V4" s="82">
        <f t="shared" ref="V4:V24" si="9">STDEV(O4:Q4)</f>
        <v>48.673448590126462</v>
      </c>
      <c r="W4" s="83">
        <f>STDEV(U4:V4)</f>
        <v>29.687514316418262</v>
      </c>
    </row>
    <row r="5" spans="1:23" x14ac:dyDescent="0.3">
      <c r="A5" s="84"/>
      <c r="B5" s="85">
        <f t="shared" ref="B5:B10" si="10">B4/4</f>
        <v>25</v>
      </c>
      <c r="C5" s="85">
        <f t="shared" si="0"/>
        <v>1.3979400086720377</v>
      </c>
      <c r="D5" s="86">
        <v>66</v>
      </c>
      <c r="E5" s="86">
        <v>49</v>
      </c>
      <c r="F5" s="86">
        <v>58</v>
      </c>
      <c r="G5" s="87">
        <f t="shared" si="1"/>
        <v>57.666666666666664</v>
      </c>
      <c r="H5" s="88">
        <v>68</v>
      </c>
      <c r="I5" s="88">
        <v>65</v>
      </c>
      <c r="J5" s="88">
        <v>68</v>
      </c>
      <c r="K5" s="89">
        <f t="shared" si="2"/>
        <v>67</v>
      </c>
      <c r="L5" s="87">
        <f t="shared" si="3"/>
        <v>11.705685618729097</v>
      </c>
      <c r="M5" s="87">
        <f t="shared" si="3"/>
        <v>34.448160535117054</v>
      </c>
      <c r="N5" s="87">
        <f t="shared" si="3"/>
        <v>22.408026755852841</v>
      </c>
      <c r="O5" s="89">
        <f t="shared" si="4"/>
        <v>14.465408805031446</v>
      </c>
      <c r="P5" s="89">
        <f t="shared" si="4"/>
        <v>18.238993710691823</v>
      </c>
      <c r="Q5" s="89">
        <f t="shared" si="4"/>
        <v>14.465408805031446</v>
      </c>
      <c r="R5" s="87">
        <f t="shared" si="5"/>
        <v>22.853957636566332</v>
      </c>
      <c r="S5" s="89">
        <f t="shared" si="6"/>
        <v>15.72327044025157</v>
      </c>
      <c r="T5" s="90">
        <f t="shared" si="7"/>
        <v>19.288614038408952</v>
      </c>
      <c r="U5" s="91">
        <f t="shared" si="8"/>
        <v>11.377793375405197</v>
      </c>
      <c r="V5" s="92">
        <f t="shared" si="9"/>
        <v>2.1786802610929583</v>
      </c>
      <c r="W5" s="93">
        <f t="shared" ref="W5:W10" si="11">STDEV(U5:V5)</f>
        <v>6.5047552640322843</v>
      </c>
    </row>
    <row r="6" spans="1:23" x14ac:dyDescent="0.3">
      <c r="A6" s="84"/>
      <c r="B6" s="85">
        <f t="shared" si="10"/>
        <v>6.25</v>
      </c>
      <c r="C6" s="85">
        <f t="shared" si="0"/>
        <v>0.79588001734407521</v>
      </c>
      <c r="D6" s="86">
        <v>50</v>
      </c>
      <c r="E6" s="86">
        <v>61</v>
      </c>
      <c r="F6" s="86">
        <v>58</v>
      </c>
      <c r="G6" s="87">
        <f t="shared" si="1"/>
        <v>56.333333333333336</v>
      </c>
      <c r="H6" s="88">
        <v>82</v>
      </c>
      <c r="I6" s="88">
        <v>60</v>
      </c>
      <c r="J6" s="88">
        <v>74</v>
      </c>
      <c r="K6" s="89">
        <f t="shared" si="2"/>
        <v>72</v>
      </c>
      <c r="L6" s="87">
        <f t="shared" si="3"/>
        <v>33.110367892976591</v>
      </c>
      <c r="M6" s="87">
        <f t="shared" si="3"/>
        <v>18.394648829431436</v>
      </c>
      <c r="N6" s="87">
        <f t="shared" si="3"/>
        <v>22.408026755852841</v>
      </c>
      <c r="O6" s="89">
        <f t="shared" si="4"/>
        <v>-3.1446540880503147</v>
      </c>
      <c r="P6" s="89">
        <f t="shared" si="4"/>
        <v>24.528301886792452</v>
      </c>
      <c r="Q6" s="89">
        <f t="shared" si="4"/>
        <v>6.9182389937106921</v>
      </c>
      <c r="R6" s="87">
        <f t="shared" si="5"/>
        <v>24.637681159420293</v>
      </c>
      <c r="S6" s="89">
        <f t="shared" si="6"/>
        <v>9.433962264150944</v>
      </c>
      <c r="T6" s="90">
        <f t="shared" si="7"/>
        <v>17.035821711785619</v>
      </c>
      <c r="U6" s="91">
        <f t="shared" si="8"/>
        <v>7.6070109740164824</v>
      </c>
      <c r="V6" s="92">
        <f t="shared" si="9"/>
        <v>14.006954371899425</v>
      </c>
      <c r="W6" s="93">
        <f t="shared" si="11"/>
        <v>4.5254433758531043</v>
      </c>
    </row>
    <row r="7" spans="1:23" x14ac:dyDescent="0.3">
      <c r="A7" s="84"/>
      <c r="B7" s="85">
        <f t="shared" si="10"/>
        <v>1.5625</v>
      </c>
      <c r="C7" s="85">
        <f t="shared" si="0"/>
        <v>0.19382002601611284</v>
      </c>
      <c r="D7" s="86">
        <v>70</v>
      </c>
      <c r="E7" s="86">
        <v>48</v>
      </c>
      <c r="F7" s="86">
        <v>57</v>
      </c>
      <c r="G7" s="87">
        <f t="shared" si="1"/>
        <v>58.333333333333336</v>
      </c>
      <c r="H7" s="88">
        <v>0</v>
      </c>
      <c r="I7" s="88">
        <v>87</v>
      </c>
      <c r="J7" s="88">
        <v>74</v>
      </c>
      <c r="K7" s="89">
        <f t="shared" si="2"/>
        <v>53.666666666666664</v>
      </c>
      <c r="L7" s="87">
        <f t="shared" si="3"/>
        <v>6.3545150501672243</v>
      </c>
      <c r="M7" s="87">
        <f t="shared" si="3"/>
        <v>35.785953177257525</v>
      </c>
      <c r="N7" s="87">
        <f t="shared" si="3"/>
        <v>23.745819397993312</v>
      </c>
      <c r="O7" s="89">
        <f t="shared" si="4"/>
        <v>100</v>
      </c>
      <c r="P7" s="89">
        <f t="shared" si="4"/>
        <v>-9.433962264150944</v>
      </c>
      <c r="Q7" s="89">
        <f t="shared" si="4"/>
        <v>6.9182389937106921</v>
      </c>
      <c r="R7" s="87">
        <f t="shared" si="5"/>
        <v>21.962095875139354</v>
      </c>
      <c r="S7" s="89">
        <f t="shared" si="6"/>
        <v>32.494758909853246</v>
      </c>
      <c r="T7" s="90">
        <f t="shared" si="7"/>
        <v>27.2284273924963</v>
      </c>
      <c r="U7" s="91">
        <f t="shared" si="8"/>
        <v>14.79657527138199</v>
      </c>
      <c r="V7" s="92">
        <f t="shared" si="9"/>
        <v>59.030219400520025</v>
      </c>
      <c r="W7" s="93">
        <f t="shared" si="11"/>
        <v>31.277909720306027</v>
      </c>
    </row>
    <row r="8" spans="1:23" x14ac:dyDescent="0.3">
      <c r="A8" s="84"/>
      <c r="B8" s="85">
        <f t="shared" si="10"/>
        <v>0.390625</v>
      </c>
      <c r="C8" s="85">
        <f t="shared" si="0"/>
        <v>-0.40823996531184958</v>
      </c>
      <c r="D8" s="86">
        <v>55</v>
      </c>
      <c r="E8" s="86">
        <v>59</v>
      </c>
      <c r="F8" s="86">
        <v>77</v>
      </c>
      <c r="G8" s="87">
        <f t="shared" si="1"/>
        <v>63.666666666666664</v>
      </c>
      <c r="H8" s="88">
        <v>0</v>
      </c>
      <c r="I8" s="88">
        <v>71</v>
      </c>
      <c r="J8" s="88">
        <v>67</v>
      </c>
      <c r="K8" s="89">
        <f t="shared" si="2"/>
        <v>46</v>
      </c>
      <c r="L8" s="87">
        <f t="shared" si="3"/>
        <v>26.421404682274247</v>
      </c>
      <c r="M8" s="87">
        <f t="shared" si="3"/>
        <v>21.070234113712374</v>
      </c>
      <c r="N8" s="87">
        <f t="shared" si="3"/>
        <v>-3.0100334448160537</v>
      </c>
      <c r="O8" s="89">
        <f t="shared" si="4"/>
        <v>100</v>
      </c>
      <c r="P8" s="89">
        <f t="shared" si="4"/>
        <v>10.691823899371069</v>
      </c>
      <c r="Q8" s="89">
        <f t="shared" si="4"/>
        <v>15.723270440251572</v>
      </c>
      <c r="R8" s="87">
        <f t="shared" si="5"/>
        <v>14.827201783723522</v>
      </c>
      <c r="S8" s="89">
        <f t="shared" si="6"/>
        <v>42.138364779874216</v>
      </c>
      <c r="T8" s="90">
        <f t="shared" si="7"/>
        <v>28.48278328179887</v>
      </c>
      <c r="U8" s="91">
        <f t="shared" si="8"/>
        <v>15.677499069116562</v>
      </c>
      <c r="V8" s="92">
        <f t="shared" si="9"/>
        <v>50.172756415544981</v>
      </c>
      <c r="W8" s="93">
        <f t="shared" si="11"/>
        <v>24.391830388434606</v>
      </c>
    </row>
    <row r="9" spans="1:23" x14ac:dyDescent="0.3">
      <c r="A9" s="84"/>
      <c r="B9" s="85">
        <f t="shared" si="10"/>
        <v>9.765625E-2</v>
      </c>
      <c r="C9" s="85">
        <f t="shared" si="0"/>
        <v>-1.0102999566398119</v>
      </c>
      <c r="D9" s="86">
        <v>86</v>
      </c>
      <c r="E9" s="86">
        <v>75</v>
      </c>
      <c r="F9" s="86">
        <v>81</v>
      </c>
      <c r="G9" s="87">
        <f t="shared" si="1"/>
        <v>80.666666666666671</v>
      </c>
      <c r="H9" s="88">
        <v>97</v>
      </c>
      <c r="I9" s="88">
        <v>74</v>
      </c>
      <c r="J9" s="88">
        <v>83</v>
      </c>
      <c r="K9" s="89">
        <f t="shared" si="2"/>
        <v>84.666666666666671</v>
      </c>
      <c r="L9" s="87">
        <f t="shared" si="3"/>
        <v>-15.050167224080269</v>
      </c>
      <c r="M9" s="87">
        <f t="shared" si="3"/>
        <v>-0.33444816053511706</v>
      </c>
      <c r="N9" s="87">
        <f t="shared" si="3"/>
        <v>-8.3612040133779271</v>
      </c>
      <c r="O9" s="89">
        <f t="shared" si="4"/>
        <v>-22.012578616352201</v>
      </c>
      <c r="P9" s="89">
        <f t="shared" si="4"/>
        <v>6.9182389937106921</v>
      </c>
      <c r="Q9" s="89">
        <f t="shared" si="4"/>
        <v>-4.4025157232704402</v>
      </c>
      <c r="R9" s="87">
        <f t="shared" si="5"/>
        <v>-7.9152731326644385</v>
      </c>
      <c r="S9" s="89">
        <f t="shared" si="6"/>
        <v>-6.4989517819706499</v>
      </c>
      <c r="T9" s="90">
        <f t="shared" si="7"/>
        <v>-7.2071124573175442</v>
      </c>
      <c r="U9" s="91">
        <f t="shared" si="8"/>
        <v>7.3679873542288981</v>
      </c>
      <c r="V9" s="92">
        <f t="shared" si="9"/>
        <v>14.578900336028267</v>
      </c>
      <c r="W9" s="93">
        <f t="shared" si="11"/>
        <v>5.0988854679764453</v>
      </c>
    </row>
    <row r="10" spans="1:23" ht="16.2" thickBot="1" x14ac:dyDescent="0.35">
      <c r="A10" s="94"/>
      <c r="B10" s="95">
        <f t="shared" si="10"/>
        <v>2.44140625E-2</v>
      </c>
      <c r="C10" s="95">
        <f t="shared" si="0"/>
        <v>-1.6123599479677744</v>
      </c>
      <c r="D10" s="96">
        <v>82</v>
      </c>
      <c r="E10" s="96">
        <v>72</v>
      </c>
      <c r="F10" s="96">
        <v>69</v>
      </c>
      <c r="G10" s="97">
        <f t="shared" si="1"/>
        <v>74.333333333333329</v>
      </c>
      <c r="H10" s="98">
        <v>87</v>
      </c>
      <c r="I10" s="98">
        <v>90</v>
      </c>
      <c r="J10" s="98">
        <v>82</v>
      </c>
      <c r="K10" s="99">
        <f t="shared" si="2"/>
        <v>86.333333333333329</v>
      </c>
      <c r="L10" s="97">
        <f t="shared" si="3"/>
        <v>-9.6989966555183944</v>
      </c>
      <c r="M10" s="97">
        <f t="shared" si="3"/>
        <v>3.6789297658862878</v>
      </c>
      <c r="N10" s="97">
        <f t="shared" si="3"/>
        <v>7.6923076923076925</v>
      </c>
      <c r="O10" s="99">
        <f t="shared" si="4"/>
        <v>-9.433962264150944</v>
      </c>
      <c r="P10" s="99">
        <f t="shared" si="4"/>
        <v>-13.20754716981132</v>
      </c>
      <c r="Q10" s="99">
        <f t="shared" si="4"/>
        <v>-3.1446540880503147</v>
      </c>
      <c r="R10" s="97">
        <f t="shared" si="5"/>
        <v>0.55741360089186198</v>
      </c>
      <c r="S10" s="99">
        <f t="shared" si="6"/>
        <v>-8.5953878406708597</v>
      </c>
      <c r="T10" s="100">
        <f t="shared" si="7"/>
        <v>-4.0189871198894984</v>
      </c>
      <c r="U10" s="101">
        <f t="shared" si="8"/>
        <v>9.1061662682997273</v>
      </c>
      <c r="V10" s="102">
        <f t="shared" si="9"/>
        <v>5.0835872758834979</v>
      </c>
      <c r="W10" s="103">
        <f t="shared" si="11"/>
        <v>2.8443928833960626</v>
      </c>
    </row>
    <row r="11" spans="1:23" x14ac:dyDescent="0.3">
      <c r="A11" s="104" t="s">
        <v>56</v>
      </c>
      <c r="B11" s="75">
        <v>100</v>
      </c>
      <c r="C11" s="75">
        <f t="shared" si="0"/>
        <v>2</v>
      </c>
      <c r="D11" s="76">
        <v>55</v>
      </c>
      <c r="E11" s="76">
        <v>46</v>
      </c>
      <c r="F11" s="76">
        <v>56</v>
      </c>
      <c r="G11" s="77">
        <f t="shared" si="1"/>
        <v>52.333333333333336</v>
      </c>
      <c r="H11" s="78">
        <v>61</v>
      </c>
      <c r="I11" s="78">
        <v>43</v>
      </c>
      <c r="J11" s="78">
        <v>50</v>
      </c>
      <c r="K11" s="79">
        <f t="shared" si="2"/>
        <v>51.333333333333336</v>
      </c>
      <c r="L11" s="77">
        <f t="shared" si="3"/>
        <v>26.421404682274247</v>
      </c>
      <c r="M11" s="77">
        <f t="shared" ref="M11:N17" si="12">(($G$29-E11)/$G$29)*100</f>
        <v>31.59851301115242</v>
      </c>
      <c r="N11" s="77">
        <f t="shared" si="12"/>
        <v>16.728624535315987</v>
      </c>
      <c r="O11" s="79">
        <f t="shared" ref="O11:Q17" si="13">(($K$29-H11)/$K$29)*100</f>
        <v>14.084507042253522</v>
      </c>
      <c r="P11" s="79">
        <f t="shared" si="13"/>
        <v>39.436619718309856</v>
      </c>
      <c r="Q11" s="79">
        <f t="shared" si="13"/>
        <v>29.577464788732392</v>
      </c>
      <c r="R11" s="77">
        <f t="shared" si="5"/>
        <v>24.916180742914218</v>
      </c>
      <c r="S11" s="79">
        <f t="shared" si="6"/>
        <v>27.699530516431924</v>
      </c>
      <c r="T11" s="80">
        <f t="shared" si="7"/>
        <v>26.307855629673071</v>
      </c>
      <c r="U11" s="81">
        <f t="shared" si="8"/>
        <v>7.5483554600767286</v>
      </c>
      <c r="V11" s="82">
        <f t="shared" si="9"/>
        <v>12.779960177292201</v>
      </c>
      <c r="W11" s="83">
        <f>STDEV(U11:V11)</f>
        <v>3.6993031720305911</v>
      </c>
    </row>
    <row r="12" spans="1:23" x14ac:dyDescent="0.3">
      <c r="A12" s="105"/>
      <c r="B12" s="85">
        <f t="shared" ref="B12:B17" si="14">B11/4</f>
        <v>25</v>
      </c>
      <c r="C12" s="85">
        <f t="shared" si="0"/>
        <v>1.3979400086720377</v>
      </c>
      <c r="D12" s="86">
        <v>61</v>
      </c>
      <c r="E12" s="86">
        <v>56</v>
      </c>
      <c r="F12" s="86">
        <v>55</v>
      </c>
      <c r="G12" s="87">
        <f t="shared" si="1"/>
        <v>57.333333333333336</v>
      </c>
      <c r="H12" s="88">
        <v>50</v>
      </c>
      <c r="I12" s="88">
        <v>62</v>
      </c>
      <c r="J12" s="88">
        <v>57</v>
      </c>
      <c r="K12" s="89">
        <f t="shared" si="2"/>
        <v>56.333333333333336</v>
      </c>
      <c r="L12" s="87">
        <f t="shared" si="3"/>
        <v>18.394648829431436</v>
      </c>
      <c r="M12" s="87">
        <f t="shared" si="12"/>
        <v>16.728624535315987</v>
      </c>
      <c r="N12" s="87">
        <f t="shared" si="12"/>
        <v>18.21561338289963</v>
      </c>
      <c r="O12" s="89">
        <f t="shared" si="13"/>
        <v>29.577464788732392</v>
      </c>
      <c r="P12" s="89">
        <f t="shared" si="13"/>
        <v>12.676056338028168</v>
      </c>
      <c r="Q12" s="89">
        <f t="shared" si="13"/>
        <v>19.718309859154928</v>
      </c>
      <c r="R12" s="87">
        <f t="shared" si="5"/>
        <v>17.779628915882352</v>
      </c>
      <c r="S12" s="89">
        <f t="shared" si="6"/>
        <v>20.657276995305164</v>
      </c>
      <c r="T12" s="90">
        <f t="shared" si="7"/>
        <v>19.218452955593758</v>
      </c>
      <c r="U12" s="91">
        <f t="shared" si="8"/>
        <v>0.91458792838959735</v>
      </c>
      <c r="V12" s="92">
        <f t="shared" si="9"/>
        <v>8.4897377089319832</v>
      </c>
      <c r="W12" s="93">
        <f t="shared" ref="W12:W17" si="15">STDEV(U12:V12)</f>
        <v>5.356439778325309</v>
      </c>
    </row>
    <row r="13" spans="1:23" x14ac:dyDescent="0.3">
      <c r="A13" s="105"/>
      <c r="B13" s="85">
        <f t="shared" si="14"/>
        <v>6.25</v>
      </c>
      <c r="C13" s="85">
        <f t="shared" si="0"/>
        <v>0.79588001734407521</v>
      </c>
      <c r="D13" s="86">
        <v>48</v>
      </c>
      <c r="E13" s="86">
        <v>54</v>
      </c>
      <c r="F13" s="86">
        <v>69</v>
      </c>
      <c r="G13" s="87">
        <f t="shared" si="1"/>
        <v>57</v>
      </c>
      <c r="H13" s="88">
        <v>55</v>
      </c>
      <c r="I13" s="88">
        <v>56</v>
      </c>
      <c r="J13" s="88">
        <v>54</v>
      </c>
      <c r="K13" s="89">
        <f t="shared" si="2"/>
        <v>55</v>
      </c>
      <c r="L13" s="87">
        <f t="shared" si="3"/>
        <v>35.785953177257525</v>
      </c>
      <c r="M13" s="87">
        <f t="shared" si="12"/>
        <v>19.702602230483272</v>
      </c>
      <c r="N13" s="87">
        <f t="shared" si="12"/>
        <v>-2.6022304832713754</v>
      </c>
      <c r="O13" s="89">
        <f t="shared" si="13"/>
        <v>22.535211267605636</v>
      </c>
      <c r="P13" s="89">
        <f t="shared" si="13"/>
        <v>21.12676056338028</v>
      </c>
      <c r="Q13" s="89">
        <f t="shared" si="13"/>
        <v>23.943661971830984</v>
      </c>
      <c r="R13" s="87">
        <f t="shared" si="5"/>
        <v>17.628774974823141</v>
      </c>
      <c r="S13" s="89">
        <f t="shared" si="6"/>
        <v>22.535211267605632</v>
      </c>
      <c r="T13" s="90">
        <f t="shared" si="7"/>
        <v>20.081993121214389</v>
      </c>
      <c r="U13" s="91">
        <f t="shared" si="8"/>
        <v>19.27793377941121</v>
      </c>
      <c r="V13" s="92">
        <f t="shared" si="9"/>
        <v>1.408450704225352</v>
      </c>
      <c r="W13" s="93">
        <f t="shared" si="15"/>
        <v>12.635632658762161</v>
      </c>
    </row>
    <row r="14" spans="1:23" x14ac:dyDescent="0.3">
      <c r="A14" s="105"/>
      <c r="B14" s="85">
        <f t="shared" si="14"/>
        <v>1.5625</v>
      </c>
      <c r="C14" s="85">
        <f t="shared" si="0"/>
        <v>0.19382002601611284</v>
      </c>
      <c r="D14" s="86">
        <v>72</v>
      </c>
      <c r="E14" s="86">
        <v>45</v>
      </c>
      <c r="F14" s="86">
        <v>56</v>
      </c>
      <c r="G14" s="87">
        <f t="shared" si="1"/>
        <v>57.666666666666664</v>
      </c>
      <c r="H14" s="88">
        <v>66</v>
      </c>
      <c r="I14" s="88">
        <v>60</v>
      </c>
      <c r="J14" s="88">
        <v>53</v>
      </c>
      <c r="K14" s="89">
        <f t="shared" si="2"/>
        <v>59.666666666666664</v>
      </c>
      <c r="L14" s="87">
        <f t="shared" si="3"/>
        <v>3.6789297658862878</v>
      </c>
      <c r="M14" s="87">
        <f t="shared" si="12"/>
        <v>33.085501858736059</v>
      </c>
      <c r="N14" s="87">
        <f t="shared" si="12"/>
        <v>16.728624535315987</v>
      </c>
      <c r="O14" s="89">
        <f t="shared" si="13"/>
        <v>7.042253521126761</v>
      </c>
      <c r="P14" s="89">
        <f t="shared" si="13"/>
        <v>15.492957746478872</v>
      </c>
      <c r="Q14" s="89">
        <f t="shared" si="13"/>
        <v>25.352112676056336</v>
      </c>
      <c r="R14" s="87">
        <f t="shared" si="5"/>
        <v>17.831018719979443</v>
      </c>
      <c r="S14" s="89">
        <f t="shared" si="6"/>
        <v>15.96244131455399</v>
      </c>
      <c r="T14" s="90">
        <f t="shared" si="7"/>
        <v>16.896730017266716</v>
      </c>
      <c r="U14" s="91">
        <f t="shared" si="8"/>
        <v>14.734248378074042</v>
      </c>
      <c r="V14" s="92">
        <f t="shared" si="9"/>
        <v>9.1639536600671967</v>
      </c>
      <c r="W14" s="93">
        <f t="shared" si="15"/>
        <v>3.9387931683102511</v>
      </c>
    </row>
    <row r="15" spans="1:23" x14ac:dyDescent="0.3">
      <c r="A15" s="105"/>
      <c r="B15" s="85">
        <f t="shared" si="14"/>
        <v>0.390625</v>
      </c>
      <c r="C15" s="85">
        <f t="shared" si="0"/>
        <v>-0.40823996531184958</v>
      </c>
      <c r="D15" s="86">
        <v>58</v>
      </c>
      <c r="E15" s="86">
        <v>53</v>
      </c>
      <c r="F15" s="86">
        <v>74</v>
      </c>
      <c r="G15" s="87">
        <f t="shared" si="1"/>
        <v>61.666666666666664</v>
      </c>
      <c r="H15" s="88">
        <v>63</v>
      </c>
      <c r="I15" s="88">
        <v>68</v>
      </c>
      <c r="J15" s="88">
        <v>63</v>
      </c>
      <c r="K15" s="89">
        <f t="shared" si="2"/>
        <v>64.666666666666671</v>
      </c>
      <c r="L15" s="87">
        <f t="shared" si="3"/>
        <v>22.408026755852841</v>
      </c>
      <c r="M15" s="87">
        <f t="shared" si="12"/>
        <v>21.189591078066915</v>
      </c>
      <c r="N15" s="87">
        <f t="shared" si="12"/>
        <v>-10.037174721189592</v>
      </c>
      <c r="O15" s="89">
        <f t="shared" si="13"/>
        <v>11.267605633802818</v>
      </c>
      <c r="P15" s="89">
        <f t="shared" si="13"/>
        <v>4.225352112676056</v>
      </c>
      <c r="Q15" s="89">
        <f t="shared" si="13"/>
        <v>11.267605633802818</v>
      </c>
      <c r="R15" s="87">
        <f t="shared" si="5"/>
        <v>11.186814370910055</v>
      </c>
      <c r="S15" s="89">
        <f t="shared" si="6"/>
        <v>8.92018779342723</v>
      </c>
      <c r="T15" s="90">
        <f t="shared" si="7"/>
        <v>10.053501082168642</v>
      </c>
      <c r="U15" s="91">
        <f t="shared" si="8"/>
        <v>18.390607143631744</v>
      </c>
      <c r="V15" s="92">
        <f t="shared" si="9"/>
        <v>4.065846966124127</v>
      </c>
      <c r="W15" s="93">
        <f t="shared" si="15"/>
        <v>10.12913506038665</v>
      </c>
    </row>
    <row r="16" spans="1:23" x14ac:dyDescent="0.3">
      <c r="A16" s="105"/>
      <c r="B16" s="85">
        <f t="shared" si="14"/>
        <v>9.765625E-2</v>
      </c>
      <c r="C16" s="85">
        <f t="shared" si="0"/>
        <v>-1.0102999566398119</v>
      </c>
      <c r="D16" s="86">
        <v>77</v>
      </c>
      <c r="E16" s="86">
        <v>68</v>
      </c>
      <c r="F16" s="86">
        <v>62</v>
      </c>
      <c r="G16" s="87">
        <f t="shared" si="1"/>
        <v>69</v>
      </c>
      <c r="H16" s="88">
        <v>72</v>
      </c>
      <c r="I16" s="88">
        <v>62</v>
      </c>
      <c r="J16" s="88">
        <v>67</v>
      </c>
      <c r="K16" s="89">
        <f t="shared" si="2"/>
        <v>67</v>
      </c>
      <c r="L16" s="87">
        <f t="shared" si="3"/>
        <v>-3.0100334448160537</v>
      </c>
      <c r="M16" s="87">
        <f t="shared" si="12"/>
        <v>-1.1152416356877324</v>
      </c>
      <c r="N16" s="87">
        <f t="shared" si="12"/>
        <v>7.8066914498141262</v>
      </c>
      <c r="O16" s="89">
        <f t="shared" si="13"/>
        <v>-1.4084507042253522</v>
      </c>
      <c r="P16" s="89">
        <f t="shared" si="13"/>
        <v>12.676056338028168</v>
      </c>
      <c r="Q16" s="89">
        <f t="shared" si="13"/>
        <v>5.6338028169014089</v>
      </c>
      <c r="R16" s="87">
        <f t="shared" si="5"/>
        <v>1.2271387897701134</v>
      </c>
      <c r="S16" s="89">
        <f t="shared" si="6"/>
        <v>5.6338028169014081</v>
      </c>
      <c r="T16" s="90">
        <f t="shared" si="7"/>
        <v>3.4304708033357607</v>
      </c>
      <c r="U16" s="91">
        <f t="shared" si="8"/>
        <v>5.776282879560533</v>
      </c>
      <c r="V16" s="92">
        <f t="shared" si="9"/>
        <v>7.0422535211267601</v>
      </c>
      <c r="W16" s="93">
        <f t="shared" si="15"/>
        <v>0.89517642543456333</v>
      </c>
    </row>
    <row r="17" spans="1:23" ht="16.2" thickBot="1" x14ac:dyDescent="0.35">
      <c r="A17" s="106"/>
      <c r="B17" s="95">
        <f t="shared" si="14"/>
        <v>2.44140625E-2</v>
      </c>
      <c r="C17" s="95">
        <f t="shared" si="0"/>
        <v>-1.6123599479677744</v>
      </c>
      <c r="D17" s="96">
        <v>89</v>
      </c>
      <c r="E17" s="96">
        <v>77</v>
      </c>
      <c r="F17" s="96">
        <v>69</v>
      </c>
      <c r="G17" s="97">
        <f t="shared" si="1"/>
        <v>78.333333333333329</v>
      </c>
      <c r="H17" s="98">
        <v>68</v>
      </c>
      <c r="I17" s="98">
        <v>67</v>
      </c>
      <c r="J17" s="98">
        <v>69</v>
      </c>
      <c r="K17" s="99">
        <f t="shared" si="2"/>
        <v>68</v>
      </c>
      <c r="L17" s="97">
        <f t="shared" si="3"/>
        <v>-19.063545150501675</v>
      </c>
      <c r="M17" s="97">
        <f t="shared" si="12"/>
        <v>-14.49814126394052</v>
      </c>
      <c r="N17" s="97">
        <f t="shared" si="12"/>
        <v>-2.6022304832713754</v>
      </c>
      <c r="O17" s="99">
        <f t="shared" si="13"/>
        <v>4.225352112676056</v>
      </c>
      <c r="P17" s="99">
        <f t="shared" si="13"/>
        <v>5.6338028169014089</v>
      </c>
      <c r="Q17" s="99">
        <f t="shared" si="13"/>
        <v>2.8169014084507045</v>
      </c>
      <c r="R17" s="97">
        <f t="shared" si="5"/>
        <v>-12.054638965904523</v>
      </c>
      <c r="S17" s="99">
        <f t="shared" si="6"/>
        <v>4.225352112676056</v>
      </c>
      <c r="T17" s="100">
        <f t="shared" si="7"/>
        <v>-3.9146434266142336</v>
      </c>
      <c r="U17" s="101">
        <f t="shared" si="8"/>
        <v>8.4983379406665893</v>
      </c>
      <c r="V17" s="102">
        <f t="shared" si="9"/>
        <v>1.4084507042253551</v>
      </c>
      <c r="W17" s="103">
        <f t="shared" si="15"/>
        <v>5.0133073427355477</v>
      </c>
    </row>
    <row r="18" spans="1:23" x14ac:dyDescent="0.3">
      <c r="A18" s="107" t="s">
        <v>38</v>
      </c>
      <c r="B18" s="75">
        <v>100</v>
      </c>
      <c r="C18" s="75">
        <f t="shared" si="0"/>
        <v>2</v>
      </c>
      <c r="D18" s="76">
        <v>48</v>
      </c>
      <c r="E18" s="76">
        <v>53</v>
      </c>
      <c r="F18" s="76">
        <v>48</v>
      </c>
      <c r="G18" s="77">
        <f t="shared" si="1"/>
        <v>49.666666666666664</v>
      </c>
      <c r="H18" s="108"/>
      <c r="I18" s="78">
        <v>45</v>
      </c>
      <c r="J18" s="78">
        <v>44</v>
      </c>
      <c r="K18" s="79">
        <f t="shared" si="2"/>
        <v>44.5</v>
      </c>
      <c r="L18" s="77">
        <f t="shared" si="3"/>
        <v>35.785953177257525</v>
      </c>
      <c r="M18" s="77">
        <f t="shared" ref="M18:N24" si="16">(($G$31-E18)/$G$31)*100</f>
        <v>20.300751879699249</v>
      </c>
      <c r="N18" s="77">
        <f t="shared" si="16"/>
        <v>27.819548872180448</v>
      </c>
      <c r="O18" s="143"/>
      <c r="P18" s="79">
        <f>(($K$31-I18)/$K$31)*100</f>
        <v>23.728813559322035</v>
      </c>
      <c r="Q18" s="79">
        <f>(($K$31-J18)/$K$31)*100</f>
        <v>25.423728813559322</v>
      </c>
      <c r="R18" s="77">
        <f t="shared" si="5"/>
        <v>27.968751309712406</v>
      </c>
      <c r="S18" s="79">
        <f>AVERAGE(O18:Q18)</f>
        <v>24.576271186440678</v>
      </c>
      <c r="T18" s="80">
        <f t="shared" si="7"/>
        <v>26.27251124807654</v>
      </c>
      <c r="U18" s="81">
        <f t="shared" si="8"/>
        <v>7.7436787660645683</v>
      </c>
      <c r="V18" s="82">
        <f t="shared" si="9"/>
        <v>1.1984860698077069</v>
      </c>
      <c r="W18" s="83">
        <f>STDEV(U18:V18)</f>
        <v>4.6281501396958893</v>
      </c>
    </row>
    <row r="19" spans="1:23" x14ac:dyDescent="0.3">
      <c r="A19" s="109"/>
      <c r="B19" s="85">
        <f t="shared" ref="B19:B24" si="17">B18/4</f>
        <v>25</v>
      </c>
      <c r="C19" s="85">
        <f t="shared" si="0"/>
        <v>1.3979400086720377</v>
      </c>
      <c r="D19" s="86">
        <v>66</v>
      </c>
      <c r="E19" s="86">
        <v>47</v>
      </c>
      <c r="F19" s="86">
        <v>53</v>
      </c>
      <c r="G19" s="87">
        <f t="shared" si="1"/>
        <v>55.333333333333336</v>
      </c>
      <c r="H19" s="88">
        <v>59</v>
      </c>
      <c r="I19" s="88">
        <v>44</v>
      </c>
      <c r="J19" s="88">
        <v>49</v>
      </c>
      <c r="K19" s="89">
        <f t="shared" si="2"/>
        <v>50.666666666666664</v>
      </c>
      <c r="L19" s="87">
        <f t="shared" si="3"/>
        <v>11.705685618729097</v>
      </c>
      <c r="M19" s="87">
        <f t="shared" si="16"/>
        <v>29.323308270676691</v>
      </c>
      <c r="N19" s="87">
        <f t="shared" si="16"/>
        <v>20.300751879699249</v>
      </c>
      <c r="O19" s="89">
        <f>(($K$31-H19)/$K$31)*100</f>
        <v>0</v>
      </c>
      <c r="P19" s="89">
        <f>(($K$31-I19)/$K$31)*100</f>
        <v>25.423728813559322</v>
      </c>
      <c r="Q19" s="89">
        <f>(($K$31-J19)/$K$31)*100</f>
        <v>16.949152542372879</v>
      </c>
      <c r="R19" s="87">
        <f t="shared" si="5"/>
        <v>20.443248589701678</v>
      </c>
      <c r="S19" s="89">
        <f t="shared" si="6"/>
        <v>14.124293785310734</v>
      </c>
      <c r="T19" s="90">
        <f t="shared" si="7"/>
        <v>17.283771187506204</v>
      </c>
      <c r="U19" s="91">
        <f t="shared" si="8"/>
        <v>8.80967570123188</v>
      </c>
      <c r="V19" s="92">
        <f t="shared" si="9"/>
        <v>12.945129081796157</v>
      </c>
      <c r="W19" s="93">
        <f t="shared" ref="W19:W24" si="18">STDEV(U19:V19)</f>
        <v>2.9242071286778426</v>
      </c>
    </row>
    <row r="20" spans="1:23" x14ac:dyDescent="0.3">
      <c r="A20" s="109"/>
      <c r="B20" s="85">
        <f t="shared" si="17"/>
        <v>6.25</v>
      </c>
      <c r="C20" s="85">
        <f t="shared" si="0"/>
        <v>0.79588001734407521</v>
      </c>
      <c r="D20" s="86">
        <v>49</v>
      </c>
      <c r="E20" s="86">
        <v>60</v>
      </c>
      <c r="F20" s="86">
        <v>62</v>
      </c>
      <c r="G20" s="87">
        <f t="shared" si="1"/>
        <v>57</v>
      </c>
      <c r="H20" s="88">
        <v>44</v>
      </c>
      <c r="I20" s="110"/>
      <c r="J20" s="88">
        <v>40</v>
      </c>
      <c r="K20" s="89">
        <f t="shared" si="2"/>
        <v>42</v>
      </c>
      <c r="L20" s="87">
        <f t="shared" ref="L20:L33" si="19">(($G$27-D20)/$G$27)*100</f>
        <v>34.448160535117054</v>
      </c>
      <c r="M20" s="87">
        <f t="shared" si="16"/>
        <v>9.7744360902255636</v>
      </c>
      <c r="N20" s="87">
        <f t="shared" si="16"/>
        <v>6.7669172932330826</v>
      </c>
      <c r="O20" s="89">
        <f t="shared" ref="O20:O24" si="20">(($K$31-H20)/$K$31)*100</f>
        <v>25.423728813559322</v>
      </c>
      <c r="P20" s="144"/>
      <c r="Q20" s="89">
        <f>(($K$31-J20)/$K$31)*100</f>
        <v>32.20338983050847</v>
      </c>
      <c r="R20" s="87">
        <f t="shared" si="5"/>
        <v>16.996504639525234</v>
      </c>
      <c r="S20" s="89">
        <f t="shared" si="6"/>
        <v>28.813559322033896</v>
      </c>
      <c r="T20" s="90">
        <f t="shared" si="7"/>
        <v>22.905031980779565</v>
      </c>
      <c r="U20" s="91">
        <f t="shared" si="8"/>
        <v>15.188203068571818</v>
      </c>
      <c r="V20" s="92">
        <f t="shared" si="9"/>
        <v>4.7939442792308347</v>
      </c>
      <c r="W20" s="93">
        <f t="shared" si="18"/>
        <v>7.3498508753508851</v>
      </c>
    </row>
    <row r="21" spans="1:23" x14ac:dyDescent="0.3">
      <c r="A21" s="109"/>
      <c r="B21" s="85">
        <f t="shared" si="17"/>
        <v>1.5625</v>
      </c>
      <c r="C21" s="85">
        <f t="shared" si="0"/>
        <v>0.19382002601611284</v>
      </c>
      <c r="D21" s="86">
        <v>60</v>
      </c>
      <c r="E21" s="86">
        <v>56</v>
      </c>
      <c r="F21" s="86">
        <v>46</v>
      </c>
      <c r="G21" s="87">
        <f t="shared" si="1"/>
        <v>54</v>
      </c>
      <c r="H21" s="88">
        <v>53</v>
      </c>
      <c r="I21" s="88">
        <v>54</v>
      </c>
      <c r="J21" s="88">
        <v>39</v>
      </c>
      <c r="K21" s="89">
        <f t="shared" si="2"/>
        <v>48.666666666666664</v>
      </c>
      <c r="L21" s="87">
        <f t="shared" si="19"/>
        <v>19.732441471571907</v>
      </c>
      <c r="M21" s="87">
        <f t="shared" si="16"/>
        <v>15.789473684210526</v>
      </c>
      <c r="N21" s="87">
        <f t="shared" si="16"/>
        <v>30.82706766917293</v>
      </c>
      <c r="O21" s="89">
        <f t="shared" si="20"/>
        <v>10.16949152542373</v>
      </c>
      <c r="P21" s="89">
        <f>(($K$31-I21)/$K$31)*100</f>
        <v>8.4745762711864394</v>
      </c>
      <c r="Q21" s="89">
        <f>(($K$31-J21)/$K$31)*100</f>
        <v>33.898305084745758</v>
      </c>
      <c r="R21" s="87">
        <f t="shared" si="5"/>
        <v>22.116327608318453</v>
      </c>
      <c r="S21" s="89">
        <f t="shared" si="6"/>
        <v>17.514124293785311</v>
      </c>
      <c r="T21" s="90">
        <f t="shared" si="7"/>
        <v>19.815225951051882</v>
      </c>
      <c r="U21" s="91">
        <f t="shared" si="8"/>
        <v>7.7970823420606337</v>
      </c>
      <c r="V21" s="92">
        <f t="shared" si="9"/>
        <v>14.214401836620477</v>
      </c>
      <c r="W21" s="93">
        <f t="shared" si="18"/>
        <v>4.5377301316438974</v>
      </c>
    </row>
    <row r="22" spans="1:23" x14ac:dyDescent="0.3">
      <c r="A22" s="109"/>
      <c r="B22" s="85">
        <f t="shared" si="17"/>
        <v>0.390625</v>
      </c>
      <c r="C22" s="85">
        <f t="shared" si="0"/>
        <v>-0.40823996531184958</v>
      </c>
      <c r="D22" s="86">
        <v>53</v>
      </c>
      <c r="E22" s="86">
        <v>63</v>
      </c>
      <c r="F22" s="86">
        <v>86</v>
      </c>
      <c r="G22" s="87">
        <f t="shared" si="1"/>
        <v>67.333333333333329</v>
      </c>
      <c r="H22" s="88">
        <v>69</v>
      </c>
      <c r="I22" s="88">
        <v>59</v>
      </c>
      <c r="J22" s="88">
        <v>66</v>
      </c>
      <c r="K22" s="89">
        <f t="shared" si="2"/>
        <v>64.666666666666671</v>
      </c>
      <c r="L22" s="87">
        <f t="shared" si="19"/>
        <v>29.096989966555181</v>
      </c>
      <c r="M22" s="87">
        <f t="shared" si="16"/>
        <v>5.2631578947368416</v>
      </c>
      <c r="N22" s="87">
        <f t="shared" si="16"/>
        <v>-29.323308270676691</v>
      </c>
      <c r="O22" s="89">
        <f t="shared" si="20"/>
        <v>-16.949152542372879</v>
      </c>
      <c r="P22" s="89">
        <f>(($K$31-I22)/$K$31)*100</f>
        <v>0</v>
      </c>
      <c r="Q22" s="89">
        <f>(($K$31-J22)/$K$31)*100</f>
        <v>-11.864406779661017</v>
      </c>
      <c r="R22" s="87">
        <f t="shared" si="5"/>
        <v>1.6789465302051099</v>
      </c>
      <c r="S22" s="89">
        <f t="shared" si="6"/>
        <v>-9.6045197740112993</v>
      </c>
      <c r="T22" s="90">
        <f t="shared" si="7"/>
        <v>-3.9627866219030947</v>
      </c>
      <c r="U22" s="91">
        <f t="shared" si="8"/>
        <v>29.374610463136499</v>
      </c>
      <c r="V22" s="92">
        <f t="shared" si="9"/>
        <v>8.6976295583845484</v>
      </c>
      <c r="W22" s="93">
        <f t="shared" si="18"/>
        <v>14.620833412214855</v>
      </c>
    </row>
    <row r="23" spans="1:23" x14ac:dyDescent="0.3">
      <c r="A23" s="109"/>
      <c r="B23" s="85">
        <f t="shared" si="17"/>
        <v>9.765625E-2</v>
      </c>
      <c r="C23" s="85">
        <f t="shared" si="0"/>
        <v>-1.0102999566398119</v>
      </c>
      <c r="D23" s="86">
        <v>84</v>
      </c>
      <c r="E23" s="86">
        <v>74</v>
      </c>
      <c r="F23" s="86">
        <v>70</v>
      </c>
      <c r="G23" s="87">
        <f t="shared" si="1"/>
        <v>76</v>
      </c>
      <c r="H23" s="88">
        <v>71</v>
      </c>
      <c r="I23" s="88">
        <v>69</v>
      </c>
      <c r="J23" s="88">
        <v>71</v>
      </c>
      <c r="K23" s="89">
        <f t="shared" si="2"/>
        <v>70.333333333333329</v>
      </c>
      <c r="L23" s="87">
        <f t="shared" si="19"/>
        <v>-12.374581939799331</v>
      </c>
      <c r="M23" s="87">
        <f t="shared" si="16"/>
        <v>-11.278195488721805</v>
      </c>
      <c r="N23" s="87">
        <f t="shared" si="16"/>
        <v>-5.2631578947368416</v>
      </c>
      <c r="O23" s="89">
        <f t="shared" si="20"/>
        <v>-20.33898305084746</v>
      </c>
      <c r="P23" s="89">
        <f>(($K$31-I23)/$K$31)*100</f>
        <v>-16.949152542372879</v>
      </c>
      <c r="Q23" s="89">
        <f>(($K$31-J23)/$K$31)*100</f>
        <v>-20.33898305084746</v>
      </c>
      <c r="R23" s="87">
        <f t="shared" si="5"/>
        <v>-9.6386451077526587</v>
      </c>
      <c r="S23" s="89">
        <f t="shared" si="6"/>
        <v>-19.209039548022599</v>
      </c>
      <c r="T23" s="90">
        <f t="shared" si="7"/>
        <v>-14.423842327887629</v>
      </c>
      <c r="U23" s="91">
        <f t="shared" si="8"/>
        <v>3.8287311313247474</v>
      </c>
      <c r="V23" s="92">
        <f t="shared" si="9"/>
        <v>1.9571195565750055</v>
      </c>
      <c r="W23" s="93">
        <f t="shared" si="18"/>
        <v>1.3234292362527749</v>
      </c>
    </row>
    <row r="24" spans="1:23" ht="16.2" thickBot="1" x14ac:dyDescent="0.35">
      <c r="A24" s="111"/>
      <c r="B24" s="112">
        <f t="shared" si="17"/>
        <v>2.44140625E-2</v>
      </c>
      <c r="C24" s="112">
        <f t="shared" si="0"/>
        <v>-1.6123599479677744</v>
      </c>
      <c r="D24" s="113">
        <v>90</v>
      </c>
      <c r="E24" s="113">
        <v>76</v>
      </c>
      <c r="F24" s="113">
        <v>83</v>
      </c>
      <c r="G24" s="114">
        <f t="shared" si="1"/>
        <v>83</v>
      </c>
      <c r="H24" s="115">
        <v>60</v>
      </c>
      <c r="I24" s="115">
        <v>49</v>
      </c>
      <c r="J24" s="115">
        <v>43</v>
      </c>
      <c r="K24" s="116">
        <f t="shared" si="2"/>
        <v>50.666666666666664</v>
      </c>
      <c r="L24" s="97">
        <f t="shared" si="19"/>
        <v>-20.401337792642142</v>
      </c>
      <c r="M24" s="97">
        <f t="shared" si="16"/>
        <v>-14.285714285714285</v>
      </c>
      <c r="N24" s="97">
        <f t="shared" si="16"/>
        <v>-24.81203007518797</v>
      </c>
      <c r="O24" s="99">
        <f t="shared" si="20"/>
        <v>-1.6949152542372881</v>
      </c>
      <c r="P24" s="99">
        <f>(($K$31-I24)/$K$31)*100</f>
        <v>16.949152542372879</v>
      </c>
      <c r="Q24" s="99">
        <f>(($K$31-J24)/$K$31)*100</f>
        <v>27.118644067796609</v>
      </c>
      <c r="R24" s="97">
        <f t="shared" si="5"/>
        <v>-19.8330273845148</v>
      </c>
      <c r="S24" s="99">
        <f t="shared" si="6"/>
        <v>14.124293785310734</v>
      </c>
      <c r="T24" s="100">
        <f t="shared" si="7"/>
        <v>-2.8543667996020332</v>
      </c>
      <c r="U24" s="101">
        <f t="shared" si="8"/>
        <v>5.2861198969490069</v>
      </c>
      <c r="V24" s="102">
        <f t="shared" si="9"/>
        <v>14.613013736019845</v>
      </c>
      <c r="W24" s="103">
        <f t="shared" si="18"/>
        <v>6.5951098810140216</v>
      </c>
    </row>
    <row r="25" spans="1:23" x14ac:dyDescent="0.3">
      <c r="B25" s="173" t="s">
        <v>53</v>
      </c>
      <c r="C25" s="117" t="s">
        <v>54</v>
      </c>
      <c r="D25" s="117" t="s">
        <v>22</v>
      </c>
      <c r="E25" s="117"/>
      <c r="F25" s="117"/>
      <c r="G25" s="118" t="s">
        <v>23</v>
      </c>
      <c r="H25" s="117" t="s">
        <v>22</v>
      </c>
      <c r="I25" s="117"/>
      <c r="J25" s="117"/>
      <c r="K25" s="118" t="s">
        <v>23</v>
      </c>
    </row>
    <row r="26" spans="1:23" x14ac:dyDescent="0.3">
      <c r="B26" s="174"/>
      <c r="C26" s="117"/>
      <c r="D26" s="119" t="s">
        <v>27</v>
      </c>
      <c r="E26" s="119"/>
      <c r="F26" s="119"/>
      <c r="G26" s="119"/>
      <c r="H26" s="120" t="s">
        <v>28</v>
      </c>
      <c r="I26" s="120"/>
      <c r="J26" s="120"/>
      <c r="K26" s="120"/>
    </row>
    <row r="27" spans="1:23" x14ac:dyDescent="0.3">
      <c r="B27" s="174"/>
      <c r="C27" s="117" t="s">
        <v>30</v>
      </c>
      <c r="D27" s="86">
        <v>70</v>
      </c>
      <c r="E27" s="86">
        <v>76</v>
      </c>
      <c r="F27" s="86">
        <v>72</v>
      </c>
      <c r="G27" s="121">
        <f>AVERAGE(D27:F28)</f>
        <v>74.75</v>
      </c>
      <c r="H27" s="88">
        <v>80</v>
      </c>
      <c r="I27" s="88">
        <v>79</v>
      </c>
      <c r="J27" s="88"/>
      <c r="K27" s="122">
        <f>AVERAGE(H27:J28)</f>
        <v>79.5</v>
      </c>
    </row>
    <row r="28" spans="1:23" x14ac:dyDescent="0.3">
      <c r="B28" s="174"/>
      <c r="C28" s="117"/>
      <c r="D28" s="86"/>
      <c r="E28" s="86"/>
      <c r="F28" s="86">
        <v>81</v>
      </c>
      <c r="G28" s="87"/>
      <c r="H28" s="88"/>
      <c r="I28" s="88"/>
      <c r="J28" s="88"/>
      <c r="K28" s="89"/>
    </row>
    <row r="29" spans="1:23" x14ac:dyDescent="0.3">
      <c r="B29" s="174"/>
      <c r="C29" s="117" t="s">
        <v>31</v>
      </c>
      <c r="D29" s="86">
        <v>75</v>
      </c>
      <c r="E29" s="86">
        <v>65</v>
      </c>
      <c r="F29" s="86">
        <v>65</v>
      </c>
      <c r="G29" s="121">
        <f>AVERAGE(D29:F30)</f>
        <v>67.25</v>
      </c>
      <c r="H29" s="88">
        <v>69</v>
      </c>
      <c r="I29" s="88">
        <v>73</v>
      </c>
      <c r="J29" s="88"/>
      <c r="K29" s="122">
        <f>AVERAGE(H29:J30)</f>
        <v>71</v>
      </c>
    </row>
    <row r="30" spans="1:23" x14ac:dyDescent="0.3">
      <c r="B30" s="174"/>
      <c r="C30" s="117"/>
      <c r="D30" s="86"/>
      <c r="E30" s="86"/>
      <c r="F30" s="86">
        <v>64</v>
      </c>
      <c r="G30" s="87"/>
      <c r="H30" s="88"/>
      <c r="I30" s="88"/>
      <c r="J30" s="88"/>
      <c r="K30" s="89"/>
    </row>
    <row r="31" spans="1:23" x14ac:dyDescent="0.3">
      <c r="B31" s="174"/>
      <c r="C31" s="117" t="s">
        <v>6</v>
      </c>
      <c r="D31" s="86">
        <v>68</v>
      </c>
      <c r="E31" s="86">
        <v>79</v>
      </c>
      <c r="F31" s="86">
        <v>56</v>
      </c>
      <c r="G31" s="121">
        <f>AVERAGE(D31:F32)</f>
        <v>66.5</v>
      </c>
      <c r="H31" s="88">
        <v>61</v>
      </c>
      <c r="I31" s="88">
        <v>57</v>
      </c>
      <c r="J31" s="88"/>
      <c r="K31" s="122">
        <f>AVERAGE(H31:J32)</f>
        <v>59</v>
      </c>
    </row>
    <row r="32" spans="1:23" x14ac:dyDescent="0.3">
      <c r="B32" s="175"/>
      <c r="C32" s="117"/>
      <c r="D32" s="86"/>
      <c r="E32" s="86"/>
      <c r="F32" s="86">
        <v>63</v>
      </c>
      <c r="G32" s="87"/>
      <c r="H32" s="88"/>
      <c r="I32" s="88"/>
      <c r="J32" s="88"/>
      <c r="K32" s="89"/>
    </row>
  </sheetData>
  <mergeCells count="22">
    <mergeCell ref="C31:C32"/>
    <mergeCell ref="C29:C30"/>
    <mergeCell ref="C27:C28"/>
    <mergeCell ref="C25:C26"/>
    <mergeCell ref="B25:B32"/>
    <mergeCell ref="A2:A3"/>
    <mergeCell ref="A4:A10"/>
    <mergeCell ref="A11:A17"/>
    <mergeCell ref="A18:A24"/>
    <mergeCell ref="D26:G26"/>
    <mergeCell ref="H26:K26"/>
    <mergeCell ref="D25:F25"/>
    <mergeCell ref="H25:J25"/>
    <mergeCell ref="D2:F2"/>
    <mergeCell ref="H2:J2"/>
    <mergeCell ref="L2:Q2"/>
    <mergeCell ref="R2:T2"/>
    <mergeCell ref="U2:W2"/>
    <mergeCell ref="D3:G3"/>
    <mergeCell ref="H3:K3"/>
    <mergeCell ref="L3:N3"/>
    <mergeCell ref="O3:Q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8D94-F0AC-4C63-B5BE-6536FCD8BE1F}">
  <dimension ref="A1:J32"/>
  <sheetViews>
    <sheetView tabSelected="1" zoomScale="80" zoomScaleNormal="80" workbookViewId="0">
      <selection activeCell="N17" sqref="N17"/>
    </sheetView>
  </sheetViews>
  <sheetFormatPr defaultRowHeight="14.4" x14ac:dyDescent="0.3"/>
  <cols>
    <col min="1" max="1" width="21.77734375" bestFit="1" customWidth="1"/>
    <col min="7" max="9" width="13.33203125" bestFit="1" customWidth="1"/>
  </cols>
  <sheetData>
    <row r="1" spans="1:10" x14ac:dyDescent="0.3">
      <c r="A1" s="50" t="s">
        <v>42</v>
      </c>
      <c r="B1" s="50"/>
      <c r="C1" s="51"/>
      <c r="D1" s="51"/>
      <c r="E1" s="51"/>
      <c r="F1" s="51"/>
      <c r="G1" s="51"/>
      <c r="H1" s="51"/>
      <c r="I1" s="51"/>
      <c r="J1" s="51"/>
    </row>
    <row r="2" spans="1:10" x14ac:dyDescent="0.3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x14ac:dyDescent="0.3">
      <c r="A3" s="47" t="s">
        <v>41</v>
      </c>
      <c r="B3" s="46" t="s">
        <v>49</v>
      </c>
      <c r="C3" s="46"/>
      <c r="D3" s="46"/>
      <c r="E3" s="46"/>
      <c r="F3" s="46"/>
      <c r="G3" s="46" t="s">
        <v>52</v>
      </c>
      <c r="H3" s="46"/>
      <c r="I3" s="46"/>
      <c r="J3" s="46"/>
    </row>
    <row r="4" spans="1:10" x14ac:dyDescent="0.3">
      <c r="A4" s="47" t="s">
        <v>50</v>
      </c>
      <c r="B4" s="55" t="s">
        <v>44</v>
      </c>
      <c r="C4" s="55" t="s">
        <v>45</v>
      </c>
      <c r="D4" s="55" t="s">
        <v>46</v>
      </c>
      <c r="E4" s="55" t="s">
        <v>47</v>
      </c>
      <c r="F4" s="55" t="s">
        <v>48</v>
      </c>
      <c r="G4" s="55" t="s">
        <v>44</v>
      </c>
      <c r="H4" s="55" t="s">
        <v>45</v>
      </c>
      <c r="I4" s="55" t="s">
        <v>46</v>
      </c>
      <c r="J4" s="55" t="s">
        <v>47</v>
      </c>
    </row>
    <row r="5" spans="1:10" x14ac:dyDescent="0.3">
      <c r="A5" s="176">
        <v>1</v>
      </c>
      <c r="B5" s="54">
        <v>1</v>
      </c>
      <c r="C5" s="54">
        <v>4</v>
      </c>
      <c r="D5" s="54">
        <v>9</v>
      </c>
      <c r="E5" s="54">
        <v>0</v>
      </c>
      <c r="F5" s="54">
        <f t="shared" ref="F5:F18" si="0">B5+C5+D5+E5</f>
        <v>14</v>
      </c>
      <c r="G5" s="139">
        <f t="shared" ref="G5:G18" si="1">B5/F5</f>
        <v>7.1428571428571425E-2</v>
      </c>
      <c r="H5" s="139">
        <f t="shared" ref="H5:H18" si="2">C5/F5</f>
        <v>0.2857142857142857</v>
      </c>
      <c r="I5" s="139">
        <f t="shared" ref="I5:I18" si="3">D5/F5</f>
        <v>0.6428571428571429</v>
      </c>
      <c r="J5" s="139">
        <f t="shared" ref="J5:J18" si="4">E5/F5</f>
        <v>0</v>
      </c>
    </row>
    <row r="6" spans="1:10" x14ac:dyDescent="0.3">
      <c r="A6" s="176">
        <v>2</v>
      </c>
      <c r="B6" s="54">
        <v>2</v>
      </c>
      <c r="C6" s="54">
        <v>3</v>
      </c>
      <c r="D6" s="54">
        <v>11</v>
      </c>
      <c r="E6" s="54">
        <v>0</v>
      </c>
      <c r="F6" s="54">
        <f t="shared" si="0"/>
        <v>16</v>
      </c>
      <c r="G6" s="139">
        <f t="shared" si="1"/>
        <v>0.125</v>
      </c>
      <c r="H6" s="139">
        <f t="shared" si="2"/>
        <v>0.1875</v>
      </c>
      <c r="I6" s="139">
        <f t="shared" si="3"/>
        <v>0.6875</v>
      </c>
      <c r="J6" s="139">
        <f t="shared" si="4"/>
        <v>0</v>
      </c>
    </row>
    <row r="7" spans="1:10" x14ac:dyDescent="0.3">
      <c r="A7" s="176">
        <v>3</v>
      </c>
      <c r="B7" s="54">
        <v>2</v>
      </c>
      <c r="C7" s="54">
        <v>2</v>
      </c>
      <c r="D7" s="54">
        <v>10</v>
      </c>
      <c r="E7" s="54">
        <v>0</v>
      </c>
      <c r="F7" s="54">
        <f t="shared" si="0"/>
        <v>14</v>
      </c>
      <c r="G7" s="139">
        <f t="shared" si="1"/>
        <v>0.14285714285714285</v>
      </c>
      <c r="H7" s="139">
        <f t="shared" si="2"/>
        <v>0.14285714285714285</v>
      </c>
      <c r="I7" s="139">
        <f t="shared" si="3"/>
        <v>0.7142857142857143</v>
      </c>
      <c r="J7" s="139">
        <f t="shared" si="4"/>
        <v>0</v>
      </c>
    </row>
    <row r="8" spans="1:10" x14ac:dyDescent="0.3">
      <c r="A8" s="176">
        <v>4</v>
      </c>
      <c r="B8" s="54">
        <v>0</v>
      </c>
      <c r="C8" s="54">
        <v>3</v>
      </c>
      <c r="D8" s="54">
        <v>9</v>
      </c>
      <c r="E8" s="54">
        <v>0</v>
      </c>
      <c r="F8" s="54">
        <f t="shared" si="0"/>
        <v>12</v>
      </c>
      <c r="G8" s="139">
        <f t="shared" si="1"/>
        <v>0</v>
      </c>
      <c r="H8" s="139">
        <f t="shared" si="2"/>
        <v>0.25</v>
      </c>
      <c r="I8" s="139">
        <f t="shared" si="3"/>
        <v>0.75</v>
      </c>
      <c r="J8" s="139">
        <f t="shared" si="4"/>
        <v>0</v>
      </c>
    </row>
    <row r="9" spans="1:10" x14ac:dyDescent="0.3">
      <c r="A9" s="176">
        <v>5</v>
      </c>
      <c r="B9" s="54">
        <v>0</v>
      </c>
      <c r="C9" s="54">
        <v>2</v>
      </c>
      <c r="D9" s="54">
        <v>2</v>
      </c>
      <c r="E9" s="54">
        <v>0</v>
      </c>
      <c r="F9" s="54">
        <f t="shared" si="0"/>
        <v>4</v>
      </c>
      <c r="G9" s="139">
        <f t="shared" si="1"/>
        <v>0</v>
      </c>
      <c r="H9" s="139">
        <f t="shared" si="2"/>
        <v>0.5</v>
      </c>
      <c r="I9" s="139">
        <f t="shared" si="3"/>
        <v>0.5</v>
      </c>
      <c r="J9" s="139">
        <f t="shared" si="4"/>
        <v>0</v>
      </c>
    </row>
    <row r="10" spans="1:10" x14ac:dyDescent="0.3">
      <c r="A10" s="176">
        <v>6</v>
      </c>
      <c r="B10" s="54">
        <v>1</v>
      </c>
      <c r="C10" s="54">
        <v>2</v>
      </c>
      <c r="D10" s="54">
        <v>9</v>
      </c>
      <c r="E10" s="54">
        <v>0</v>
      </c>
      <c r="F10" s="54">
        <f t="shared" si="0"/>
        <v>12</v>
      </c>
      <c r="G10" s="139">
        <f t="shared" si="1"/>
        <v>8.3333333333333329E-2</v>
      </c>
      <c r="H10" s="139">
        <f t="shared" si="2"/>
        <v>0.16666666666666666</v>
      </c>
      <c r="I10" s="139">
        <f t="shared" si="3"/>
        <v>0.75</v>
      </c>
      <c r="J10" s="139">
        <f t="shared" si="4"/>
        <v>0</v>
      </c>
    </row>
    <row r="11" spans="1:10" x14ac:dyDescent="0.3">
      <c r="A11" s="176">
        <v>7</v>
      </c>
      <c r="B11" s="54">
        <v>2</v>
      </c>
      <c r="C11" s="54">
        <v>5</v>
      </c>
      <c r="D11" s="54">
        <v>6</v>
      </c>
      <c r="E11" s="54">
        <v>0</v>
      </c>
      <c r="F11" s="54">
        <f t="shared" si="0"/>
        <v>13</v>
      </c>
      <c r="G11" s="139">
        <f t="shared" si="1"/>
        <v>0.15384615384615385</v>
      </c>
      <c r="H11" s="139">
        <f t="shared" si="2"/>
        <v>0.38461538461538464</v>
      </c>
      <c r="I11" s="139">
        <f t="shared" si="3"/>
        <v>0.46153846153846156</v>
      </c>
      <c r="J11" s="139">
        <f t="shared" si="4"/>
        <v>0</v>
      </c>
    </row>
    <row r="12" spans="1:10" x14ac:dyDescent="0.3">
      <c r="A12" s="176">
        <v>8</v>
      </c>
      <c r="B12" s="54">
        <v>0</v>
      </c>
      <c r="C12" s="54">
        <v>2</v>
      </c>
      <c r="D12" s="54">
        <v>6</v>
      </c>
      <c r="E12" s="54">
        <v>0</v>
      </c>
      <c r="F12" s="54">
        <f t="shared" si="0"/>
        <v>8</v>
      </c>
      <c r="G12" s="139">
        <f t="shared" si="1"/>
        <v>0</v>
      </c>
      <c r="H12" s="139">
        <f t="shared" si="2"/>
        <v>0.25</v>
      </c>
      <c r="I12" s="139">
        <f t="shared" si="3"/>
        <v>0.75</v>
      </c>
      <c r="J12" s="139">
        <f t="shared" si="4"/>
        <v>0</v>
      </c>
    </row>
    <row r="13" spans="1:10" x14ac:dyDescent="0.3">
      <c r="A13" s="176">
        <v>9</v>
      </c>
      <c r="B13" s="54">
        <v>0</v>
      </c>
      <c r="C13" s="54">
        <v>3</v>
      </c>
      <c r="D13" s="54">
        <v>6</v>
      </c>
      <c r="E13" s="54">
        <v>0</v>
      </c>
      <c r="F13" s="54">
        <f t="shared" si="0"/>
        <v>9</v>
      </c>
      <c r="G13" s="139">
        <f t="shared" si="1"/>
        <v>0</v>
      </c>
      <c r="H13" s="139">
        <f t="shared" si="2"/>
        <v>0.33333333333333331</v>
      </c>
      <c r="I13" s="139">
        <f t="shared" si="3"/>
        <v>0.66666666666666663</v>
      </c>
      <c r="J13" s="139">
        <f t="shared" si="4"/>
        <v>0</v>
      </c>
    </row>
    <row r="14" spans="1:10" x14ac:dyDescent="0.3">
      <c r="A14" s="176">
        <v>10</v>
      </c>
      <c r="B14" s="54">
        <v>0</v>
      </c>
      <c r="C14" s="54">
        <v>4</v>
      </c>
      <c r="D14" s="54">
        <v>8</v>
      </c>
      <c r="E14" s="54">
        <v>0</v>
      </c>
      <c r="F14" s="54">
        <f t="shared" si="0"/>
        <v>12</v>
      </c>
      <c r="G14" s="139">
        <f t="shared" si="1"/>
        <v>0</v>
      </c>
      <c r="H14" s="139">
        <f t="shared" si="2"/>
        <v>0.33333333333333331</v>
      </c>
      <c r="I14" s="139">
        <f t="shared" si="3"/>
        <v>0.66666666666666663</v>
      </c>
      <c r="J14" s="139">
        <f t="shared" si="4"/>
        <v>0</v>
      </c>
    </row>
    <row r="15" spans="1:10" x14ac:dyDescent="0.3">
      <c r="A15" s="176">
        <v>11</v>
      </c>
      <c r="B15" s="54">
        <v>1</v>
      </c>
      <c r="C15" s="54">
        <v>3</v>
      </c>
      <c r="D15" s="54">
        <v>8</v>
      </c>
      <c r="E15" s="54">
        <v>0</v>
      </c>
      <c r="F15" s="54">
        <f t="shared" si="0"/>
        <v>12</v>
      </c>
      <c r="G15" s="139">
        <f t="shared" si="1"/>
        <v>8.3333333333333329E-2</v>
      </c>
      <c r="H15" s="139">
        <f t="shared" si="2"/>
        <v>0.25</v>
      </c>
      <c r="I15" s="139">
        <f t="shared" si="3"/>
        <v>0.66666666666666663</v>
      </c>
      <c r="J15" s="139">
        <f t="shared" si="4"/>
        <v>0</v>
      </c>
    </row>
    <row r="16" spans="1:10" x14ac:dyDescent="0.3">
      <c r="A16" s="176">
        <v>12</v>
      </c>
      <c r="B16" s="54">
        <v>2</v>
      </c>
      <c r="C16" s="54">
        <v>5</v>
      </c>
      <c r="D16" s="54">
        <v>7</v>
      </c>
      <c r="E16" s="54">
        <v>0</v>
      </c>
      <c r="F16" s="54">
        <f t="shared" si="0"/>
        <v>14</v>
      </c>
      <c r="G16" s="139">
        <f t="shared" si="1"/>
        <v>0.14285714285714285</v>
      </c>
      <c r="H16" s="139">
        <f t="shared" si="2"/>
        <v>0.35714285714285715</v>
      </c>
      <c r="I16" s="139">
        <f t="shared" si="3"/>
        <v>0.5</v>
      </c>
      <c r="J16" s="139">
        <f t="shared" si="4"/>
        <v>0</v>
      </c>
    </row>
    <row r="17" spans="1:10" x14ac:dyDescent="0.3">
      <c r="A17" s="176">
        <v>13</v>
      </c>
      <c r="B17" s="54">
        <v>1</v>
      </c>
      <c r="C17" s="54">
        <v>3</v>
      </c>
      <c r="D17" s="54">
        <v>2</v>
      </c>
      <c r="E17" s="54">
        <v>0</v>
      </c>
      <c r="F17" s="54">
        <f t="shared" si="0"/>
        <v>6</v>
      </c>
      <c r="G17" s="139">
        <f t="shared" si="1"/>
        <v>0.16666666666666666</v>
      </c>
      <c r="H17" s="139">
        <f t="shared" si="2"/>
        <v>0.5</v>
      </c>
      <c r="I17" s="139">
        <f t="shared" si="3"/>
        <v>0.33333333333333331</v>
      </c>
      <c r="J17" s="139">
        <f t="shared" si="4"/>
        <v>0</v>
      </c>
    </row>
    <row r="18" spans="1:10" x14ac:dyDescent="0.3">
      <c r="A18" s="176">
        <v>14</v>
      </c>
      <c r="B18" s="54">
        <v>0</v>
      </c>
      <c r="C18" s="54">
        <v>3</v>
      </c>
      <c r="D18" s="54">
        <v>7</v>
      </c>
      <c r="E18" s="54">
        <v>1</v>
      </c>
      <c r="F18" s="54">
        <f t="shared" si="0"/>
        <v>11</v>
      </c>
      <c r="G18" s="139">
        <f t="shared" si="1"/>
        <v>0</v>
      </c>
      <c r="H18" s="139">
        <f t="shared" si="2"/>
        <v>0.27272727272727271</v>
      </c>
      <c r="I18" s="139">
        <f t="shared" si="3"/>
        <v>0.63636363636363635</v>
      </c>
      <c r="J18" s="139">
        <f>E18/F18</f>
        <v>9.0909090909090912E-2</v>
      </c>
    </row>
    <row r="19" spans="1:10" x14ac:dyDescent="0.3">
      <c r="A19" s="51"/>
      <c r="B19" s="51"/>
      <c r="C19" s="51"/>
      <c r="D19" s="51"/>
      <c r="E19" s="51"/>
      <c r="F19" s="51"/>
      <c r="G19" s="140"/>
      <c r="H19" s="140"/>
      <c r="I19" s="140"/>
      <c r="J19" s="140"/>
    </row>
    <row r="20" spans="1:10" s="18" customFormat="1" x14ac:dyDescent="0.3">
      <c r="A20" s="47" t="s">
        <v>51</v>
      </c>
      <c r="B20" s="46" t="s">
        <v>49</v>
      </c>
      <c r="C20" s="46"/>
      <c r="D20" s="46"/>
      <c r="E20" s="46"/>
      <c r="F20" s="46"/>
      <c r="G20" s="141" t="s">
        <v>52</v>
      </c>
      <c r="H20" s="141"/>
      <c r="I20" s="141"/>
      <c r="J20" s="141"/>
    </row>
    <row r="21" spans="1:10" s="18" customFormat="1" x14ac:dyDescent="0.3">
      <c r="A21" s="47" t="s">
        <v>43</v>
      </c>
      <c r="B21" s="55" t="s">
        <v>44</v>
      </c>
      <c r="C21" s="55" t="s">
        <v>45</v>
      </c>
      <c r="D21" s="55" t="s">
        <v>46</v>
      </c>
      <c r="E21" s="55" t="s">
        <v>47</v>
      </c>
      <c r="F21" s="55" t="s">
        <v>48</v>
      </c>
      <c r="G21" s="142" t="s">
        <v>44</v>
      </c>
      <c r="H21" s="142" t="s">
        <v>45</v>
      </c>
      <c r="I21" s="142" t="s">
        <v>46</v>
      </c>
      <c r="J21" s="142" t="s">
        <v>47</v>
      </c>
    </row>
    <row r="22" spans="1:10" x14ac:dyDescent="0.3">
      <c r="A22" s="176">
        <v>1</v>
      </c>
      <c r="B22" s="54">
        <v>1</v>
      </c>
      <c r="C22" s="54">
        <v>3</v>
      </c>
      <c r="D22" s="54">
        <v>14</v>
      </c>
      <c r="E22" s="54">
        <v>3</v>
      </c>
      <c r="F22" s="54">
        <f t="shared" ref="F22:F30" si="5">B22+C22+D22+E22</f>
        <v>21</v>
      </c>
      <c r="G22" s="139">
        <f t="shared" ref="G22:G30" si="6">B22/F22</f>
        <v>4.7619047619047616E-2</v>
      </c>
      <c r="H22" s="139">
        <f t="shared" ref="H22:H30" si="7">C22/F22</f>
        <v>0.14285714285714285</v>
      </c>
      <c r="I22" s="139">
        <f t="shared" ref="I22:I30" si="8">D22/F22</f>
        <v>0.66666666666666663</v>
      </c>
      <c r="J22" s="139">
        <f t="shared" ref="J22:J30" si="9">E22/F22</f>
        <v>0.14285714285714285</v>
      </c>
    </row>
    <row r="23" spans="1:10" x14ac:dyDescent="0.3">
      <c r="A23" s="176">
        <v>2</v>
      </c>
      <c r="B23" s="54">
        <v>0</v>
      </c>
      <c r="C23" s="54">
        <v>0</v>
      </c>
      <c r="D23" s="54">
        <v>4</v>
      </c>
      <c r="E23" s="54">
        <v>1</v>
      </c>
      <c r="F23" s="54">
        <f t="shared" si="5"/>
        <v>5</v>
      </c>
      <c r="G23" s="139">
        <f t="shared" si="6"/>
        <v>0</v>
      </c>
      <c r="H23" s="139">
        <f t="shared" si="7"/>
        <v>0</v>
      </c>
      <c r="I23" s="139">
        <f t="shared" si="8"/>
        <v>0.8</v>
      </c>
      <c r="J23" s="139">
        <f t="shared" si="9"/>
        <v>0.2</v>
      </c>
    </row>
    <row r="24" spans="1:10" x14ac:dyDescent="0.3">
      <c r="A24" s="176">
        <v>3</v>
      </c>
      <c r="B24" s="54">
        <v>0</v>
      </c>
      <c r="C24" s="54">
        <v>1</v>
      </c>
      <c r="D24" s="54">
        <v>4</v>
      </c>
      <c r="E24" s="54">
        <v>5</v>
      </c>
      <c r="F24" s="54">
        <f t="shared" si="5"/>
        <v>10</v>
      </c>
      <c r="G24" s="139">
        <f t="shared" si="6"/>
        <v>0</v>
      </c>
      <c r="H24" s="139">
        <f t="shared" si="7"/>
        <v>0.1</v>
      </c>
      <c r="I24" s="139">
        <f t="shared" si="8"/>
        <v>0.4</v>
      </c>
      <c r="J24" s="139">
        <f t="shared" si="9"/>
        <v>0.5</v>
      </c>
    </row>
    <row r="25" spans="1:10" x14ac:dyDescent="0.3">
      <c r="A25" s="176">
        <v>4</v>
      </c>
      <c r="B25" s="54">
        <v>0</v>
      </c>
      <c r="C25" s="54">
        <v>3</v>
      </c>
      <c r="D25" s="54">
        <v>8</v>
      </c>
      <c r="E25" s="54">
        <v>1</v>
      </c>
      <c r="F25" s="54">
        <f t="shared" si="5"/>
        <v>12</v>
      </c>
      <c r="G25" s="139">
        <f t="shared" si="6"/>
        <v>0</v>
      </c>
      <c r="H25" s="139">
        <f t="shared" si="7"/>
        <v>0.25</v>
      </c>
      <c r="I25" s="139">
        <f t="shared" si="8"/>
        <v>0.66666666666666663</v>
      </c>
      <c r="J25" s="139">
        <f t="shared" si="9"/>
        <v>8.3333333333333329E-2</v>
      </c>
    </row>
    <row r="26" spans="1:10" x14ac:dyDescent="0.3">
      <c r="A26" s="176">
        <v>5</v>
      </c>
      <c r="B26" s="54">
        <v>1</v>
      </c>
      <c r="C26" s="54">
        <v>4</v>
      </c>
      <c r="D26" s="54">
        <v>11</v>
      </c>
      <c r="E26" s="54">
        <v>5</v>
      </c>
      <c r="F26" s="54">
        <f t="shared" si="5"/>
        <v>21</v>
      </c>
      <c r="G26" s="139">
        <f t="shared" si="6"/>
        <v>4.7619047619047616E-2</v>
      </c>
      <c r="H26" s="139">
        <f t="shared" si="7"/>
        <v>0.19047619047619047</v>
      </c>
      <c r="I26" s="139">
        <f t="shared" si="8"/>
        <v>0.52380952380952384</v>
      </c>
      <c r="J26" s="139">
        <f t="shared" si="9"/>
        <v>0.23809523809523808</v>
      </c>
    </row>
    <row r="27" spans="1:10" x14ac:dyDescent="0.3">
      <c r="A27" s="176">
        <v>6</v>
      </c>
      <c r="B27" s="54">
        <v>1</v>
      </c>
      <c r="C27" s="54">
        <v>3</v>
      </c>
      <c r="D27" s="54">
        <v>13</v>
      </c>
      <c r="E27" s="54">
        <v>2</v>
      </c>
      <c r="F27" s="54">
        <f t="shared" si="5"/>
        <v>19</v>
      </c>
      <c r="G27" s="139">
        <f t="shared" si="6"/>
        <v>5.2631578947368418E-2</v>
      </c>
      <c r="H27" s="139">
        <f t="shared" si="7"/>
        <v>0.15789473684210525</v>
      </c>
      <c r="I27" s="139">
        <f t="shared" si="8"/>
        <v>0.68421052631578949</v>
      </c>
      <c r="J27" s="139">
        <f t="shared" si="9"/>
        <v>0.10526315789473684</v>
      </c>
    </row>
    <row r="28" spans="1:10" x14ac:dyDescent="0.3">
      <c r="A28" s="176">
        <v>7</v>
      </c>
      <c r="B28" s="54">
        <v>0</v>
      </c>
      <c r="C28" s="54">
        <v>2</v>
      </c>
      <c r="D28" s="54">
        <v>12</v>
      </c>
      <c r="E28" s="54">
        <v>4</v>
      </c>
      <c r="F28" s="54">
        <f t="shared" si="5"/>
        <v>18</v>
      </c>
      <c r="G28" s="139">
        <f t="shared" si="6"/>
        <v>0</v>
      </c>
      <c r="H28" s="139">
        <f t="shared" si="7"/>
        <v>0.1111111111111111</v>
      </c>
      <c r="I28" s="139">
        <f t="shared" si="8"/>
        <v>0.66666666666666663</v>
      </c>
      <c r="J28" s="139">
        <f t="shared" si="9"/>
        <v>0.22222222222222221</v>
      </c>
    </row>
    <row r="29" spans="1:10" x14ac:dyDescent="0.3">
      <c r="A29" s="176">
        <v>8</v>
      </c>
      <c r="B29" s="54">
        <v>0</v>
      </c>
      <c r="C29" s="54">
        <v>2</v>
      </c>
      <c r="D29" s="54">
        <v>12</v>
      </c>
      <c r="E29" s="54">
        <v>3</v>
      </c>
      <c r="F29" s="54">
        <f t="shared" si="5"/>
        <v>17</v>
      </c>
      <c r="G29" s="139">
        <f t="shared" si="6"/>
        <v>0</v>
      </c>
      <c r="H29" s="139">
        <f t="shared" si="7"/>
        <v>0.11764705882352941</v>
      </c>
      <c r="I29" s="139">
        <f t="shared" si="8"/>
        <v>0.70588235294117652</v>
      </c>
      <c r="J29" s="139">
        <f t="shared" si="9"/>
        <v>0.17647058823529413</v>
      </c>
    </row>
    <row r="30" spans="1:10" x14ac:dyDescent="0.3">
      <c r="A30" s="176">
        <v>9</v>
      </c>
      <c r="B30" s="54">
        <v>1</v>
      </c>
      <c r="C30" s="54">
        <v>4</v>
      </c>
      <c r="D30" s="54">
        <v>7</v>
      </c>
      <c r="E30" s="54">
        <v>8</v>
      </c>
      <c r="F30" s="54">
        <f t="shared" si="5"/>
        <v>20</v>
      </c>
      <c r="G30" s="139">
        <f t="shared" si="6"/>
        <v>0.05</v>
      </c>
      <c r="H30" s="139">
        <f t="shared" si="7"/>
        <v>0.2</v>
      </c>
      <c r="I30" s="139">
        <f t="shared" si="8"/>
        <v>0.35</v>
      </c>
      <c r="J30" s="139">
        <f t="shared" si="9"/>
        <v>0.4</v>
      </c>
    </row>
    <row r="31" spans="1:10" x14ac:dyDescent="0.3">
      <c r="A31" s="53"/>
      <c r="B31" s="52"/>
      <c r="C31" s="52"/>
      <c r="D31" s="52"/>
      <c r="E31" s="52"/>
      <c r="F31" s="52"/>
      <c r="G31" s="52"/>
      <c r="H31" s="52"/>
      <c r="I31" s="52"/>
      <c r="J31" s="52"/>
    </row>
    <row r="32" spans="1:10" x14ac:dyDescent="0.3">
      <c r="A32" s="53"/>
      <c r="B32" s="52"/>
      <c r="C32" s="52"/>
      <c r="D32" s="52"/>
      <c r="E32" s="52"/>
      <c r="F32" s="52"/>
      <c r="G32" s="52"/>
      <c r="H32" s="52"/>
      <c r="I32" s="52"/>
      <c r="J32" s="52"/>
    </row>
  </sheetData>
  <mergeCells count="5">
    <mergeCell ref="A1:B1"/>
    <mergeCell ref="B3:F3"/>
    <mergeCell ref="G3:J3"/>
    <mergeCell ref="B20:F20"/>
    <mergeCell ref="G20:J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Fig 1b</vt:lpstr>
      <vt:lpstr>Fig2a </vt:lpstr>
      <vt:lpstr>Fig 2b</vt:lpstr>
      <vt:lpstr>SupFig 4a</vt:lpstr>
      <vt:lpstr>SupFig 5</vt:lpstr>
      <vt:lpstr>'Fig 1b'!Print_Area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</dc:creator>
  <cp:lastModifiedBy>Xin Ni Lim</cp:lastModifiedBy>
  <dcterms:created xsi:type="dcterms:W3CDTF">2020-05-08T02:50:18Z</dcterms:created>
  <dcterms:modified xsi:type="dcterms:W3CDTF">2020-05-17T19:11:55Z</dcterms:modified>
</cp:coreProperties>
</file>