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11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/Users/mcb52/Desktop/FIG CHANGES NAT COMM/FINAL REVISED SUBMISSION/FINAL/"/>
    </mc:Choice>
  </mc:AlternateContent>
  <xr:revisionPtr revIDLastSave="0" documentId="13_ncr:1_{B0843A83-6DE9-3143-8E95-3FDE3B2AED9A}" xr6:coauthVersionLast="46" xr6:coauthVersionMax="46" xr10:uidLastSave="{00000000-0000-0000-0000-000000000000}"/>
  <bookViews>
    <workbookView xWindow="41340" yWindow="1080" windowWidth="30380" windowHeight="19640" firstSheet="28" activeTab="29" xr2:uid="{1070E32B-9F12-1B4A-805C-4793FA6E3734}"/>
  </bookViews>
  <sheets>
    <sheet name="Fig 1b" sheetId="11" r:id="rId1"/>
    <sheet name="Fig 1c " sheetId="10" r:id="rId2"/>
    <sheet name="Fig 1d, Fig S2" sheetId="8" r:id="rId3"/>
    <sheet name="Fig 1e" sheetId="9" r:id="rId4"/>
    <sheet name="Fig 1f, Fig S3" sheetId="17" r:id="rId5"/>
    <sheet name="Fig 1g" sheetId="18" r:id="rId6"/>
    <sheet name="Fig1h, FigS4" sheetId="19" r:id="rId7"/>
    <sheet name="Fig2a, Fig S5a" sheetId="2" r:id="rId8"/>
    <sheet name="Fig2b, Fig S5b,c" sheetId="1" r:id="rId9"/>
    <sheet name="Fig2c" sheetId="3" r:id="rId10"/>
    <sheet name="Fig 2d" sheetId="6" r:id="rId11"/>
    <sheet name="Fig 3a, b" sheetId="4" r:id="rId12"/>
    <sheet name="Fig 3c, d" sheetId="5" r:id="rId13"/>
    <sheet name="Fig 3e, Fig S5f" sheetId="7" r:id="rId14"/>
    <sheet name="Fig 4a" sheetId="12" r:id="rId15"/>
    <sheet name="Fig S6a" sheetId="48" r:id="rId16"/>
    <sheet name="Fig S6b" sheetId="57" r:id="rId17"/>
    <sheet name="Fig S6c" sheetId="49" r:id="rId18"/>
    <sheet name="Fig 4b" sheetId="22" r:id="rId19"/>
    <sheet name="Fig S6d-f" sheetId="51" r:id="rId20"/>
    <sheet name="Fig S6g" sheetId="52" r:id="rId21"/>
    <sheet name="Fig S6h" sheetId="53" r:id="rId22"/>
    <sheet name="Fig S6i-k" sheetId="54" r:id="rId23"/>
    <sheet name="Fig 4c" sheetId="23" r:id="rId24"/>
    <sheet name="Fig 4d" sheetId="24" r:id="rId25"/>
    <sheet name="Fig 4f" sheetId="25" r:id="rId26"/>
    <sheet name="Fig 4g" sheetId="26" r:id="rId27"/>
    <sheet name="Fig 5a, FigS8 blots" sheetId="27" r:id="rId28"/>
    <sheet name="Fig 5b quant" sheetId="28" r:id="rId29"/>
    <sheet name="Fig 5c" sheetId="29" r:id="rId30"/>
    <sheet name="Fig 5d" sheetId="30" r:id="rId31"/>
    <sheet name="Fig 6a" sheetId="31" r:id="rId32"/>
    <sheet name="Fig S9a" sheetId="55" r:id="rId33"/>
    <sheet name="Fig 6b" sheetId="32" r:id="rId34"/>
    <sheet name="Fig 6c" sheetId="33" r:id="rId35"/>
    <sheet name="Fig S9b-d" sheetId="56" r:id="rId36"/>
    <sheet name="Fig7a, Fig S10a" sheetId="13" r:id="rId37"/>
    <sheet name="Fig 7c" sheetId="34" r:id="rId38"/>
    <sheet name="Fig 7d" sheetId="20" r:id="rId39"/>
    <sheet name="Fig 7e" sheetId="35" r:id="rId40"/>
    <sheet name="Fig 8b, Fig S11" sheetId="36" r:id="rId41"/>
    <sheet name="Fig 8c" sheetId="37" r:id="rId42"/>
    <sheet name="Fig8d, Fig S12b,c" sheetId="38" r:id="rId43"/>
    <sheet name="Fig 8f" sheetId="40" r:id="rId44"/>
    <sheet name="Fig 9a, S13" sheetId="41" r:id="rId45"/>
    <sheet name="Fig 9b" sheetId="42" r:id="rId46"/>
    <sheet name="Fig 9c" sheetId="15" r:id="rId47"/>
    <sheet name="Fig 9d" sheetId="14" r:id="rId48"/>
    <sheet name="Fig 9e, FigS14a" sheetId="43" r:id="rId49"/>
    <sheet name="Fig 9f" sheetId="44" r:id="rId50"/>
    <sheet name="Fig 9g, Fig S14b" sheetId="16" r:id="rId51"/>
    <sheet name="Fig 9h" sheetId="45" r:id="rId52"/>
    <sheet name="Fig 9i, S14c" sheetId="47" r:id="rId53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O39" i="49" l="1"/>
  <c r="N39" i="49"/>
  <c r="M39" i="49"/>
  <c r="L39" i="49"/>
  <c r="K39" i="49"/>
  <c r="J39" i="49"/>
  <c r="O38" i="49"/>
  <c r="N38" i="49"/>
  <c r="M38" i="49"/>
  <c r="L38" i="49"/>
  <c r="K38" i="49"/>
  <c r="J38" i="49"/>
  <c r="O37" i="49"/>
  <c r="N37" i="49"/>
  <c r="M37" i="49"/>
  <c r="L37" i="49"/>
  <c r="K37" i="49"/>
  <c r="J37" i="49"/>
  <c r="O36" i="49"/>
  <c r="V36" i="49" s="1"/>
  <c r="N36" i="49"/>
  <c r="U36" i="49" s="1"/>
  <c r="M36" i="49"/>
  <c r="L36" i="49"/>
  <c r="K36" i="49"/>
  <c r="J36" i="49"/>
  <c r="O35" i="49"/>
  <c r="N35" i="49"/>
  <c r="M35" i="49"/>
  <c r="L35" i="49"/>
  <c r="K35" i="49"/>
  <c r="J35" i="49"/>
  <c r="O34" i="49"/>
  <c r="V34" i="49" s="1"/>
  <c r="N34" i="49"/>
  <c r="U34" i="49" s="1"/>
  <c r="M34" i="49"/>
  <c r="L34" i="49"/>
  <c r="K34" i="49"/>
  <c r="J34" i="49"/>
  <c r="O33" i="49"/>
  <c r="V33" i="49" s="1"/>
  <c r="N33" i="49"/>
  <c r="U33" i="49" s="1"/>
  <c r="M33" i="49"/>
  <c r="T33" i="49" s="1"/>
  <c r="L33" i="49"/>
  <c r="S33" i="49" s="1"/>
  <c r="K33" i="49"/>
  <c r="R33" i="49" s="1"/>
  <c r="J33" i="49"/>
  <c r="Q33" i="49" s="1"/>
  <c r="O31" i="49"/>
  <c r="N31" i="49"/>
  <c r="M31" i="49"/>
  <c r="L31" i="49"/>
  <c r="K31" i="49"/>
  <c r="J31" i="49"/>
  <c r="O30" i="49"/>
  <c r="N30" i="49"/>
  <c r="M30" i="49"/>
  <c r="L30" i="49"/>
  <c r="K30" i="49"/>
  <c r="J30" i="49"/>
  <c r="O29" i="49"/>
  <c r="V29" i="49" s="1"/>
  <c r="N29" i="49"/>
  <c r="M29" i="49"/>
  <c r="L29" i="49"/>
  <c r="K29" i="49"/>
  <c r="J29" i="49"/>
  <c r="O28" i="49"/>
  <c r="N28" i="49"/>
  <c r="M28" i="49"/>
  <c r="L28" i="49"/>
  <c r="K28" i="49"/>
  <c r="J28" i="49"/>
  <c r="O27" i="49"/>
  <c r="V27" i="49" s="1"/>
  <c r="N27" i="49"/>
  <c r="U27" i="49" s="1"/>
  <c r="M27" i="49"/>
  <c r="L27" i="49"/>
  <c r="K27" i="49"/>
  <c r="J27" i="49"/>
  <c r="O26" i="49"/>
  <c r="N26" i="49"/>
  <c r="M26" i="49"/>
  <c r="L26" i="49"/>
  <c r="K26" i="49"/>
  <c r="J26" i="49"/>
  <c r="O25" i="49"/>
  <c r="V25" i="49" s="1"/>
  <c r="N25" i="49"/>
  <c r="U25" i="49" s="1"/>
  <c r="M25" i="49"/>
  <c r="L25" i="49"/>
  <c r="K25" i="49"/>
  <c r="J25" i="49"/>
  <c r="O24" i="49"/>
  <c r="N24" i="49"/>
  <c r="M24" i="49"/>
  <c r="L24" i="49"/>
  <c r="K24" i="49"/>
  <c r="J24" i="49"/>
  <c r="O23" i="49"/>
  <c r="V23" i="49" s="1"/>
  <c r="N23" i="49"/>
  <c r="U23" i="49" s="1"/>
  <c r="M23" i="49"/>
  <c r="L23" i="49"/>
  <c r="K23" i="49"/>
  <c r="J23" i="49"/>
  <c r="O22" i="49"/>
  <c r="V22" i="49" s="1"/>
  <c r="N22" i="49"/>
  <c r="U22" i="49" s="1"/>
  <c r="M22" i="49"/>
  <c r="T22" i="49" s="1"/>
  <c r="L22" i="49"/>
  <c r="S22" i="49" s="1"/>
  <c r="K22" i="49"/>
  <c r="R22" i="49" s="1"/>
  <c r="J22" i="49"/>
  <c r="Q22" i="49" s="1"/>
  <c r="O20" i="49"/>
  <c r="N20" i="49"/>
  <c r="M20" i="49"/>
  <c r="L20" i="49"/>
  <c r="K20" i="49"/>
  <c r="J20" i="49"/>
  <c r="O19" i="49"/>
  <c r="N19" i="49"/>
  <c r="M19" i="49"/>
  <c r="T19" i="49" s="1"/>
  <c r="L19" i="49"/>
  <c r="S19" i="49" s="1"/>
  <c r="K19" i="49"/>
  <c r="J19" i="49"/>
  <c r="O18" i="49"/>
  <c r="N18" i="49"/>
  <c r="M18" i="49"/>
  <c r="L18" i="49"/>
  <c r="K18" i="49"/>
  <c r="J18" i="49"/>
  <c r="O17" i="49"/>
  <c r="N17" i="49"/>
  <c r="M17" i="49"/>
  <c r="T17" i="49" s="1"/>
  <c r="L17" i="49"/>
  <c r="S17" i="49" s="1"/>
  <c r="K17" i="49"/>
  <c r="J17" i="49"/>
  <c r="O16" i="49"/>
  <c r="N16" i="49"/>
  <c r="M16" i="49"/>
  <c r="L16" i="49"/>
  <c r="K16" i="49"/>
  <c r="J16" i="49"/>
  <c r="O15" i="49"/>
  <c r="N15" i="49"/>
  <c r="M15" i="49"/>
  <c r="T15" i="49" s="1"/>
  <c r="L15" i="49"/>
  <c r="S15" i="49" s="1"/>
  <c r="K15" i="49"/>
  <c r="J15" i="49"/>
  <c r="O14" i="49"/>
  <c r="V14" i="49" s="1"/>
  <c r="N14" i="49"/>
  <c r="U14" i="49" s="1"/>
  <c r="M14" i="49"/>
  <c r="T14" i="49" s="1"/>
  <c r="L14" i="49"/>
  <c r="S14" i="49" s="1"/>
  <c r="K14" i="49"/>
  <c r="R14" i="49" s="1"/>
  <c r="J14" i="49"/>
  <c r="Q14" i="49" s="1"/>
  <c r="O12" i="49"/>
  <c r="N12" i="49"/>
  <c r="M12" i="49"/>
  <c r="T12" i="49" s="1"/>
  <c r="L12" i="49"/>
  <c r="K12" i="49"/>
  <c r="J12" i="49"/>
  <c r="O11" i="49"/>
  <c r="N11" i="49"/>
  <c r="M11" i="49"/>
  <c r="L11" i="49"/>
  <c r="K11" i="49"/>
  <c r="J11" i="49"/>
  <c r="O10" i="49"/>
  <c r="N10" i="49"/>
  <c r="M10" i="49"/>
  <c r="T10" i="49" s="1"/>
  <c r="L10" i="49"/>
  <c r="K10" i="49"/>
  <c r="J10" i="49"/>
  <c r="O9" i="49"/>
  <c r="N9" i="49"/>
  <c r="M9" i="49"/>
  <c r="L9" i="49"/>
  <c r="K9" i="49"/>
  <c r="J9" i="49"/>
  <c r="O8" i="49"/>
  <c r="N8" i="49"/>
  <c r="M8" i="49"/>
  <c r="T8" i="49" s="1"/>
  <c r="L8" i="49"/>
  <c r="S8" i="49" s="1"/>
  <c r="K8" i="49"/>
  <c r="J8" i="49"/>
  <c r="O7" i="49"/>
  <c r="N7" i="49"/>
  <c r="M7" i="49"/>
  <c r="L7" i="49"/>
  <c r="K7" i="49"/>
  <c r="J7" i="49"/>
  <c r="O6" i="49"/>
  <c r="N6" i="49"/>
  <c r="M6" i="49"/>
  <c r="T6" i="49" s="1"/>
  <c r="L6" i="49"/>
  <c r="S6" i="49" s="1"/>
  <c r="K6" i="49"/>
  <c r="J6" i="49"/>
  <c r="O5" i="49"/>
  <c r="N5" i="49"/>
  <c r="M5" i="49"/>
  <c r="L5" i="49"/>
  <c r="K5" i="49"/>
  <c r="J5" i="49"/>
  <c r="O4" i="49"/>
  <c r="N4" i="49"/>
  <c r="M4" i="49"/>
  <c r="T4" i="49" s="1"/>
  <c r="L4" i="49"/>
  <c r="S4" i="49" s="1"/>
  <c r="K4" i="49"/>
  <c r="J4" i="49"/>
  <c r="O3" i="49"/>
  <c r="V3" i="49" s="1"/>
  <c r="N3" i="49"/>
  <c r="U3" i="49" s="1"/>
  <c r="M3" i="49"/>
  <c r="T3" i="49" s="1"/>
  <c r="L3" i="49"/>
  <c r="S3" i="49" s="1"/>
  <c r="K3" i="49"/>
  <c r="R3" i="49" s="1"/>
  <c r="J3" i="49"/>
  <c r="Q3" i="49" s="1"/>
  <c r="Q27" i="49" l="1"/>
  <c r="V31" i="49"/>
  <c r="S10" i="49"/>
  <c r="S12" i="49"/>
  <c r="Q34" i="49"/>
  <c r="Q23" i="49"/>
  <c r="Q25" i="49"/>
  <c r="R23" i="49"/>
  <c r="R25" i="49"/>
  <c r="R27" i="49"/>
  <c r="R34" i="49"/>
  <c r="Q29" i="49"/>
  <c r="Q31" i="49"/>
  <c r="U31" i="49"/>
  <c r="V16" i="49"/>
  <c r="U29" i="49"/>
  <c r="R4" i="49"/>
  <c r="R6" i="49"/>
  <c r="R15" i="49"/>
  <c r="R19" i="49"/>
  <c r="S24" i="49"/>
  <c r="T28" i="49"/>
  <c r="U24" i="49"/>
  <c r="R17" i="49"/>
  <c r="Q36" i="49"/>
  <c r="R36" i="49"/>
  <c r="S5" i="49"/>
  <c r="R29" i="49"/>
  <c r="U38" i="49"/>
  <c r="V38" i="49"/>
  <c r="U5" i="49"/>
  <c r="U9" i="49"/>
  <c r="U18" i="49"/>
  <c r="V7" i="49"/>
  <c r="V11" i="49"/>
  <c r="V18" i="49"/>
  <c r="Q4" i="49"/>
  <c r="Q6" i="49"/>
  <c r="Q8" i="49"/>
  <c r="Q10" i="49"/>
  <c r="Q12" i="49"/>
  <c r="Q15" i="49"/>
  <c r="Q17" i="49"/>
  <c r="Q19" i="49"/>
  <c r="Q24" i="49"/>
  <c r="Q26" i="49"/>
  <c r="Q28" i="49"/>
  <c r="Q30" i="49"/>
  <c r="Q35" i="49"/>
  <c r="Q37" i="49"/>
  <c r="Q39" i="49"/>
  <c r="U7" i="49"/>
  <c r="U11" i="49"/>
  <c r="U16" i="49"/>
  <c r="U20" i="49"/>
  <c r="V5" i="49"/>
  <c r="V9" i="49"/>
  <c r="V20" i="49"/>
  <c r="R8" i="49"/>
  <c r="R10" i="49"/>
  <c r="R12" i="49"/>
  <c r="R24" i="49"/>
  <c r="R26" i="49"/>
  <c r="R28" i="49"/>
  <c r="R30" i="49"/>
  <c r="R35" i="49"/>
  <c r="R37" i="49"/>
  <c r="R39" i="49"/>
  <c r="S26" i="49"/>
  <c r="S28" i="49"/>
  <c r="S30" i="49"/>
  <c r="S35" i="49"/>
  <c r="S37" i="49"/>
  <c r="S39" i="49"/>
  <c r="T30" i="49"/>
  <c r="T35" i="49"/>
  <c r="T37" i="49"/>
  <c r="T39" i="49"/>
  <c r="U15" i="49"/>
  <c r="U39" i="49"/>
  <c r="T24" i="49"/>
  <c r="U10" i="49"/>
  <c r="U17" i="49"/>
  <c r="U19" i="49"/>
  <c r="U26" i="49"/>
  <c r="U28" i="49"/>
  <c r="U30" i="49"/>
  <c r="U35" i="49"/>
  <c r="U37" i="49"/>
  <c r="V4" i="49"/>
  <c r="V6" i="49"/>
  <c r="V8" i="49"/>
  <c r="V10" i="49"/>
  <c r="V12" i="49"/>
  <c r="V15" i="49"/>
  <c r="V17" i="49"/>
  <c r="V19" i="49"/>
  <c r="V24" i="49"/>
  <c r="V26" i="49"/>
  <c r="V28" i="49"/>
  <c r="V30" i="49"/>
  <c r="V35" i="49"/>
  <c r="V37" i="49"/>
  <c r="V39" i="49"/>
  <c r="Q38" i="49"/>
  <c r="T26" i="49"/>
  <c r="U8" i="49"/>
  <c r="Q7" i="49"/>
  <c r="Q16" i="49"/>
  <c r="Q18" i="49"/>
  <c r="Q20" i="49"/>
  <c r="R5" i="49"/>
  <c r="R7" i="49"/>
  <c r="R9" i="49"/>
  <c r="R11" i="49"/>
  <c r="R16" i="49"/>
  <c r="R18" i="49"/>
  <c r="R20" i="49"/>
  <c r="R31" i="49"/>
  <c r="R38" i="49"/>
  <c r="U4" i="49"/>
  <c r="U12" i="49"/>
  <c r="Q5" i="49"/>
  <c r="Q9" i="49"/>
  <c r="S9" i="49"/>
  <c r="S16" i="49"/>
  <c r="S20" i="49"/>
  <c r="S25" i="49"/>
  <c r="S31" i="49"/>
  <c r="S36" i="49"/>
  <c r="S38" i="49"/>
  <c r="U6" i="49"/>
  <c r="Q11" i="49"/>
  <c r="S7" i="49"/>
  <c r="S11" i="49"/>
  <c r="S18" i="49"/>
  <c r="S23" i="49"/>
  <c r="S27" i="49"/>
  <c r="S29" i="49"/>
  <c r="S34" i="49"/>
  <c r="T5" i="49"/>
  <c r="T7" i="49"/>
  <c r="T9" i="49"/>
  <c r="T11" i="49"/>
  <c r="T16" i="49"/>
  <c r="T18" i="49"/>
  <c r="T20" i="49"/>
  <c r="T23" i="49"/>
  <c r="T25" i="49"/>
  <c r="T27" i="49"/>
  <c r="T29" i="49"/>
  <c r="T31" i="49"/>
  <c r="T34" i="49"/>
  <c r="T36" i="49"/>
  <c r="T38" i="49"/>
  <c r="T6" i="33"/>
  <c r="S6" i="33"/>
  <c r="R6" i="33"/>
  <c r="Q6" i="33"/>
  <c r="P6" i="33"/>
  <c r="O6" i="33"/>
  <c r="N6" i="33"/>
  <c r="M6" i="33"/>
  <c r="L6" i="33"/>
  <c r="L10" i="33" l="1"/>
  <c r="M10" i="33"/>
  <c r="N10" i="33"/>
  <c r="O10" i="33"/>
  <c r="P10" i="33"/>
  <c r="Q10" i="33"/>
  <c r="R10" i="33"/>
  <c r="S10" i="33"/>
  <c r="T10" i="33"/>
  <c r="T37" i="33"/>
  <c r="R37" i="33"/>
  <c r="Q37" i="33"/>
  <c r="P37" i="33"/>
  <c r="O37" i="33"/>
  <c r="N37" i="33"/>
  <c r="M37" i="33"/>
  <c r="L37" i="33"/>
  <c r="T36" i="33"/>
  <c r="R36" i="33"/>
  <c r="Q36" i="33"/>
  <c r="P36" i="33"/>
  <c r="O36" i="33"/>
  <c r="N36" i="33"/>
  <c r="M36" i="33"/>
  <c r="L36" i="33"/>
  <c r="T35" i="33"/>
  <c r="R35" i="33"/>
  <c r="Q35" i="33"/>
  <c r="P35" i="33"/>
  <c r="O35" i="33"/>
  <c r="N35" i="33"/>
  <c r="M35" i="33"/>
  <c r="L35" i="33"/>
  <c r="T34" i="33"/>
  <c r="R34" i="33"/>
  <c r="Q34" i="33"/>
  <c r="P34" i="33"/>
  <c r="O34" i="33"/>
  <c r="N34" i="33"/>
  <c r="M34" i="33"/>
  <c r="L34" i="33"/>
  <c r="T33" i="33"/>
  <c r="R33" i="33"/>
  <c r="Q33" i="33"/>
  <c r="P33" i="33"/>
  <c r="O33" i="33"/>
  <c r="N33" i="33"/>
  <c r="M33" i="33"/>
  <c r="L33" i="33"/>
  <c r="T32" i="33"/>
  <c r="R32" i="33"/>
  <c r="Q32" i="33"/>
  <c r="P32" i="33"/>
  <c r="O32" i="33"/>
  <c r="N32" i="33"/>
  <c r="M32" i="33"/>
  <c r="L32" i="33"/>
  <c r="T31" i="33"/>
  <c r="R31" i="33"/>
  <c r="Q31" i="33"/>
  <c r="P31" i="33"/>
  <c r="O31" i="33"/>
  <c r="N31" i="33"/>
  <c r="M31" i="33"/>
  <c r="L31" i="33"/>
  <c r="T30" i="33"/>
  <c r="R30" i="33"/>
  <c r="Q30" i="33"/>
  <c r="P30" i="33"/>
  <c r="O30" i="33"/>
  <c r="N30" i="33"/>
  <c r="M30" i="33"/>
  <c r="L30" i="33"/>
  <c r="T29" i="33"/>
  <c r="R29" i="33"/>
  <c r="Q29" i="33"/>
  <c r="P29" i="33"/>
  <c r="O29" i="33"/>
  <c r="N29" i="33"/>
  <c r="M29" i="33"/>
  <c r="L29" i="33"/>
  <c r="T28" i="33"/>
  <c r="R28" i="33"/>
  <c r="Q28" i="33"/>
  <c r="P28" i="33"/>
  <c r="O28" i="33"/>
  <c r="N28" i="33"/>
  <c r="M28" i="33"/>
  <c r="L28" i="33"/>
  <c r="T27" i="33"/>
  <c r="R27" i="33"/>
  <c r="Q27" i="33"/>
  <c r="P27" i="33"/>
  <c r="O27" i="33"/>
  <c r="N27" i="33"/>
  <c r="M27" i="33"/>
  <c r="L27" i="33"/>
  <c r="T26" i="33"/>
  <c r="R26" i="33"/>
  <c r="Q26" i="33"/>
  <c r="P26" i="33"/>
  <c r="O26" i="33"/>
  <c r="N26" i="33"/>
  <c r="M26" i="33"/>
  <c r="L26" i="33"/>
  <c r="T25" i="33"/>
  <c r="R25" i="33"/>
  <c r="Q25" i="33"/>
  <c r="P25" i="33"/>
  <c r="O25" i="33"/>
  <c r="N25" i="33"/>
  <c r="M25" i="33"/>
  <c r="L25" i="33"/>
  <c r="T24" i="33"/>
  <c r="R24" i="33"/>
  <c r="Q24" i="33"/>
  <c r="P24" i="33"/>
  <c r="O24" i="33"/>
  <c r="N24" i="33"/>
  <c r="M24" i="33"/>
  <c r="L24" i="33"/>
  <c r="T23" i="33"/>
  <c r="R23" i="33"/>
  <c r="Q23" i="33"/>
  <c r="P23" i="33"/>
  <c r="O23" i="33"/>
  <c r="N23" i="33"/>
  <c r="M23" i="33"/>
  <c r="L23" i="33"/>
  <c r="T22" i="33"/>
  <c r="R22" i="33"/>
  <c r="Q22" i="33"/>
  <c r="P22" i="33"/>
  <c r="O22" i="33"/>
  <c r="N22" i="33"/>
  <c r="M22" i="33"/>
  <c r="L22" i="33"/>
  <c r="T18" i="33"/>
  <c r="S18" i="33"/>
  <c r="R18" i="33"/>
  <c r="Q18" i="33"/>
  <c r="P18" i="33"/>
  <c r="O18" i="33"/>
  <c r="N18" i="33"/>
  <c r="M18" i="33"/>
  <c r="L18" i="33"/>
  <c r="T17" i="33"/>
  <c r="S17" i="33"/>
  <c r="R17" i="33"/>
  <c r="Q17" i="33"/>
  <c r="P17" i="33"/>
  <c r="O17" i="33"/>
  <c r="N17" i="33"/>
  <c r="M17" i="33"/>
  <c r="L17" i="33"/>
  <c r="T16" i="33"/>
  <c r="S16" i="33"/>
  <c r="R16" i="33"/>
  <c r="Q16" i="33"/>
  <c r="P16" i="33"/>
  <c r="O16" i="33"/>
  <c r="N16" i="33"/>
  <c r="M16" i="33"/>
  <c r="L16" i="33"/>
  <c r="T15" i="33"/>
  <c r="S15" i="33"/>
  <c r="R15" i="33"/>
  <c r="Q15" i="33"/>
  <c r="P15" i="33"/>
  <c r="O15" i="33"/>
  <c r="N15" i="33"/>
  <c r="M15" i="33"/>
  <c r="L15" i="33"/>
  <c r="T14" i="33"/>
  <c r="S14" i="33"/>
  <c r="R14" i="33"/>
  <c r="Q14" i="33"/>
  <c r="P14" i="33"/>
  <c r="O14" i="33"/>
  <c r="N14" i="33"/>
  <c r="M14" i="33"/>
  <c r="L14" i="33"/>
  <c r="T13" i="33"/>
  <c r="S13" i="33"/>
  <c r="R13" i="33"/>
  <c r="Q13" i="33"/>
  <c r="P13" i="33"/>
  <c r="O13" i="33"/>
  <c r="N13" i="33"/>
  <c r="M13" i="33"/>
  <c r="L13" i="33"/>
  <c r="T12" i="33"/>
  <c r="S12" i="33"/>
  <c r="R12" i="33"/>
  <c r="Q12" i="33"/>
  <c r="P12" i="33"/>
  <c r="O12" i="33"/>
  <c r="N12" i="33"/>
  <c r="M12" i="33"/>
  <c r="L12" i="33"/>
  <c r="T11" i="33"/>
  <c r="S11" i="33"/>
  <c r="R11" i="33"/>
  <c r="Q11" i="33"/>
  <c r="P11" i="33"/>
  <c r="O11" i="33"/>
  <c r="N11" i="33"/>
  <c r="M11" i="33"/>
  <c r="L11" i="33"/>
  <c r="T9" i="33"/>
  <c r="S9" i="33"/>
  <c r="R9" i="33"/>
  <c r="Q9" i="33"/>
  <c r="P9" i="33"/>
  <c r="O9" i="33"/>
  <c r="N9" i="33"/>
  <c r="M9" i="33"/>
  <c r="L9" i="33"/>
  <c r="T8" i="33"/>
  <c r="S8" i="33"/>
  <c r="R8" i="33"/>
  <c r="Q8" i="33"/>
  <c r="P8" i="33"/>
  <c r="O8" i="33"/>
  <c r="N8" i="33"/>
  <c r="M8" i="33"/>
  <c r="L8" i="33"/>
  <c r="T7" i="33"/>
  <c r="S7" i="33"/>
  <c r="R7" i="33"/>
  <c r="Q7" i="33"/>
  <c r="P7" i="33"/>
  <c r="O7" i="33"/>
  <c r="N7" i="33"/>
  <c r="M7" i="33"/>
  <c r="L7" i="33"/>
  <c r="T5" i="33"/>
  <c r="S5" i="33"/>
  <c r="R5" i="33"/>
  <c r="Q5" i="33"/>
  <c r="P5" i="33"/>
  <c r="O5" i="33"/>
  <c r="N5" i="33"/>
  <c r="M5" i="33"/>
  <c r="L5" i="33"/>
  <c r="T4" i="33"/>
  <c r="S4" i="33"/>
  <c r="R4" i="33"/>
  <c r="Q4" i="33"/>
  <c r="P4" i="33"/>
  <c r="O4" i="33"/>
  <c r="N4" i="33"/>
  <c r="M4" i="33"/>
  <c r="L4" i="33"/>
  <c r="T3" i="33"/>
  <c r="S3" i="33"/>
  <c r="R3" i="33"/>
  <c r="Q3" i="33"/>
  <c r="P3" i="33"/>
  <c r="O3" i="33"/>
  <c r="N3" i="33"/>
  <c r="M3" i="33"/>
  <c r="L3" i="33"/>
  <c r="R55" i="32" l="1"/>
  <c r="Q55" i="32"/>
  <c r="P55" i="32"/>
  <c r="O55" i="32"/>
  <c r="N55" i="32"/>
  <c r="M55" i="32"/>
  <c r="L55" i="32"/>
  <c r="R54" i="32"/>
  <c r="Q54" i="32"/>
  <c r="P54" i="32"/>
  <c r="O54" i="32"/>
  <c r="N54" i="32"/>
  <c r="M54" i="32"/>
  <c r="L54" i="32"/>
  <c r="R53" i="32"/>
  <c r="Q53" i="32"/>
  <c r="P53" i="32"/>
  <c r="O53" i="32"/>
  <c r="N53" i="32"/>
  <c r="M53" i="32"/>
  <c r="L53" i="32"/>
  <c r="R52" i="32"/>
  <c r="Q52" i="32"/>
  <c r="P52" i="32"/>
  <c r="O52" i="32"/>
  <c r="N52" i="32"/>
  <c r="M52" i="32"/>
  <c r="L52" i="32"/>
  <c r="R51" i="32"/>
  <c r="Q51" i="32"/>
  <c r="P51" i="32"/>
  <c r="O51" i="32"/>
  <c r="N51" i="32"/>
  <c r="M51" i="32"/>
  <c r="L51" i="32"/>
  <c r="R50" i="32"/>
  <c r="Q50" i="32"/>
  <c r="P50" i="32"/>
  <c r="O50" i="32"/>
  <c r="N50" i="32"/>
  <c r="M50" i="32"/>
  <c r="L50" i="32"/>
  <c r="R49" i="32"/>
  <c r="Q49" i="32"/>
  <c r="P49" i="32"/>
  <c r="O49" i="32"/>
  <c r="N49" i="32"/>
  <c r="M49" i="32"/>
  <c r="L49" i="32"/>
  <c r="R48" i="32"/>
  <c r="Q48" i="32"/>
  <c r="P48" i="32"/>
  <c r="O48" i="32"/>
  <c r="N48" i="32"/>
  <c r="M48" i="32"/>
  <c r="L48" i="32"/>
  <c r="R46" i="32"/>
  <c r="Q46" i="32"/>
  <c r="P46" i="32"/>
  <c r="O46" i="32"/>
  <c r="N46" i="32"/>
  <c r="M46" i="32"/>
  <c r="L46" i="32"/>
  <c r="R45" i="32"/>
  <c r="Q45" i="32"/>
  <c r="P45" i="32"/>
  <c r="O45" i="32"/>
  <c r="N45" i="32"/>
  <c r="M45" i="32"/>
  <c r="L45" i="32"/>
  <c r="R44" i="32"/>
  <c r="Q44" i="32"/>
  <c r="P44" i="32"/>
  <c r="O44" i="32"/>
  <c r="N44" i="32"/>
  <c r="M44" i="32"/>
  <c r="L44" i="32"/>
  <c r="R43" i="32"/>
  <c r="Q43" i="32"/>
  <c r="P43" i="32"/>
  <c r="O43" i="32"/>
  <c r="N43" i="32"/>
  <c r="M43" i="32"/>
  <c r="L43" i="32"/>
  <c r="R42" i="32"/>
  <c r="Q42" i="32"/>
  <c r="P42" i="32"/>
  <c r="O42" i="32"/>
  <c r="N42" i="32"/>
  <c r="M42" i="32"/>
  <c r="L42" i="32"/>
  <c r="R41" i="32"/>
  <c r="Q41" i="32"/>
  <c r="P41" i="32"/>
  <c r="O41" i="32"/>
  <c r="N41" i="32"/>
  <c r="M41" i="32"/>
  <c r="L41" i="32"/>
  <c r="R40" i="32"/>
  <c r="Q40" i="32"/>
  <c r="P40" i="32"/>
  <c r="O40" i="32"/>
  <c r="N40" i="32"/>
  <c r="M40" i="32"/>
  <c r="L40" i="32"/>
  <c r="R39" i="32"/>
  <c r="Q39" i="32"/>
  <c r="P39" i="32"/>
  <c r="O39" i="32"/>
  <c r="N39" i="32"/>
  <c r="M39" i="32"/>
  <c r="L39" i="32"/>
  <c r="R37" i="32"/>
  <c r="Q37" i="32"/>
  <c r="P37" i="32"/>
  <c r="O37" i="32"/>
  <c r="N37" i="32"/>
  <c r="M37" i="32"/>
  <c r="L37" i="32"/>
  <c r="R36" i="32"/>
  <c r="Q36" i="32"/>
  <c r="P36" i="32"/>
  <c r="O36" i="32"/>
  <c r="N36" i="32"/>
  <c r="M36" i="32"/>
  <c r="L36" i="32"/>
  <c r="R35" i="32"/>
  <c r="Q35" i="32"/>
  <c r="P35" i="32"/>
  <c r="O35" i="32"/>
  <c r="N35" i="32"/>
  <c r="M35" i="32"/>
  <c r="L35" i="32"/>
  <c r="R34" i="32"/>
  <c r="Q34" i="32"/>
  <c r="P34" i="32"/>
  <c r="O34" i="32"/>
  <c r="N34" i="32"/>
  <c r="M34" i="32"/>
  <c r="L34" i="32"/>
  <c r="R33" i="32"/>
  <c r="Q33" i="32"/>
  <c r="P33" i="32"/>
  <c r="O33" i="32"/>
  <c r="N33" i="32"/>
  <c r="M33" i="32"/>
  <c r="L33" i="32"/>
  <c r="R32" i="32"/>
  <c r="Q32" i="32"/>
  <c r="P32" i="32"/>
  <c r="O32" i="32"/>
  <c r="N32" i="32"/>
  <c r="M32" i="32"/>
  <c r="L32" i="32"/>
  <c r="R31" i="32"/>
  <c r="Q31" i="32"/>
  <c r="P31" i="32"/>
  <c r="O31" i="32"/>
  <c r="N31" i="32"/>
  <c r="M31" i="32"/>
  <c r="L31" i="32"/>
  <c r="R30" i="32"/>
  <c r="Q30" i="32"/>
  <c r="P30" i="32"/>
  <c r="O30" i="32"/>
  <c r="N30" i="32"/>
  <c r="M30" i="32"/>
  <c r="L30" i="32"/>
  <c r="R28" i="32"/>
  <c r="Q28" i="32"/>
  <c r="P28" i="32"/>
  <c r="O28" i="32"/>
  <c r="N28" i="32"/>
  <c r="M28" i="32"/>
  <c r="L28" i="32"/>
  <c r="R27" i="32"/>
  <c r="Q27" i="32"/>
  <c r="P27" i="32"/>
  <c r="O27" i="32"/>
  <c r="N27" i="32"/>
  <c r="M27" i="32"/>
  <c r="L27" i="32"/>
  <c r="R26" i="32"/>
  <c r="Q26" i="32"/>
  <c r="P26" i="32"/>
  <c r="O26" i="32"/>
  <c r="N26" i="32"/>
  <c r="M26" i="32"/>
  <c r="L26" i="32"/>
  <c r="R25" i="32"/>
  <c r="Q25" i="32"/>
  <c r="P25" i="32"/>
  <c r="O25" i="32"/>
  <c r="N25" i="32"/>
  <c r="M25" i="32"/>
  <c r="L25" i="32"/>
  <c r="R24" i="32"/>
  <c r="Q24" i="32"/>
  <c r="P24" i="32"/>
  <c r="O24" i="32"/>
  <c r="N24" i="32"/>
  <c r="M24" i="32"/>
  <c r="L24" i="32"/>
  <c r="R23" i="32"/>
  <c r="Q23" i="32"/>
  <c r="P23" i="32"/>
  <c r="O23" i="32"/>
  <c r="N23" i="32"/>
  <c r="M23" i="32"/>
  <c r="L23" i="32"/>
  <c r="R22" i="32"/>
  <c r="Q22" i="32"/>
  <c r="P22" i="32"/>
  <c r="O22" i="32"/>
  <c r="N22" i="32"/>
  <c r="M22" i="32"/>
  <c r="L22" i="32"/>
  <c r="R21" i="32"/>
  <c r="Q21" i="32"/>
  <c r="P21" i="32"/>
  <c r="O21" i="32"/>
  <c r="N21" i="32"/>
  <c r="M21" i="32"/>
  <c r="L21" i="32"/>
  <c r="R19" i="32"/>
  <c r="Q19" i="32"/>
  <c r="P19" i="32"/>
  <c r="O19" i="32"/>
  <c r="N19" i="32"/>
  <c r="M19" i="32"/>
  <c r="L19" i="32"/>
  <c r="R18" i="32"/>
  <c r="Q18" i="32"/>
  <c r="P18" i="32"/>
  <c r="O18" i="32"/>
  <c r="N18" i="32"/>
  <c r="M18" i="32"/>
  <c r="L18" i="32"/>
  <c r="R17" i="32"/>
  <c r="Q17" i="32"/>
  <c r="P17" i="32"/>
  <c r="O17" i="32"/>
  <c r="N17" i="32"/>
  <c r="M17" i="32"/>
  <c r="L17" i="32"/>
  <c r="R16" i="32"/>
  <c r="Q16" i="32"/>
  <c r="P16" i="32"/>
  <c r="O16" i="32"/>
  <c r="N16" i="32"/>
  <c r="M16" i="32"/>
  <c r="L16" i="32"/>
  <c r="R15" i="32"/>
  <c r="Q15" i="32"/>
  <c r="P15" i="32"/>
  <c r="O15" i="32"/>
  <c r="N15" i="32"/>
  <c r="M15" i="32"/>
  <c r="L15" i="32"/>
  <c r="R14" i="32"/>
  <c r="Q14" i="32"/>
  <c r="P14" i="32"/>
  <c r="O14" i="32"/>
  <c r="N14" i="32"/>
  <c r="M14" i="32"/>
  <c r="L14" i="32"/>
  <c r="R13" i="32"/>
  <c r="Q13" i="32"/>
  <c r="P13" i="32"/>
  <c r="O13" i="32"/>
  <c r="N13" i="32"/>
  <c r="M13" i="32"/>
  <c r="L13" i="32"/>
  <c r="R12" i="32"/>
  <c r="Q12" i="32"/>
  <c r="P12" i="32"/>
  <c r="O12" i="32"/>
  <c r="N12" i="32"/>
  <c r="M12" i="32"/>
  <c r="L12" i="32"/>
  <c r="R10" i="32"/>
  <c r="Q10" i="32"/>
  <c r="P10" i="32"/>
  <c r="O10" i="32"/>
  <c r="N10" i="32"/>
  <c r="M10" i="32"/>
  <c r="L10" i="32"/>
  <c r="R9" i="32"/>
  <c r="Q9" i="32"/>
  <c r="P9" i="32"/>
  <c r="O9" i="32"/>
  <c r="N9" i="32"/>
  <c r="M9" i="32"/>
  <c r="L9" i="32"/>
  <c r="R8" i="32"/>
  <c r="Q8" i="32"/>
  <c r="P8" i="32"/>
  <c r="O8" i="32"/>
  <c r="N8" i="32"/>
  <c r="M8" i="32"/>
  <c r="L8" i="32"/>
  <c r="R7" i="32"/>
  <c r="Q7" i="32"/>
  <c r="P7" i="32"/>
  <c r="O7" i="32"/>
  <c r="N7" i="32"/>
  <c r="M7" i="32"/>
  <c r="L7" i="32"/>
  <c r="R6" i="32"/>
  <c r="Q6" i="32"/>
  <c r="P6" i="32"/>
  <c r="O6" i="32"/>
  <c r="N6" i="32"/>
  <c r="M6" i="32"/>
  <c r="L6" i="32"/>
  <c r="R5" i="32"/>
  <c r="Q5" i="32"/>
  <c r="P5" i="32"/>
  <c r="O5" i="32"/>
  <c r="N5" i="32"/>
  <c r="M5" i="32"/>
  <c r="L5" i="32"/>
  <c r="R4" i="32"/>
  <c r="Q4" i="32"/>
  <c r="P4" i="32"/>
  <c r="O4" i="32"/>
  <c r="N4" i="32"/>
  <c r="M4" i="32"/>
  <c r="L4" i="32"/>
  <c r="R3" i="32"/>
  <c r="Q3" i="32"/>
  <c r="P3" i="32"/>
  <c r="O3" i="32"/>
  <c r="N3" i="32"/>
  <c r="M3" i="32"/>
  <c r="L3" i="32"/>
  <c r="AL30" i="28" l="1"/>
  <c r="AK30" i="28"/>
  <c r="AJ30" i="28"/>
  <c r="AI30" i="28"/>
  <c r="AH30" i="28"/>
  <c r="AG30" i="28"/>
  <c r="AY30" i="28" s="1"/>
  <c r="AF30" i="28"/>
  <c r="AE30" i="28"/>
  <c r="AD30" i="28"/>
  <c r="AC30" i="28"/>
  <c r="AB30" i="28"/>
  <c r="AT30" i="28" s="1"/>
  <c r="AA30" i="28"/>
  <c r="AS30" i="28" s="1"/>
  <c r="Z30" i="28"/>
  <c r="Y30" i="28"/>
  <c r="X30" i="28"/>
  <c r="W30" i="28"/>
  <c r="V30" i="28"/>
  <c r="U30" i="28"/>
  <c r="AM30" i="28" s="1"/>
  <c r="AL29" i="28"/>
  <c r="AK29" i="28"/>
  <c r="AJ29" i="28"/>
  <c r="AI29" i="28"/>
  <c r="AH29" i="28"/>
  <c r="AG29" i="28"/>
  <c r="AY29" i="28" s="1"/>
  <c r="AF29" i="28"/>
  <c r="AE29" i="28"/>
  <c r="AD29" i="28"/>
  <c r="AC29" i="28"/>
  <c r="AB29" i="28"/>
  <c r="AA29" i="28"/>
  <c r="AS29" i="28" s="1"/>
  <c r="Z29" i="28"/>
  <c r="Y29" i="28"/>
  <c r="X29" i="28"/>
  <c r="W29" i="28"/>
  <c r="V29" i="28"/>
  <c r="U29" i="28"/>
  <c r="AM29" i="28" s="1"/>
  <c r="AL28" i="28"/>
  <c r="AK28" i="28"/>
  <c r="AJ28" i="28"/>
  <c r="AI28" i="28"/>
  <c r="AH28" i="28"/>
  <c r="AG28" i="28"/>
  <c r="AY28" i="28" s="1"/>
  <c r="AF28" i="28"/>
  <c r="AE28" i="28"/>
  <c r="AD28" i="28"/>
  <c r="AC28" i="28"/>
  <c r="AB28" i="28"/>
  <c r="AA28" i="28"/>
  <c r="AS28" i="28" s="1"/>
  <c r="Z28" i="28"/>
  <c r="Y28" i="28"/>
  <c r="X28" i="28"/>
  <c r="W28" i="28"/>
  <c r="V28" i="28"/>
  <c r="U28" i="28"/>
  <c r="AM28" i="28" s="1"/>
  <c r="AL26" i="28"/>
  <c r="AK26" i="28"/>
  <c r="AJ26" i="28"/>
  <c r="AI26" i="28"/>
  <c r="AH26" i="28"/>
  <c r="AG26" i="28"/>
  <c r="AY26" i="28" s="1"/>
  <c r="AF26" i="28"/>
  <c r="AE26" i="28"/>
  <c r="AD26" i="28"/>
  <c r="AC26" i="28"/>
  <c r="AB26" i="28"/>
  <c r="AA26" i="28"/>
  <c r="AS26" i="28" s="1"/>
  <c r="Z26" i="28"/>
  <c r="Y26" i="28"/>
  <c r="X26" i="28"/>
  <c r="W26" i="28"/>
  <c r="V26" i="28"/>
  <c r="U26" i="28"/>
  <c r="AM26" i="28" s="1"/>
  <c r="AL25" i="28"/>
  <c r="AK25" i="28"/>
  <c r="AJ25" i="28"/>
  <c r="AI25" i="28"/>
  <c r="AH25" i="28"/>
  <c r="AG25" i="28"/>
  <c r="AY25" i="28" s="1"/>
  <c r="AF25" i="28"/>
  <c r="AE25" i="28"/>
  <c r="AD25" i="28"/>
  <c r="AC25" i="28"/>
  <c r="AB25" i="28"/>
  <c r="AA25" i="28"/>
  <c r="AS25" i="28" s="1"/>
  <c r="Z25" i="28"/>
  <c r="Y25" i="28"/>
  <c r="X25" i="28"/>
  <c r="W25" i="28"/>
  <c r="V25" i="28"/>
  <c r="U25" i="28"/>
  <c r="AM25" i="28" s="1"/>
  <c r="AL24" i="28"/>
  <c r="AK24" i="28"/>
  <c r="AJ24" i="28"/>
  <c r="AI24" i="28"/>
  <c r="AH24" i="28"/>
  <c r="AG24" i="28"/>
  <c r="AY24" i="28" s="1"/>
  <c r="AF24" i="28"/>
  <c r="AE24" i="28"/>
  <c r="AD24" i="28"/>
  <c r="AC24" i="28"/>
  <c r="AB24" i="28"/>
  <c r="AA24" i="28"/>
  <c r="AS24" i="28" s="1"/>
  <c r="Z24" i="28"/>
  <c r="Y24" i="28"/>
  <c r="X24" i="28"/>
  <c r="W24" i="28"/>
  <c r="V24" i="28"/>
  <c r="U24" i="28"/>
  <c r="AM24" i="28" s="1"/>
  <c r="AL23" i="28"/>
  <c r="AK23" i="28"/>
  <c r="AJ23" i="28"/>
  <c r="AI23" i="28"/>
  <c r="AH23" i="28"/>
  <c r="AG23" i="28"/>
  <c r="AY23" i="28" s="1"/>
  <c r="AF23" i="28"/>
  <c r="AE23" i="28"/>
  <c r="AD23" i="28"/>
  <c r="AC23" i="28"/>
  <c r="AB23" i="28"/>
  <c r="AA23" i="28"/>
  <c r="AS23" i="28" s="1"/>
  <c r="Z23" i="28"/>
  <c r="Y23" i="28"/>
  <c r="X23" i="28"/>
  <c r="W23" i="28"/>
  <c r="V23" i="28"/>
  <c r="U23" i="28"/>
  <c r="AM23" i="28" s="1"/>
  <c r="AL22" i="28"/>
  <c r="AK22" i="28"/>
  <c r="AJ22" i="28"/>
  <c r="AI22" i="28"/>
  <c r="AH22" i="28"/>
  <c r="AG22" i="28"/>
  <c r="AY22" i="28" s="1"/>
  <c r="AF22" i="28"/>
  <c r="AE22" i="28"/>
  <c r="AD22" i="28"/>
  <c r="AC22" i="28"/>
  <c r="AB22" i="28"/>
  <c r="AA22" i="28"/>
  <c r="AS22" i="28" s="1"/>
  <c r="Z22" i="28"/>
  <c r="Y22" i="28"/>
  <c r="X22" i="28"/>
  <c r="W22" i="28"/>
  <c r="V22" i="28"/>
  <c r="U22" i="28"/>
  <c r="AM22" i="28" s="1"/>
  <c r="AL21" i="28"/>
  <c r="AK21" i="28"/>
  <c r="AJ21" i="28"/>
  <c r="AI21" i="28"/>
  <c r="AH21" i="28"/>
  <c r="AG21" i="28"/>
  <c r="AY21" i="28" s="1"/>
  <c r="AF21" i="28"/>
  <c r="AE21" i="28"/>
  <c r="AD21" i="28"/>
  <c r="AC21" i="28"/>
  <c r="AB21" i="28"/>
  <c r="AA21" i="28"/>
  <c r="Z21" i="28"/>
  <c r="Y21" i="28"/>
  <c r="X21" i="28"/>
  <c r="W21" i="28"/>
  <c r="V21" i="28"/>
  <c r="U21" i="28"/>
  <c r="AM21" i="28" s="1"/>
  <c r="AL20" i="28"/>
  <c r="AK20" i="28"/>
  <c r="AJ20" i="28"/>
  <c r="AI20" i="28"/>
  <c r="AH20" i="28"/>
  <c r="AG20" i="28"/>
  <c r="AY20" i="28" s="1"/>
  <c r="AF20" i="28"/>
  <c r="AE20" i="28"/>
  <c r="AD20" i="28"/>
  <c r="AC20" i="28"/>
  <c r="AB20" i="28"/>
  <c r="AA20" i="28"/>
  <c r="AS20" i="28" s="1"/>
  <c r="Z20" i="28"/>
  <c r="Y20" i="28"/>
  <c r="X20" i="28"/>
  <c r="W20" i="28"/>
  <c r="V20" i="28"/>
  <c r="U20" i="28"/>
  <c r="AM20" i="28" s="1"/>
  <c r="AL19" i="28"/>
  <c r="AK19" i="28"/>
  <c r="AJ19" i="28"/>
  <c r="AI19" i="28"/>
  <c r="AH19" i="28"/>
  <c r="AG19" i="28"/>
  <c r="AY19" i="28" s="1"/>
  <c r="AF19" i="28"/>
  <c r="AE19" i="28"/>
  <c r="AD19" i="28"/>
  <c r="AC19" i="28"/>
  <c r="AB19" i="28"/>
  <c r="AA19" i="28"/>
  <c r="AS19" i="28" s="1"/>
  <c r="Z19" i="28"/>
  <c r="Y19" i="28"/>
  <c r="X19" i="28"/>
  <c r="W19" i="28"/>
  <c r="V19" i="28"/>
  <c r="U19" i="28"/>
  <c r="AM19" i="28" s="1"/>
  <c r="AL18" i="28"/>
  <c r="AK18" i="28"/>
  <c r="AJ18" i="28"/>
  <c r="AI18" i="28"/>
  <c r="AH18" i="28"/>
  <c r="AG18" i="28"/>
  <c r="AY18" i="28" s="1"/>
  <c r="AF18" i="28"/>
  <c r="AE18" i="28"/>
  <c r="AD18" i="28"/>
  <c r="AC18" i="28"/>
  <c r="AB18" i="28"/>
  <c r="AA18" i="28"/>
  <c r="AS18" i="28" s="1"/>
  <c r="Z18" i="28"/>
  <c r="Y18" i="28"/>
  <c r="X18" i="28"/>
  <c r="W18" i="28"/>
  <c r="V18" i="28"/>
  <c r="U18" i="28"/>
  <c r="AM18" i="28" s="1"/>
  <c r="AL27" i="28"/>
  <c r="AK27" i="28"/>
  <c r="AJ27" i="28"/>
  <c r="AI27" i="28"/>
  <c r="AH27" i="28"/>
  <c r="AG27" i="28"/>
  <c r="AY27" i="28" s="1"/>
  <c r="AF27" i="28"/>
  <c r="AE27" i="28"/>
  <c r="AD27" i="28"/>
  <c r="AC27" i="28"/>
  <c r="AB27" i="28"/>
  <c r="AA27" i="28"/>
  <c r="AS27" i="28" s="1"/>
  <c r="Z27" i="28"/>
  <c r="Y27" i="28"/>
  <c r="X27" i="28"/>
  <c r="W27" i="28"/>
  <c r="V27" i="28"/>
  <c r="U27" i="28"/>
  <c r="AM27" i="28" s="1"/>
  <c r="AL17" i="28"/>
  <c r="AK17" i="28"/>
  <c r="AJ17" i="28"/>
  <c r="AI17" i="28"/>
  <c r="AH17" i="28"/>
  <c r="AG17" i="28"/>
  <c r="AY17" i="28" s="1"/>
  <c r="AF17" i="28"/>
  <c r="AE17" i="28"/>
  <c r="AD17" i="28"/>
  <c r="AC17" i="28"/>
  <c r="AB17" i="28"/>
  <c r="AA17" i="28"/>
  <c r="AS17" i="28" s="1"/>
  <c r="Z17" i="28"/>
  <c r="Y17" i="28"/>
  <c r="X17" i="28"/>
  <c r="W17" i="28"/>
  <c r="V17" i="28"/>
  <c r="U17" i="28"/>
  <c r="AM17" i="28" s="1"/>
  <c r="AL16" i="28"/>
  <c r="AK16" i="28"/>
  <c r="AJ16" i="28"/>
  <c r="AI16" i="28"/>
  <c r="AH16" i="28"/>
  <c r="AG16" i="28"/>
  <c r="AY16" i="28" s="1"/>
  <c r="AF16" i="28"/>
  <c r="AE16" i="28"/>
  <c r="AD16" i="28"/>
  <c r="AC16" i="28"/>
  <c r="AB16" i="28"/>
  <c r="AA16" i="28"/>
  <c r="AS16" i="28" s="1"/>
  <c r="Z16" i="28"/>
  <c r="Y16" i="28"/>
  <c r="X16" i="28"/>
  <c r="W16" i="28"/>
  <c r="V16" i="28"/>
  <c r="U16" i="28"/>
  <c r="AM16" i="28" s="1"/>
  <c r="AL15" i="28"/>
  <c r="AK15" i="28"/>
  <c r="AJ15" i="28"/>
  <c r="AI15" i="28"/>
  <c r="AH15" i="28"/>
  <c r="AG15" i="28"/>
  <c r="AY15" i="28" s="1"/>
  <c r="AF15" i="28"/>
  <c r="AE15" i="28"/>
  <c r="AD15" i="28"/>
  <c r="AC15" i="28"/>
  <c r="AB15" i="28"/>
  <c r="AA15" i="28"/>
  <c r="AS15" i="28" s="1"/>
  <c r="Z15" i="28"/>
  <c r="Y15" i="28"/>
  <c r="X15" i="28"/>
  <c r="W15" i="28"/>
  <c r="V15" i="28"/>
  <c r="U15" i="28"/>
  <c r="AM15" i="28" s="1"/>
  <c r="AL14" i="28"/>
  <c r="AK14" i="28"/>
  <c r="AJ14" i="28"/>
  <c r="AI14" i="28"/>
  <c r="AH14" i="28"/>
  <c r="AG14" i="28"/>
  <c r="AY14" i="28" s="1"/>
  <c r="AF14" i="28"/>
  <c r="AE14" i="28"/>
  <c r="AD14" i="28"/>
  <c r="AC14" i="28"/>
  <c r="AB14" i="28"/>
  <c r="AA14" i="28"/>
  <c r="AX14" i="28" s="1"/>
  <c r="Z14" i="28"/>
  <c r="Y14" i="28"/>
  <c r="X14" i="28"/>
  <c r="W14" i="28"/>
  <c r="V14" i="28"/>
  <c r="U14" i="28"/>
  <c r="AM14" i="28" s="1"/>
  <c r="AL13" i="28"/>
  <c r="AK13" i="28"/>
  <c r="AJ13" i="28"/>
  <c r="AI13" i="28"/>
  <c r="AH13" i="28"/>
  <c r="AG13" i="28"/>
  <c r="AY13" i="28" s="1"/>
  <c r="AF13" i="28"/>
  <c r="AE13" i="28"/>
  <c r="AD13" i="28"/>
  <c r="AC13" i="28"/>
  <c r="AB13" i="28"/>
  <c r="AA13" i="28"/>
  <c r="AT13" i="28" s="1"/>
  <c r="Z13" i="28"/>
  <c r="Y13" i="28"/>
  <c r="X13" i="28"/>
  <c r="W13" i="28"/>
  <c r="V13" i="28"/>
  <c r="U13" i="28"/>
  <c r="AM13" i="28" s="1"/>
  <c r="AL12" i="28"/>
  <c r="AK12" i="28"/>
  <c r="AJ12" i="28"/>
  <c r="AI12" i="28"/>
  <c r="AH12" i="28"/>
  <c r="AG12" i="28"/>
  <c r="AY12" i="28" s="1"/>
  <c r="AF12" i="28"/>
  <c r="AE12" i="28"/>
  <c r="AD12" i="28"/>
  <c r="AC12" i="28"/>
  <c r="AB12" i="28"/>
  <c r="AA12" i="28"/>
  <c r="Z12" i="28"/>
  <c r="Y12" i="28"/>
  <c r="X12" i="28"/>
  <c r="W12" i="28"/>
  <c r="V12" i="28"/>
  <c r="U12" i="28"/>
  <c r="AM12" i="28" s="1"/>
  <c r="AL11" i="28"/>
  <c r="AK11" i="28"/>
  <c r="AJ11" i="28"/>
  <c r="AI11" i="28"/>
  <c r="AH11" i="28"/>
  <c r="AG11" i="28"/>
  <c r="AY11" i="28" s="1"/>
  <c r="AF11" i="28"/>
  <c r="AE11" i="28"/>
  <c r="AD11" i="28"/>
  <c r="AC11" i="28"/>
  <c r="AB11" i="28"/>
  <c r="AA11" i="28"/>
  <c r="Z11" i="28"/>
  <c r="Y11" i="28"/>
  <c r="X11" i="28"/>
  <c r="W11" i="28"/>
  <c r="V11" i="28"/>
  <c r="U11" i="28"/>
  <c r="AM11" i="28" s="1"/>
  <c r="AL10" i="28"/>
  <c r="AK10" i="28"/>
  <c r="AJ10" i="28"/>
  <c r="AI10" i="28"/>
  <c r="AH10" i="28"/>
  <c r="AG10" i="28"/>
  <c r="AY10" i="28" s="1"/>
  <c r="AF10" i="28"/>
  <c r="AE10" i="28"/>
  <c r="AD10" i="28"/>
  <c r="AC10" i="28"/>
  <c r="AB10" i="28"/>
  <c r="AA10" i="28"/>
  <c r="AS10" i="28" s="1"/>
  <c r="Z10" i="28"/>
  <c r="Y10" i="28"/>
  <c r="X10" i="28"/>
  <c r="W10" i="28"/>
  <c r="V10" i="28"/>
  <c r="U10" i="28"/>
  <c r="AM10" i="28" s="1"/>
  <c r="AL9" i="28"/>
  <c r="AK9" i="28"/>
  <c r="AJ9" i="28"/>
  <c r="AI9" i="28"/>
  <c r="AH9" i="28"/>
  <c r="AG9" i="28"/>
  <c r="AY9" i="28" s="1"/>
  <c r="AF9" i="28"/>
  <c r="AE9" i="28"/>
  <c r="AD9" i="28"/>
  <c r="AC9" i="28"/>
  <c r="AB9" i="28"/>
  <c r="AA9" i="28"/>
  <c r="Z9" i="28"/>
  <c r="Y9" i="28"/>
  <c r="X9" i="28"/>
  <c r="W9" i="28"/>
  <c r="V9" i="28"/>
  <c r="U9" i="28"/>
  <c r="AM9" i="28" s="1"/>
  <c r="AL8" i="28"/>
  <c r="AK8" i="28"/>
  <c r="AJ8" i="28"/>
  <c r="AI8" i="28"/>
  <c r="AH8" i="28"/>
  <c r="AG8" i="28"/>
  <c r="AY8" i="28" s="1"/>
  <c r="AF8" i="28"/>
  <c r="AE8" i="28"/>
  <c r="AD8" i="28"/>
  <c r="AC8" i="28"/>
  <c r="AB8" i="28"/>
  <c r="AA8" i="28"/>
  <c r="Z8" i="28"/>
  <c r="Y8" i="28"/>
  <c r="X8" i="28"/>
  <c r="W8" i="28"/>
  <c r="V8" i="28"/>
  <c r="U8" i="28"/>
  <c r="AM8" i="28" s="1"/>
  <c r="AT19" i="28" l="1"/>
  <c r="AT23" i="28"/>
  <c r="AO12" i="28"/>
  <c r="AT16" i="28"/>
  <c r="AN24" i="28"/>
  <c r="AO17" i="28"/>
  <c r="BA17" i="28"/>
  <c r="AU27" i="28"/>
  <c r="AO22" i="28"/>
  <c r="AV13" i="28"/>
  <c r="AV16" i="28"/>
  <c r="AV21" i="28"/>
  <c r="AW21" i="28"/>
  <c r="AP14" i="28"/>
  <c r="AX19" i="28"/>
  <c r="AX21" i="28"/>
  <c r="AR22" i="28"/>
  <c r="BD22" i="28"/>
  <c r="AT18" i="28"/>
  <c r="AW13" i="28"/>
  <c r="AX13" i="28"/>
  <c r="AW9" i="28"/>
  <c r="AZ24" i="28"/>
  <c r="AO24" i="28"/>
  <c r="AU25" i="28"/>
  <c r="AV23" i="28"/>
  <c r="AV30" i="28"/>
  <c r="AW23" i="28"/>
  <c r="AT9" i="28"/>
  <c r="AX23" i="28"/>
  <c r="AZ8" i="28"/>
  <c r="AP11" i="28"/>
  <c r="AT15" i="28"/>
  <c r="AO13" i="28"/>
  <c r="AU17" i="28"/>
  <c r="AO19" i="28"/>
  <c r="AO21" i="28"/>
  <c r="AT29" i="28"/>
  <c r="BB10" i="28"/>
  <c r="BA16" i="28"/>
  <c r="BA19" i="28"/>
  <c r="AT24" i="28"/>
  <c r="AR10" i="28"/>
  <c r="AV15" i="28"/>
  <c r="AV17" i="28"/>
  <c r="AV18" i="28"/>
  <c r="AO23" i="28"/>
  <c r="BA23" i="28"/>
  <c r="AU29" i="28"/>
  <c r="AP10" i="28"/>
  <c r="AO27" i="28"/>
  <c r="AU20" i="28"/>
  <c r="AX9" i="28"/>
  <c r="AW17" i="28"/>
  <c r="BB28" i="28"/>
  <c r="AV29" i="28"/>
  <c r="AP30" i="28"/>
  <c r="BB30" i="28"/>
  <c r="AT17" i="28"/>
  <c r="AO16" i="28"/>
  <c r="AX15" i="28"/>
  <c r="AX17" i="28"/>
  <c r="AW29" i="28"/>
  <c r="AU15" i="28"/>
  <c r="BA27" i="28"/>
  <c r="BD10" i="28"/>
  <c r="AX8" i="28"/>
  <c r="AW11" i="28"/>
  <c r="AW15" i="28"/>
  <c r="AT21" i="28"/>
  <c r="AX24" i="28"/>
  <c r="AX29" i="28"/>
  <c r="AV9" i="28"/>
  <c r="AX16" i="28"/>
  <c r="AW27" i="28"/>
  <c r="AV19" i="28"/>
  <c r="AO20" i="28"/>
  <c r="AQ23" i="28"/>
  <c r="BC23" i="28"/>
  <c r="AV24" i="28"/>
  <c r="AU26" i="28"/>
  <c r="AW10" i="28"/>
  <c r="AX10" i="28"/>
  <c r="AX11" i="28"/>
  <c r="AX27" i="28"/>
  <c r="AW19" i="28"/>
  <c r="AR23" i="28"/>
  <c r="BD23" i="28"/>
  <c r="AV26" i="28"/>
  <c r="BB9" i="28"/>
  <c r="AX26" i="28"/>
  <c r="AU12" i="28"/>
  <c r="AT20" i="28"/>
  <c r="AT25" i="28"/>
  <c r="AN26" i="28"/>
  <c r="AZ26" i="28"/>
  <c r="AP9" i="28"/>
  <c r="AT10" i="28"/>
  <c r="AW18" i="28"/>
  <c r="AV20" i="28"/>
  <c r="AT22" i="28"/>
  <c r="AV25" i="28"/>
  <c r="AT28" i="28"/>
  <c r="AX30" i="28"/>
  <c r="AS11" i="28"/>
  <c r="AW12" i="28"/>
  <c r="AO15" i="28"/>
  <c r="BA15" i="28"/>
  <c r="AV27" i="28"/>
  <c r="AX18" i="28"/>
  <c r="AW20" i="28"/>
  <c r="AU22" i="28"/>
  <c r="AW25" i="28"/>
  <c r="AU28" i="28"/>
  <c r="AS9" i="28"/>
  <c r="AV10" i="28"/>
  <c r="AT11" i="28"/>
  <c r="AX12" i="28"/>
  <c r="AU16" i="28"/>
  <c r="AT27" i="28"/>
  <c r="AX20" i="28"/>
  <c r="AV22" i="28"/>
  <c r="AN23" i="28"/>
  <c r="AZ23" i="28"/>
  <c r="AW24" i="28"/>
  <c r="AX25" i="28"/>
  <c r="AV28" i="28"/>
  <c r="AP29" i="28"/>
  <c r="BB29" i="28"/>
  <c r="AU30" i="28"/>
  <c r="AW22" i="28"/>
  <c r="AW26" i="28"/>
  <c r="AW28" i="28"/>
  <c r="AU11" i="28"/>
  <c r="AU9" i="28"/>
  <c r="AV11" i="28"/>
  <c r="AW16" i="28"/>
  <c r="AO18" i="28"/>
  <c r="AU19" i="28"/>
  <c r="AN20" i="28"/>
  <c r="AZ20" i="28"/>
  <c r="AX22" i="28"/>
  <c r="AP23" i="28"/>
  <c r="BB23" i="28"/>
  <c r="AU24" i="28"/>
  <c r="AN25" i="28"/>
  <c r="AZ25" i="28"/>
  <c r="AT26" i="28"/>
  <c r="AX28" i="28"/>
  <c r="AW30" i="28"/>
  <c r="AO9" i="28"/>
  <c r="BA9" i="28"/>
  <c r="AQ10" i="28"/>
  <c r="BC10" i="28"/>
  <c r="AS12" i="28"/>
  <c r="AS13" i="28"/>
  <c r="AS14" i="28"/>
  <c r="AS21" i="28"/>
  <c r="AT12" i="28"/>
  <c r="AU13" i="28"/>
  <c r="AU14" i="28"/>
  <c r="AT14" i="28"/>
  <c r="AU21" i="28"/>
  <c r="AV12" i="28"/>
  <c r="AV14" i="28"/>
  <c r="AW14" i="28"/>
  <c r="BA18" i="28"/>
  <c r="AN28" i="28"/>
  <c r="AZ28" i="28"/>
  <c r="AN29" i="28"/>
  <c r="AZ29" i="28"/>
  <c r="AN30" i="28"/>
  <c r="AZ30" i="28"/>
  <c r="BA8" i="28"/>
  <c r="BB8" i="28"/>
  <c r="AQ8" i="28"/>
  <c r="AN18" i="28"/>
  <c r="AZ18" i="28"/>
  <c r="AU23" i="28"/>
  <c r="BA24" i="28"/>
  <c r="AO25" i="28"/>
  <c r="BA25" i="28"/>
  <c r="AO26" i="28"/>
  <c r="BA26" i="28"/>
  <c r="AO28" i="28"/>
  <c r="BA28" i="28"/>
  <c r="AO29" i="28"/>
  <c r="BA29" i="28"/>
  <c r="AO30" i="28"/>
  <c r="BA30" i="28"/>
  <c r="AO8" i="28"/>
  <c r="AP8" i="28"/>
  <c r="AO10" i="28"/>
  <c r="BC8" i="28"/>
  <c r="AR8" i="28"/>
  <c r="BD8" i="28"/>
  <c r="AU10" i="28"/>
  <c r="AN15" i="28"/>
  <c r="AZ15" i="28"/>
  <c r="AN16" i="28"/>
  <c r="AZ16" i="28"/>
  <c r="AN17" i="28"/>
  <c r="AZ17" i="28"/>
  <c r="AN27" i="28"/>
  <c r="AZ27" i="28"/>
  <c r="AN19" i="28"/>
  <c r="AZ19" i="28"/>
  <c r="BA20" i="28"/>
  <c r="AP24" i="28"/>
  <c r="BB24" i="28"/>
  <c r="AP25" i="28"/>
  <c r="BB25" i="28"/>
  <c r="AP26" i="28"/>
  <c r="BB26" i="28"/>
  <c r="AP28" i="28"/>
  <c r="AP18" i="28"/>
  <c r="BB18" i="28"/>
  <c r="BA21" i="28"/>
  <c r="AQ24" i="28"/>
  <c r="BC24" i="28"/>
  <c r="AQ25" i="28"/>
  <c r="BC25" i="28"/>
  <c r="AQ26" i="28"/>
  <c r="BC26" i="28"/>
  <c r="AQ28" i="28"/>
  <c r="BC28" i="28"/>
  <c r="AQ29" i="28"/>
  <c r="BC29" i="28"/>
  <c r="AQ30" i="28"/>
  <c r="BC30" i="28"/>
  <c r="AN8" i="28"/>
  <c r="AS8" i="28"/>
  <c r="AN12" i="28"/>
  <c r="AZ12" i="28"/>
  <c r="AN13" i="28"/>
  <c r="AZ13" i="28"/>
  <c r="AN14" i="28"/>
  <c r="AZ14" i="28"/>
  <c r="AP15" i="28"/>
  <c r="BB15" i="28"/>
  <c r="AP16" i="28"/>
  <c r="BB16" i="28"/>
  <c r="AP17" i="28"/>
  <c r="BB17" i="28"/>
  <c r="AP27" i="28"/>
  <c r="BB27" i="28"/>
  <c r="AQ18" i="28"/>
  <c r="BC18" i="28"/>
  <c r="AP19" i="28"/>
  <c r="BB19" i="28"/>
  <c r="AN21" i="28"/>
  <c r="AZ21" i="28"/>
  <c r="BA22" i="28"/>
  <c r="AR24" i="28"/>
  <c r="BD24" i="28"/>
  <c r="AR25" i="28"/>
  <c r="BD25" i="28"/>
  <c r="AR26" i="28"/>
  <c r="BD26" i="28"/>
  <c r="AR28" i="28"/>
  <c r="BD28" i="28"/>
  <c r="AR29" i="28"/>
  <c r="BD29" i="28"/>
  <c r="AR30" i="28"/>
  <c r="BD30" i="28"/>
  <c r="AN11" i="28"/>
  <c r="AZ11" i="28"/>
  <c r="BA12" i="28"/>
  <c r="BA13" i="28"/>
  <c r="AO14" i="28"/>
  <c r="BA14" i="28"/>
  <c r="AQ15" i="28"/>
  <c r="BC15" i="28"/>
  <c r="AQ16" i="28"/>
  <c r="BC16" i="28"/>
  <c r="AQ17" i="28"/>
  <c r="BC17" i="28"/>
  <c r="AQ27" i="28"/>
  <c r="BC27" i="28"/>
  <c r="AR18" i="28"/>
  <c r="BD18" i="28"/>
  <c r="AQ19" i="28"/>
  <c r="BC19" i="28"/>
  <c r="AP20" i="28"/>
  <c r="BB20" i="28"/>
  <c r="AN22" i="28"/>
  <c r="AZ22" i="28"/>
  <c r="AT8" i="28"/>
  <c r="AW8" i="28"/>
  <c r="AO11" i="28"/>
  <c r="BA11" i="28"/>
  <c r="AP12" i="28"/>
  <c r="BB12" i="28"/>
  <c r="AP13" i="28"/>
  <c r="BB13" i="28"/>
  <c r="AR15" i="28"/>
  <c r="BD15" i="28"/>
  <c r="AR16" i="28"/>
  <c r="BD16" i="28"/>
  <c r="AR17" i="28"/>
  <c r="BD17" i="28"/>
  <c r="AR27" i="28"/>
  <c r="BD27" i="28"/>
  <c r="AR19" i="28"/>
  <c r="BD19" i="28"/>
  <c r="AQ20" i="28"/>
  <c r="BC20" i="28"/>
  <c r="AP21" i="28"/>
  <c r="BB21" i="28"/>
  <c r="AV8" i="28"/>
  <c r="AN10" i="28"/>
  <c r="AZ10" i="28"/>
  <c r="BB11" i="28"/>
  <c r="AQ12" i="28"/>
  <c r="BC12" i="28"/>
  <c r="AR20" i="28"/>
  <c r="BD20" i="28"/>
  <c r="AQ21" i="28"/>
  <c r="BC21" i="28"/>
  <c r="AP22" i="28"/>
  <c r="BB22" i="28"/>
  <c r="AU8" i="28"/>
  <c r="BA10" i="28"/>
  <c r="AR12" i="28"/>
  <c r="BD12" i="28"/>
  <c r="AR13" i="28"/>
  <c r="BD13" i="28"/>
  <c r="AU18" i="28"/>
  <c r="AR21" i="28"/>
  <c r="BD21" i="28"/>
  <c r="AQ22" i="28"/>
  <c r="BC22" i="28"/>
  <c r="AQ13" i="28"/>
  <c r="BC13" i="28"/>
  <c r="BB14" i="28"/>
  <c r="AN9" i="28"/>
  <c r="AQ9" i="28"/>
  <c r="BC9" i="28"/>
  <c r="AQ11" i="28"/>
  <c r="BC11" i="28"/>
  <c r="AQ14" i="28"/>
  <c r="BC14" i="28"/>
  <c r="AZ9" i="28"/>
  <c r="AR9" i="28"/>
  <c r="AR11" i="28"/>
  <c r="BD11" i="28"/>
  <c r="AR14" i="28"/>
  <c r="BD14" i="28"/>
  <c r="BD9" i="28"/>
  <c r="R135" i="19" l="1"/>
  <c r="Q135" i="19"/>
  <c r="P135" i="19"/>
  <c r="O135" i="19"/>
  <c r="N135" i="19"/>
  <c r="M135" i="19"/>
  <c r="L135" i="19"/>
  <c r="K135" i="19"/>
  <c r="S135" i="19" s="1"/>
  <c r="R134" i="19"/>
  <c r="Q134" i="19"/>
  <c r="S134" i="19" s="1"/>
  <c r="P134" i="19"/>
  <c r="O134" i="19"/>
  <c r="N134" i="19"/>
  <c r="M134" i="19"/>
  <c r="L134" i="19"/>
  <c r="K134" i="19"/>
  <c r="R133" i="19"/>
  <c r="Q133" i="19"/>
  <c r="P133" i="19"/>
  <c r="O133" i="19"/>
  <c r="N133" i="19"/>
  <c r="S133" i="19" s="1"/>
  <c r="M133" i="19"/>
  <c r="L133" i="19"/>
  <c r="K133" i="19"/>
  <c r="R132" i="19"/>
  <c r="Q132" i="19"/>
  <c r="P132" i="19"/>
  <c r="O132" i="19"/>
  <c r="N132" i="19"/>
  <c r="M132" i="19"/>
  <c r="L132" i="19"/>
  <c r="K132" i="19"/>
  <c r="S132" i="19" s="1"/>
  <c r="R131" i="19"/>
  <c r="Q131" i="19"/>
  <c r="P131" i="19"/>
  <c r="O131" i="19"/>
  <c r="N131" i="19"/>
  <c r="M131" i="19"/>
  <c r="L131" i="19"/>
  <c r="K131" i="19"/>
  <c r="S131" i="19" s="1"/>
  <c r="R130" i="19"/>
  <c r="Q130" i="19"/>
  <c r="S130" i="19" s="1"/>
  <c r="P130" i="19"/>
  <c r="O130" i="19"/>
  <c r="N130" i="19"/>
  <c r="M130" i="19"/>
  <c r="L130" i="19"/>
  <c r="K130" i="19"/>
  <c r="R129" i="19"/>
  <c r="Q129" i="19"/>
  <c r="P129" i="19"/>
  <c r="O129" i="19"/>
  <c r="N129" i="19"/>
  <c r="S129" i="19" s="1"/>
  <c r="M129" i="19"/>
  <c r="L129" i="19"/>
  <c r="K129" i="19"/>
  <c r="R128" i="19"/>
  <c r="Q128" i="19"/>
  <c r="P128" i="19"/>
  <c r="O128" i="19"/>
  <c r="N128" i="19"/>
  <c r="M128" i="19"/>
  <c r="L128" i="19"/>
  <c r="K128" i="19"/>
  <c r="S128" i="19" s="1"/>
  <c r="R127" i="19"/>
  <c r="Q127" i="19"/>
  <c r="P127" i="19"/>
  <c r="O127" i="19"/>
  <c r="N127" i="19"/>
  <c r="M127" i="19"/>
  <c r="L127" i="19"/>
  <c r="K127" i="19"/>
  <c r="S127" i="19" s="1"/>
  <c r="R126" i="19"/>
  <c r="Q126" i="19"/>
  <c r="S126" i="19" s="1"/>
  <c r="P126" i="19"/>
  <c r="O126" i="19"/>
  <c r="N126" i="19"/>
  <c r="M126" i="19"/>
  <c r="L126" i="19"/>
  <c r="K126" i="19"/>
  <c r="R125" i="19"/>
  <c r="Q125" i="19"/>
  <c r="P125" i="19"/>
  <c r="O125" i="19"/>
  <c r="N125" i="19"/>
  <c r="S125" i="19" s="1"/>
  <c r="M125" i="19"/>
  <c r="L125" i="19"/>
  <c r="K125" i="19"/>
  <c r="R124" i="19"/>
  <c r="Q124" i="19"/>
  <c r="P124" i="19"/>
  <c r="O124" i="19"/>
  <c r="N124" i="19"/>
  <c r="M124" i="19"/>
  <c r="L124" i="19"/>
  <c r="K124" i="19"/>
  <c r="S124" i="19" s="1"/>
  <c r="R123" i="19"/>
  <c r="Q123" i="19"/>
  <c r="P123" i="19"/>
  <c r="O123" i="19"/>
  <c r="N123" i="19"/>
  <c r="M123" i="19"/>
  <c r="L123" i="19"/>
  <c r="K123" i="19"/>
  <c r="S123" i="19" s="1"/>
  <c r="R122" i="19"/>
  <c r="Q122" i="19"/>
  <c r="S122" i="19" s="1"/>
  <c r="P122" i="19"/>
  <c r="O122" i="19"/>
  <c r="N122" i="19"/>
  <c r="M122" i="19"/>
  <c r="L122" i="19"/>
  <c r="K122" i="19"/>
  <c r="R121" i="19"/>
  <c r="Q121" i="19"/>
  <c r="P121" i="19"/>
  <c r="O121" i="19"/>
  <c r="N121" i="19"/>
  <c r="S121" i="19" s="1"/>
  <c r="M121" i="19"/>
  <c r="L121" i="19"/>
  <c r="K121" i="19"/>
  <c r="R120" i="19"/>
  <c r="Q120" i="19"/>
  <c r="P120" i="19"/>
  <c r="O120" i="19"/>
  <c r="N120" i="19"/>
  <c r="M120" i="19"/>
  <c r="L120" i="19"/>
  <c r="K120" i="19"/>
  <c r="S120" i="19" s="1"/>
  <c r="R119" i="19"/>
  <c r="Q119" i="19"/>
  <c r="P119" i="19"/>
  <c r="O119" i="19"/>
  <c r="N119" i="19"/>
  <c r="M119" i="19"/>
  <c r="L119" i="19"/>
  <c r="K119" i="19"/>
  <c r="S119" i="19" s="1"/>
  <c r="R118" i="19"/>
  <c r="Q118" i="19"/>
  <c r="S118" i="19" s="1"/>
  <c r="P118" i="19"/>
  <c r="O118" i="19"/>
  <c r="N118" i="19"/>
  <c r="M118" i="19"/>
  <c r="L118" i="19"/>
  <c r="K118" i="19"/>
  <c r="R117" i="19"/>
  <c r="Q117" i="19"/>
  <c r="P117" i="19"/>
  <c r="O117" i="19"/>
  <c r="N117" i="19"/>
  <c r="S117" i="19" s="1"/>
  <c r="M117" i="19"/>
  <c r="L117" i="19"/>
  <c r="K117" i="19"/>
  <c r="R116" i="19"/>
  <c r="Q116" i="19"/>
  <c r="P116" i="19"/>
  <c r="O116" i="19"/>
  <c r="N116" i="19"/>
  <c r="M116" i="19"/>
  <c r="L116" i="19"/>
  <c r="K116" i="19"/>
  <c r="S116" i="19" s="1"/>
  <c r="R115" i="19"/>
  <c r="Q115" i="19"/>
  <c r="P115" i="19"/>
  <c r="O115" i="19"/>
  <c r="N115" i="19"/>
  <c r="M115" i="19"/>
  <c r="L115" i="19"/>
  <c r="K115" i="19"/>
  <c r="S115" i="19" s="1"/>
  <c r="R114" i="19"/>
  <c r="Q114" i="19"/>
  <c r="S114" i="19" s="1"/>
  <c r="P114" i="19"/>
  <c r="O114" i="19"/>
  <c r="N114" i="19"/>
  <c r="M114" i="19"/>
  <c r="L114" i="19"/>
  <c r="K114" i="19"/>
  <c r="R113" i="19"/>
  <c r="Q113" i="19"/>
  <c r="P113" i="19"/>
  <c r="O113" i="19"/>
  <c r="N113" i="19"/>
  <c r="S113" i="19" s="1"/>
  <c r="M113" i="19"/>
  <c r="L113" i="19"/>
  <c r="K113" i="19"/>
  <c r="R112" i="19"/>
  <c r="Q112" i="19"/>
  <c r="P112" i="19"/>
  <c r="O112" i="19"/>
  <c r="N112" i="19"/>
  <c r="M112" i="19"/>
  <c r="L112" i="19"/>
  <c r="K112" i="19"/>
  <c r="S112" i="19" s="1"/>
  <c r="R111" i="19"/>
  <c r="Q111" i="19"/>
  <c r="P111" i="19"/>
  <c r="O111" i="19"/>
  <c r="N111" i="19"/>
  <c r="M111" i="19"/>
  <c r="L111" i="19"/>
  <c r="K111" i="19"/>
  <c r="S111" i="19" s="1"/>
  <c r="R110" i="19"/>
  <c r="Q110" i="19"/>
  <c r="S110" i="19" s="1"/>
  <c r="P110" i="19"/>
  <c r="O110" i="19"/>
  <c r="N110" i="19"/>
  <c r="M110" i="19"/>
  <c r="L110" i="19"/>
  <c r="K110" i="19"/>
  <c r="R109" i="19"/>
  <c r="Q109" i="19"/>
  <c r="P109" i="19"/>
  <c r="O109" i="19"/>
  <c r="N109" i="19"/>
  <c r="S109" i="19" s="1"/>
  <c r="M109" i="19"/>
  <c r="L109" i="19"/>
  <c r="K109" i="19"/>
  <c r="R108" i="19"/>
  <c r="Q108" i="19"/>
  <c r="P108" i="19"/>
  <c r="O108" i="19"/>
  <c r="N108" i="19"/>
  <c r="M108" i="19"/>
  <c r="L108" i="19"/>
  <c r="K108" i="19"/>
  <c r="S108" i="19" s="1"/>
  <c r="R107" i="19"/>
  <c r="Q107" i="19"/>
  <c r="P107" i="19"/>
  <c r="O107" i="19"/>
  <c r="N107" i="19"/>
  <c r="M107" i="19"/>
  <c r="L107" i="19"/>
  <c r="K107" i="19"/>
  <c r="S107" i="19" s="1"/>
  <c r="R106" i="19"/>
  <c r="Q106" i="19"/>
  <c r="S106" i="19" s="1"/>
  <c r="P106" i="19"/>
  <c r="O106" i="19"/>
  <c r="N106" i="19"/>
  <c r="M106" i="19"/>
  <c r="L106" i="19"/>
  <c r="K106" i="19"/>
  <c r="R105" i="19"/>
  <c r="Q105" i="19"/>
  <c r="P105" i="19"/>
  <c r="O105" i="19"/>
  <c r="N105" i="19"/>
  <c r="S105" i="19" s="1"/>
  <c r="M105" i="19"/>
  <c r="L105" i="19"/>
  <c r="K105" i="19"/>
  <c r="R104" i="19"/>
  <c r="Q104" i="19"/>
  <c r="P104" i="19"/>
  <c r="O104" i="19"/>
  <c r="N104" i="19"/>
  <c r="M104" i="19"/>
  <c r="L104" i="19"/>
  <c r="K104" i="19"/>
  <c r="S104" i="19" s="1"/>
  <c r="R103" i="19"/>
  <c r="Q103" i="19"/>
  <c r="P103" i="19"/>
  <c r="O103" i="19"/>
  <c r="N103" i="19"/>
  <c r="M103" i="19"/>
  <c r="L103" i="19"/>
  <c r="K103" i="19"/>
  <c r="S103" i="19" s="1"/>
  <c r="R102" i="19"/>
  <c r="Q102" i="19"/>
  <c r="S102" i="19" s="1"/>
  <c r="P102" i="19"/>
  <c r="O102" i="19"/>
  <c r="N102" i="19"/>
  <c r="M102" i="19"/>
  <c r="L102" i="19"/>
  <c r="K102" i="19"/>
  <c r="R101" i="19"/>
  <c r="Q101" i="19"/>
  <c r="P101" i="19"/>
  <c r="O101" i="19"/>
  <c r="N101" i="19"/>
  <c r="S101" i="19" s="1"/>
  <c r="M101" i="19"/>
  <c r="L101" i="19"/>
  <c r="K101" i="19"/>
  <c r="R100" i="19"/>
  <c r="Q100" i="19"/>
  <c r="P100" i="19"/>
  <c r="O100" i="19"/>
  <c r="N100" i="19"/>
  <c r="M100" i="19"/>
  <c r="L100" i="19"/>
  <c r="K100" i="19"/>
  <c r="S100" i="19" s="1"/>
  <c r="R99" i="19"/>
  <c r="Q99" i="19"/>
  <c r="P99" i="19"/>
  <c r="O99" i="19"/>
  <c r="N99" i="19"/>
  <c r="M99" i="19"/>
  <c r="L99" i="19"/>
  <c r="K99" i="19"/>
  <c r="S99" i="19" s="1"/>
  <c r="R98" i="19"/>
  <c r="Q98" i="19"/>
  <c r="S98" i="19" s="1"/>
  <c r="P98" i="19"/>
  <c r="O98" i="19"/>
  <c r="N98" i="19"/>
  <c r="M98" i="19"/>
  <c r="L98" i="19"/>
  <c r="K98" i="19"/>
  <c r="S97" i="19"/>
  <c r="R97" i="19"/>
  <c r="Q97" i="19"/>
  <c r="P97" i="19"/>
  <c r="O97" i="19"/>
  <c r="N97" i="19"/>
  <c r="M97" i="19"/>
  <c r="L97" i="19"/>
  <c r="K97" i="19"/>
  <c r="R96" i="19"/>
  <c r="Q96" i="19"/>
  <c r="P96" i="19"/>
  <c r="O96" i="19"/>
  <c r="N96" i="19"/>
  <c r="M96" i="19"/>
  <c r="L96" i="19"/>
  <c r="K96" i="19"/>
  <c r="S96" i="19" s="1"/>
  <c r="R95" i="19"/>
  <c r="Q95" i="19"/>
  <c r="P95" i="19"/>
  <c r="O95" i="19"/>
  <c r="N95" i="19"/>
  <c r="M95" i="19"/>
  <c r="L95" i="19"/>
  <c r="K95" i="19"/>
  <c r="S95" i="19" s="1"/>
  <c r="R94" i="19"/>
  <c r="Q94" i="19"/>
  <c r="S94" i="19" s="1"/>
  <c r="P94" i="19"/>
  <c r="O94" i="19"/>
  <c r="N94" i="19"/>
  <c r="M94" i="19"/>
  <c r="L94" i="19"/>
  <c r="K94" i="19"/>
  <c r="R93" i="19"/>
  <c r="Q93" i="19"/>
  <c r="P93" i="19"/>
  <c r="O93" i="19"/>
  <c r="N93" i="19"/>
  <c r="S93" i="19" s="1"/>
  <c r="M93" i="19"/>
  <c r="L93" i="19"/>
  <c r="K93" i="19"/>
  <c r="R92" i="19"/>
  <c r="Q92" i="19"/>
  <c r="P92" i="19"/>
  <c r="O92" i="19"/>
  <c r="N92" i="19"/>
  <c r="M92" i="19"/>
  <c r="L92" i="19"/>
  <c r="K92" i="19"/>
  <c r="S92" i="19" s="1"/>
  <c r="R91" i="19"/>
  <c r="Q91" i="19"/>
  <c r="P91" i="19"/>
  <c r="O91" i="19"/>
  <c r="N91" i="19"/>
  <c r="M91" i="19"/>
  <c r="L91" i="19"/>
  <c r="K91" i="19"/>
  <c r="S91" i="19" s="1"/>
  <c r="R90" i="19"/>
  <c r="Q90" i="19"/>
  <c r="S90" i="19" s="1"/>
  <c r="P90" i="19"/>
  <c r="O90" i="19"/>
  <c r="N90" i="19"/>
  <c r="M90" i="19"/>
  <c r="L90" i="19"/>
  <c r="K90" i="19"/>
  <c r="R89" i="19"/>
  <c r="Q89" i="19"/>
  <c r="P89" i="19"/>
  <c r="O89" i="19"/>
  <c r="N89" i="19"/>
  <c r="S89" i="19" s="1"/>
  <c r="M89" i="19"/>
  <c r="L89" i="19"/>
  <c r="K89" i="19"/>
  <c r="R88" i="19"/>
  <c r="Q88" i="19"/>
  <c r="P88" i="19"/>
  <c r="O88" i="19"/>
  <c r="N88" i="19"/>
  <c r="M88" i="19"/>
  <c r="L88" i="19"/>
  <c r="K88" i="19"/>
  <c r="S88" i="19" s="1"/>
  <c r="R87" i="19"/>
  <c r="Q87" i="19"/>
  <c r="P87" i="19"/>
  <c r="O87" i="19"/>
  <c r="N87" i="19"/>
  <c r="M87" i="19"/>
  <c r="L87" i="19"/>
  <c r="K87" i="19"/>
  <c r="S87" i="19" s="1"/>
  <c r="R86" i="19"/>
  <c r="Q86" i="19"/>
  <c r="S86" i="19" s="1"/>
  <c r="P86" i="19"/>
  <c r="O86" i="19"/>
  <c r="N86" i="19"/>
  <c r="M86" i="19"/>
  <c r="L86" i="19"/>
  <c r="K86" i="19"/>
  <c r="R85" i="19"/>
  <c r="Q85" i="19"/>
  <c r="P85" i="19"/>
  <c r="O85" i="19"/>
  <c r="N85" i="19"/>
  <c r="S85" i="19" s="1"/>
  <c r="M85" i="19"/>
  <c r="L85" i="19"/>
  <c r="K85" i="19"/>
  <c r="R84" i="19"/>
  <c r="Q84" i="19"/>
  <c r="P84" i="19"/>
  <c r="O84" i="19"/>
  <c r="N84" i="19"/>
  <c r="M84" i="19"/>
  <c r="L84" i="19"/>
  <c r="K84" i="19"/>
  <c r="S84" i="19" s="1"/>
  <c r="R83" i="19"/>
  <c r="Q83" i="19"/>
  <c r="P83" i="19"/>
  <c r="O83" i="19"/>
  <c r="N83" i="19"/>
  <c r="M83" i="19"/>
  <c r="L83" i="19"/>
  <c r="K83" i="19"/>
  <c r="S83" i="19" s="1"/>
  <c r="R82" i="19"/>
  <c r="Q82" i="19"/>
  <c r="S82" i="19" s="1"/>
  <c r="P82" i="19"/>
  <c r="O82" i="19"/>
  <c r="N82" i="19"/>
  <c r="M82" i="19"/>
  <c r="L82" i="19"/>
  <c r="K82" i="19"/>
  <c r="R81" i="19"/>
  <c r="Q81" i="19"/>
  <c r="P81" i="19"/>
  <c r="O81" i="19"/>
  <c r="N81" i="19"/>
  <c r="S81" i="19" s="1"/>
  <c r="M81" i="19"/>
  <c r="L81" i="19"/>
  <c r="K81" i="19"/>
  <c r="R80" i="19"/>
  <c r="Q80" i="19"/>
  <c r="P80" i="19"/>
  <c r="O80" i="19"/>
  <c r="N80" i="19"/>
  <c r="M80" i="19"/>
  <c r="L80" i="19"/>
  <c r="K80" i="19"/>
  <c r="S80" i="19" s="1"/>
  <c r="R79" i="19"/>
  <c r="Q79" i="19"/>
  <c r="P79" i="19"/>
  <c r="O79" i="19"/>
  <c r="N79" i="19"/>
  <c r="M79" i="19"/>
  <c r="L79" i="19"/>
  <c r="K79" i="19"/>
  <c r="S79" i="19" s="1"/>
  <c r="R78" i="19"/>
  <c r="Q78" i="19"/>
  <c r="S78" i="19" s="1"/>
  <c r="P78" i="19"/>
  <c r="O78" i="19"/>
  <c r="N78" i="19"/>
  <c r="M78" i="19"/>
  <c r="L78" i="19"/>
  <c r="K78" i="19"/>
  <c r="R77" i="19"/>
  <c r="Q77" i="19"/>
  <c r="P77" i="19"/>
  <c r="O77" i="19"/>
  <c r="N77" i="19"/>
  <c r="S77" i="19" s="1"/>
  <c r="M77" i="19"/>
  <c r="L77" i="19"/>
  <c r="K77" i="19"/>
  <c r="R76" i="19"/>
  <c r="Q76" i="19"/>
  <c r="P76" i="19"/>
  <c r="O76" i="19"/>
  <c r="N76" i="19"/>
  <c r="M76" i="19"/>
  <c r="L76" i="19"/>
  <c r="K76" i="19"/>
  <c r="S76" i="19" s="1"/>
  <c r="R75" i="19"/>
  <c r="Q75" i="19"/>
  <c r="P75" i="19"/>
  <c r="O75" i="19"/>
  <c r="N75" i="19"/>
  <c r="M75" i="19"/>
  <c r="L75" i="19"/>
  <c r="K75" i="19"/>
  <c r="S75" i="19" s="1"/>
  <c r="R74" i="19"/>
  <c r="Q74" i="19"/>
  <c r="S74" i="19" s="1"/>
  <c r="P74" i="19"/>
  <c r="O74" i="19"/>
  <c r="N74" i="19"/>
  <c r="M74" i="19"/>
  <c r="L74" i="19"/>
  <c r="K74" i="19"/>
  <c r="R73" i="19"/>
  <c r="Q73" i="19"/>
  <c r="P73" i="19"/>
  <c r="O73" i="19"/>
  <c r="N73" i="19"/>
  <c r="S73" i="19" s="1"/>
  <c r="M73" i="19"/>
  <c r="L73" i="19"/>
  <c r="K73" i="19"/>
  <c r="R72" i="19"/>
  <c r="Q72" i="19"/>
  <c r="P72" i="19"/>
  <c r="O72" i="19"/>
  <c r="N72" i="19"/>
  <c r="M72" i="19"/>
  <c r="L72" i="19"/>
  <c r="K72" i="19"/>
  <c r="S72" i="19" s="1"/>
  <c r="R71" i="19"/>
  <c r="Q71" i="19"/>
  <c r="P71" i="19"/>
  <c r="O71" i="19"/>
  <c r="N71" i="19"/>
  <c r="M71" i="19"/>
  <c r="L71" i="19"/>
  <c r="K71" i="19"/>
  <c r="S71" i="19" s="1"/>
  <c r="R70" i="19"/>
  <c r="Q70" i="19"/>
  <c r="S70" i="19" s="1"/>
  <c r="P70" i="19"/>
  <c r="O70" i="19"/>
  <c r="N70" i="19"/>
  <c r="M70" i="19"/>
  <c r="L70" i="19"/>
  <c r="K70" i="19"/>
  <c r="R69" i="19"/>
  <c r="Q69" i="19"/>
  <c r="P69" i="19"/>
  <c r="O69" i="19"/>
  <c r="N69" i="19"/>
  <c r="S69" i="19" s="1"/>
  <c r="M69" i="19"/>
  <c r="L69" i="19"/>
  <c r="K69" i="19"/>
  <c r="R68" i="19"/>
  <c r="Q68" i="19"/>
  <c r="P68" i="19"/>
  <c r="O68" i="19"/>
  <c r="N68" i="19"/>
  <c r="M68" i="19"/>
  <c r="L68" i="19"/>
  <c r="K68" i="19"/>
  <c r="S68" i="19" s="1"/>
  <c r="R67" i="19"/>
  <c r="Q67" i="19"/>
  <c r="P67" i="19"/>
  <c r="O67" i="19"/>
  <c r="N67" i="19"/>
  <c r="M67" i="19"/>
  <c r="L67" i="19"/>
  <c r="K67" i="19"/>
  <c r="S67" i="19" s="1"/>
  <c r="R66" i="19"/>
  <c r="Q66" i="19"/>
  <c r="S66" i="19" s="1"/>
  <c r="P66" i="19"/>
  <c r="O66" i="19"/>
  <c r="N66" i="19"/>
  <c r="M66" i="19"/>
  <c r="L66" i="19"/>
  <c r="K66" i="19"/>
  <c r="R65" i="19"/>
  <c r="Q65" i="19"/>
  <c r="P65" i="19"/>
  <c r="O65" i="19"/>
  <c r="N65" i="19"/>
  <c r="S65" i="19" s="1"/>
  <c r="M65" i="19"/>
  <c r="L65" i="19"/>
  <c r="K65" i="19"/>
  <c r="R64" i="19"/>
  <c r="Q64" i="19"/>
  <c r="P64" i="19"/>
  <c r="O64" i="19"/>
  <c r="N64" i="19"/>
  <c r="M64" i="19"/>
  <c r="L64" i="19"/>
  <c r="K64" i="19"/>
  <c r="S64" i="19" s="1"/>
  <c r="R63" i="19"/>
  <c r="Q63" i="19"/>
  <c r="P63" i="19"/>
  <c r="O63" i="19"/>
  <c r="N63" i="19"/>
  <c r="M63" i="19"/>
  <c r="L63" i="19"/>
  <c r="K63" i="19"/>
  <c r="S63" i="19" s="1"/>
  <c r="R62" i="19"/>
  <c r="Q62" i="19"/>
  <c r="S62" i="19" s="1"/>
  <c r="P62" i="19"/>
  <c r="O62" i="19"/>
  <c r="N62" i="19"/>
  <c r="M62" i="19"/>
  <c r="L62" i="19"/>
  <c r="K62" i="19"/>
  <c r="R61" i="19"/>
  <c r="Q61" i="19"/>
  <c r="P61" i="19"/>
  <c r="O61" i="19"/>
  <c r="N61" i="19"/>
  <c r="S61" i="19" s="1"/>
  <c r="M61" i="19"/>
  <c r="L61" i="19"/>
  <c r="K61" i="19"/>
  <c r="R60" i="19"/>
  <c r="Q60" i="19"/>
  <c r="P60" i="19"/>
  <c r="O60" i="19"/>
  <c r="N60" i="19"/>
  <c r="M60" i="19"/>
  <c r="L60" i="19"/>
  <c r="K60" i="19"/>
  <c r="S60" i="19" s="1"/>
  <c r="R59" i="19"/>
  <c r="Q59" i="19"/>
  <c r="P59" i="19"/>
  <c r="O59" i="19"/>
  <c r="N59" i="19"/>
  <c r="M59" i="19"/>
  <c r="L59" i="19"/>
  <c r="K59" i="19"/>
  <c r="S59" i="19" s="1"/>
  <c r="R58" i="19"/>
  <c r="Q58" i="19"/>
  <c r="S58" i="19" s="1"/>
  <c r="P58" i="19"/>
  <c r="O58" i="19"/>
  <c r="N58" i="19"/>
  <c r="M58" i="19"/>
  <c r="L58" i="19"/>
  <c r="K58" i="19"/>
  <c r="R57" i="19"/>
  <c r="Q57" i="19"/>
  <c r="P57" i="19"/>
  <c r="O57" i="19"/>
  <c r="N57" i="19"/>
  <c r="S57" i="19" s="1"/>
  <c r="M57" i="19"/>
  <c r="L57" i="19"/>
  <c r="K57" i="19"/>
  <c r="R56" i="19"/>
  <c r="Q56" i="19"/>
  <c r="P56" i="19"/>
  <c r="O56" i="19"/>
  <c r="N56" i="19"/>
  <c r="M56" i="19"/>
  <c r="L56" i="19"/>
  <c r="K56" i="19"/>
  <c r="S56" i="19" s="1"/>
  <c r="R55" i="19"/>
  <c r="Q55" i="19"/>
  <c r="P55" i="19"/>
  <c r="O55" i="19"/>
  <c r="N55" i="19"/>
  <c r="M55" i="19"/>
  <c r="L55" i="19"/>
  <c r="K55" i="19"/>
  <c r="S55" i="19" s="1"/>
  <c r="R54" i="19"/>
  <c r="Q54" i="19"/>
  <c r="S54" i="19" s="1"/>
  <c r="P54" i="19"/>
  <c r="O54" i="19"/>
  <c r="N54" i="19"/>
  <c r="M54" i="19"/>
  <c r="L54" i="19"/>
  <c r="K54" i="19"/>
  <c r="R53" i="19"/>
  <c r="Q53" i="19"/>
  <c r="P53" i="19"/>
  <c r="O53" i="19"/>
  <c r="N53" i="19"/>
  <c r="S53" i="19" s="1"/>
  <c r="M53" i="19"/>
  <c r="L53" i="19"/>
  <c r="K53" i="19"/>
  <c r="R52" i="19"/>
  <c r="Q52" i="19"/>
  <c r="P52" i="19"/>
  <c r="O52" i="19"/>
  <c r="N52" i="19"/>
  <c r="M52" i="19"/>
  <c r="L52" i="19"/>
  <c r="K52" i="19"/>
  <c r="S52" i="19" s="1"/>
  <c r="R51" i="19"/>
  <c r="Q51" i="19"/>
  <c r="P51" i="19"/>
  <c r="O51" i="19"/>
  <c r="N51" i="19"/>
  <c r="M51" i="19"/>
  <c r="L51" i="19"/>
  <c r="K51" i="19"/>
  <c r="S51" i="19" s="1"/>
  <c r="R50" i="19"/>
  <c r="Q50" i="19"/>
  <c r="S50" i="19" s="1"/>
  <c r="P50" i="19"/>
  <c r="O50" i="19"/>
  <c r="N50" i="19"/>
  <c r="M50" i="19"/>
  <c r="L50" i="19"/>
  <c r="K50" i="19"/>
  <c r="R49" i="19"/>
  <c r="Q49" i="19"/>
  <c r="P49" i="19"/>
  <c r="O49" i="19"/>
  <c r="N49" i="19"/>
  <c r="S49" i="19" s="1"/>
  <c r="M49" i="19"/>
  <c r="L49" i="19"/>
  <c r="K49" i="19"/>
  <c r="R48" i="19"/>
  <c r="Q48" i="19"/>
  <c r="P48" i="19"/>
  <c r="O48" i="19"/>
  <c r="N48" i="19"/>
  <c r="M48" i="19"/>
  <c r="L48" i="19"/>
  <c r="K48" i="19"/>
  <c r="S48" i="19" s="1"/>
  <c r="R47" i="19"/>
  <c r="Q47" i="19"/>
  <c r="P47" i="19"/>
  <c r="O47" i="19"/>
  <c r="N47" i="19"/>
  <c r="M47" i="19"/>
  <c r="L47" i="19"/>
  <c r="K47" i="19"/>
  <c r="S47" i="19" s="1"/>
  <c r="R46" i="19"/>
  <c r="Q46" i="19"/>
  <c r="S46" i="19" s="1"/>
  <c r="P46" i="19"/>
  <c r="O46" i="19"/>
  <c r="N46" i="19"/>
  <c r="M46" i="19"/>
  <c r="L46" i="19"/>
  <c r="K46" i="19"/>
  <c r="R45" i="19"/>
  <c r="Q45" i="19"/>
  <c r="P45" i="19"/>
  <c r="O45" i="19"/>
  <c r="N45" i="19"/>
  <c r="S45" i="19" s="1"/>
  <c r="M45" i="19"/>
  <c r="L45" i="19"/>
  <c r="K45" i="19"/>
  <c r="R44" i="19"/>
  <c r="Q44" i="19"/>
  <c r="P44" i="19"/>
  <c r="O44" i="19"/>
  <c r="N44" i="19"/>
  <c r="M44" i="19"/>
  <c r="L44" i="19"/>
  <c r="K44" i="19"/>
  <c r="S44" i="19" s="1"/>
  <c r="R43" i="19"/>
  <c r="Q43" i="19"/>
  <c r="P43" i="19"/>
  <c r="O43" i="19"/>
  <c r="N43" i="19"/>
  <c r="M43" i="19"/>
  <c r="L43" i="19"/>
  <c r="K43" i="19"/>
  <c r="S43" i="19" s="1"/>
  <c r="R42" i="19"/>
  <c r="Q42" i="19"/>
  <c r="S42" i="19" s="1"/>
  <c r="P42" i="19"/>
  <c r="O42" i="19"/>
  <c r="N42" i="19"/>
  <c r="M42" i="19"/>
  <c r="L42" i="19"/>
  <c r="K42" i="19"/>
  <c r="R41" i="19"/>
  <c r="Q41" i="19"/>
  <c r="P41" i="19"/>
  <c r="O41" i="19"/>
  <c r="N41" i="19"/>
  <c r="S41" i="19" s="1"/>
  <c r="M41" i="19"/>
  <c r="L41" i="19"/>
  <c r="K41" i="19"/>
  <c r="R40" i="19"/>
  <c r="Q40" i="19"/>
  <c r="P40" i="19"/>
  <c r="O40" i="19"/>
  <c r="N40" i="19"/>
  <c r="M40" i="19"/>
  <c r="L40" i="19"/>
  <c r="K40" i="19"/>
  <c r="S40" i="19" s="1"/>
  <c r="R39" i="19"/>
  <c r="Q39" i="19"/>
  <c r="P39" i="19"/>
  <c r="O39" i="19"/>
  <c r="N39" i="19"/>
  <c r="M39" i="19"/>
  <c r="L39" i="19"/>
  <c r="K39" i="19"/>
  <c r="S39" i="19" s="1"/>
  <c r="R38" i="19"/>
  <c r="Q38" i="19"/>
  <c r="S38" i="19" s="1"/>
  <c r="P38" i="19"/>
  <c r="O38" i="19"/>
  <c r="N38" i="19"/>
  <c r="M38" i="19"/>
  <c r="L38" i="19"/>
  <c r="K38" i="19"/>
  <c r="R37" i="19"/>
  <c r="Q37" i="19"/>
  <c r="P37" i="19"/>
  <c r="O37" i="19"/>
  <c r="N37" i="19"/>
  <c r="S37" i="19" s="1"/>
  <c r="M37" i="19"/>
  <c r="L37" i="19"/>
  <c r="K37" i="19"/>
  <c r="R36" i="19"/>
  <c r="Q36" i="19"/>
  <c r="P36" i="19"/>
  <c r="O36" i="19"/>
  <c r="N36" i="19"/>
  <c r="M36" i="19"/>
  <c r="L36" i="19"/>
  <c r="K36" i="19"/>
  <c r="S36" i="19" s="1"/>
  <c r="R35" i="19"/>
  <c r="Q35" i="19"/>
  <c r="P35" i="19"/>
  <c r="O35" i="19"/>
  <c r="N35" i="19"/>
  <c r="M35" i="19"/>
  <c r="L35" i="19"/>
  <c r="K35" i="19"/>
  <c r="S35" i="19" s="1"/>
  <c r="R34" i="19"/>
  <c r="Q34" i="19"/>
  <c r="S34" i="19" s="1"/>
  <c r="P34" i="19"/>
  <c r="O34" i="19"/>
  <c r="N34" i="19"/>
  <c r="M34" i="19"/>
  <c r="L34" i="19"/>
  <c r="K34" i="19"/>
  <c r="R33" i="19"/>
  <c r="Q33" i="19"/>
  <c r="P33" i="19"/>
  <c r="O33" i="19"/>
  <c r="N33" i="19"/>
  <c r="S33" i="19" s="1"/>
  <c r="M33" i="19"/>
  <c r="L33" i="19"/>
  <c r="K33" i="19"/>
  <c r="R32" i="19"/>
  <c r="Q32" i="19"/>
  <c r="P32" i="19"/>
  <c r="O32" i="19"/>
  <c r="N32" i="19"/>
  <c r="M32" i="19"/>
  <c r="L32" i="19"/>
  <c r="K32" i="19"/>
  <c r="S32" i="19" s="1"/>
  <c r="R31" i="19"/>
  <c r="Q31" i="19"/>
  <c r="P31" i="19"/>
  <c r="O31" i="19"/>
  <c r="N31" i="19"/>
  <c r="M31" i="19"/>
  <c r="L31" i="19"/>
  <c r="K31" i="19"/>
  <c r="S31" i="19" s="1"/>
  <c r="R30" i="19"/>
  <c r="Q30" i="19"/>
  <c r="S30" i="19" s="1"/>
  <c r="P30" i="19"/>
  <c r="O30" i="19"/>
  <c r="N30" i="19"/>
  <c r="M30" i="19"/>
  <c r="L30" i="19"/>
  <c r="K30" i="19"/>
  <c r="R29" i="19"/>
  <c r="Q29" i="19"/>
  <c r="P29" i="19"/>
  <c r="O29" i="19"/>
  <c r="N29" i="19"/>
  <c r="S29" i="19" s="1"/>
  <c r="M29" i="19"/>
  <c r="L29" i="19"/>
  <c r="K29" i="19"/>
  <c r="R28" i="19"/>
  <c r="Q28" i="19"/>
  <c r="P28" i="19"/>
  <c r="O28" i="19"/>
  <c r="N28" i="19"/>
  <c r="M28" i="19"/>
  <c r="L28" i="19"/>
  <c r="K28" i="19"/>
  <c r="S28" i="19" s="1"/>
  <c r="R27" i="19"/>
  <c r="Q27" i="19"/>
  <c r="P27" i="19"/>
  <c r="O27" i="19"/>
  <c r="N27" i="19"/>
  <c r="M27" i="19"/>
  <c r="L27" i="19"/>
  <c r="K27" i="19"/>
  <c r="S27" i="19" s="1"/>
  <c r="R26" i="19"/>
  <c r="Q26" i="19"/>
  <c r="S26" i="19" s="1"/>
  <c r="P26" i="19"/>
  <c r="O26" i="19"/>
  <c r="N26" i="19"/>
  <c r="M26" i="19"/>
  <c r="L26" i="19"/>
  <c r="K26" i="19"/>
  <c r="R25" i="19"/>
  <c r="Q25" i="19"/>
  <c r="P25" i="19"/>
  <c r="O25" i="19"/>
  <c r="N25" i="19"/>
  <c r="S25" i="19" s="1"/>
  <c r="M25" i="19"/>
  <c r="L25" i="19"/>
  <c r="K25" i="19"/>
  <c r="R24" i="19"/>
  <c r="Q24" i="19"/>
  <c r="P24" i="19"/>
  <c r="O24" i="19"/>
  <c r="N24" i="19"/>
  <c r="M24" i="19"/>
  <c r="L24" i="19"/>
  <c r="K24" i="19"/>
  <c r="S24" i="19" s="1"/>
  <c r="R23" i="19"/>
  <c r="Q23" i="19"/>
  <c r="P23" i="19"/>
  <c r="O23" i="19"/>
  <c r="N23" i="19"/>
  <c r="M23" i="19"/>
  <c r="L23" i="19"/>
  <c r="K23" i="19"/>
  <c r="S23" i="19" s="1"/>
  <c r="R22" i="19"/>
  <c r="Q22" i="19"/>
  <c r="S22" i="19" s="1"/>
  <c r="P22" i="19"/>
  <c r="O22" i="19"/>
  <c r="N22" i="19"/>
  <c r="M22" i="19"/>
  <c r="L22" i="19"/>
  <c r="K22" i="19"/>
  <c r="R21" i="19"/>
  <c r="Q21" i="19"/>
  <c r="P21" i="19"/>
  <c r="O21" i="19"/>
  <c r="N21" i="19"/>
  <c r="S21" i="19" s="1"/>
  <c r="M21" i="19"/>
  <c r="L21" i="19"/>
  <c r="K21" i="19"/>
  <c r="R20" i="19"/>
  <c r="Q20" i="19"/>
  <c r="P20" i="19"/>
  <c r="O20" i="19"/>
  <c r="N20" i="19"/>
  <c r="M20" i="19"/>
  <c r="L20" i="19"/>
  <c r="K20" i="19"/>
  <c r="S20" i="19" s="1"/>
  <c r="R19" i="19"/>
  <c r="Q19" i="19"/>
  <c r="P19" i="19"/>
  <c r="O19" i="19"/>
  <c r="N19" i="19"/>
  <c r="M19" i="19"/>
  <c r="L19" i="19"/>
  <c r="K19" i="19"/>
  <c r="S19" i="19" s="1"/>
  <c r="R18" i="19"/>
  <c r="Q18" i="19"/>
  <c r="S18" i="19" s="1"/>
  <c r="P18" i="19"/>
  <c r="O18" i="19"/>
  <c r="N18" i="19"/>
  <c r="M18" i="19"/>
  <c r="L18" i="19"/>
  <c r="K18" i="19"/>
  <c r="R17" i="19"/>
  <c r="Q17" i="19"/>
  <c r="P17" i="19"/>
  <c r="O17" i="19"/>
  <c r="N17" i="19"/>
  <c r="S17" i="19" s="1"/>
  <c r="M17" i="19"/>
  <c r="L17" i="19"/>
  <c r="K17" i="19"/>
  <c r="R16" i="19"/>
  <c r="Q16" i="19"/>
  <c r="P16" i="19"/>
  <c r="O16" i="19"/>
  <c r="N16" i="19"/>
  <c r="M16" i="19"/>
  <c r="L16" i="19"/>
  <c r="K16" i="19"/>
  <c r="S16" i="19" s="1"/>
  <c r="R15" i="19"/>
  <c r="Q15" i="19"/>
  <c r="P15" i="19"/>
  <c r="O15" i="19"/>
  <c r="N15" i="19"/>
  <c r="M15" i="19"/>
  <c r="L15" i="19"/>
  <c r="K15" i="19"/>
  <c r="S15" i="19" s="1"/>
  <c r="R14" i="19"/>
  <c r="Q14" i="19"/>
  <c r="S14" i="19" s="1"/>
  <c r="P14" i="19"/>
  <c r="O14" i="19"/>
  <c r="N14" i="19"/>
  <c r="M14" i="19"/>
  <c r="L14" i="19"/>
  <c r="K14" i="19"/>
  <c r="R13" i="19"/>
  <c r="Q13" i="19"/>
  <c r="P13" i="19"/>
  <c r="O13" i="19"/>
  <c r="N13" i="19"/>
  <c r="S13" i="19" s="1"/>
  <c r="M13" i="19"/>
  <c r="L13" i="19"/>
  <c r="K13" i="19"/>
  <c r="R12" i="19"/>
  <c r="Q12" i="19"/>
  <c r="P12" i="19"/>
  <c r="O12" i="19"/>
  <c r="N12" i="19"/>
  <c r="M12" i="19"/>
  <c r="L12" i="19"/>
  <c r="K12" i="19"/>
  <c r="S12" i="19" s="1"/>
  <c r="R11" i="19"/>
  <c r="Q11" i="19"/>
  <c r="P11" i="19"/>
  <c r="O11" i="19"/>
  <c r="N11" i="19"/>
  <c r="M11" i="19"/>
  <c r="L11" i="19"/>
  <c r="K11" i="19"/>
  <c r="S11" i="19" s="1"/>
  <c r="R10" i="19"/>
  <c r="Q10" i="19"/>
  <c r="S10" i="19" s="1"/>
  <c r="P10" i="19"/>
  <c r="O10" i="19"/>
  <c r="N10" i="19"/>
  <c r="M10" i="19"/>
  <c r="L10" i="19"/>
  <c r="K10" i="19"/>
  <c r="R9" i="19"/>
  <c r="Q9" i="19"/>
  <c r="P9" i="19"/>
  <c r="O9" i="19"/>
  <c r="N9" i="19"/>
  <c r="S9" i="19" s="1"/>
  <c r="M9" i="19"/>
  <c r="L9" i="19"/>
  <c r="K9" i="19"/>
  <c r="R8" i="19"/>
  <c r="Q8" i="19"/>
  <c r="P8" i="19"/>
  <c r="O8" i="19"/>
  <c r="N8" i="19"/>
  <c r="M8" i="19"/>
  <c r="L8" i="19"/>
  <c r="K8" i="19"/>
  <c r="S8" i="19" s="1"/>
  <c r="R7" i="19"/>
  <c r="Q7" i="19"/>
  <c r="P7" i="19"/>
  <c r="O7" i="19"/>
  <c r="N7" i="19"/>
  <c r="M7" i="19"/>
  <c r="L7" i="19"/>
  <c r="K7" i="19"/>
  <c r="S7" i="19" s="1"/>
  <c r="R6" i="19"/>
  <c r="Q6" i="19"/>
  <c r="S6" i="19" s="1"/>
  <c r="P6" i="19"/>
  <c r="O6" i="19"/>
  <c r="N6" i="19"/>
  <c r="M6" i="19"/>
  <c r="L6" i="19"/>
  <c r="K6" i="19"/>
  <c r="R5" i="19"/>
  <c r="Q5" i="19"/>
  <c r="P5" i="19"/>
  <c r="O5" i="19"/>
  <c r="N5" i="19"/>
  <c r="S5" i="19" s="1"/>
  <c r="M5" i="19"/>
  <c r="L5" i="19"/>
  <c r="K5" i="19"/>
  <c r="R4" i="19"/>
  <c r="Q4" i="19"/>
  <c r="P4" i="19"/>
  <c r="O4" i="19"/>
  <c r="N4" i="19"/>
  <c r="M4" i="19"/>
  <c r="L4" i="19"/>
  <c r="K4" i="19"/>
  <c r="S4" i="19" s="1"/>
  <c r="P14" i="18" l="1"/>
  <c r="L14" i="18"/>
  <c r="H14" i="18"/>
  <c r="D14" i="18"/>
  <c r="P12" i="18"/>
  <c r="L12" i="18"/>
  <c r="H12" i="18"/>
  <c r="D12" i="18"/>
  <c r="P10" i="18"/>
  <c r="L10" i="18"/>
  <c r="H10" i="18"/>
  <c r="D10" i="18"/>
  <c r="P8" i="18"/>
  <c r="L8" i="18"/>
  <c r="H8" i="18"/>
  <c r="D8" i="18"/>
  <c r="P6" i="18"/>
  <c r="L6" i="18"/>
  <c r="H6" i="18"/>
  <c r="D6" i="18"/>
  <c r="P4" i="18"/>
  <c r="L4" i="18"/>
  <c r="H4" i="18"/>
  <c r="D4" i="18"/>
  <c r="J64" i="17" l="1"/>
  <c r="I64" i="17"/>
  <c r="H64" i="17"/>
  <c r="G64" i="17"/>
  <c r="J62" i="17"/>
  <c r="I62" i="17"/>
  <c r="H62" i="17"/>
  <c r="G62" i="17"/>
  <c r="J60" i="17"/>
  <c r="I60" i="17"/>
  <c r="H60" i="17"/>
  <c r="G60" i="17"/>
  <c r="J58" i="17"/>
  <c r="I58" i="17"/>
  <c r="H58" i="17"/>
  <c r="G58" i="17"/>
  <c r="J56" i="17"/>
  <c r="N56" i="17" s="1"/>
  <c r="I56" i="17"/>
  <c r="M56" i="17" s="1"/>
  <c r="H56" i="17"/>
  <c r="L56" i="17" s="1"/>
  <c r="G56" i="17"/>
  <c r="J53" i="17"/>
  <c r="I53" i="17"/>
  <c r="H53" i="17"/>
  <c r="G53" i="17"/>
  <c r="J51" i="17"/>
  <c r="I51" i="17"/>
  <c r="H51" i="17"/>
  <c r="G51" i="17"/>
  <c r="J49" i="17"/>
  <c r="I49" i="17"/>
  <c r="H49" i="17"/>
  <c r="G49" i="17"/>
  <c r="J47" i="17"/>
  <c r="N47" i="17" s="1"/>
  <c r="I47" i="17"/>
  <c r="M47" i="17" s="1"/>
  <c r="H47" i="17"/>
  <c r="L47" i="17" s="1"/>
  <c r="G47" i="17"/>
  <c r="J44" i="17"/>
  <c r="I44" i="17"/>
  <c r="H44" i="17"/>
  <c r="G44" i="17"/>
  <c r="J42" i="17"/>
  <c r="I42" i="17"/>
  <c r="H42" i="17"/>
  <c r="G42" i="17"/>
  <c r="J40" i="17"/>
  <c r="I40" i="17"/>
  <c r="H40" i="17"/>
  <c r="G40" i="17"/>
  <c r="J38" i="17"/>
  <c r="N38" i="17" s="1"/>
  <c r="I38" i="17"/>
  <c r="M38" i="17" s="1"/>
  <c r="H38" i="17"/>
  <c r="L38" i="17" s="1"/>
  <c r="G38" i="17"/>
  <c r="J35" i="17"/>
  <c r="I35" i="17"/>
  <c r="H35" i="17"/>
  <c r="G35" i="17"/>
  <c r="J33" i="17"/>
  <c r="I33" i="17"/>
  <c r="H33" i="17"/>
  <c r="G33" i="17"/>
  <c r="J31" i="17"/>
  <c r="I31" i="17"/>
  <c r="H31" i="17"/>
  <c r="G31" i="17"/>
  <c r="J29" i="17"/>
  <c r="I29" i="17"/>
  <c r="H29" i="17"/>
  <c r="G29" i="17"/>
  <c r="J27" i="17"/>
  <c r="N27" i="17" s="1"/>
  <c r="I27" i="17"/>
  <c r="M27" i="17" s="1"/>
  <c r="H27" i="17"/>
  <c r="G27" i="17"/>
  <c r="K27" i="17" s="1"/>
  <c r="J24" i="17"/>
  <c r="I24" i="17"/>
  <c r="H24" i="17"/>
  <c r="G24" i="17"/>
  <c r="J22" i="17"/>
  <c r="I22" i="17"/>
  <c r="H22" i="17"/>
  <c r="G22" i="17"/>
  <c r="J20" i="17"/>
  <c r="I20" i="17"/>
  <c r="H20" i="17"/>
  <c r="G20" i="17"/>
  <c r="J18" i="17"/>
  <c r="I18" i="17"/>
  <c r="H18" i="17"/>
  <c r="G18" i="17"/>
  <c r="J16" i="17"/>
  <c r="N16" i="17" s="1"/>
  <c r="I16" i="17"/>
  <c r="H16" i="17"/>
  <c r="L16" i="17" s="1"/>
  <c r="G16" i="17"/>
  <c r="K16" i="17" s="1"/>
  <c r="J13" i="17"/>
  <c r="I13" i="17"/>
  <c r="H13" i="17"/>
  <c r="G13" i="17"/>
  <c r="J11" i="17"/>
  <c r="I11" i="17"/>
  <c r="H11" i="17"/>
  <c r="G11" i="17"/>
  <c r="J9" i="17"/>
  <c r="I9" i="17"/>
  <c r="H9" i="17"/>
  <c r="G9" i="17"/>
  <c r="J7" i="17"/>
  <c r="I7" i="17"/>
  <c r="H7" i="17"/>
  <c r="G7" i="17"/>
  <c r="J5" i="17"/>
  <c r="N5" i="17" s="1"/>
  <c r="I5" i="17"/>
  <c r="M5" i="17" s="1"/>
  <c r="H5" i="17"/>
  <c r="L5" i="17" s="1"/>
  <c r="G5" i="17"/>
  <c r="M64" i="17" l="1"/>
  <c r="M42" i="17"/>
  <c r="M49" i="17"/>
  <c r="N49" i="17"/>
  <c r="M33" i="17"/>
  <c r="L29" i="17"/>
  <c r="M29" i="17"/>
  <c r="M31" i="17"/>
  <c r="M53" i="17"/>
  <c r="N33" i="17"/>
  <c r="N29" i="17"/>
  <c r="N42" i="17"/>
  <c r="N51" i="17"/>
  <c r="K31" i="17"/>
  <c r="M11" i="17"/>
  <c r="K7" i="17"/>
  <c r="L13" i="17"/>
  <c r="L20" i="17"/>
  <c r="L35" i="17"/>
  <c r="L53" i="17"/>
  <c r="K62" i="17"/>
  <c r="M13" i="17"/>
  <c r="L62" i="17"/>
  <c r="K33" i="17"/>
  <c r="L33" i="17"/>
  <c r="L64" i="17"/>
  <c r="M62" i="17"/>
  <c r="K58" i="17"/>
  <c r="N13" i="17"/>
  <c r="M20" i="17"/>
  <c r="L58" i="17"/>
  <c r="M35" i="17"/>
  <c r="M58" i="17"/>
  <c r="N9" i="17"/>
  <c r="M24" i="17"/>
  <c r="N35" i="17"/>
  <c r="N58" i="17"/>
  <c r="K11" i="17"/>
  <c r="N40" i="17"/>
  <c r="L11" i="17"/>
  <c r="N31" i="17"/>
  <c r="L49" i="17"/>
  <c r="M9" i="17"/>
  <c r="M22" i="17"/>
  <c r="K44" i="17"/>
  <c r="K18" i="17"/>
  <c r="L44" i="17"/>
  <c r="L18" i="17"/>
  <c r="M44" i="17"/>
  <c r="K53" i="17"/>
  <c r="K20" i="17"/>
  <c r="K22" i="17"/>
  <c r="K24" i="17"/>
  <c r="L7" i="17"/>
  <c r="L24" i="17"/>
  <c r="M51" i="17"/>
  <c r="K64" i="17"/>
  <c r="N7" i="17"/>
  <c r="N24" i="17"/>
  <c r="M60" i="17"/>
  <c r="K40" i="17"/>
  <c r="N60" i="17"/>
  <c r="L40" i="17"/>
  <c r="N64" i="17"/>
  <c r="M7" i="17"/>
  <c r="K13" i="17"/>
  <c r="L22" i="17"/>
  <c r="L27" i="17"/>
  <c r="L31" i="17"/>
  <c r="M40" i="17"/>
  <c r="K49" i="17"/>
  <c r="N22" i="17"/>
  <c r="M18" i="17"/>
  <c r="K35" i="17"/>
  <c r="K42" i="17"/>
  <c r="K51" i="17"/>
  <c r="K60" i="17"/>
  <c r="N20" i="17"/>
  <c r="K9" i="17"/>
  <c r="L9" i="17"/>
  <c r="N11" i="17"/>
  <c r="N18" i="17"/>
  <c r="L42" i="17"/>
  <c r="N44" i="17"/>
  <c r="L51" i="17"/>
  <c r="N53" i="17"/>
  <c r="L60" i="17"/>
  <c r="N62" i="17"/>
  <c r="M16" i="17"/>
  <c r="K5" i="17"/>
  <c r="K38" i="17"/>
  <c r="K47" i="17"/>
  <c r="K56" i="17"/>
  <c r="K29" i="17"/>
  <c r="S65" i="12" l="1"/>
  <c r="AA74" i="12" s="1"/>
  <c r="R65" i="12"/>
  <c r="Z74" i="12" s="1"/>
  <c r="Q65" i="12"/>
  <c r="Y74" i="12" s="1"/>
  <c r="P65" i="12"/>
  <c r="X74" i="12" s="1"/>
  <c r="O65" i="12"/>
  <c r="W73" i="12" s="1"/>
  <c r="N65" i="12"/>
  <c r="V73" i="12" s="1"/>
  <c r="M65" i="12"/>
  <c r="U73" i="12" s="1"/>
  <c r="L65" i="12"/>
  <c r="T73" i="12" s="1"/>
  <c r="S54" i="12"/>
  <c r="AA63" i="12" s="1"/>
  <c r="R54" i="12"/>
  <c r="Z63" i="12" s="1"/>
  <c r="Q54" i="12"/>
  <c r="Y63" i="12" s="1"/>
  <c r="P54" i="12"/>
  <c r="X63" i="12" s="1"/>
  <c r="O54" i="12"/>
  <c r="W62" i="12" s="1"/>
  <c r="N54" i="12"/>
  <c r="V62" i="12" s="1"/>
  <c r="M54" i="12"/>
  <c r="U57" i="12" s="1"/>
  <c r="L54" i="12"/>
  <c r="T61" i="12" s="1"/>
  <c r="S43" i="12"/>
  <c r="AA50" i="12" s="1"/>
  <c r="R43" i="12"/>
  <c r="Z50" i="12" s="1"/>
  <c r="Q43" i="12"/>
  <c r="Y50" i="12" s="1"/>
  <c r="P43" i="12"/>
  <c r="X50" i="12" s="1"/>
  <c r="O43" i="12"/>
  <c r="W49" i="12" s="1"/>
  <c r="N43" i="12"/>
  <c r="V49" i="12" s="1"/>
  <c r="M43" i="12"/>
  <c r="U49" i="12" s="1"/>
  <c r="L43" i="12"/>
  <c r="T49" i="12" s="1"/>
  <c r="S34" i="12"/>
  <c r="AA39" i="12" s="1"/>
  <c r="R34" i="12"/>
  <c r="Z40" i="12" s="1"/>
  <c r="Q34" i="12"/>
  <c r="Y39" i="12" s="1"/>
  <c r="P34" i="12"/>
  <c r="X39" i="12" s="1"/>
  <c r="O34" i="12"/>
  <c r="W41" i="12" s="1"/>
  <c r="N34" i="12"/>
  <c r="V41" i="12" s="1"/>
  <c r="M34" i="12"/>
  <c r="U41" i="12" s="1"/>
  <c r="L34" i="12"/>
  <c r="T41" i="12" s="1"/>
  <c r="S23" i="12"/>
  <c r="AA31" i="12" s="1"/>
  <c r="R23" i="12"/>
  <c r="Z31" i="12" s="1"/>
  <c r="Q23" i="12"/>
  <c r="Y32" i="12" s="1"/>
  <c r="P23" i="12"/>
  <c r="X24" i="12" s="1"/>
  <c r="O23" i="12"/>
  <c r="W30" i="12" s="1"/>
  <c r="N23" i="12"/>
  <c r="V30" i="12" s="1"/>
  <c r="M23" i="12"/>
  <c r="U30" i="12" s="1"/>
  <c r="L23" i="12"/>
  <c r="T30" i="12" s="1"/>
  <c r="S12" i="12"/>
  <c r="AA18" i="12" s="1"/>
  <c r="R12" i="12"/>
  <c r="Z18" i="12" s="1"/>
  <c r="Q12" i="12"/>
  <c r="Y18" i="12" s="1"/>
  <c r="P12" i="12"/>
  <c r="X19" i="12" s="1"/>
  <c r="O12" i="12"/>
  <c r="W17" i="12" s="1"/>
  <c r="N12" i="12"/>
  <c r="V19" i="12" s="1"/>
  <c r="M12" i="12"/>
  <c r="U18" i="12" s="1"/>
  <c r="L12" i="12"/>
  <c r="T19" i="12" s="1"/>
  <c r="S3" i="12"/>
  <c r="AA10" i="12" s="1"/>
  <c r="R3" i="12"/>
  <c r="Z10" i="12" s="1"/>
  <c r="Q3" i="12"/>
  <c r="Y10" i="12" s="1"/>
  <c r="P3" i="12"/>
  <c r="X10" i="12" s="1"/>
  <c r="O3" i="12"/>
  <c r="W9" i="12" s="1"/>
  <c r="N3" i="12"/>
  <c r="V9" i="12" s="1"/>
  <c r="M3" i="12"/>
  <c r="U9" i="12" s="1"/>
  <c r="L3" i="12"/>
  <c r="T10" i="12" s="1"/>
  <c r="Y56" i="12" l="1"/>
  <c r="X56" i="12"/>
  <c r="Z56" i="12"/>
  <c r="U48" i="12"/>
  <c r="T37" i="12"/>
  <c r="U37" i="12"/>
  <c r="Y49" i="12"/>
  <c r="Y5" i="12"/>
  <c r="AA49" i="12"/>
  <c r="Y54" i="12"/>
  <c r="AA3" i="12"/>
  <c r="Z5" i="12"/>
  <c r="X6" i="12"/>
  <c r="Z14" i="12"/>
  <c r="Y6" i="12"/>
  <c r="AA6" i="12"/>
  <c r="AA9" i="12"/>
  <c r="Z3" i="12"/>
  <c r="U34" i="12"/>
  <c r="Y43" i="12"/>
  <c r="U36" i="12"/>
  <c r="U45" i="12"/>
  <c r="W37" i="12"/>
  <c r="X45" i="12"/>
  <c r="Y45" i="12"/>
  <c r="AA56" i="12"/>
  <c r="W45" i="12"/>
  <c r="Z8" i="12"/>
  <c r="V39" i="12"/>
  <c r="Z45" i="12"/>
  <c r="Z59" i="12"/>
  <c r="X65" i="12"/>
  <c r="V37" i="12"/>
  <c r="X9" i="12"/>
  <c r="X12" i="12"/>
  <c r="T34" i="12"/>
  <c r="T40" i="12"/>
  <c r="U43" i="12"/>
  <c r="V47" i="12"/>
  <c r="X62" i="12"/>
  <c r="AA65" i="12"/>
  <c r="T3" i="12"/>
  <c r="Y9" i="12"/>
  <c r="Y12" i="12"/>
  <c r="W23" i="12"/>
  <c r="V40" i="12"/>
  <c r="V43" i="12"/>
  <c r="T48" i="12"/>
  <c r="Z62" i="12"/>
  <c r="X67" i="12"/>
  <c r="X38" i="12"/>
  <c r="Y3" i="12"/>
  <c r="Z9" i="12"/>
  <c r="Z12" i="12"/>
  <c r="W26" i="12"/>
  <c r="V34" i="12"/>
  <c r="W40" i="12"/>
  <c r="W43" i="12"/>
  <c r="AA62" i="12"/>
  <c r="Z67" i="12"/>
  <c r="V45" i="12"/>
  <c r="X14" i="12"/>
  <c r="W31" i="12"/>
  <c r="W34" i="12"/>
  <c r="X41" i="12"/>
  <c r="X43" i="12"/>
  <c r="V48" i="12"/>
  <c r="AA67" i="12"/>
  <c r="X70" i="12"/>
  <c r="W48" i="12"/>
  <c r="T5" i="12"/>
  <c r="W36" i="12"/>
  <c r="Z43" i="12"/>
  <c r="X48" i="12"/>
  <c r="AA54" i="12"/>
  <c r="Z73" i="12"/>
  <c r="T32" i="12"/>
  <c r="Y4" i="12"/>
  <c r="AA12" i="12"/>
  <c r="W24" i="12"/>
  <c r="W28" i="12"/>
  <c r="W32" i="12"/>
  <c r="U24" i="12"/>
  <c r="V28" i="12"/>
  <c r="T29" i="12"/>
  <c r="T35" i="12"/>
  <c r="Z70" i="12"/>
  <c r="AA4" i="12"/>
  <c r="T8" i="12"/>
  <c r="Y14" i="12"/>
  <c r="U25" i="12"/>
  <c r="U29" i="12"/>
  <c r="U35" i="12"/>
  <c r="T39" i="12"/>
  <c r="AA43" i="12"/>
  <c r="AA45" i="12"/>
  <c r="Y48" i="12"/>
  <c r="X59" i="12"/>
  <c r="AA70" i="12"/>
  <c r="T28" i="12"/>
  <c r="X4" i="12"/>
  <c r="V24" i="12"/>
  <c r="T25" i="12"/>
  <c r="U8" i="12"/>
  <c r="V25" i="12"/>
  <c r="V29" i="12"/>
  <c r="V35" i="12"/>
  <c r="U39" i="12"/>
  <c r="X44" i="12"/>
  <c r="X46" i="12"/>
  <c r="Z48" i="12"/>
  <c r="Y59" i="12"/>
  <c r="T72" i="12"/>
  <c r="U32" i="12"/>
  <c r="V32" i="12"/>
  <c r="Z4" i="12"/>
  <c r="AA14" i="12"/>
  <c r="W25" i="12"/>
  <c r="W29" i="12"/>
  <c r="W35" i="12"/>
  <c r="Y44" i="12"/>
  <c r="Y46" i="12"/>
  <c r="AA48" i="12"/>
  <c r="Z72" i="12"/>
  <c r="Z6" i="12"/>
  <c r="U3" i="12"/>
  <c r="U5" i="12"/>
  <c r="V8" i="12"/>
  <c r="V3" i="12"/>
  <c r="V5" i="12"/>
  <c r="W8" i="12"/>
  <c r="X17" i="12"/>
  <c r="T23" i="12"/>
  <c r="T26" i="12"/>
  <c r="T31" i="12"/>
  <c r="T36" i="12"/>
  <c r="W39" i="12"/>
  <c r="Z44" i="12"/>
  <c r="Z46" i="12"/>
  <c r="X49" i="12"/>
  <c r="X54" i="12"/>
  <c r="AA59" i="12"/>
  <c r="X73" i="12"/>
  <c r="AA17" i="12"/>
  <c r="T24" i="12"/>
  <c r="U28" i="12"/>
  <c r="W3" i="12"/>
  <c r="U23" i="12"/>
  <c r="U31" i="12"/>
  <c r="AA44" i="12"/>
  <c r="AA46" i="12"/>
  <c r="W5" i="12"/>
  <c r="X8" i="12"/>
  <c r="Y17" i="12"/>
  <c r="U26" i="12"/>
  <c r="X3" i="12"/>
  <c r="X5" i="12"/>
  <c r="Y8" i="12"/>
  <c r="Z17" i="12"/>
  <c r="V23" i="12"/>
  <c r="V26" i="12"/>
  <c r="V31" i="12"/>
  <c r="V36" i="12"/>
  <c r="U40" i="12"/>
  <c r="T43" i="12"/>
  <c r="T45" i="12"/>
  <c r="T47" i="12"/>
  <c r="Z49" i="12"/>
  <c r="Z54" i="12"/>
  <c r="Y62" i="12"/>
  <c r="Z65" i="12"/>
  <c r="AA73" i="12"/>
  <c r="U16" i="12"/>
  <c r="U19" i="12"/>
  <c r="Y27" i="12"/>
  <c r="Y30" i="12"/>
  <c r="Y38" i="12"/>
  <c r="Y41" i="12"/>
  <c r="U58" i="12"/>
  <c r="U61" i="12"/>
  <c r="Y65" i="12"/>
  <c r="Y67" i="12"/>
  <c r="U69" i="12"/>
  <c r="Y70" i="12"/>
  <c r="U72" i="12"/>
  <c r="Y73" i="12"/>
  <c r="T16" i="12"/>
  <c r="Z27" i="12"/>
  <c r="Z30" i="12"/>
  <c r="Z38" i="12"/>
  <c r="Z41" i="12"/>
  <c r="V58" i="12"/>
  <c r="V61" i="12"/>
  <c r="V69" i="12"/>
  <c r="V72" i="12"/>
  <c r="AA27" i="12"/>
  <c r="AA30" i="12"/>
  <c r="AA38" i="12"/>
  <c r="AA41" i="12"/>
  <c r="W58" i="12"/>
  <c r="W61" i="12"/>
  <c r="W69" i="12"/>
  <c r="W72" i="12"/>
  <c r="X16" i="12"/>
  <c r="X35" i="12"/>
  <c r="T50" i="12"/>
  <c r="T55" i="12"/>
  <c r="T57" i="12"/>
  <c r="X58" i="12"/>
  <c r="T60" i="12"/>
  <c r="X61" i="12"/>
  <c r="T63" i="12"/>
  <c r="T66" i="12"/>
  <c r="T68" i="12"/>
  <c r="X69" i="12"/>
  <c r="T71" i="12"/>
  <c r="X72" i="12"/>
  <c r="T74" i="12"/>
  <c r="T13" i="12"/>
  <c r="T18" i="12"/>
  <c r="X26" i="12"/>
  <c r="X37" i="12"/>
  <c r="Y24" i="12"/>
  <c r="Y37" i="12"/>
  <c r="U50" i="12"/>
  <c r="U66" i="12"/>
  <c r="U68" i="12"/>
  <c r="Y69" i="12"/>
  <c r="U71" i="12"/>
  <c r="Y72" i="12"/>
  <c r="U74" i="12"/>
  <c r="X40" i="12"/>
  <c r="U10" i="12"/>
  <c r="Y29" i="12"/>
  <c r="V15" i="12"/>
  <c r="X30" i="12"/>
  <c r="U7" i="12"/>
  <c r="U15" i="12"/>
  <c r="U63" i="12"/>
  <c r="V18" i="12"/>
  <c r="Z29" i="12"/>
  <c r="Z32" i="12"/>
  <c r="V57" i="12"/>
  <c r="V60" i="12"/>
  <c r="Z61" i="12"/>
  <c r="V63" i="12"/>
  <c r="V66" i="12"/>
  <c r="V71" i="12"/>
  <c r="AA5" i="12"/>
  <c r="W7" i="12"/>
  <c r="AA8" i="12"/>
  <c r="W10" i="12"/>
  <c r="W13" i="12"/>
  <c r="W15" i="12"/>
  <c r="AA16" i="12"/>
  <c r="W18" i="12"/>
  <c r="AA19" i="12"/>
  <c r="AA24" i="12"/>
  <c r="AA26" i="12"/>
  <c r="AA29" i="12"/>
  <c r="AA32" i="12"/>
  <c r="AA35" i="12"/>
  <c r="AA37" i="12"/>
  <c r="AA40" i="12"/>
  <c r="W47" i="12"/>
  <c r="W50" i="12"/>
  <c r="W55" i="12"/>
  <c r="W57" i="12"/>
  <c r="AA58" i="12"/>
  <c r="W60" i="12"/>
  <c r="AA61" i="12"/>
  <c r="W63" i="12"/>
  <c r="W66" i="12"/>
  <c r="W68" i="12"/>
  <c r="AA69" i="12"/>
  <c r="W71" i="12"/>
  <c r="AA72" i="12"/>
  <c r="W74" i="12"/>
  <c r="X27" i="12"/>
  <c r="T69" i="12"/>
  <c r="V16" i="12"/>
  <c r="W19" i="12"/>
  <c r="T15" i="12"/>
  <c r="X29" i="12"/>
  <c r="U55" i="12"/>
  <c r="Y61" i="12"/>
  <c r="V10" i="12"/>
  <c r="V13" i="12"/>
  <c r="Z16" i="12"/>
  <c r="Z24" i="12"/>
  <c r="Z26" i="12"/>
  <c r="Z35" i="12"/>
  <c r="Z37" i="12"/>
  <c r="V55" i="12"/>
  <c r="Z58" i="12"/>
  <c r="Z69" i="12"/>
  <c r="T4" i="12"/>
  <c r="T6" i="12"/>
  <c r="X7" i="12"/>
  <c r="T9" i="12"/>
  <c r="T12" i="12"/>
  <c r="X13" i="12"/>
  <c r="T14" i="12"/>
  <c r="X15" i="12"/>
  <c r="T17" i="12"/>
  <c r="X18" i="12"/>
  <c r="X23" i="12"/>
  <c r="X25" i="12"/>
  <c r="T27" i="12"/>
  <c r="X28" i="12"/>
  <c r="X31" i="12"/>
  <c r="X34" i="12"/>
  <c r="X36" i="12"/>
  <c r="T38" i="12"/>
  <c r="T44" i="12"/>
  <c r="T46" i="12"/>
  <c r="X47" i="12"/>
  <c r="T54" i="12"/>
  <c r="X55" i="12"/>
  <c r="T56" i="12"/>
  <c r="X57" i="12"/>
  <c r="T59" i="12"/>
  <c r="X60" i="12"/>
  <c r="T62" i="12"/>
  <c r="T65" i="12"/>
  <c r="X66" i="12"/>
  <c r="T67" i="12"/>
  <c r="X68" i="12"/>
  <c r="T70" i="12"/>
  <c r="X71" i="12"/>
  <c r="T58" i="12"/>
  <c r="W16" i="12"/>
  <c r="T7" i="12"/>
  <c r="U13" i="12"/>
  <c r="Y16" i="12"/>
  <c r="Y19" i="12"/>
  <c r="Y26" i="12"/>
  <c r="Y35" i="12"/>
  <c r="Y40" i="12"/>
  <c r="U47" i="12"/>
  <c r="Y58" i="12"/>
  <c r="Z19" i="12"/>
  <c r="V50" i="12"/>
  <c r="V74" i="12"/>
  <c r="U4" i="12"/>
  <c r="U6" i="12"/>
  <c r="Y7" i="12"/>
  <c r="U12" i="12"/>
  <c r="Y13" i="12"/>
  <c r="U14" i="12"/>
  <c r="Y15" i="12"/>
  <c r="U17" i="12"/>
  <c r="Y23" i="12"/>
  <c r="Y25" i="12"/>
  <c r="U27" i="12"/>
  <c r="Y28" i="12"/>
  <c r="Y31" i="12"/>
  <c r="Y34" i="12"/>
  <c r="Y36" i="12"/>
  <c r="U38" i="12"/>
  <c r="U44" i="12"/>
  <c r="U46" i="12"/>
  <c r="Y47" i="12"/>
  <c r="U54" i="12"/>
  <c r="Y55" i="12"/>
  <c r="U56" i="12"/>
  <c r="Y57" i="12"/>
  <c r="U59" i="12"/>
  <c r="Y60" i="12"/>
  <c r="U62" i="12"/>
  <c r="U65" i="12"/>
  <c r="Y66" i="12"/>
  <c r="U67" i="12"/>
  <c r="Y68" i="12"/>
  <c r="U70" i="12"/>
  <c r="Y71" i="12"/>
  <c r="X32" i="12"/>
  <c r="U60" i="12"/>
  <c r="V7" i="12"/>
  <c r="V68" i="12"/>
  <c r="V4" i="12"/>
  <c r="V6" i="12"/>
  <c r="Z7" i="12"/>
  <c r="V12" i="12"/>
  <c r="Z13" i="12"/>
  <c r="V14" i="12"/>
  <c r="Z15" i="12"/>
  <c r="V17" i="12"/>
  <c r="Z23" i="12"/>
  <c r="Z25" i="12"/>
  <c r="V27" i="12"/>
  <c r="Z28" i="12"/>
  <c r="Z34" i="12"/>
  <c r="Z36" i="12"/>
  <c r="V38" i="12"/>
  <c r="Z39" i="12"/>
  <c r="V44" i="12"/>
  <c r="V46" i="12"/>
  <c r="Z47" i="12"/>
  <c r="V54" i="12"/>
  <c r="Z55" i="12"/>
  <c r="V56" i="12"/>
  <c r="Z57" i="12"/>
  <c r="V59" i="12"/>
  <c r="Z60" i="12"/>
  <c r="V65" i="12"/>
  <c r="Z66" i="12"/>
  <c r="V67" i="12"/>
  <c r="Z68" i="12"/>
  <c r="V70" i="12"/>
  <c r="Z71" i="12"/>
  <c r="W4" i="12"/>
  <c r="W6" i="12"/>
  <c r="AA7" i="12"/>
  <c r="W12" i="12"/>
  <c r="AA13" i="12"/>
  <c r="W14" i="12"/>
  <c r="AA15" i="12"/>
  <c r="AA23" i="12"/>
  <c r="AA25" i="12"/>
  <c r="W27" i="12"/>
  <c r="AA28" i="12"/>
  <c r="AA34" i="12"/>
  <c r="AA36" i="12"/>
  <c r="W38" i="12"/>
  <c r="W44" i="12"/>
  <c r="W46" i="12"/>
  <c r="AA47" i="12"/>
  <c r="W54" i="12"/>
  <c r="AA55" i="12"/>
  <c r="W56" i="12"/>
  <c r="AA57" i="12"/>
  <c r="W59" i="12"/>
  <c r="AA60" i="12"/>
  <c r="W65" i="12"/>
  <c r="AA66" i="12"/>
  <c r="W67" i="12"/>
  <c r="AA68" i="12"/>
  <c r="W70" i="12"/>
  <c r="AA71" i="12"/>
  <c r="J44" i="11" l="1"/>
  <c r="J43" i="11"/>
  <c r="J42" i="11"/>
  <c r="J41" i="11"/>
  <c r="J40" i="11"/>
  <c r="J39" i="11"/>
  <c r="J38" i="11"/>
  <c r="J37" i="11"/>
  <c r="J36" i="11"/>
  <c r="J35" i="11"/>
  <c r="J34" i="11"/>
  <c r="J33" i="11"/>
  <c r="J32" i="11"/>
  <c r="I44" i="11"/>
  <c r="I43" i="11"/>
  <c r="I42" i="11"/>
  <c r="I41" i="11"/>
  <c r="I40" i="11"/>
  <c r="I39" i="11"/>
  <c r="I38" i="11"/>
  <c r="I37" i="11"/>
  <c r="I36" i="11"/>
  <c r="I35" i="11"/>
  <c r="I34" i="11"/>
  <c r="I33" i="11"/>
  <c r="I32" i="11"/>
  <c r="H44" i="11"/>
  <c r="H43" i="11"/>
  <c r="H42" i="11"/>
  <c r="H41" i="11"/>
  <c r="H40" i="11"/>
  <c r="H39" i="11"/>
  <c r="H38" i="11"/>
  <c r="H37" i="11"/>
  <c r="H36" i="11"/>
  <c r="H35" i="11"/>
  <c r="H34" i="11"/>
  <c r="H33" i="11"/>
  <c r="H32" i="11"/>
  <c r="G44" i="11"/>
  <c r="G43" i="11"/>
  <c r="G42" i="11"/>
  <c r="G41" i="11"/>
  <c r="G40" i="11"/>
  <c r="G39" i="11"/>
  <c r="G38" i="11"/>
  <c r="G37" i="11"/>
  <c r="G36" i="11"/>
  <c r="G35" i="11"/>
  <c r="G34" i="11"/>
  <c r="G33" i="11"/>
  <c r="G32" i="11"/>
  <c r="F44" i="11"/>
  <c r="F43" i="11"/>
  <c r="F42" i="11"/>
  <c r="F41" i="11"/>
  <c r="F40" i="11"/>
  <c r="F39" i="11"/>
  <c r="F38" i="11"/>
  <c r="F37" i="11"/>
  <c r="F36" i="11"/>
  <c r="F35" i="11"/>
  <c r="F34" i="11"/>
  <c r="F33" i="11"/>
  <c r="F32" i="11"/>
  <c r="E44" i="11"/>
  <c r="E43" i="11"/>
  <c r="E42" i="11"/>
  <c r="E41" i="11"/>
  <c r="E40" i="11"/>
  <c r="E39" i="11"/>
  <c r="E38" i="11"/>
  <c r="E37" i="11"/>
  <c r="E36" i="11"/>
  <c r="E35" i="11"/>
  <c r="E34" i="11"/>
  <c r="E33" i="11"/>
  <c r="E32" i="11"/>
  <c r="D44" i="11"/>
  <c r="D43" i="11"/>
  <c r="D42" i="11"/>
  <c r="D41" i="11"/>
  <c r="D40" i="11"/>
  <c r="D39" i="11"/>
  <c r="D38" i="11"/>
  <c r="D37" i="11"/>
  <c r="D36" i="11"/>
  <c r="D35" i="11"/>
  <c r="D34" i="11"/>
  <c r="D33" i="11"/>
  <c r="D32" i="11"/>
  <c r="C44" i="11"/>
  <c r="C43" i="11"/>
  <c r="C42" i="11"/>
  <c r="C41" i="11"/>
  <c r="C40" i="11"/>
  <c r="C39" i="11"/>
  <c r="C38" i="11"/>
  <c r="C37" i="11"/>
  <c r="C36" i="11"/>
  <c r="C35" i="11"/>
  <c r="C34" i="11"/>
  <c r="C33" i="11"/>
  <c r="C32" i="11"/>
  <c r="E44" i="10" l="1"/>
  <c r="E43" i="10"/>
  <c r="E42" i="10"/>
  <c r="F42" i="10" s="1"/>
  <c r="E41" i="10"/>
  <c r="E40" i="10"/>
  <c r="E39" i="10"/>
  <c r="F39" i="10" s="1"/>
  <c r="E38" i="10"/>
  <c r="E37" i="10"/>
  <c r="E36" i="10"/>
  <c r="F36" i="10" s="1"/>
  <c r="E35" i="10"/>
  <c r="E34" i="10"/>
  <c r="E33" i="10"/>
  <c r="F33" i="10" s="1"/>
  <c r="E32" i="10"/>
  <c r="E31" i="10"/>
  <c r="E30" i="10"/>
  <c r="F30" i="10" s="1"/>
  <c r="E29" i="10"/>
  <c r="E28" i="10"/>
  <c r="E27" i="10"/>
  <c r="F27" i="10" s="1"/>
  <c r="E25" i="10"/>
  <c r="E24" i="10"/>
  <c r="F24" i="10" s="1"/>
  <c r="E23" i="10"/>
  <c r="E22" i="10"/>
  <c r="F22" i="10" s="1"/>
  <c r="E21" i="10"/>
  <c r="E20" i="10"/>
  <c r="E19" i="10"/>
  <c r="E18" i="10"/>
  <c r="F18" i="10" s="1"/>
  <c r="E17" i="10"/>
  <c r="E16" i="10"/>
  <c r="F16" i="10" s="1"/>
  <c r="E15" i="10"/>
  <c r="E14" i="10"/>
  <c r="F14" i="10" s="1"/>
  <c r="E13" i="10"/>
  <c r="E12" i="10"/>
  <c r="F12" i="10" s="1"/>
  <c r="E11" i="10"/>
  <c r="E10" i="10"/>
  <c r="F10" i="10" s="1"/>
  <c r="E9" i="10"/>
  <c r="E8" i="10"/>
  <c r="F8" i="10" s="1"/>
  <c r="E7" i="10"/>
  <c r="E6" i="10"/>
  <c r="F6" i="10" s="1"/>
  <c r="E5" i="10"/>
  <c r="E4" i="10"/>
  <c r="F4" i="10" s="1"/>
  <c r="E3" i="10"/>
  <c r="E2" i="10"/>
  <c r="F2" i="10" s="1"/>
  <c r="F20" i="10" l="1"/>
  <c r="AM16" i="9"/>
  <c r="AL16" i="9"/>
  <c r="AM23" i="9"/>
  <c r="AL23" i="9"/>
  <c r="AI23" i="9"/>
  <c r="AH23" i="9"/>
  <c r="AE23" i="9"/>
  <c r="AD23" i="9"/>
  <c r="S23" i="9"/>
  <c r="R23" i="9"/>
  <c r="O23" i="9"/>
  <c r="N23" i="9"/>
  <c r="K23" i="9"/>
  <c r="J23" i="9"/>
  <c r="G23" i="9"/>
  <c r="F23" i="9"/>
  <c r="C23" i="9"/>
  <c r="B23" i="9"/>
  <c r="AM22" i="9"/>
  <c r="AL22" i="9"/>
  <c r="AI22" i="9"/>
  <c r="AH22" i="9"/>
  <c r="AE22" i="9"/>
  <c r="AD22" i="9"/>
  <c r="AA22" i="9"/>
  <c r="Z22" i="9"/>
  <c r="S22" i="9"/>
  <c r="R22" i="9"/>
  <c r="O22" i="9"/>
  <c r="N22" i="9"/>
  <c r="K22" i="9"/>
  <c r="J22" i="9"/>
  <c r="G22" i="9"/>
  <c r="F22" i="9"/>
  <c r="C22" i="9"/>
  <c r="B22" i="9"/>
  <c r="AM21" i="9"/>
  <c r="AL21" i="9"/>
  <c r="AI21" i="9"/>
  <c r="AH21" i="9"/>
  <c r="AE21" i="9"/>
  <c r="AD21" i="9"/>
  <c r="AA21" i="9"/>
  <c r="Z21" i="9"/>
  <c r="S21" i="9"/>
  <c r="R21" i="9"/>
  <c r="O21" i="9"/>
  <c r="N21" i="9"/>
  <c r="K21" i="9"/>
  <c r="J21" i="9"/>
  <c r="G21" i="9"/>
  <c r="F21" i="9"/>
  <c r="C21" i="9"/>
  <c r="B21" i="9"/>
  <c r="AM20" i="9"/>
  <c r="AL20" i="9"/>
  <c r="AI20" i="9"/>
  <c r="AH20" i="9"/>
  <c r="AE20" i="9"/>
  <c r="AD20" i="9"/>
  <c r="AA20" i="9"/>
  <c r="Z20" i="9"/>
  <c r="S20" i="9"/>
  <c r="R20" i="9"/>
  <c r="O20" i="9"/>
  <c r="N20" i="9"/>
  <c r="K20" i="9"/>
  <c r="J20" i="9"/>
  <c r="G20" i="9"/>
  <c r="F20" i="9"/>
  <c r="C20" i="9"/>
  <c r="B20" i="9"/>
  <c r="AM19" i="9"/>
  <c r="AL19" i="9"/>
  <c r="AI19" i="9"/>
  <c r="AH19" i="9"/>
  <c r="AE19" i="9"/>
  <c r="AD19" i="9"/>
  <c r="AA19" i="9"/>
  <c r="Z19" i="9"/>
  <c r="S19" i="9"/>
  <c r="R19" i="9"/>
  <c r="O19" i="9"/>
  <c r="N19" i="9"/>
  <c r="K19" i="9"/>
  <c r="J19" i="9"/>
  <c r="G19" i="9"/>
  <c r="F19" i="9"/>
  <c r="C19" i="9"/>
  <c r="B19" i="9"/>
  <c r="AM18" i="9"/>
  <c r="AL18" i="9"/>
  <c r="AI18" i="9"/>
  <c r="AH18" i="9"/>
  <c r="AE18" i="9"/>
  <c r="AD18" i="9"/>
  <c r="AA18" i="9"/>
  <c r="Z18" i="9"/>
  <c r="W18" i="9"/>
  <c r="V18" i="9"/>
  <c r="S18" i="9"/>
  <c r="R18" i="9"/>
  <c r="O18" i="9"/>
  <c r="N18" i="9"/>
  <c r="K18" i="9"/>
  <c r="J18" i="9"/>
  <c r="G18" i="9"/>
  <c r="C18" i="9"/>
  <c r="B18" i="9"/>
  <c r="AM17" i="9"/>
  <c r="AL17" i="9"/>
  <c r="AI17" i="9"/>
  <c r="AH17" i="9"/>
  <c r="AE17" i="9"/>
  <c r="AD17" i="9"/>
  <c r="AA17" i="9"/>
  <c r="Z17" i="9"/>
  <c r="S17" i="9"/>
  <c r="R17" i="9"/>
  <c r="O17" i="9"/>
  <c r="N17" i="9"/>
  <c r="K17" i="9"/>
  <c r="J17" i="9"/>
  <c r="G17" i="9"/>
  <c r="F17" i="9"/>
  <c r="C17" i="9"/>
  <c r="B17" i="9"/>
  <c r="AI16" i="9"/>
  <c r="AH16" i="9"/>
  <c r="AE16" i="9"/>
  <c r="AD16" i="9"/>
  <c r="AA16" i="9"/>
  <c r="Z16" i="9"/>
  <c r="W16" i="9"/>
  <c r="V16" i="9"/>
  <c r="S16" i="9"/>
  <c r="R16" i="9"/>
  <c r="O16" i="9"/>
  <c r="N16" i="9"/>
  <c r="K16" i="9"/>
  <c r="J16" i="9"/>
  <c r="G16" i="9"/>
  <c r="F16" i="9"/>
  <c r="C16" i="9"/>
  <c r="B16" i="9"/>
  <c r="AM15" i="9"/>
  <c r="AL15" i="9"/>
  <c r="AI15" i="9"/>
  <c r="AH15" i="9"/>
  <c r="AE15" i="9"/>
  <c r="AD15" i="9"/>
  <c r="AA15" i="9"/>
  <c r="Z15" i="9"/>
  <c r="S15" i="9"/>
  <c r="R15" i="9"/>
  <c r="O15" i="9"/>
  <c r="N15" i="9"/>
  <c r="K15" i="9"/>
  <c r="J15" i="9"/>
  <c r="G15" i="9"/>
  <c r="F15" i="9"/>
  <c r="C15" i="9"/>
  <c r="B15" i="9"/>
  <c r="M112" i="8" l="1"/>
  <c r="M113" i="8"/>
  <c r="M114" i="8"/>
  <c r="M115" i="8"/>
  <c r="T115" i="8" l="1"/>
  <c r="S115" i="8"/>
  <c r="R115" i="8"/>
  <c r="Q115" i="8"/>
  <c r="P115" i="8"/>
  <c r="O115" i="8"/>
  <c r="N115" i="8"/>
  <c r="L115" i="8"/>
  <c r="T114" i="8"/>
  <c r="S114" i="8"/>
  <c r="R114" i="8"/>
  <c r="Q114" i="8"/>
  <c r="P114" i="8"/>
  <c r="O114" i="8"/>
  <c r="N114" i="8"/>
  <c r="L114" i="8"/>
  <c r="T113" i="8"/>
  <c r="S113" i="8"/>
  <c r="R113" i="8"/>
  <c r="Q113" i="8"/>
  <c r="P113" i="8"/>
  <c r="O113" i="8"/>
  <c r="N113" i="8"/>
  <c r="L113" i="8"/>
  <c r="T112" i="8"/>
  <c r="S112" i="8"/>
  <c r="R112" i="8"/>
  <c r="Q112" i="8"/>
  <c r="P112" i="8"/>
  <c r="O112" i="8"/>
  <c r="N112" i="8"/>
  <c r="L112" i="8"/>
  <c r="T110" i="8"/>
  <c r="S110" i="8"/>
  <c r="R110" i="8"/>
  <c r="Q110" i="8"/>
  <c r="P110" i="8"/>
  <c r="O110" i="8"/>
  <c r="N110" i="8"/>
  <c r="M110" i="8"/>
  <c r="L110" i="8"/>
  <c r="T109" i="8"/>
  <c r="S109" i="8"/>
  <c r="R109" i="8"/>
  <c r="Q109" i="8"/>
  <c r="P109" i="8"/>
  <c r="O109" i="8"/>
  <c r="N109" i="8"/>
  <c r="M109" i="8"/>
  <c r="L109" i="8"/>
  <c r="T108" i="8"/>
  <c r="S108" i="8"/>
  <c r="R108" i="8"/>
  <c r="Q108" i="8"/>
  <c r="P108" i="8"/>
  <c r="O108" i="8"/>
  <c r="N108" i="8"/>
  <c r="M108" i="8"/>
  <c r="L108" i="8"/>
  <c r="T107" i="8"/>
  <c r="S107" i="8"/>
  <c r="R107" i="8"/>
  <c r="Q107" i="8"/>
  <c r="P107" i="8"/>
  <c r="O107" i="8"/>
  <c r="N107" i="8"/>
  <c r="M107" i="8"/>
  <c r="L107" i="8"/>
  <c r="T105" i="8"/>
  <c r="S105" i="8"/>
  <c r="R105" i="8"/>
  <c r="Q105" i="8"/>
  <c r="P105" i="8"/>
  <c r="O105" i="8"/>
  <c r="N105" i="8"/>
  <c r="M105" i="8"/>
  <c r="L105" i="8"/>
  <c r="T104" i="8"/>
  <c r="S104" i="8"/>
  <c r="R104" i="8"/>
  <c r="Q104" i="8"/>
  <c r="P104" i="8"/>
  <c r="O104" i="8"/>
  <c r="N104" i="8"/>
  <c r="M104" i="8"/>
  <c r="L104" i="8"/>
  <c r="T103" i="8"/>
  <c r="S103" i="8"/>
  <c r="R103" i="8"/>
  <c r="Q103" i="8"/>
  <c r="P103" i="8"/>
  <c r="O103" i="8"/>
  <c r="N103" i="8"/>
  <c r="M103" i="8"/>
  <c r="L103" i="8"/>
  <c r="T102" i="8"/>
  <c r="S102" i="8"/>
  <c r="R102" i="8"/>
  <c r="Q102" i="8"/>
  <c r="P102" i="8"/>
  <c r="O102" i="8"/>
  <c r="N102" i="8"/>
  <c r="M102" i="8"/>
  <c r="L102" i="8"/>
  <c r="T101" i="8"/>
  <c r="S101" i="8"/>
  <c r="R101" i="8"/>
  <c r="Q101" i="8"/>
  <c r="P101" i="8"/>
  <c r="O101" i="8"/>
  <c r="N101" i="8"/>
  <c r="M101" i="8"/>
  <c r="L101" i="8"/>
  <c r="T99" i="8"/>
  <c r="S99" i="8"/>
  <c r="R99" i="8"/>
  <c r="Q99" i="8"/>
  <c r="P99" i="8"/>
  <c r="O99" i="8"/>
  <c r="N99" i="8"/>
  <c r="M99" i="8"/>
  <c r="L99" i="8"/>
  <c r="T98" i="8"/>
  <c r="S98" i="8"/>
  <c r="R98" i="8"/>
  <c r="Q98" i="8"/>
  <c r="P98" i="8"/>
  <c r="O98" i="8"/>
  <c r="N98" i="8"/>
  <c r="M98" i="8"/>
  <c r="L98" i="8"/>
  <c r="T97" i="8"/>
  <c r="S97" i="8"/>
  <c r="R97" i="8"/>
  <c r="Q97" i="8"/>
  <c r="P97" i="8"/>
  <c r="O97" i="8"/>
  <c r="N97" i="8"/>
  <c r="M97" i="8"/>
  <c r="L97" i="8"/>
  <c r="T96" i="8"/>
  <c r="S96" i="8"/>
  <c r="R96" i="8"/>
  <c r="Q96" i="8"/>
  <c r="P96" i="8"/>
  <c r="O96" i="8"/>
  <c r="N96" i="8"/>
  <c r="M96" i="8"/>
  <c r="L96" i="8"/>
  <c r="T95" i="8"/>
  <c r="S95" i="8"/>
  <c r="R95" i="8"/>
  <c r="Q95" i="8"/>
  <c r="P95" i="8"/>
  <c r="O95" i="8"/>
  <c r="N95" i="8"/>
  <c r="M95" i="8"/>
  <c r="L95" i="8"/>
  <c r="T93" i="8"/>
  <c r="S93" i="8"/>
  <c r="R93" i="8"/>
  <c r="Q93" i="8"/>
  <c r="P93" i="8"/>
  <c r="O93" i="8"/>
  <c r="N93" i="8"/>
  <c r="M93" i="8"/>
  <c r="L93" i="8"/>
  <c r="T92" i="8"/>
  <c r="S92" i="8"/>
  <c r="R92" i="8"/>
  <c r="Q92" i="8"/>
  <c r="P92" i="8"/>
  <c r="O92" i="8"/>
  <c r="N92" i="8"/>
  <c r="M92" i="8"/>
  <c r="L92" i="8"/>
  <c r="T91" i="8"/>
  <c r="S91" i="8"/>
  <c r="R91" i="8"/>
  <c r="Q91" i="8"/>
  <c r="P91" i="8"/>
  <c r="O91" i="8"/>
  <c r="N91" i="8"/>
  <c r="M91" i="8"/>
  <c r="L91" i="8"/>
  <c r="T90" i="8"/>
  <c r="S90" i="8"/>
  <c r="R90" i="8"/>
  <c r="Q90" i="8"/>
  <c r="P90" i="8"/>
  <c r="O90" i="8"/>
  <c r="N90" i="8"/>
  <c r="M90" i="8"/>
  <c r="L90" i="8"/>
  <c r="T89" i="8"/>
  <c r="S89" i="8"/>
  <c r="R89" i="8"/>
  <c r="Q89" i="8"/>
  <c r="P89" i="8"/>
  <c r="O89" i="8"/>
  <c r="N89" i="8"/>
  <c r="M89" i="8"/>
  <c r="L89" i="8"/>
  <c r="T87" i="8"/>
  <c r="S87" i="8"/>
  <c r="R87" i="8"/>
  <c r="Q87" i="8"/>
  <c r="P87" i="8"/>
  <c r="O87" i="8"/>
  <c r="N87" i="8"/>
  <c r="M87" i="8"/>
  <c r="L87" i="8"/>
  <c r="T86" i="8"/>
  <c r="S86" i="8"/>
  <c r="R86" i="8"/>
  <c r="Q86" i="8"/>
  <c r="P86" i="8"/>
  <c r="O86" i="8"/>
  <c r="N86" i="8"/>
  <c r="M86" i="8"/>
  <c r="L86" i="8"/>
  <c r="T85" i="8"/>
  <c r="S85" i="8"/>
  <c r="R85" i="8"/>
  <c r="Q85" i="8"/>
  <c r="P85" i="8"/>
  <c r="O85" i="8"/>
  <c r="N85" i="8"/>
  <c r="M85" i="8"/>
  <c r="L85" i="8"/>
  <c r="T84" i="8"/>
  <c r="S84" i="8"/>
  <c r="R84" i="8"/>
  <c r="Q84" i="8"/>
  <c r="P84" i="8"/>
  <c r="O84" i="8"/>
  <c r="N84" i="8"/>
  <c r="M84" i="8"/>
  <c r="L84" i="8"/>
  <c r="T83" i="8"/>
  <c r="S83" i="8"/>
  <c r="R83" i="8"/>
  <c r="Q83" i="8"/>
  <c r="P83" i="8"/>
  <c r="O83" i="8"/>
  <c r="N83" i="8"/>
  <c r="M83" i="8"/>
  <c r="L83" i="8"/>
  <c r="T81" i="8"/>
  <c r="S81" i="8"/>
  <c r="R81" i="8"/>
  <c r="Q81" i="8"/>
  <c r="P81" i="8"/>
  <c r="O81" i="8"/>
  <c r="N81" i="8"/>
  <c r="M81" i="8"/>
  <c r="L81" i="8"/>
  <c r="T80" i="8"/>
  <c r="S80" i="8"/>
  <c r="R80" i="8"/>
  <c r="Q80" i="8"/>
  <c r="P80" i="8"/>
  <c r="O80" i="8"/>
  <c r="N80" i="8"/>
  <c r="M80" i="8"/>
  <c r="L80" i="8"/>
  <c r="T79" i="8"/>
  <c r="S79" i="8"/>
  <c r="R79" i="8"/>
  <c r="Q79" i="8"/>
  <c r="P79" i="8"/>
  <c r="O79" i="8"/>
  <c r="N79" i="8"/>
  <c r="M79" i="8"/>
  <c r="L79" i="8"/>
  <c r="T78" i="8"/>
  <c r="S78" i="8"/>
  <c r="R78" i="8"/>
  <c r="Q78" i="8"/>
  <c r="P78" i="8"/>
  <c r="O78" i="8"/>
  <c r="N78" i="8"/>
  <c r="M78" i="8"/>
  <c r="L78" i="8"/>
  <c r="T77" i="8"/>
  <c r="S77" i="8"/>
  <c r="R77" i="8"/>
  <c r="Q77" i="8"/>
  <c r="P77" i="8"/>
  <c r="O77" i="8"/>
  <c r="N77" i="8"/>
  <c r="M77" i="8"/>
  <c r="L77" i="8"/>
  <c r="T75" i="8"/>
  <c r="S75" i="8"/>
  <c r="R75" i="8"/>
  <c r="Q75" i="8"/>
  <c r="P75" i="8"/>
  <c r="O75" i="8"/>
  <c r="N75" i="8"/>
  <c r="M75" i="8"/>
  <c r="L75" i="8"/>
  <c r="T74" i="8"/>
  <c r="S74" i="8"/>
  <c r="R74" i="8"/>
  <c r="Q74" i="8"/>
  <c r="P74" i="8"/>
  <c r="O74" i="8"/>
  <c r="N74" i="8"/>
  <c r="M74" i="8"/>
  <c r="L74" i="8"/>
  <c r="T73" i="8"/>
  <c r="S73" i="8"/>
  <c r="R73" i="8"/>
  <c r="Q73" i="8"/>
  <c r="P73" i="8"/>
  <c r="O73" i="8"/>
  <c r="N73" i="8"/>
  <c r="M73" i="8"/>
  <c r="L73" i="8"/>
  <c r="T72" i="8"/>
  <c r="S72" i="8"/>
  <c r="R72" i="8"/>
  <c r="Q72" i="8"/>
  <c r="P72" i="8"/>
  <c r="O72" i="8"/>
  <c r="N72" i="8"/>
  <c r="M72" i="8"/>
  <c r="L72" i="8"/>
  <c r="T71" i="8"/>
  <c r="S71" i="8"/>
  <c r="R71" i="8"/>
  <c r="Q71" i="8"/>
  <c r="P71" i="8"/>
  <c r="O71" i="8"/>
  <c r="N71" i="8"/>
  <c r="M71" i="8"/>
  <c r="L71" i="8"/>
  <c r="T69" i="8"/>
  <c r="S69" i="8"/>
  <c r="R69" i="8"/>
  <c r="Q69" i="8"/>
  <c r="P69" i="8"/>
  <c r="O69" i="8"/>
  <c r="N69" i="8"/>
  <c r="M69" i="8"/>
  <c r="L69" i="8"/>
  <c r="T68" i="8"/>
  <c r="S68" i="8"/>
  <c r="R68" i="8"/>
  <c r="Q68" i="8"/>
  <c r="P68" i="8"/>
  <c r="O68" i="8"/>
  <c r="N68" i="8"/>
  <c r="M68" i="8"/>
  <c r="L68" i="8"/>
  <c r="T67" i="8"/>
  <c r="S67" i="8"/>
  <c r="R67" i="8"/>
  <c r="Q67" i="8"/>
  <c r="P67" i="8"/>
  <c r="O67" i="8"/>
  <c r="N67" i="8"/>
  <c r="M67" i="8"/>
  <c r="L67" i="8"/>
  <c r="T66" i="8"/>
  <c r="S66" i="8"/>
  <c r="R66" i="8"/>
  <c r="Q66" i="8"/>
  <c r="P66" i="8"/>
  <c r="O66" i="8"/>
  <c r="N66" i="8"/>
  <c r="M66" i="8"/>
  <c r="L66" i="8"/>
  <c r="T65" i="8"/>
  <c r="S65" i="8"/>
  <c r="R65" i="8"/>
  <c r="Q65" i="8"/>
  <c r="P65" i="8"/>
  <c r="O65" i="8"/>
  <c r="N65" i="8"/>
  <c r="M65" i="8"/>
  <c r="L65" i="8"/>
  <c r="T63" i="8"/>
  <c r="S63" i="8"/>
  <c r="R63" i="8"/>
  <c r="Q63" i="8"/>
  <c r="P63" i="8"/>
  <c r="O63" i="8"/>
  <c r="N63" i="8"/>
  <c r="M63" i="8"/>
  <c r="L63" i="8"/>
  <c r="T62" i="8"/>
  <c r="S62" i="8"/>
  <c r="R62" i="8"/>
  <c r="Q62" i="8"/>
  <c r="P62" i="8"/>
  <c r="O62" i="8"/>
  <c r="N62" i="8"/>
  <c r="M62" i="8"/>
  <c r="L62" i="8"/>
  <c r="T61" i="8"/>
  <c r="S61" i="8"/>
  <c r="R61" i="8"/>
  <c r="Q61" i="8"/>
  <c r="P61" i="8"/>
  <c r="O61" i="8"/>
  <c r="N61" i="8"/>
  <c r="M61" i="8"/>
  <c r="L61" i="8"/>
  <c r="T60" i="8"/>
  <c r="S60" i="8"/>
  <c r="R60" i="8"/>
  <c r="Q60" i="8"/>
  <c r="P60" i="8"/>
  <c r="O60" i="8"/>
  <c r="N60" i="8"/>
  <c r="M60" i="8"/>
  <c r="L60" i="8"/>
  <c r="T59" i="8"/>
  <c r="S59" i="8"/>
  <c r="R59" i="8"/>
  <c r="Q59" i="8"/>
  <c r="P59" i="8"/>
  <c r="O59" i="8"/>
  <c r="N59" i="8"/>
  <c r="M59" i="8"/>
  <c r="L59" i="8"/>
  <c r="T57" i="8"/>
  <c r="S57" i="8"/>
  <c r="R57" i="8"/>
  <c r="Q57" i="8"/>
  <c r="P57" i="8"/>
  <c r="O57" i="8"/>
  <c r="N57" i="8"/>
  <c r="M57" i="8"/>
  <c r="L57" i="8"/>
  <c r="T56" i="8"/>
  <c r="S56" i="8"/>
  <c r="R56" i="8"/>
  <c r="Q56" i="8"/>
  <c r="P56" i="8"/>
  <c r="O56" i="8"/>
  <c r="N56" i="8"/>
  <c r="M56" i="8"/>
  <c r="L56" i="8"/>
  <c r="T55" i="8"/>
  <c r="S55" i="8"/>
  <c r="R55" i="8"/>
  <c r="Q55" i="8"/>
  <c r="P55" i="8"/>
  <c r="O55" i="8"/>
  <c r="N55" i="8"/>
  <c r="M55" i="8"/>
  <c r="L55" i="8"/>
  <c r="T54" i="8"/>
  <c r="S54" i="8"/>
  <c r="R54" i="8"/>
  <c r="Q54" i="8"/>
  <c r="P54" i="8"/>
  <c r="O54" i="8"/>
  <c r="N54" i="8"/>
  <c r="M54" i="8"/>
  <c r="L54" i="8"/>
  <c r="T53" i="8"/>
  <c r="S53" i="8"/>
  <c r="R53" i="8"/>
  <c r="Q53" i="8"/>
  <c r="P53" i="8"/>
  <c r="O53" i="8"/>
  <c r="N53" i="8"/>
  <c r="M53" i="8"/>
  <c r="L53" i="8"/>
  <c r="T51" i="8"/>
  <c r="S51" i="8"/>
  <c r="R51" i="8"/>
  <c r="Q51" i="8"/>
  <c r="P51" i="8"/>
  <c r="O51" i="8"/>
  <c r="N51" i="8"/>
  <c r="M51" i="8"/>
  <c r="L51" i="8"/>
  <c r="T50" i="8"/>
  <c r="S50" i="8"/>
  <c r="R50" i="8"/>
  <c r="Q50" i="8"/>
  <c r="P50" i="8"/>
  <c r="O50" i="8"/>
  <c r="N50" i="8"/>
  <c r="M50" i="8"/>
  <c r="L50" i="8"/>
  <c r="T49" i="8"/>
  <c r="S49" i="8"/>
  <c r="R49" i="8"/>
  <c r="Q49" i="8"/>
  <c r="P49" i="8"/>
  <c r="O49" i="8"/>
  <c r="N49" i="8"/>
  <c r="M49" i="8"/>
  <c r="L49" i="8"/>
  <c r="T48" i="8"/>
  <c r="S48" i="8"/>
  <c r="R48" i="8"/>
  <c r="Q48" i="8"/>
  <c r="P48" i="8"/>
  <c r="O48" i="8"/>
  <c r="N48" i="8"/>
  <c r="M48" i="8"/>
  <c r="L48" i="8"/>
  <c r="T47" i="8"/>
  <c r="S47" i="8"/>
  <c r="R47" i="8"/>
  <c r="Q47" i="8"/>
  <c r="P47" i="8"/>
  <c r="O47" i="8"/>
  <c r="N47" i="8"/>
  <c r="M47" i="8"/>
  <c r="L47" i="8"/>
  <c r="T45" i="8"/>
  <c r="S45" i="8"/>
  <c r="R45" i="8"/>
  <c r="Q45" i="8"/>
  <c r="P45" i="8"/>
  <c r="O45" i="8"/>
  <c r="N45" i="8"/>
  <c r="M45" i="8"/>
  <c r="L45" i="8"/>
  <c r="T44" i="8"/>
  <c r="S44" i="8"/>
  <c r="R44" i="8"/>
  <c r="Q44" i="8"/>
  <c r="P44" i="8"/>
  <c r="O44" i="8"/>
  <c r="N44" i="8"/>
  <c r="M44" i="8"/>
  <c r="L44" i="8"/>
  <c r="T43" i="8"/>
  <c r="S43" i="8"/>
  <c r="R43" i="8"/>
  <c r="Q43" i="8"/>
  <c r="P43" i="8"/>
  <c r="O43" i="8"/>
  <c r="N43" i="8"/>
  <c r="M43" i="8"/>
  <c r="L43" i="8"/>
  <c r="T42" i="8"/>
  <c r="S42" i="8"/>
  <c r="R42" i="8"/>
  <c r="Q42" i="8"/>
  <c r="P42" i="8"/>
  <c r="O42" i="8"/>
  <c r="N42" i="8"/>
  <c r="M42" i="8"/>
  <c r="L42" i="8"/>
  <c r="T41" i="8"/>
  <c r="S41" i="8"/>
  <c r="R41" i="8"/>
  <c r="Q41" i="8"/>
  <c r="P41" i="8"/>
  <c r="O41" i="8"/>
  <c r="N41" i="8"/>
  <c r="M41" i="8"/>
  <c r="L41" i="8"/>
  <c r="T39" i="8"/>
  <c r="S39" i="8"/>
  <c r="R39" i="8"/>
  <c r="Q39" i="8"/>
  <c r="P39" i="8"/>
  <c r="O39" i="8"/>
  <c r="N39" i="8"/>
  <c r="M39" i="8"/>
  <c r="L39" i="8"/>
  <c r="T38" i="8"/>
  <c r="S38" i="8"/>
  <c r="R38" i="8"/>
  <c r="Q38" i="8"/>
  <c r="P38" i="8"/>
  <c r="O38" i="8"/>
  <c r="N38" i="8"/>
  <c r="M38" i="8"/>
  <c r="L38" i="8"/>
  <c r="T37" i="8"/>
  <c r="S37" i="8"/>
  <c r="R37" i="8"/>
  <c r="Q37" i="8"/>
  <c r="P37" i="8"/>
  <c r="O37" i="8"/>
  <c r="N37" i="8"/>
  <c r="M37" i="8"/>
  <c r="L37" i="8"/>
  <c r="T36" i="8"/>
  <c r="S36" i="8"/>
  <c r="R36" i="8"/>
  <c r="Q36" i="8"/>
  <c r="P36" i="8"/>
  <c r="O36" i="8"/>
  <c r="N36" i="8"/>
  <c r="M36" i="8"/>
  <c r="L36" i="8"/>
  <c r="T35" i="8"/>
  <c r="S35" i="8"/>
  <c r="R35" i="8"/>
  <c r="Q35" i="8"/>
  <c r="P35" i="8"/>
  <c r="O35" i="8"/>
  <c r="N35" i="8"/>
  <c r="M35" i="8"/>
  <c r="L35" i="8"/>
  <c r="T33" i="8"/>
  <c r="S33" i="8"/>
  <c r="R33" i="8"/>
  <c r="Q33" i="8"/>
  <c r="P33" i="8"/>
  <c r="O33" i="8"/>
  <c r="N33" i="8"/>
  <c r="M33" i="8"/>
  <c r="L33" i="8"/>
  <c r="T32" i="8"/>
  <c r="S32" i="8"/>
  <c r="R32" i="8"/>
  <c r="Q32" i="8"/>
  <c r="P32" i="8"/>
  <c r="O32" i="8"/>
  <c r="N32" i="8"/>
  <c r="M32" i="8"/>
  <c r="L32" i="8"/>
  <c r="T31" i="8"/>
  <c r="S31" i="8"/>
  <c r="R31" i="8"/>
  <c r="Q31" i="8"/>
  <c r="P31" i="8"/>
  <c r="O31" i="8"/>
  <c r="N31" i="8"/>
  <c r="M31" i="8"/>
  <c r="L31" i="8"/>
  <c r="T30" i="8"/>
  <c r="S30" i="8"/>
  <c r="R30" i="8"/>
  <c r="Q30" i="8"/>
  <c r="P30" i="8"/>
  <c r="O30" i="8"/>
  <c r="N30" i="8"/>
  <c r="M30" i="8"/>
  <c r="L30" i="8"/>
  <c r="T29" i="8"/>
  <c r="S29" i="8"/>
  <c r="R29" i="8"/>
  <c r="Q29" i="8"/>
  <c r="P29" i="8"/>
  <c r="O29" i="8"/>
  <c r="N29" i="8"/>
  <c r="M29" i="8"/>
  <c r="L29" i="8"/>
  <c r="T27" i="8"/>
  <c r="S27" i="8"/>
  <c r="R27" i="8"/>
  <c r="Q27" i="8"/>
  <c r="P27" i="8"/>
  <c r="O27" i="8"/>
  <c r="N27" i="8"/>
  <c r="L27" i="8"/>
  <c r="T26" i="8"/>
  <c r="S26" i="8"/>
  <c r="R26" i="8"/>
  <c r="Q26" i="8"/>
  <c r="P26" i="8"/>
  <c r="O26" i="8"/>
  <c r="N26" i="8"/>
  <c r="M26" i="8"/>
  <c r="L26" i="8"/>
  <c r="T25" i="8"/>
  <c r="S25" i="8"/>
  <c r="R25" i="8"/>
  <c r="Q25" i="8"/>
  <c r="P25" i="8"/>
  <c r="O25" i="8"/>
  <c r="N25" i="8"/>
  <c r="M25" i="8"/>
  <c r="L25" i="8"/>
  <c r="T24" i="8"/>
  <c r="S24" i="8"/>
  <c r="R24" i="8"/>
  <c r="Q24" i="8"/>
  <c r="P24" i="8"/>
  <c r="O24" i="8"/>
  <c r="N24" i="8"/>
  <c r="M24" i="8"/>
  <c r="L24" i="8"/>
  <c r="T23" i="8"/>
  <c r="S23" i="8"/>
  <c r="R23" i="8"/>
  <c r="Q23" i="8"/>
  <c r="P23" i="8"/>
  <c r="O23" i="8"/>
  <c r="N23" i="8"/>
  <c r="M23" i="8"/>
  <c r="L23" i="8"/>
  <c r="T21" i="8"/>
  <c r="S21" i="8"/>
  <c r="R21" i="8"/>
  <c r="Q21" i="8"/>
  <c r="P21" i="8"/>
  <c r="O21" i="8"/>
  <c r="N21" i="8"/>
  <c r="M21" i="8"/>
  <c r="L21" i="8"/>
  <c r="T20" i="8"/>
  <c r="S20" i="8"/>
  <c r="R20" i="8"/>
  <c r="Q20" i="8"/>
  <c r="P20" i="8"/>
  <c r="O20" i="8"/>
  <c r="N20" i="8"/>
  <c r="M20" i="8"/>
  <c r="L20" i="8"/>
  <c r="T19" i="8"/>
  <c r="S19" i="8"/>
  <c r="R19" i="8"/>
  <c r="Q19" i="8"/>
  <c r="P19" i="8"/>
  <c r="O19" i="8"/>
  <c r="N19" i="8"/>
  <c r="M19" i="8"/>
  <c r="L19" i="8"/>
  <c r="T18" i="8"/>
  <c r="S18" i="8"/>
  <c r="R18" i="8"/>
  <c r="Q18" i="8"/>
  <c r="P18" i="8"/>
  <c r="O18" i="8"/>
  <c r="N18" i="8"/>
  <c r="M18" i="8"/>
  <c r="L18" i="8"/>
  <c r="T16" i="8"/>
  <c r="S16" i="8"/>
  <c r="R16" i="8"/>
  <c r="Q16" i="8"/>
  <c r="P16" i="8"/>
  <c r="O16" i="8"/>
  <c r="N16" i="8"/>
  <c r="M16" i="8"/>
  <c r="L16" i="8"/>
  <c r="T15" i="8"/>
  <c r="S15" i="8"/>
  <c r="R15" i="8"/>
  <c r="Q15" i="8"/>
  <c r="P15" i="8"/>
  <c r="O15" i="8"/>
  <c r="N15" i="8"/>
  <c r="M15" i="8"/>
  <c r="L15" i="8"/>
  <c r="T14" i="8"/>
  <c r="S14" i="8"/>
  <c r="R14" i="8"/>
  <c r="Q14" i="8"/>
  <c r="P14" i="8"/>
  <c r="O14" i="8"/>
  <c r="N14" i="8"/>
  <c r="M14" i="8"/>
  <c r="L14" i="8"/>
  <c r="T13" i="8"/>
  <c r="S13" i="8"/>
  <c r="R13" i="8"/>
  <c r="Q13" i="8"/>
  <c r="P13" i="8"/>
  <c r="O13" i="8"/>
  <c r="N13" i="8"/>
  <c r="M13" i="8"/>
  <c r="L13" i="8"/>
  <c r="T11" i="8"/>
  <c r="S11" i="8"/>
  <c r="R11" i="8"/>
  <c r="Q11" i="8"/>
  <c r="P11" i="8"/>
  <c r="O11" i="8"/>
  <c r="N11" i="8"/>
  <c r="M11" i="8"/>
  <c r="L11" i="8"/>
  <c r="T10" i="8"/>
  <c r="S10" i="8"/>
  <c r="R10" i="8"/>
  <c r="Q10" i="8"/>
  <c r="P10" i="8"/>
  <c r="O10" i="8"/>
  <c r="N10" i="8"/>
  <c r="M10" i="8"/>
  <c r="L10" i="8"/>
  <c r="T9" i="8"/>
  <c r="S9" i="8"/>
  <c r="R9" i="8"/>
  <c r="Q9" i="8"/>
  <c r="P9" i="8"/>
  <c r="O9" i="8"/>
  <c r="N9" i="8"/>
  <c r="M9" i="8"/>
  <c r="L9" i="8"/>
  <c r="T8" i="8"/>
  <c r="S8" i="8"/>
  <c r="R8" i="8"/>
  <c r="Q8" i="8"/>
  <c r="P8" i="8"/>
  <c r="O8" i="8"/>
  <c r="N8" i="8"/>
  <c r="M8" i="8"/>
  <c r="L8" i="8"/>
  <c r="T6" i="8"/>
  <c r="S6" i="8"/>
  <c r="R6" i="8"/>
  <c r="Q6" i="8"/>
  <c r="P6" i="8"/>
  <c r="O6" i="8"/>
  <c r="N6" i="8"/>
  <c r="M6" i="8"/>
  <c r="L6" i="8"/>
  <c r="T5" i="8"/>
  <c r="S5" i="8"/>
  <c r="R5" i="8"/>
  <c r="Q5" i="8"/>
  <c r="P5" i="8"/>
  <c r="O5" i="8"/>
  <c r="N5" i="8"/>
  <c r="M5" i="8"/>
  <c r="L5" i="8"/>
  <c r="T4" i="8"/>
  <c r="S4" i="8"/>
  <c r="R4" i="8"/>
  <c r="Q4" i="8"/>
  <c r="P4" i="8"/>
  <c r="O4" i="8"/>
  <c r="N4" i="8"/>
  <c r="M4" i="8"/>
  <c r="L4" i="8"/>
  <c r="T3" i="8"/>
  <c r="S3" i="8"/>
  <c r="R3" i="8"/>
  <c r="Q3" i="8"/>
  <c r="P3" i="8"/>
  <c r="O3" i="8"/>
  <c r="N3" i="8"/>
  <c r="M3" i="8"/>
  <c r="L3" i="8"/>
  <c r="E12" i="4" l="1"/>
  <c r="H11" i="4"/>
  <c r="G11" i="4"/>
  <c r="F11" i="4"/>
  <c r="H10" i="4"/>
  <c r="G10" i="4"/>
  <c r="F10" i="4"/>
  <c r="J10" i="4" s="1"/>
  <c r="H9" i="4"/>
  <c r="G9" i="4"/>
  <c r="F9" i="4"/>
  <c r="I8" i="4"/>
  <c r="J8" i="4" s="1"/>
  <c r="H8" i="4"/>
  <c r="G8" i="4"/>
  <c r="F8" i="4"/>
  <c r="H6" i="4"/>
  <c r="G6" i="4"/>
  <c r="F6" i="4"/>
  <c r="H5" i="4"/>
  <c r="G5" i="4"/>
  <c r="F5" i="4"/>
  <c r="H4" i="4"/>
  <c r="G4" i="4"/>
  <c r="F4" i="4"/>
  <c r="H3" i="4"/>
  <c r="G3" i="4"/>
  <c r="F3" i="4"/>
  <c r="I3" i="4" s="1"/>
  <c r="J5" i="4" s="1"/>
  <c r="K9" i="4" l="1"/>
  <c r="L5" i="4"/>
  <c r="L10" i="4"/>
  <c r="L6" i="4"/>
  <c r="K11" i="4"/>
  <c r="L3" i="4"/>
  <c r="K8" i="4"/>
  <c r="L11" i="4"/>
  <c r="J4" i="4"/>
  <c r="K4" i="4"/>
  <c r="J9" i="4"/>
  <c r="L4" i="4"/>
  <c r="L9" i="4"/>
  <c r="K5" i="4"/>
  <c r="K10" i="4"/>
  <c r="J6" i="4"/>
  <c r="K6" i="4"/>
  <c r="J11" i="4"/>
  <c r="L8" i="4"/>
  <c r="K3" i="4"/>
  <c r="J3" i="4"/>
  <c r="G5" i="3" l="1"/>
  <c r="G6" i="3"/>
  <c r="G7" i="3"/>
  <c r="G8" i="3"/>
  <c r="G9" i="3"/>
  <c r="G10" i="3"/>
  <c r="G11" i="3"/>
  <c r="G12" i="3"/>
  <c r="G13" i="3"/>
  <c r="G14" i="3"/>
  <c r="T5" i="3"/>
  <c r="U5" i="3"/>
  <c r="V5" i="3"/>
  <c r="W5" i="3"/>
  <c r="X5" i="3"/>
  <c r="Y5" i="3"/>
  <c r="Z5" i="3"/>
  <c r="AA5" i="3"/>
  <c r="T6" i="3"/>
  <c r="U6" i="3"/>
  <c r="V6" i="3"/>
  <c r="W6" i="3"/>
  <c r="X6" i="3"/>
  <c r="Y6" i="3"/>
  <c r="Z6" i="3"/>
  <c r="AA6" i="3"/>
  <c r="T7" i="3"/>
  <c r="U7" i="3"/>
  <c r="V7" i="3"/>
  <c r="W7" i="3"/>
  <c r="X7" i="3"/>
  <c r="Y7" i="3"/>
  <c r="Z7" i="3"/>
  <c r="AA7" i="3"/>
  <c r="T8" i="3"/>
  <c r="U8" i="3"/>
  <c r="V8" i="3"/>
  <c r="W8" i="3"/>
  <c r="X8" i="3"/>
  <c r="Y8" i="3"/>
  <c r="Z8" i="3"/>
  <c r="AA8" i="3"/>
  <c r="T9" i="3"/>
  <c r="U9" i="3"/>
  <c r="V9" i="3"/>
  <c r="W9" i="3"/>
  <c r="X9" i="3"/>
  <c r="Y9" i="3"/>
  <c r="Z9" i="3"/>
  <c r="AA9" i="3"/>
  <c r="T10" i="3"/>
  <c r="U10" i="3"/>
  <c r="V10" i="3"/>
  <c r="W10" i="3"/>
  <c r="X10" i="3"/>
  <c r="Y10" i="3"/>
  <c r="Z10" i="3"/>
  <c r="AA10" i="3"/>
  <c r="T11" i="3"/>
  <c r="U11" i="3"/>
  <c r="V11" i="3"/>
  <c r="W11" i="3"/>
  <c r="X11" i="3"/>
  <c r="Y11" i="3"/>
  <c r="Z11" i="3"/>
  <c r="AA11" i="3"/>
  <c r="T12" i="3"/>
  <c r="U12" i="3"/>
  <c r="V12" i="3"/>
  <c r="W12" i="3"/>
  <c r="X12" i="3"/>
  <c r="Y12" i="3"/>
  <c r="Z12" i="3"/>
  <c r="AA12" i="3"/>
  <c r="T13" i="3"/>
  <c r="U13" i="3"/>
  <c r="V13" i="3"/>
  <c r="W13" i="3"/>
  <c r="X13" i="3"/>
  <c r="Y13" i="3"/>
  <c r="Z13" i="3"/>
  <c r="AA13" i="3"/>
  <c r="T14" i="3"/>
  <c r="U14" i="3"/>
  <c r="V14" i="3"/>
  <c r="W14" i="3"/>
  <c r="X14" i="3"/>
  <c r="Y14" i="3"/>
  <c r="Z14" i="3"/>
  <c r="AA14" i="3"/>
  <c r="S6" i="3"/>
  <c r="S7" i="3"/>
  <c r="S8" i="3"/>
  <c r="S9" i="3"/>
  <c r="S10" i="3"/>
  <c r="S11" i="3"/>
  <c r="S12" i="3"/>
  <c r="S13" i="3"/>
  <c r="S14" i="3"/>
  <c r="S5" i="3"/>
  <c r="F6" i="3"/>
  <c r="F7" i="3"/>
  <c r="F8" i="3"/>
  <c r="F9" i="3"/>
  <c r="F10" i="3"/>
  <c r="F11" i="3"/>
  <c r="F12" i="3"/>
  <c r="F13" i="3"/>
  <c r="F14" i="3"/>
  <c r="F5" i="3"/>
  <c r="S10" i="2"/>
  <c r="R10" i="2"/>
  <c r="Q10" i="2"/>
  <c r="P10" i="2"/>
  <c r="O10" i="2"/>
  <c r="N10" i="2"/>
  <c r="S9" i="2"/>
  <c r="R9" i="2"/>
  <c r="Q9" i="2"/>
  <c r="P9" i="2"/>
  <c r="O9" i="2"/>
  <c r="N9" i="2"/>
  <c r="M8" i="2"/>
  <c r="S8" i="2" s="1"/>
  <c r="L8" i="2"/>
  <c r="R8" i="2" s="1"/>
  <c r="K8" i="2"/>
  <c r="Q8" i="2" s="1"/>
  <c r="J8" i="2"/>
  <c r="P8" i="2" s="1"/>
  <c r="I8" i="2"/>
  <c r="O8" i="2" s="1"/>
  <c r="H8" i="2"/>
  <c r="N8" i="2" s="1"/>
  <c r="S5" i="2"/>
  <c r="R5" i="2"/>
  <c r="Q5" i="2"/>
  <c r="P5" i="2"/>
  <c r="O5" i="2"/>
  <c r="N5" i="2"/>
  <c r="S4" i="2"/>
  <c r="R4" i="2"/>
  <c r="Q4" i="2"/>
  <c r="P4" i="2"/>
  <c r="O4" i="2"/>
  <c r="N4" i="2"/>
  <c r="M3" i="2"/>
  <c r="S3" i="2" s="1"/>
  <c r="L3" i="2"/>
  <c r="R3" i="2" s="1"/>
  <c r="K3" i="2"/>
  <c r="Q3" i="2" s="1"/>
  <c r="J3" i="2"/>
  <c r="P3" i="2" s="1"/>
  <c r="I3" i="2"/>
  <c r="O3" i="2" s="1"/>
  <c r="H3" i="2"/>
  <c r="N3" i="2" s="1"/>
</calcChain>
</file>

<file path=xl/sharedStrings.xml><?xml version="1.0" encoding="utf-8"?>
<sst xmlns="http://schemas.openxmlformats.org/spreadsheetml/2006/main" count="5383" uniqueCount="1258">
  <si>
    <t>B16</t>
  </si>
  <si>
    <t>Time</t>
  </si>
  <si>
    <t>Mock PEC+ B16</t>
  </si>
  <si>
    <t>mRIPO PEC+ B16</t>
  </si>
  <si>
    <t>E0771</t>
  </si>
  <si>
    <t>Mock PEC+ E0771</t>
  </si>
  <si>
    <t>mRIPO PEC+ E0771</t>
  </si>
  <si>
    <t>Mock</t>
  </si>
  <si>
    <t>mRIPO</t>
  </si>
  <si>
    <t>LPS</t>
  </si>
  <si>
    <t>IL-10</t>
  </si>
  <si>
    <t>IFN-α</t>
  </si>
  <si>
    <t>IFN-β</t>
  </si>
  <si>
    <t>TNF-α</t>
  </si>
  <si>
    <t>IL-1β</t>
  </si>
  <si>
    <t>IL-6</t>
  </si>
  <si>
    <t>TNFa</t>
  </si>
  <si>
    <t>IL-1b</t>
  </si>
  <si>
    <t>IFNb</t>
  </si>
  <si>
    <t>IFNa</t>
  </si>
  <si>
    <t>mock</t>
  </si>
  <si>
    <t>mripo</t>
  </si>
  <si>
    <t>lps</t>
  </si>
  <si>
    <t>Plotted data</t>
  </si>
  <si>
    <t>Concentration (pg/ml)</t>
  </si>
  <si>
    <t>MAXIMUM</t>
  </si>
  <si>
    <t>%MAXIMUM</t>
  </si>
  <si>
    <t>CD69</t>
  </si>
  <si>
    <t>Treg</t>
  </si>
  <si>
    <t>PD1</t>
  </si>
  <si>
    <t>CTLA4</t>
  </si>
  <si>
    <t>CD25</t>
  </si>
  <si>
    <t>CD8</t>
  </si>
  <si>
    <t>CD69+</t>
  </si>
  <si>
    <t>-</t>
  </si>
  <si>
    <t>mR</t>
  </si>
  <si>
    <t>T cell panel_1-1 tum_011.fcs</t>
  </si>
  <si>
    <t>tumor</t>
  </si>
  <si>
    <t>T cell panel_1-3 tum_013.fcs</t>
  </si>
  <si>
    <t>T cell panel_1-5 tum_015.fcs</t>
  </si>
  <si>
    <t>T cell panel_4-2 tum_017.fcs</t>
  </si>
  <si>
    <t>T cell panel_4-4 tum_019.fcs</t>
  </si>
  <si>
    <t>T cell panel_1-2 tum_012.fcs</t>
  </si>
  <si>
    <t>T cell panel_1-4 tum_014.fcs</t>
  </si>
  <si>
    <t>T cell panel_4-1 tum_016.fcs</t>
  </si>
  <si>
    <t>T cell panel_4-3 tum_018.fcs</t>
  </si>
  <si>
    <t>T cell panel_4-5 tum_020.fcs</t>
  </si>
  <si>
    <t>of CD4</t>
  </si>
  <si>
    <t>of Treg</t>
  </si>
  <si>
    <t>of CD4 nontreg</t>
  </si>
  <si>
    <t>Tregs</t>
  </si>
  <si>
    <t>CTLA4+</t>
  </si>
  <si>
    <t>PD1+</t>
  </si>
  <si>
    <t>CD25+</t>
  </si>
  <si>
    <t>MR</t>
  </si>
  <si>
    <t>Non Treg</t>
  </si>
  <si>
    <t>Of CD4</t>
  </si>
  <si>
    <t>co-Impl PEC</t>
  </si>
  <si>
    <t>co-implant PEC</t>
  </si>
  <si>
    <t>% Positive</t>
  </si>
  <si>
    <t>Normalized to fold average "-" treatment</t>
  </si>
  <si>
    <t>of CD8</t>
  </si>
  <si>
    <t>For CD69 on CD4 and CD8</t>
  </si>
  <si>
    <t>% postiive</t>
  </si>
  <si>
    <t>PLOTTED DATA:</t>
  </si>
  <si>
    <t>UV-mRIPO</t>
  </si>
  <si>
    <t>CXCL10</t>
  </si>
  <si>
    <t>0</t>
  </si>
  <si>
    <t>24</t>
  </si>
  <si>
    <t>48</t>
  </si>
  <si>
    <t>WT B16</t>
  </si>
  <si>
    <t>B16-PVR</t>
  </si>
  <si>
    <t xml:space="preserve">hours </t>
  </si>
  <si>
    <t>Sample</t>
  </si>
  <si>
    <t>blank</t>
  </si>
  <si>
    <t>B16 wt</t>
  </si>
  <si>
    <t>AVERAGE BLANK</t>
  </si>
  <si>
    <t>Raw values</t>
  </si>
  <si>
    <t>Blank subtracted</t>
  </si>
  <si>
    <t>Average "0"</t>
  </si>
  <si>
    <t>Norlaized to Average "0" time point</t>
  </si>
  <si>
    <t>PLOTTED</t>
  </si>
  <si>
    <t>PEC (mock)</t>
  </si>
  <si>
    <t>PEC (mRIPO)</t>
  </si>
  <si>
    <t>FLT3L DC (mock)</t>
  </si>
  <si>
    <t>Tumor volume (mm^3)</t>
  </si>
  <si>
    <t>Day</t>
  </si>
  <si>
    <t>BMDC (mock)</t>
  </si>
  <si>
    <t>BMDC mRIPO</t>
  </si>
  <si>
    <t>Days</t>
  </si>
  <si>
    <t>WT mice, WT tumors</t>
  </si>
  <si>
    <t>WT mice, PVR tumors</t>
  </si>
  <si>
    <t>PVR mice, WT tumors</t>
  </si>
  <si>
    <t>Ulceration</t>
  </si>
  <si>
    <t>PVR mice, PVR tumors</t>
  </si>
  <si>
    <t>IL8, IL12, IL28 and GMCSF deemed non-informative because of lack of consistent induction/outside linear range baseline levels</t>
  </si>
  <si>
    <t>GBM#</t>
  </si>
  <si>
    <t>Treatment</t>
  </si>
  <si>
    <t>TNF-a</t>
  </si>
  <si>
    <t>IP-10</t>
  </si>
  <si>
    <t>IL-29</t>
  </si>
  <si>
    <t>IFN-a2</t>
  </si>
  <si>
    <t>IFN-b</t>
  </si>
  <si>
    <t>IFN-y</t>
  </si>
  <si>
    <t>RIPO</t>
  </si>
  <si>
    <t>PIC</t>
  </si>
  <si>
    <t>cGAMP</t>
  </si>
  <si>
    <t>N.D.</t>
  </si>
  <si>
    <t>pg/ml</t>
  </si>
  <si>
    <t>GREEN= Minimum detection threshold</t>
  </si>
  <si>
    <t>Red= Maximum detection threshold</t>
  </si>
  <si>
    <t>Purple= Ran separately after 1:50 dilution.</t>
  </si>
  <si>
    <t>FOLD- FOR PLOT</t>
  </si>
  <si>
    <t>Mock-48h</t>
  </si>
  <si>
    <t>RIPO-48h</t>
  </si>
  <si>
    <t>48 -</t>
  </si>
  <si>
    <t>48R</t>
  </si>
  <si>
    <t>48 RIPO</t>
  </si>
  <si>
    <t>48-</t>
  </si>
  <si>
    <t>BC 9-1 72</t>
  </si>
  <si>
    <t>BC 9-1 72 R</t>
  </si>
  <si>
    <t>48r</t>
  </si>
  <si>
    <t xml:space="preserve">
Name</t>
  </si>
  <si>
    <t>X_BC61919 48-_047.fcs</t>
  </si>
  <si>
    <t>X_BC61919 48 ripo_048.fcs</t>
  </si>
  <si>
    <t>X_BC720 mock_001_103.fcs</t>
  </si>
  <si>
    <t>X_BC720 ripo_001_104.fcs</t>
  </si>
  <si>
    <t>X_BC813 mock_001_105.fcs</t>
  </si>
  <si>
    <t>X_BC813 ripo_001_106.fcs</t>
  </si>
  <si>
    <t>IL1β</t>
  </si>
  <si>
    <t>&lt;8.67</t>
  </si>
  <si>
    <t>IL1b</t>
  </si>
  <si>
    <t>IL6</t>
  </si>
  <si>
    <t>&lt;1.65</t>
  </si>
  <si>
    <t>&lt;2.03</t>
  </si>
  <si>
    <t>IL29</t>
  </si>
  <si>
    <t>&lt;1.88</t>
  </si>
  <si>
    <t xml:space="preserve">IL-29 </t>
  </si>
  <si>
    <t>IFNα-2</t>
  </si>
  <si>
    <t>IFN-a</t>
  </si>
  <si>
    <t>&lt;35.52</t>
  </si>
  <si>
    <t>&lt;39.10</t>
  </si>
  <si>
    <t>&lt;1.86</t>
  </si>
  <si>
    <t>IFN-γ</t>
  </si>
  <si>
    <t>&lt;74.05</t>
  </si>
  <si>
    <t>&lt;2.24</t>
  </si>
  <si>
    <t>5x-use more in lin range</t>
  </si>
  <si>
    <t>BREAST CANCER</t>
  </si>
  <si>
    <t>MELANOMA</t>
  </si>
  <si>
    <t>Fold mock</t>
  </si>
  <si>
    <t>IL-8</t>
  </si>
  <si>
    <t>Mel 3</t>
  </si>
  <si>
    <t>mel 4</t>
  </si>
  <si>
    <t>Mel 6</t>
  </si>
  <si>
    <t>Mel 12/12</t>
  </si>
  <si>
    <t/>
  </si>
  <si>
    <t>cells | Count</t>
  </si>
  <si>
    <t>cells/live | Count</t>
  </si>
  <si>
    <t>Average</t>
  </si>
  <si>
    <t>x_neg iso_001.fcs</t>
  </si>
  <si>
    <t>x_neg_002.fcs</t>
  </si>
  <si>
    <t>x_RIPO iso_003.fcs</t>
  </si>
  <si>
    <t>x_RIPO_004.fcs</t>
  </si>
  <si>
    <t>GBM16_neg iso_001.fcs</t>
  </si>
  <si>
    <t>GBM16_neg_002.fcs</t>
  </si>
  <si>
    <t>GBM16_RIPO iso_003.fcs</t>
  </si>
  <si>
    <t>GBM16_RIPO_004.fcs</t>
  </si>
  <si>
    <t>GBM17_neg iso_001.fcs</t>
  </si>
  <si>
    <t>GBM17_neg_002.fcs</t>
  </si>
  <si>
    <t>GBM17_RIPO iso_003.fcs</t>
  </si>
  <si>
    <t>GBM17_RIPO_004.fcs</t>
  </si>
  <si>
    <t>GBM18_neg iso_001.fcs</t>
  </si>
  <si>
    <t>GBM18_neg_002.fcs</t>
  </si>
  <si>
    <t>GBM18_RIPO iso_003.fcs</t>
  </si>
  <si>
    <t>GBM18_RIPO_004.fcs</t>
  </si>
  <si>
    <t>GBM19_neg iso_001.fcs</t>
  </si>
  <si>
    <t>GBM19_neg stain_002.fcs</t>
  </si>
  <si>
    <t>GBM19_RIPO iso_003.fcs</t>
  </si>
  <si>
    <t>GBM19_RIPO stain_004.fcs</t>
  </si>
  <si>
    <t>neg iso_001.fcs</t>
  </si>
  <si>
    <t>neg_002.fcs</t>
  </si>
  <si>
    <t>RIPO iso_003.fcs</t>
  </si>
  <si>
    <t>RIPO_004.fcs</t>
  </si>
  <si>
    <t>Cell line/GBM</t>
  </si>
  <si>
    <t>%live</t>
  </si>
  <si>
    <t>GBM14</t>
  </si>
  <si>
    <t>GBM16</t>
  </si>
  <si>
    <t>GBM17</t>
  </si>
  <si>
    <t>GBM18</t>
  </si>
  <si>
    <t>GBM19</t>
  </si>
  <si>
    <t>U87</t>
  </si>
  <si>
    <t>X_mock.fcs</t>
  </si>
  <si>
    <t>X_mock_001.fcs</t>
  </si>
  <si>
    <t>X_mock_002.fcs</t>
  </si>
  <si>
    <t>X_Virus.fcs</t>
  </si>
  <si>
    <t>X_Virus_001.fcs</t>
  </si>
  <si>
    <t>X_Virus_002.fcs</t>
  </si>
  <si>
    <t>Du54</t>
  </si>
  <si>
    <t>X_54 MOCK_001.fcs</t>
  </si>
  <si>
    <t>X_54 MOCK_001_002.fcs</t>
  </si>
  <si>
    <t>X_54 MOCK_002_003.fcs</t>
  </si>
  <si>
    <t>X_54RIPO_004.fcs</t>
  </si>
  <si>
    <t>X_54RIPO_001_005.fcs</t>
  </si>
  <si>
    <t>X_54RIPO_002_006.fcs</t>
  </si>
  <si>
    <t>DU43</t>
  </si>
  <si>
    <t>X_43 MOCK_007.fcs</t>
  </si>
  <si>
    <t>X_43 MOCK_001_008.fcs</t>
  </si>
  <si>
    <t>X_43 MOCK_002_009.fcs</t>
  </si>
  <si>
    <t>X_43 RIPO_010.fcs</t>
  </si>
  <si>
    <t>X_43 RIPO_001_011.fcs</t>
  </si>
  <si>
    <t>X_43 RIPO_002_012.fcs</t>
  </si>
  <si>
    <t>GBM15</t>
  </si>
  <si>
    <t>+</t>
  </si>
  <si>
    <t>CD11b+ CD49b+</t>
  </si>
  <si>
    <t>CD11b+ CD49b-</t>
  </si>
  <si>
    <t>CD15+ CD16+</t>
  </si>
  <si>
    <t>B and T cells</t>
  </si>
  <si>
    <t>CELLS</t>
  </si>
  <si>
    <t>singlets</t>
  </si>
  <si>
    <t>live</t>
  </si>
  <si>
    <t>cd45+</t>
  </si>
  <si>
    <t>Non T Non B</t>
  </si>
  <si>
    <t>CD15, 16+</t>
  </si>
  <si>
    <t>MFI CD155</t>
  </si>
  <si>
    <t>Non Neutropihls</t>
  </si>
  <si>
    <t>CD11bhi CD45hi</t>
  </si>
  <si>
    <t>cd11b low cd45lo</t>
  </si>
  <si>
    <t>cd45-</t>
  </si>
  <si>
    <t>endothelial</t>
  </si>
  <si>
    <t>Tumor cells</t>
  </si>
  <si>
    <t>MFI tumor cells</t>
  </si>
  <si>
    <t>GBM2 blood and tumor_GBM CD155 stained_035.fcs</t>
  </si>
  <si>
    <t>GBM2 blood and tumor_Tumor Iso_034.fcs</t>
  </si>
  <si>
    <t>GBM3 blood and tumor_GBM CD155 stained_001.fcs</t>
  </si>
  <si>
    <t>GBM3 blood and tumor_Tumor Iso_006.fcs</t>
  </si>
  <si>
    <t>GBM4 blood and tumor_GBM CD155 stained_005.fcs</t>
  </si>
  <si>
    <t>GBM4 blood and tumor_Tumor Iso_006.fcs</t>
  </si>
  <si>
    <t>GBM5 blood and tumor_GBM CD155 stained_005.fcs</t>
  </si>
  <si>
    <t>GBM5 blood and tumor_Tumor Iso_006.fcs</t>
  </si>
  <si>
    <t>GBM6 blood and tumor_GBM CD155 stained_005.fcs</t>
  </si>
  <si>
    <t>GBM6 blood and tumor_Tumor Iso_006.fcs</t>
  </si>
  <si>
    <t>GBM7 blood and tumor_GBM CD155 stained_005.fcs</t>
  </si>
  <si>
    <t>GBM7 blood and tumor_Tumor Iso_006.fcs</t>
  </si>
  <si>
    <t>GBM8 CD155 stained_005.fcs</t>
  </si>
  <si>
    <t>GBM8 Tumor Iso.fcs</t>
  </si>
  <si>
    <t>GBM9 CD155 stained_005.fcs</t>
  </si>
  <si>
    <t>GBM9 iso tumor.fcs</t>
  </si>
  <si>
    <t>GBM10 GBM CD155 stained.fcs</t>
  </si>
  <si>
    <t>GBM10 iso tumor.fcs</t>
  </si>
  <si>
    <t>GBM11 CD155 stained.fcs</t>
  </si>
  <si>
    <t>GBM11 iso tumor.fcs</t>
  </si>
  <si>
    <t>GBM12 iso tumor.fcs</t>
  </si>
  <si>
    <t>GBM12 tumor CD155 stained.fcs</t>
  </si>
  <si>
    <t>GBM13 tumor CD155 stained.fcs</t>
  </si>
  <si>
    <t>GB13 ISO tumor cd155.fcs</t>
  </si>
  <si>
    <t>GBM1 CD155 stained_029.fcs</t>
  </si>
  <si>
    <t>GBM1 iso_028.fcs</t>
  </si>
  <si>
    <t>GBM #</t>
  </si>
  <si>
    <t>Stain</t>
  </si>
  <si>
    <t>iso (CD155)</t>
  </si>
  <si>
    <t xml:space="preserve">Stained </t>
  </si>
  <si>
    <t xml:space="preserve">B and T </t>
  </si>
  <si>
    <t>Neutrophil</t>
  </si>
  <si>
    <t>Mphage</t>
  </si>
  <si>
    <t>Micorglia</t>
  </si>
  <si>
    <t>microglia</t>
  </si>
  <si>
    <t>CD45neg, CD31+</t>
  </si>
  <si>
    <t>CD45neg CD31neg</t>
  </si>
  <si>
    <t>CD3+ or CD19+</t>
  </si>
  <si>
    <t>Mock (-) or Virus (+)</t>
  </si>
  <si>
    <t xml:space="preserve">PLOTTED DATA </t>
  </si>
  <si>
    <t>PLOTTED DATA</t>
  </si>
  <si>
    <t>PVSRIPO</t>
  </si>
  <si>
    <t>CAV21</t>
  </si>
  <si>
    <t>Poly I:C</t>
  </si>
  <si>
    <t>BLZ945</t>
  </si>
  <si>
    <t>IFN-λ1</t>
  </si>
  <si>
    <t>Max</t>
  </si>
  <si>
    <t>% MAX</t>
  </si>
  <si>
    <t xml:space="preserve">EXP </t>
  </si>
  <si>
    <t>MP MOCK_009.fcs</t>
  </si>
  <si>
    <t>MP RIPO_010.fcs</t>
  </si>
  <si>
    <t>MP CAV_012.fcs</t>
  </si>
  <si>
    <t>CAV</t>
  </si>
  <si>
    <t>MP PIC_013.fcs</t>
  </si>
  <si>
    <t xml:space="preserve">PIC </t>
  </si>
  <si>
    <t>MP PIC TFX_014.fcs</t>
  </si>
  <si>
    <t xml:space="preserve">PIC tfx </t>
  </si>
  <si>
    <t>MP LIPO_015.fcs</t>
  </si>
  <si>
    <t>Lipo</t>
  </si>
  <si>
    <t>MP CGAMP_016.fcs</t>
  </si>
  <si>
    <t>MP LPS_017.fcs</t>
  </si>
  <si>
    <t>MP MOCK_001_030.fcs</t>
  </si>
  <si>
    <t>Mock2</t>
  </si>
  <si>
    <t>MP RIPO_001_031.fcs</t>
  </si>
  <si>
    <t>RIPO2</t>
  </si>
  <si>
    <t>MP CAV_001_033.fcs</t>
  </si>
  <si>
    <t>CAV2</t>
  </si>
  <si>
    <t>MP PIC_001_034.fcs</t>
  </si>
  <si>
    <t>PIC2</t>
  </si>
  <si>
    <t>MP PIC TFX_001_035.fcs</t>
  </si>
  <si>
    <t>PIC tfx 2</t>
  </si>
  <si>
    <t>MP LIPO_001_036.fcs</t>
  </si>
  <si>
    <t>Lipo2</t>
  </si>
  <si>
    <t>MP CGAMP_001_037.fcs</t>
  </si>
  <si>
    <t>cGAMP2</t>
  </si>
  <si>
    <t>MP LPS_001_038.fcs</t>
  </si>
  <si>
    <t>LPS2</t>
  </si>
  <si>
    <t>MP MOCK_002_040.fcs</t>
  </si>
  <si>
    <t>MP RIPO_002_041.fcs</t>
  </si>
  <si>
    <t>MP CAV_002_043.fcs</t>
  </si>
  <si>
    <t>MP PIC_002_044.fcs</t>
  </si>
  <si>
    <t>MP PIC TFX_002_045.fcs</t>
  </si>
  <si>
    <t>PIC tfx</t>
  </si>
  <si>
    <t>MP LIPO_002_046.fcs</t>
  </si>
  <si>
    <t>&lt;3.80</t>
  </si>
  <si>
    <t>MP CGAMP_002_047.fcs</t>
  </si>
  <si>
    <t>MP LPS_002_048.fcs</t>
  </si>
  <si>
    <t>MP BLZ EXP3_050.fcs</t>
  </si>
  <si>
    <t>BLz2</t>
  </si>
  <si>
    <t>MP BLZ EXP4_051.fcs</t>
  </si>
  <si>
    <t>TNF</t>
  </si>
  <si>
    <t>PB2 -_033.fcs</t>
  </si>
  <si>
    <t>PB2 RIPO_034.fcs</t>
  </si>
  <si>
    <t>PB2 CAV_035.fcs</t>
  </si>
  <si>
    <t>PB2 PIC_037.fcs</t>
  </si>
  <si>
    <t>PB2 PIC TFX_038.fcs</t>
  </si>
  <si>
    <t>PB2 LPS_039.fcs</t>
  </si>
  <si>
    <t>PB2 CGAMP_040.fcs</t>
  </si>
  <si>
    <t>PB2 BLZ_041.fcs</t>
  </si>
  <si>
    <t>BLZ</t>
  </si>
  <si>
    <t>PB2 -_001_079.fcs</t>
  </si>
  <si>
    <t>Mcok</t>
  </si>
  <si>
    <t>PB2 RIPO_001_080.fcs</t>
  </si>
  <si>
    <t>PB2 CAV_001_081.fcs</t>
  </si>
  <si>
    <t>PB2 PIC_001_083.fcs</t>
  </si>
  <si>
    <t>PB2 PIC TFX_001_084.fcs</t>
  </si>
  <si>
    <t>PB2 LPS_001_085.fcs</t>
  </si>
  <si>
    <t>PB2 CGAMP_001_086.fcs</t>
  </si>
  <si>
    <t>PB2 BLZ_001_087.fcs</t>
  </si>
  <si>
    <t>Name</t>
  </si>
  <si>
    <t>PB3 -_009.fcs</t>
  </si>
  <si>
    <t>PB3 RIPO_010.fcs</t>
  </si>
  <si>
    <t>PB3 CAV_012.fcs</t>
  </si>
  <si>
    <t xml:space="preserve">CAV </t>
  </si>
  <si>
    <t>PB3 PIC_013.fcs</t>
  </si>
  <si>
    <t>PB3 PIC TFX_014.fcs</t>
  </si>
  <si>
    <t>PB3 LIPO_015.fcs</t>
  </si>
  <si>
    <t>PB3 LPS_016.fcs</t>
  </si>
  <si>
    <t>PB3 CGAMP_017.fcs</t>
  </si>
  <si>
    <t>PB3 BLZ_019.fcs</t>
  </si>
  <si>
    <t>PB3 IFN_020.fcs</t>
  </si>
  <si>
    <t>IFN</t>
  </si>
  <si>
    <t>PB3 -_001_021.fcs</t>
  </si>
  <si>
    <t>Mock 2</t>
  </si>
  <si>
    <t>PB3 RIPO_001_022.fcs</t>
  </si>
  <si>
    <t>RIPO 2</t>
  </si>
  <si>
    <t>PB3 CAV_001_024.fcs</t>
  </si>
  <si>
    <t>PB3 PIC_001_025.fcs</t>
  </si>
  <si>
    <t>PB3 PIC TFX_001_026.fcs</t>
  </si>
  <si>
    <t>PB3 LIPO_001_027.fcs</t>
  </si>
  <si>
    <t>Lipo 2</t>
  </si>
  <si>
    <t>PB3 LPS_001_028.fcs</t>
  </si>
  <si>
    <t>LPS 2</t>
  </si>
  <si>
    <t>PB3 CGAMP_001_029.fcs</t>
  </si>
  <si>
    <t>cGAMP 2</t>
  </si>
  <si>
    <t>PB3 BLZ_001_031.fcs</t>
  </si>
  <si>
    <t>BLZ 2</t>
  </si>
  <si>
    <t>PB3 IFN_001_032.fcs</t>
  </si>
  <si>
    <t>IFN 2</t>
  </si>
  <si>
    <t>PBS + αPD-L1</t>
  </si>
  <si>
    <t>mRIPO + αPD-L1</t>
  </si>
  <si>
    <t>Poly (I:C) + αPD-L1</t>
  </si>
  <si>
    <t>LPS + αPD-L1</t>
  </si>
  <si>
    <t>LPS + IFNα</t>
  </si>
  <si>
    <t>Days post tx</t>
  </si>
  <si>
    <t>mock + IgG</t>
  </si>
  <si>
    <t>αIFNAR</t>
  </si>
  <si>
    <t>Poly IC + IgG</t>
  </si>
  <si>
    <t>Poly IC + αIFNAR</t>
  </si>
  <si>
    <t>PEI</t>
  </si>
  <si>
    <t>Poly IC</t>
  </si>
  <si>
    <t>Poly IC-PEI</t>
  </si>
  <si>
    <t>ulcer</t>
  </si>
  <si>
    <t>Macrophages</t>
  </si>
  <si>
    <t>CD40 mFI</t>
  </si>
  <si>
    <t>CD86</t>
  </si>
  <si>
    <t>PDL1</t>
  </si>
  <si>
    <t>HLADR</t>
  </si>
  <si>
    <t>x_PIC iso_007.fcs</t>
  </si>
  <si>
    <t>x_PIC_008.fcs</t>
  </si>
  <si>
    <t>x_LPS iso_009.fcs</t>
  </si>
  <si>
    <t>x_LPS_010.fcs</t>
  </si>
  <si>
    <t>x_cgamp iso_011.fcs</t>
  </si>
  <si>
    <t>x_cgamp_012.fcs</t>
  </si>
  <si>
    <t>GBM16_PIC iso_007.fcs</t>
  </si>
  <si>
    <t>GBM16_PIC_008.fcs</t>
  </si>
  <si>
    <t>GBM16_LPS iso_009.fcs</t>
  </si>
  <si>
    <t>GBM16_LPS_010.fcs</t>
  </si>
  <si>
    <t>GBM16_cgamp iso_011.fcs</t>
  </si>
  <si>
    <t>GBM16_cgamp_012.fcs</t>
  </si>
  <si>
    <t>GBM17_PIC iso_007.fcs</t>
  </si>
  <si>
    <t>GBM17_PIC_008.fcs</t>
  </si>
  <si>
    <t>GBM17_LPS iso_009.fcs</t>
  </si>
  <si>
    <t>GBM17_LPS_010.fcs</t>
  </si>
  <si>
    <t>GBM17_cgamp iso_011.fcs</t>
  </si>
  <si>
    <t>GBM17_cgamp_012.fcs</t>
  </si>
  <si>
    <t>GBM18_PIC iso_007.fcs</t>
  </si>
  <si>
    <t>GBM18_PIC_008.fcs</t>
  </si>
  <si>
    <t>GBM18_LPS iso_009.fcs</t>
  </si>
  <si>
    <t>GBM18_LPS_010.fcs</t>
  </si>
  <si>
    <t>GBM19_HMW iso_005.fcs</t>
  </si>
  <si>
    <t>GBM19_HMW stain_006.fcs</t>
  </si>
  <si>
    <t>GBM19_LPS iso_007.fcs</t>
  </si>
  <si>
    <t>GBM19_LPS stain_008.fcs</t>
  </si>
  <si>
    <t>GBM19_TFX HMW iso_009.fcs</t>
  </si>
  <si>
    <t>GBM19_TFX HMW stain_010.fcs</t>
  </si>
  <si>
    <t>PIC iso_007.fcs</t>
  </si>
  <si>
    <t>PIC_008.fcs</t>
  </si>
  <si>
    <t>LPS iso_009.fcs</t>
  </si>
  <si>
    <t>LPS_010.fcs</t>
  </si>
  <si>
    <t>cgamp iso_011.fcs</t>
  </si>
  <si>
    <t>cgamp_012.fcs</t>
  </si>
  <si>
    <t>CD40</t>
  </si>
  <si>
    <t>MFI</t>
  </si>
  <si>
    <t>Normalize (subtract isotype)</t>
  </si>
  <si>
    <t>Subtract Mock</t>
  </si>
  <si>
    <t>TUMOR AND ENDOTHELIAL CELLS</t>
  </si>
  <si>
    <t>Endothelia</t>
  </si>
  <si>
    <t>Endothelial</t>
  </si>
  <si>
    <t>Subtract iso</t>
  </si>
  <si>
    <t>Mphages</t>
  </si>
  <si>
    <t>Specimen</t>
  </si>
  <si>
    <t>CD31+</t>
  </si>
  <si>
    <t>CD31-</t>
  </si>
  <si>
    <t>T and B</t>
  </si>
  <si>
    <t>20.9 %</t>
  </si>
  <si>
    <t>37.8 %</t>
  </si>
  <si>
    <t>12.0 %</t>
  </si>
  <si>
    <t>IFIT1 MFI</t>
  </si>
  <si>
    <t>0.097 %</t>
  </si>
  <si>
    <t>99.9 %</t>
  </si>
  <si>
    <t>6.99 %</t>
  </si>
  <si>
    <t>0.12 %</t>
  </si>
  <si>
    <t>6.91 %</t>
  </si>
  <si>
    <t>2.92 %</t>
  </si>
  <si>
    <t>96.9 %</t>
  </si>
  <si>
    <t>65.1 %</t>
  </si>
  <si>
    <t>5.46 %</t>
  </si>
  <si>
    <t>94.1 %</t>
  </si>
  <si>
    <t>65.2 %</t>
  </si>
  <si>
    <t>4.08 %</t>
  </si>
  <si>
    <t>92.3 %</t>
  </si>
  <si>
    <t>1.20 %</t>
  </si>
  <si>
    <t>2.80 %</t>
  </si>
  <si>
    <t>95.7 %</t>
  </si>
  <si>
    <t>1.81 %</t>
  </si>
  <si>
    <t>0.30 %</t>
  </si>
  <si>
    <t>99.5 %</t>
  </si>
  <si>
    <t>11.0 %</t>
  </si>
  <si>
    <t>0.16 %</t>
  </si>
  <si>
    <t>99.7 %</t>
  </si>
  <si>
    <t>5.95 %</t>
  </si>
  <si>
    <t>99.6 %</t>
  </si>
  <si>
    <t>1.05 %</t>
  </si>
  <si>
    <t>0.42 %</t>
  </si>
  <si>
    <t>3.70 %</t>
  </si>
  <si>
    <t>Breast1</t>
  </si>
  <si>
    <t>Breast2</t>
  </si>
  <si>
    <t>gbm20 mock_001.fcs</t>
  </si>
  <si>
    <t>GBM15 mock_046.fcs</t>
  </si>
  <si>
    <t>gbm20 ripo_002.fcs</t>
  </si>
  <si>
    <t>gbm21 mock_001.fcs</t>
  </si>
  <si>
    <t>gbm21 ripo_002.fcs</t>
  </si>
  <si>
    <t>GBM15 ripo_047.fcs</t>
  </si>
  <si>
    <t>Labels</t>
  </si>
  <si>
    <t>Sum- For stats</t>
  </si>
  <si>
    <t>Het mock</t>
  </si>
  <si>
    <t>Het RIPO</t>
  </si>
  <si>
    <t>Het PIC</t>
  </si>
  <si>
    <t>Het HMW</t>
  </si>
  <si>
    <t>Het LPS</t>
  </si>
  <si>
    <t>Het cGAMP</t>
  </si>
  <si>
    <t>CD14 Mock</t>
  </si>
  <si>
    <t>CD14 mock</t>
  </si>
  <si>
    <t>CD14 RIPO</t>
  </si>
  <si>
    <t>CD14 PIC</t>
  </si>
  <si>
    <t>CD14 HMW</t>
  </si>
  <si>
    <t>CD14 LPS</t>
  </si>
  <si>
    <t>CD14 cGAMP</t>
  </si>
  <si>
    <t>Depl Mock</t>
  </si>
  <si>
    <t>Depl mock</t>
  </si>
  <si>
    <t>Depl RIPO</t>
  </si>
  <si>
    <t xml:space="preserve">Depl PIC </t>
  </si>
  <si>
    <t>Depl HMW</t>
  </si>
  <si>
    <t>Depl LPS</t>
  </si>
  <si>
    <t>Depl cGAMP</t>
  </si>
  <si>
    <t>Fold Heterogenous mock</t>
  </si>
  <si>
    <t>PBS</t>
  </si>
  <si>
    <t>T cells</t>
  </si>
  <si>
    <t>B cells</t>
  </si>
  <si>
    <t>NK cells</t>
  </si>
  <si>
    <t>Neutrophils</t>
  </si>
  <si>
    <t>Cell type</t>
  </si>
  <si>
    <t>% Live cells Day 1</t>
  </si>
  <si>
    <t>%live cells Day 7</t>
  </si>
  <si>
    <t>2C, 2BC P2 (viral protein)</t>
  </si>
  <si>
    <t>reprobe GAPDH, IR secondary</t>
  </si>
  <si>
    <t>PVR (human CD155)</t>
  </si>
  <si>
    <t>reprobe PVR (human CD155)</t>
  </si>
  <si>
    <t xml:space="preserve">stat1-p </t>
  </si>
  <si>
    <t xml:space="preserve">stat1-total </t>
  </si>
  <si>
    <t>2C (viral protein)</t>
  </si>
  <si>
    <t xml:space="preserve">Gapdh </t>
  </si>
  <si>
    <t>max</t>
  </si>
  <si>
    <t>RIPO 0</t>
  </si>
  <si>
    <t>RIPO 4</t>
  </si>
  <si>
    <t>RIPO 8</t>
  </si>
  <si>
    <t>RIPO 24</t>
  </si>
  <si>
    <t>RIPO 48</t>
  </si>
  <si>
    <t>RIPO 72</t>
  </si>
  <si>
    <t>LPS 0</t>
  </si>
  <si>
    <t>LPS 4</t>
  </si>
  <si>
    <t>LPS 8</t>
  </si>
  <si>
    <t>LPS 24</t>
  </si>
  <si>
    <t>LPS 48</t>
  </si>
  <si>
    <t>LPS 72</t>
  </si>
  <si>
    <t>IFN 0</t>
  </si>
  <si>
    <t>IFN 4</t>
  </si>
  <si>
    <t>IFN 8</t>
  </si>
  <si>
    <t>IFN 24</t>
  </si>
  <si>
    <t>IFN 48</t>
  </si>
  <si>
    <t>IFN 72</t>
  </si>
  <si>
    <t>X_PB5 RIPO 0_009.fcs</t>
  </si>
  <si>
    <t>X_PB5 RIPO 4_010.fcs</t>
  </si>
  <si>
    <t>X_PB5 RIPO 8_011.fcs</t>
  </si>
  <si>
    <t>X_PB5 RIPO 24_012.fcs</t>
  </si>
  <si>
    <t>X_PB5 RIPO 48_013.fcs</t>
  </si>
  <si>
    <t>X_PB5 RIPO 72_014.fcs</t>
  </si>
  <si>
    <t>X_PB5 LPS 0_015.fcs</t>
  </si>
  <si>
    <t>X_PB5 LPS 4_016.fcs</t>
  </si>
  <si>
    <t>X_PB5 LPS 8_017.fcs</t>
  </si>
  <si>
    <t>X_PB5 LPS 24_018.fcs</t>
  </si>
  <si>
    <t>X_PB5 LPS 48_019.fcs</t>
  </si>
  <si>
    <t>X_PB5 LPS 72_020.fcs</t>
  </si>
  <si>
    <t>X_PB5 IFN 0_021.fcs</t>
  </si>
  <si>
    <t>X_PB5 IFN 4_022.fcs</t>
  </si>
  <si>
    <t>X_PB5 IFN 8_023.fcs</t>
  </si>
  <si>
    <t>X_PB5 IFN 24_024.fcs</t>
  </si>
  <si>
    <t>X_PB5 IFN 48_025.fcs</t>
  </si>
  <si>
    <t>X_PB5 IFN 72_026.fcs</t>
  </si>
  <si>
    <t>X_PB4 RIPO 0_027.fcs</t>
  </si>
  <si>
    <t>X_PB4 RIPO 4_028.fcs</t>
  </si>
  <si>
    <t>X_PB4 RIPO 8_029.fcs</t>
  </si>
  <si>
    <t>X_PB4 RIPO 24_030.fcs</t>
  </si>
  <si>
    <t>X_PB4 RIPO 48_031.fcs</t>
  </si>
  <si>
    <t>X_PB4 RIPO 72_032.fcs</t>
  </si>
  <si>
    <t>X_PB4 LPS 0_033.fcs</t>
  </si>
  <si>
    <t>X_PB4 LPS 4_034.fcs</t>
  </si>
  <si>
    <t>X_PB4 LPS 8_035.fcs</t>
  </si>
  <si>
    <t>X_PB4 LPS 24_036.fcs</t>
  </si>
  <si>
    <t>X_PB4 LPS 48_037.fcs</t>
  </si>
  <si>
    <t>X_PB4 LPS 72_038.fcs</t>
  </si>
  <si>
    <t>X_PB4 IFN 0_039.fcs</t>
  </si>
  <si>
    <t>X_PB4 IFN 4_040.fcs</t>
  </si>
  <si>
    <t>X_PB4 IFN 8_041.fcs</t>
  </si>
  <si>
    <t>X_PB4 IFN 24_042.fcs</t>
  </si>
  <si>
    <t>X_PB4 IFN 48_043.fcs</t>
  </si>
  <si>
    <t>X_PB4 IFN 72_044.fcs</t>
  </si>
  <si>
    <t>%max</t>
  </si>
  <si>
    <t>CONCENTRATION (pg/ml)</t>
  </si>
  <si>
    <t>GMCSF</t>
  </si>
  <si>
    <t>X_Neg (dose)_047.fcs</t>
  </si>
  <si>
    <t>047.fcs</t>
  </si>
  <si>
    <t>X_ripo 1_048.fcs</t>
  </si>
  <si>
    <t>048.fcs</t>
  </si>
  <si>
    <t>X_ripo 10_049.fcs</t>
  </si>
  <si>
    <t>049.fcs</t>
  </si>
  <si>
    <t>X_ripo100_050.fcs</t>
  </si>
  <si>
    <t>050.fcs</t>
  </si>
  <si>
    <t>X_PIC lo_051.fcs</t>
  </si>
  <si>
    <t>051.fcs</t>
  </si>
  <si>
    <t>X_PIC med_052.fcs</t>
  </si>
  <si>
    <t>052.fcs</t>
  </si>
  <si>
    <t>X_PIC hi_053.fcs</t>
  </si>
  <si>
    <t>053.fcs</t>
  </si>
  <si>
    <t>X_PIC Tfx lo_054.fcs</t>
  </si>
  <si>
    <t>054.fcs</t>
  </si>
  <si>
    <t>X_PIC tfx med_055.fcs</t>
  </si>
  <si>
    <t>055.fcs</t>
  </si>
  <si>
    <t>X_PIC tfx hi_056.fcs</t>
  </si>
  <si>
    <t>056.fcs</t>
  </si>
  <si>
    <t>057.fcs</t>
  </si>
  <si>
    <t>058.fcs</t>
  </si>
  <si>
    <t>059.fcs</t>
  </si>
  <si>
    <t>X_LPS lo_060.fcs</t>
  </si>
  <si>
    <t>060.fcs</t>
  </si>
  <si>
    <t>X_LPS med_061.fcs</t>
  </si>
  <si>
    <t>061.fcs</t>
  </si>
  <si>
    <t>X_LPS hi_062.fcs</t>
  </si>
  <si>
    <t>062.fcs</t>
  </si>
  <si>
    <t>X_Neg (dose)_001_063.fcs</t>
  </si>
  <si>
    <t>063.fcs</t>
  </si>
  <si>
    <t>X_ripo 1_001_064.fcs</t>
  </si>
  <si>
    <t>064.fcs</t>
  </si>
  <si>
    <t>X_ripo 10_001_065.fcs</t>
  </si>
  <si>
    <t>065.fcs</t>
  </si>
  <si>
    <t>X_ripo100_001_066.fcs</t>
  </si>
  <si>
    <t>066.fcs</t>
  </si>
  <si>
    <t>X_PIC lo_001_067.fcs</t>
  </si>
  <si>
    <t>067.fcs</t>
  </si>
  <si>
    <t>X_PIC med_001_068.fcs</t>
  </si>
  <si>
    <t>068.fcs</t>
  </si>
  <si>
    <t>X_PIC hi_001_069.fcs</t>
  </si>
  <si>
    <t>069.fcs</t>
  </si>
  <si>
    <t>X_PIC Tfx lo_001_070.fcs</t>
  </si>
  <si>
    <t>070.fcs</t>
  </si>
  <si>
    <t>X_PIC tfx med_001_071.fcs</t>
  </si>
  <si>
    <t>071.fcs</t>
  </si>
  <si>
    <t>X_PIC tfx hi_001_072.fcs</t>
  </si>
  <si>
    <t>072.fcs</t>
  </si>
  <si>
    <t>X_LPS lo_001_076.fcs</t>
  </si>
  <si>
    <t>076.fcs</t>
  </si>
  <si>
    <t>X_LPS med_001_077.fcs</t>
  </si>
  <si>
    <t>077.fcs</t>
  </si>
  <si>
    <t>X_LPS hi_001_078.fcs</t>
  </si>
  <si>
    <t>078.fcs</t>
  </si>
  <si>
    <t>PB2</t>
  </si>
  <si>
    <t>X_Neg_009.fcs</t>
  </si>
  <si>
    <t>009.fcs</t>
  </si>
  <si>
    <t>X_RIPO 1_010.fcs</t>
  </si>
  <si>
    <t>010.fcs</t>
  </si>
  <si>
    <t>X_RIPO 10_011.fcs</t>
  </si>
  <si>
    <t>011.fcs</t>
  </si>
  <si>
    <t>X_RIPO 100_012.fcs</t>
  </si>
  <si>
    <t>012.fcs</t>
  </si>
  <si>
    <t>X_HMW lo_013.fcs</t>
  </si>
  <si>
    <t>013.fcs</t>
  </si>
  <si>
    <t>X_HMW mid_014.fcs</t>
  </si>
  <si>
    <t>014.fcs</t>
  </si>
  <si>
    <t>X_HMW hi_015.fcs</t>
  </si>
  <si>
    <t>015.fcs</t>
  </si>
  <si>
    <t>X_HMWlyo lo_016.fcs</t>
  </si>
  <si>
    <t>016.fcs</t>
  </si>
  <si>
    <t>X_HMWlyo mid_017.fcs</t>
  </si>
  <si>
    <t>017.fcs</t>
  </si>
  <si>
    <t>X_HMWlyo hi_018.fcs</t>
  </si>
  <si>
    <t>018.fcs</t>
  </si>
  <si>
    <t>X_lps lo_022.fcs</t>
  </si>
  <si>
    <t>022.fcs</t>
  </si>
  <si>
    <t>X_lps mid_023.fcs</t>
  </si>
  <si>
    <t>023.fcs</t>
  </si>
  <si>
    <t>X_lps hi_024.fcs</t>
  </si>
  <si>
    <t>024.fcs</t>
  </si>
  <si>
    <t>PB3</t>
  </si>
  <si>
    <t>X_Neg_001_025.fcs</t>
  </si>
  <si>
    <t>025.fcs</t>
  </si>
  <si>
    <t>X_RIPO 1_001_026.fcs</t>
  </si>
  <si>
    <t>026.fcs</t>
  </si>
  <si>
    <t>X_RIPO 10_001_027.fcs</t>
  </si>
  <si>
    <t>027.fcs</t>
  </si>
  <si>
    <t>X_RIPO 100_001_028.fcs</t>
  </si>
  <si>
    <t>028.fcs</t>
  </si>
  <si>
    <t>X_HMW lo_001_029.fcs</t>
  </si>
  <si>
    <t>029.fcs</t>
  </si>
  <si>
    <t>X_HMW mid_001_030.fcs</t>
  </si>
  <si>
    <t>030.fcs</t>
  </si>
  <si>
    <t>X_HMW hi_001_031.fcs</t>
  </si>
  <si>
    <t>031.fcs</t>
  </si>
  <si>
    <t>X_HMWlyo lo_001_032.fcs</t>
  </si>
  <si>
    <t>032.fcs</t>
  </si>
  <si>
    <t>X_HMWlyo mid_001_033.fcs</t>
  </si>
  <si>
    <t>033.fcs</t>
  </si>
  <si>
    <t>X_HMWlyo hi_001_034.fcs</t>
  </si>
  <si>
    <t>034.fcs</t>
  </si>
  <si>
    <t>X_lps lo_001_037.fcs</t>
  </si>
  <si>
    <t>037.fcs</t>
  </si>
  <si>
    <t>X_lps mid_001_038.fcs</t>
  </si>
  <si>
    <t>038.fcs</t>
  </si>
  <si>
    <t>X_lps hi_001_039.fcs</t>
  </si>
  <si>
    <t>039.fcs</t>
  </si>
  <si>
    <t>MAX VALUE</t>
  </si>
  <si>
    <t>IL-12</t>
  </si>
  <si>
    <t>X_neg_009.fcs</t>
  </si>
  <si>
    <t>X_ripo 1_010.fcs</t>
  </si>
  <si>
    <t>X_ripo 10_011.fcs</t>
  </si>
  <si>
    <t>X_ripo 100_012.fcs</t>
  </si>
  <si>
    <t>X_hmw lo_013.fcs</t>
  </si>
  <si>
    <t>X_hmw mid_014.fcs</t>
  </si>
  <si>
    <t>X_hmw hi_015.fcs</t>
  </si>
  <si>
    <t>X_tfx lo_016.fcs</t>
  </si>
  <si>
    <t>X_tfx mid_017.fcs</t>
  </si>
  <si>
    <t>X_tfx hi_018.fcs</t>
  </si>
  <si>
    <t>X_neg_001_025.fcs</t>
  </si>
  <si>
    <t>X_ripo 1_001_026.fcs</t>
  </si>
  <si>
    <t>X_ripo 10_001_027.fcs</t>
  </si>
  <si>
    <t>X_ripo 100_001_028.fcs</t>
  </si>
  <si>
    <t>X_hmw lo_001_029.fcs</t>
  </si>
  <si>
    <t>X_HMW mid 001_030.fcs</t>
  </si>
  <si>
    <t>X_tfx lo_001_032.fcs</t>
  </si>
  <si>
    <t>X_tfx mid_001_033.fcs</t>
  </si>
  <si>
    <t>X_tfx hi_001_034.fcs</t>
  </si>
  <si>
    <t>X_lps lo_001_038.fcs</t>
  </si>
  <si>
    <t>X_lps mid_001_039.fcs</t>
  </si>
  <si>
    <t>X_lps hi_001_040.fcs</t>
  </si>
  <si>
    <t>040.fcs</t>
  </si>
  <si>
    <t>X_neg_002_041.fcs</t>
  </si>
  <si>
    <t>041.fcs</t>
  </si>
  <si>
    <t>not induced</t>
  </si>
  <si>
    <t>X_ripo 1_002_042.fcs</t>
  </si>
  <si>
    <t>042.fcs</t>
  </si>
  <si>
    <t>X_ripo 10_002_043.fcs</t>
  </si>
  <si>
    <t>043.fcs</t>
  </si>
  <si>
    <t>X_ripo 100_002_044.fcs</t>
  </si>
  <si>
    <t>044.fcs</t>
  </si>
  <si>
    <t>X_hmw lo_002_045.fcs</t>
  </si>
  <si>
    <t>045.fcs</t>
  </si>
  <si>
    <t>X_hmw mid_001_046.fcs</t>
  </si>
  <si>
    <t>046.fcs</t>
  </si>
  <si>
    <t>X_hmw hi_002_047.fcs</t>
  </si>
  <si>
    <t>X_tfx lo_002_048.fcs</t>
  </si>
  <si>
    <t>X_tfx mid_002_049.fcs</t>
  </si>
  <si>
    <t>X_tfx hi_002_050.fcs</t>
  </si>
  <si>
    <t>X_lps lo_002_054.fcs</t>
  </si>
  <si>
    <t>X_lps mid_002_055.fcs</t>
  </si>
  <si>
    <t>X_lps hi_002_056.fcs</t>
  </si>
  <si>
    <t>X_neg_003_057.fcs</t>
  </si>
  <si>
    <t>not induce</t>
  </si>
  <si>
    <t>Not induced</t>
  </si>
  <si>
    <t>X_ripo 1_003_058.fcs</t>
  </si>
  <si>
    <t>X_ripo 10_003_059.fcs</t>
  </si>
  <si>
    <t>X_ripo 100_003_060.fcs</t>
  </si>
  <si>
    <t>X_hmw lo_003_061.fcs</t>
  </si>
  <si>
    <t>X_hmw mid_003_062.fcs</t>
  </si>
  <si>
    <t>X_hmw hi_003_063.fcs</t>
  </si>
  <si>
    <t>X_tfx lo_003_064.fcs</t>
  </si>
  <si>
    <t>X_tfx mid_003_065.fcs</t>
  </si>
  <si>
    <t>X_tfx hi_003_066.fcs</t>
  </si>
  <si>
    <t>X_lps lo_003_070.fcs</t>
  </si>
  <si>
    <t>X_lps mid_003_071.fcs</t>
  </si>
  <si>
    <t>X_lps hi_003_072.fcs</t>
  </si>
  <si>
    <t>GBM</t>
  </si>
  <si>
    <t>Tx</t>
  </si>
  <si>
    <t>Cav21</t>
  </si>
  <si>
    <t>PIC TFX</t>
  </si>
  <si>
    <t>IRF3-p</t>
  </si>
  <si>
    <t>IRF3</t>
  </si>
  <si>
    <t>2C</t>
  </si>
  <si>
    <t>2C (blot was cut in half)</t>
  </si>
  <si>
    <t>Stat1-p (Y701)</t>
  </si>
  <si>
    <t>Stat1 total</t>
  </si>
  <si>
    <t>GREEN=</t>
  </si>
  <si>
    <t>Lower limit of detection</t>
  </si>
  <si>
    <t>Red=</t>
  </si>
  <si>
    <t>Upper limit of detection</t>
  </si>
  <si>
    <t>IKBa</t>
  </si>
  <si>
    <t>P100 NFkB</t>
  </si>
  <si>
    <t>Tubulin</t>
  </si>
  <si>
    <t>Fig S8A</t>
  </si>
  <si>
    <t>2C, IRF3-p, IRF3, IkBa, P100, and tubulin identical to that in Fig 5A</t>
  </si>
  <si>
    <t>P65-p NFKB</t>
  </si>
  <si>
    <t>P65 NFKB</t>
  </si>
  <si>
    <t>IRF7</t>
  </si>
  <si>
    <t>IRF1</t>
  </si>
  <si>
    <t>P105</t>
  </si>
  <si>
    <t>P50 (lighter exposure of P105 blot)</t>
  </si>
  <si>
    <t>A20</t>
  </si>
  <si>
    <t>cREL</t>
  </si>
  <si>
    <t>IFIT1</t>
  </si>
  <si>
    <t>PKR</t>
  </si>
  <si>
    <t>OAS1</t>
  </si>
  <si>
    <t>ISG15</t>
  </si>
  <si>
    <t>p-STAT1 (Y701)</t>
  </si>
  <si>
    <t>Stat1</t>
  </si>
  <si>
    <t>TAP1</t>
  </si>
  <si>
    <t>p38-p</t>
  </si>
  <si>
    <t>p38</t>
  </si>
  <si>
    <t>PPARy</t>
  </si>
  <si>
    <t>ACC</t>
  </si>
  <si>
    <t>IDO</t>
  </si>
  <si>
    <t>p-p65  NFkB</t>
  </si>
  <si>
    <t>P50 (lighter of P105 blot)</t>
  </si>
  <si>
    <t>p65 NfKb</t>
  </si>
  <si>
    <t>tubulin</t>
  </si>
  <si>
    <t>OAS</t>
  </si>
  <si>
    <t>p-p65</t>
  </si>
  <si>
    <t>p-p65 NfkB</t>
  </si>
  <si>
    <t>p50 NfKb</t>
  </si>
  <si>
    <t>p100 NFkB</t>
  </si>
  <si>
    <t>p105 NFkB</t>
  </si>
  <si>
    <t xml:space="preserve">IRF3 </t>
  </si>
  <si>
    <t>%maximum</t>
  </si>
  <si>
    <t>Donor</t>
  </si>
  <si>
    <t>p100</t>
  </si>
  <si>
    <t>p105</t>
  </si>
  <si>
    <t>p50</t>
  </si>
  <si>
    <t>p65-p</t>
  </si>
  <si>
    <t>Raw densitometry values (licor)</t>
  </si>
  <si>
    <t>p50 (NFκB)</t>
  </si>
  <si>
    <t>P100 (NFκB)</t>
  </si>
  <si>
    <t>P105 (NFκB)</t>
  </si>
  <si>
    <t>PLOTTED VALUES PVSRIPO</t>
  </si>
  <si>
    <t>N.d.</t>
  </si>
  <si>
    <t>N/A</t>
  </si>
  <si>
    <t>IRF3-p*</t>
  </si>
  <si>
    <t>PLOTTED VALUES LPS</t>
  </si>
  <si>
    <t>Subtract background (0 time point)</t>
  </si>
  <si>
    <t>IRF3-p #2</t>
  </si>
  <si>
    <t>IRF3-p #3</t>
  </si>
  <si>
    <t>MDA5 light expsure</t>
  </si>
  <si>
    <t>MDA5 Dark exposure</t>
  </si>
  <si>
    <t>2C viral protein</t>
  </si>
  <si>
    <t>STAT1-p (Y701)</t>
  </si>
  <si>
    <t>X_neg sin_078.fcs</t>
  </si>
  <si>
    <t>a</t>
  </si>
  <si>
    <t>SIN mock</t>
  </si>
  <si>
    <t>X_sin mock pb3_027.fcs</t>
  </si>
  <si>
    <t>b</t>
  </si>
  <si>
    <t>X_sin mock pb3_001_039.fcs</t>
  </si>
  <si>
    <t>c</t>
  </si>
  <si>
    <t>PB4</t>
  </si>
  <si>
    <t>X_sin mock pb4_051.fcs</t>
  </si>
  <si>
    <t>d</t>
  </si>
  <si>
    <t>X_sin mock pb4_001_059.fcs</t>
  </si>
  <si>
    <t>e</t>
  </si>
  <si>
    <t>X_sin mock pb3_009.fcs</t>
  </si>
  <si>
    <t>f</t>
  </si>
  <si>
    <t>X_neg simda5_079.fcs</t>
  </si>
  <si>
    <t>MDA5 mock</t>
  </si>
  <si>
    <t>X_simda5 mock pb3_033.fcs</t>
  </si>
  <si>
    <t>X_simda5 mock pb3_001_045.fcs</t>
  </si>
  <si>
    <t>X_simda5 mock pb4_055.fcs</t>
  </si>
  <si>
    <t>X_simda5 mock pb4_001_063.fcs</t>
  </si>
  <si>
    <t>X_simda5 mock pb3_015.fcs</t>
  </si>
  <si>
    <t>X_ripo sin_080.fcs</t>
  </si>
  <si>
    <t>Sin RIPO</t>
  </si>
  <si>
    <t>X_sin ripo pb3_028.fcs</t>
  </si>
  <si>
    <t>X_sin ripo pb3_001_040.fcs</t>
  </si>
  <si>
    <t>X_sin ripo pb4_052.fcs</t>
  </si>
  <si>
    <t>X_sin ripo pb4_001_060.fcs</t>
  </si>
  <si>
    <t>X_sin ripo pb3_010.fcs</t>
  </si>
  <si>
    <t>X_ripo simda5_081.fcs</t>
  </si>
  <si>
    <t>SiMDA5 RIPO</t>
  </si>
  <si>
    <t>X_simda5 ripo pb3_034.fcs</t>
  </si>
  <si>
    <t>X_simda5 ripo pb3_001_046.fcs</t>
  </si>
  <si>
    <t>X_simda5 ripo pb4_056.fcs</t>
  </si>
  <si>
    <t>X_simda5 ripo pb4_001_064.fcs</t>
  </si>
  <si>
    <t>X_simda5 ripo pb3_016.fcs</t>
  </si>
  <si>
    <t>X_hmw sin_082.fcs</t>
  </si>
  <si>
    <t>Sin HMW</t>
  </si>
  <si>
    <t>X_sin hmw pb3_031.fcs</t>
  </si>
  <si>
    <t>X_sin hmw pb3_001_043.fcs</t>
  </si>
  <si>
    <t>X_sin hmw pb4_054.fcs</t>
  </si>
  <si>
    <t>X_sin hmw pb4_001_062.fcs</t>
  </si>
  <si>
    <t>X_sin HMW_012.fcs</t>
  </si>
  <si>
    <t>X_hmw simda5_083.fcs</t>
  </si>
  <si>
    <t>SiMDA5 HMW</t>
  </si>
  <si>
    <t>X_simda5 hmw pb3_037.fcs</t>
  </si>
  <si>
    <t>X_simda5 hmw pb3_001_049.fcs</t>
  </si>
  <si>
    <t>X_simda5 hmw pb4_058.fcs</t>
  </si>
  <si>
    <t>X_simda5 hmw pb4_001_066.fcs</t>
  </si>
  <si>
    <t>X_simda5 hmw pb3_018.fcs</t>
  </si>
  <si>
    <t>X_lps sin_086.fcs</t>
  </si>
  <si>
    <t>Sin LPS</t>
  </si>
  <si>
    <t>X_sin lps pb3_029.fcs</t>
  </si>
  <si>
    <t>X_sin lps pb3_001_041.fcs</t>
  </si>
  <si>
    <t>X_sin lps pb4_053.fcs</t>
  </si>
  <si>
    <t>X_sin lps pb4_001_061.fcs</t>
  </si>
  <si>
    <t>X_sin lps pb3_011.fcs</t>
  </si>
  <si>
    <t>X_lps simda5_087.fcs</t>
  </si>
  <si>
    <t>SiMDA5 LPS</t>
  </si>
  <si>
    <t>X_simda5 lps pb3_035.fcs</t>
  </si>
  <si>
    <t>X_simda5 lps pb3_001_047.fcs</t>
  </si>
  <si>
    <t>X_simda5 lps pb4_057.fcs</t>
  </si>
  <si>
    <t>X_simda5 lps pb4_001_065.fcs</t>
  </si>
  <si>
    <t>X_simda5 lps pb3_017.fcs</t>
  </si>
  <si>
    <t>Experiment</t>
  </si>
  <si>
    <t>"SIN"= Sictrl; "MDA5"= siRNA against MDA5, "RIPO"=PVSRIPo RIPO, "HMW"= Poly (I:C)</t>
  </si>
  <si>
    <t>Fold Sin Mock</t>
  </si>
  <si>
    <t>Sin mock</t>
  </si>
  <si>
    <t>siMDA5 mock</t>
  </si>
  <si>
    <t>sin ripo</t>
  </si>
  <si>
    <t>simda5 ripo</t>
  </si>
  <si>
    <t>sin hmw</t>
  </si>
  <si>
    <t>simda5 hmw</t>
  </si>
  <si>
    <t>sin lps</t>
  </si>
  <si>
    <t>simda5 lps</t>
  </si>
  <si>
    <t>CYTOKINES</t>
  </si>
  <si>
    <t>FLOW DATA</t>
  </si>
  <si>
    <t>%Max</t>
  </si>
  <si>
    <t>subtract respective mock</t>
  </si>
  <si>
    <t>CD80</t>
  </si>
  <si>
    <t>CD83</t>
  </si>
  <si>
    <t>CCR7</t>
  </si>
  <si>
    <t>MDA5 RIPO</t>
  </si>
  <si>
    <t>PIC HMW</t>
  </si>
  <si>
    <t>MDA5 HMW</t>
  </si>
  <si>
    <t>MDA5 LPS</t>
  </si>
  <si>
    <t>g</t>
  </si>
  <si>
    <t>Fold MFI (Divded by mock in each expeirment)</t>
  </si>
  <si>
    <t>donor</t>
  </si>
  <si>
    <t>pb2</t>
  </si>
  <si>
    <t>Neg</t>
  </si>
  <si>
    <t>RIPO bx</t>
  </si>
  <si>
    <t>RIPO Ikk</t>
  </si>
  <si>
    <t>pb3</t>
  </si>
  <si>
    <t>LPS BX</t>
  </si>
  <si>
    <t>LPS IKK</t>
  </si>
  <si>
    <t>Green= minimum threshold</t>
  </si>
  <si>
    <t>Red= maximum threshold</t>
  </si>
  <si>
    <t>Cage tag</t>
  </si>
  <si>
    <t>Tag #</t>
  </si>
  <si>
    <t>hom 6</t>
  </si>
  <si>
    <t>pbs</t>
  </si>
  <si>
    <t>hom 7</t>
  </si>
  <si>
    <t>hom 8</t>
  </si>
  <si>
    <t>hom4</t>
  </si>
  <si>
    <t>Hom 1</t>
  </si>
  <si>
    <t>hom 2</t>
  </si>
  <si>
    <t>hom 3</t>
  </si>
  <si>
    <t>hom 5</t>
  </si>
  <si>
    <t>pic</t>
  </si>
  <si>
    <t>pg/ml values</t>
  </si>
  <si>
    <t>maximum values</t>
  </si>
  <si>
    <t>Average PBS % max</t>
  </si>
  <si>
    <t>IA/IE</t>
  </si>
  <si>
    <t>Normalized to Fold average mock control</t>
  </si>
  <si>
    <t>CD4</t>
  </si>
  <si>
    <t>Non-Tregs</t>
  </si>
  <si>
    <t>Normalized to Fold average mock control, heatmap depicts geometric mean</t>
  </si>
  <si>
    <t>GZMB</t>
  </si>
  <si>
    <t>TIm3</t>
  </si>
  <si>
    <t>GZMB+</t>
  </si>
  <si>
    <t>GZMB+IFN-γ</t>
  </si>
  <si>
    <t>0*</t>
  </si>
  <si>
    <t>Tim3</t>
  </si>
  <si>
    <t>T-bet*</t>
  </si>
  <si>
    <t>*T-bet was included in 2/3 expeirments</t>
  </si>
  <si>
    <t>Untreated</t>
  </si>
  <si>
    <t>SIINFEKL baseline subtracted</t>
  </si>
  <si>
    <t>Average spot area</t>
  </si>
  <si>
    <t>IL-5</t>
  </si>
  <si>
    <t>IL-2</t>
  </si>
  <si>
    <t>IL-4</t>
  </si>
  <si>
    <t>IL-9</t>
  </si>
  <si>
    <t>IL-17A</t>
  </si>
  <si>
    <t>IL-22</t>
  </si>
  <si>
    <t>IL-13</t>
  </si>
  <si>
    <t>Condition</t>
  </si>
  <si>
    <t>TX</t>
  </si>
  <si>
    <t>No cells</t>
  </si>
  <si>
    <t>B16 ova</t>
  </si>
  <si>
    <t>B16 reg</t>
  </si>
  <si>
    <t>AVERAGE pg/ML Values</t>
  </si>
  <si>
    <t>Max Avg value</t>
  </si>
  <si>
    <t>FOR PLOT:</t>
  </si>
  <si>
    <t>CT2A CFSE MFI</t>
  </si>
  <si>
    <t>B16 CFSE MFI</t>
  </si>
  <si>
    <t>B16 PDL1 %postive</t>
  </si>
  <si>
    <t>CT2A PDL1 %positive</t>
  </si>
  <si>
    <t>Naive</t>
  </si>
  <si>
    <t>DMSO</t>
  </si>
  <si>
    <t>AMX</t>
  </si>
  <si>
    <t>IKK16</t>
  </si>
  <si>
    <t>T-bet</t>
  </si>
  <si>
    <t>Tumor Volume (mm^3)</t>
  </si>
  <si>
    <t>%CD4 T cells</t>
  </si>
  <si>
    <t>%CD8 T cells</t>
  </si>
  <si>
    <t>CD45</t>
  </si>
  <si>
    <t>Non-treg</t>
  </si>
  <si>
    <t>Mock + AMX</t>
  </si>
  <si>
    <t>mRIPO + AMX</t>
  </si>
  <si>
    <t>IFNα</t>
  </si>
  <si>
    <t>LPS+IFNα</t>
  </si>
  <si>
    <t>Non-Treg CD4</t>
  </si>
  <si>
    <t>T cell heatmap (%live)</t>
  </si>
  <si>
    <t>GzmB</t>
  </si>
  <si>
    <t>Tbet</t>
  </si>
  <si>
    <t>%CD4</t>
  </si>
  <si>
    <t>%CD8</t>
  </si>
  <si>
    <t>Fig S14A</t>
  </si>
  <si>
    <t>Normalize to max for each cyokine</t>
  </si>
  <si>
    <t>subtract mock</t>
  </si>
  <si>
    <t xml:space="preserve">
Dilution</t>
  </si>
  <si>
    <t>IL10</t>
  </si>
  <si>
    <t>X_wt -_037.fcs</t>
  </si>
  <si>
    <t>X_wt hmw_039.fcs</t>
  </si>
  <si>
    <t>X_wt hmwtfx_040.fcs</t>
  </si>
  <si>
    <t>X_wt lps_041.fcs</t>
  </si>
  <si>
    <t>X_wt -_001_042.fcs</t>
  </si>
  <si>
    <t>X_wt hmw_001_044.fcs</t>
  </si>
  <si>
    <t>X_wt hmwtfx_001_045.fcs</t>
  </si>
  <si>
    <t>X_wt lps_001_046.fcs</t>
  </si>
  <si>
    <t>Experiment 1</t>
  </si>
  <si>
    <t>Expeirment 2</t>
  </si>
  <si>
    <t>Poly(I:C)</t>
  </si>
  <si>
    <t>Poly(I:C)-PEI</t>
  </si>
  <si>
    <t>WT PEI</t>
  </si>
  <si>
    <t>WT Poly IC-PEI</t>
  </si>
  <si>
    <t>MDA5 -/- PEI</t>
  </si>
  <si>
    <t>MDA5 -/- Poly IC-PEI</t>
  </si>
  <si>
    <t>WT Poly (I:C)-PEI</t>
  </si>
  <si>
    <t>MDA5-/- PEI</t>
  </si>
  <si>
    <t>MDA5 -/- Poly (I:C)-PEI</t>
  </si>
  <si>
    <t>WT Poly (I:C-PEI</t>
  </si>
  <si>
    <t>Fig S14C</t>
  </si>
  <si>
    <t>TIm3+</t>
  </si>
  <si>
    <t>Tim3+</t>
  </si>
  <si>
    <t>Fig S5F</t>
  </si>
  <si>
    <t>E0771 + Mock</t>
  </si>
  <si>
    <t>WT MICE</t>
  </si>
  <si>
    <t>CD155 MICE</t>
  </si>
  <si>
    <t>E0771 + mRIPO</t>
  </si>
  <si>
    <t>B16:mock PEC</t>
  </si>
  <si>
    <t>B16:mRIPO PEC</t>
  </si>
  <si>
    <t>Fig S5B</t>
  </si>
  <si>
    <t xml:space="preserve">Time </t>
  </si>
  <si>
    <t>Fig S5C</t>
  </si>
  <si>
    <t>PEC (-)</t>
  </si>
  <si>
    <t>PEC mRIPO</t>
  </si>
  <si>
    <t>Fig S5A</t>
  </si>
  <si>
    <t>MHC-II</t>
  </si>
  <si>
    <t>MHC-I</t>
  </si>
  <si>
    <t>PD-L1</t>
  </si>
  <si>
    <t>MFI, for 2 expeirments</t>
  </si>
  <si>
    <t>IFN-α2</t>
  </si>
  <si>
    <t>%mock viability (WST1)</t>
  </si>
  <si>
    <t>label</t>
  </si>
  <si>
    <t>RIPO_003.fcs</t>
  </si>
  <si>
    <t>cav21_005.fcs</t>
  </si>
  <si>
    <t>PIC_006.fcs</t>
  </si>
  <si>
    <t>PIC Tfx_007.fcs</t>
  </si>
  <si>
    <t>PICtfx</t>
  </si>
  <si>
    <t>LPS_009.fcs</t>
  </si>
  <si>
    <t>lipo_008.fcs</t>
  </si>
  <si>
    <t>cgamp_010.fcs</t>
  </si>
  <si>
    <t>BLz_012.fcs</t>
  </si>
  <si>
    <t xml:space="preserve">BLZ </t>
  </si>
  <si>
    <t>ifn_013.fcs</t>
  </si>
  <si>
    <t>neg_001_014.fcs</t>
  </si>
  <si>
    <t>RIPO_001_016.fcs</t>
  </si>
  <si>
    <t>cav21_001_017.fcs</t>
  </si>
  <si>
    <t>HMW_001_018.fcs</t>
  </si>
  <si>
    <t>PIC (HMW)</t>
  </si>
  <si>
    <t>hmwlyovec_001_020.fcs</t>
  </si>
  <si>
    <t>LPS_001_021.fcs</t>
  </si>
  <si>
    <t>lyovec_001_026.fcs</t>
  </si>
  <si>
    <t>lyovec</t>
  </si>
  <si>
    <t>cav21_008.fcs</t>
  </si>
  <si>
    <t>PIC_010.fcs</t>
  </si>
  <si>
    <t>PIC Tfx_012.fcs</t>
  </si>
  <si>
    <t>LPS_016.fcs</t>
  </si>
  <si>
    <t>lipo_014.fcs</t>
  </si>
  <si>
    <t>cgamp_018.fcs</t>
  </si>
  <si>
    <t>BLz_022.fcs</t>
  </si>
  <si>
    <t>ifn_024.fcs</t>
  </si>
  <si>
    <t>neg_001_026.fcs</t>
  </si>
  <si>
    <t>RIPO_001_028.fcs</t>
  </si>
  <si>
    <t>cav21_001_030.fcs</t>
  </si>
  <si>
    <t>HMW_001_032.fcs</t>
  </si>
  <si>
    <t>hmwlyovec_001_036.fcs</t>
  </si>
  <si>
    <t>LPS_001_038.fcs</t>
  </si>
  <si>
    <t>lyovec_001_048.fcs</t>
  </si>
  <si>
    <t>Poly (I:C)</t>
  </si>
  <si>
    <t>IFNα2</t>
  </si>
  <si>
    <t>%max for each cytokine across all treatments</t>
  </si>
  <si>
    <t>HLA-DR</t>
  </si>
  <si>
    <t>MHC-cI</t>
  </si>
  <si>
    <t>%max MFI for each surface marker; mock was subtracted</t>
  </si>
  <si>
    <t>Viability</t>
  </si>
  <si>
    <t>UV-PVSRIPO</t>
  </si>
  <si>
    <t>IFNy</t>
  </si>
  <si>
    <t xml:space="preserve">"+" means that IL-4, TGFb and IL-10 were added </t>
  </si>
  <si>
    <t>MOI 1</t>
  </si>
  <si>
    <t>MOI 10</t>
  </si>
  <si>
    <t>MOI 100</t>
  </si>
  <si>
    <t>1μg/ml</t>
  </si>
  <si>
    <t>10μg/ml</t>
  </si>
  <si>
    <t>100μg/ml</t>
  </si>
  <si>
    <t>0.5 μg/ml</t>
  </si>
  <si>
    <t>5 μg/ml</t>
  </si>
  <si>
    <t>0.1 μg/ml</t>
  </si>
  <si>
    <t>1 μg/ml</t>
  </si>
  <si>
    <t>10 μg/ml</t>
  </si>
  <si>
    <t>MHC-class I</t>
  </si>
  <si>
    <t>MHC-class II</t>
  </si>
  <si>
    <t>Poly IC-tfx</t>
  </si>
  <si>
    <t>Poly (I:C)-Tfx</t>
  </si>
  <si>
    <t>Tfx ctrl</t>
  </si>
  <si>
    <t>%max induction across all treatments for each surface marker</t>
  </si>
  <si>
    <t>%max cytokine induction across all treatments</t>
  </si>
  <si>
    <t>MDMS</t>
  </si>
  <si>
    <t>DCs</t>
  </si>
  <si>
    <t>siCtrl</t>
  </si>
  <si>
    <t>SiMDA5</t>
  </si>
  <si>
    <t>% positive cells by 7-AAD</t>
  </si>
  <si>
    <t>BX795</t>
  </si>
  <si>
    <t>Fig S9B</t>
  </si>
  <si>
    <t xml:space="preserve">PVSRIPO infected </t>
  </si>
  <si>
    <t>Fig S9C viability</t>
  </si>
  <si>
    <t>PBS +αPD-L1</t>
  </si>
  <si>
    <t>PIC + αPD-L1</t>
  </si>
  <si>
    <t>Fig S12B</t>
  </si>
  <si>
    <t>B16 % live (7-AAD)</t>
  </si>
  <si>
    <t>CT2A % live (7-AAD)</t>
  </si>
  <si>
    <t>Fig S12C</t>
  </si>
  <si>
    <t>IFN-Gamma</t>
  </si>
  <si>
    <t>Fig S13B</t>
  </si>
  <si>
    <t>CXCL10**</t>
  </si>
  <si>
    <t>Fig S13A; normalized to %max minus mock value</t>
  </si>
  <si>
    <t xml:space="preserve">** in one experiment CXCL10 baseline levels exceeded max detection levels and could noe be included. </t>
  </si>
  <si>
    <t>PLOTTED (Geometric mean heatmap)</t>
  </si>
  <si>
    <t>%MAX across all treatments</t>
  </si>
  <si>
    <t>Subtract mock</t>
  </si>
  <si>
    <t>S6d</t>
  </si>
  <si>
    <t>S6e</t>
  </si>
  <si>
    <t>Fig S6i</t>
  </si>
  <si>
    <t>Fig S6j</t>
  </si>
  <si>
    <t>Fig S6k</t>
  </si>
  <si>
    <t xml:space="preserve">%maximum across </t>
  </si>
  <si>
    <t>%Maximum fold induction</t>
  </si>
  <si>
    <t>Subtract average mock (Plotted values)</t>
  </si>
  <si>
    <t>Cytokine</t>
  </si>
  <si>
    <t>cxcl10</t>
  </si>
  <si>
    <t>STATISTICS TABLE</t>
  </si>
  <si>
    <t>ANOVA p value</t>
  </si>
  <si>
    <t>Adjusted p values from ANOVA (mixed effect model) protected Tukey's multiple comparison test</t>
  </si>
  <si>
    <t>vs</t>
  </si>
  <si>
    <r>
      <t>IFN-</t>
    </r>
    <r>
      <rPr>
        <b/>
        <sz val="12"/>
        <color theme="1"/>
        <rFont val="Symbol"/>
        <charset val="2"/>
      </rPr>
      <t>l1</t>
    </r>
  </si>
  <si>
    <r>
      <t>IL1-</t>
    </r>
    <r>
      <rPr>
        <b/>
        <sz val="12"/>
        <color theme="1"/>
        <rFont val="Symbol"/>
        <charset val="2"/>
      </rPr>
      <t>b</t>
    </r>
  </si>
  <si>
    <r>
      <t>IFN-</t>
    </r>
    <r>
      <rPr>
        <b/>
        <sz val="12"/>
        <color theme="1"/>
        <rFont val="Symbol"/>
        <charset val="2"/>
      </rPr>
      <t>a</t>
    </r>
  </si>
  <si>
    <t>&lt;0.0001</t>
  </si>
  <si>
    <r>
      <t>IFN-</t>
    </r>
    <r>
      <rPr>
        <b/>
        <sz val="12"/>
        <color theme="1"/>
        <rFont val="Symbol"/>
        <charset val="2"/>
      </rPr>
      <t>b</t>
    </r>
  </si>
  <si>
    <t>&gt;0.9999</t>
  </si>
  <si>
    <t>Statistics</t>
  </si>
  <si>
    <t>IRF3-p #1* for the original #1 blot series imiquimod treatment was also tested, this was not included in further experiments (2 extra lanes on the right, cropped out of main text figure)</t>
  </si>
  <si>
    <t>P100 NFKb (reprobed the A20 blot below, very top bands are P100)</t>
  </si>
  <si>
    <t>ISG15 (very bottom bands, ~15kd)</t>
  </si>
  <si>
    <t>P52 and P100</t>
  </si>
  <si>
    <t>Normalized to % control for each time point; average of technical replicates is shown.</t>
  </si>
  <si>
    <t xml:space="preserve">Mock </t>
  </si>
  <si>
    <t>Vs</t>
  </si>
  <si>
    <t>1ug/ml</t>
  </si>
  <si>
    <t>10 ug/ml</t>
  </si>
  <si>
    <t>100ug/ml</t>
  </si>
  <si>
    <t>Poly (I:C) (tfx)</t>
  </si>
  <si>
    <t>0.5 ug/ml</t>
  </si>
  <si>
    <t>5 ug/ml</t>
  </si>
  <si>
    <t>10ug/ml</t>
  </si>
  <si>
    <t>0.1 ug/ml</t>
  </si>
  <si>
    <t>1 ug/ml</t>
  </si>
  <si>
    <r>
      <t>IFN-</t>
    </r>
    <r>
      <rPr>
        <sz val="12"/>
        <color theme="1"/>
        <rFont val="Symbol"/>
        <charset val="2"/>
      </rPr>
      <t>l</t>
    </r>
    <r>
      <rPr>
        <sz val="12"/>
        <color theme="1"/>
        <rFont val="Calibri"/>
        <family val="2"/>
        <scheme val="minor"/>
      </rPr>
      <t>1</t>
    </r>
  </si>
  <si>
    <r>
      <t>IFN-</t>
    </r>
    <r>
      <rPr>
        <sz val="12"/>
        <color theme="1"/>
        <rFont val="Symbol"/>
        <charset val="2"/>
      </rPr>
      <t>a</t>
    </r>
  </si>
  <si>
    <r>
      <t>IFN-</t>
    </r>
    <r>
      <rPr>
        <sz val="12"/>
        <color theme="1"/>
        <rFont val="Symbol"/>
        <charset val="2"/>
      </rPr>
      <t>b</t>
    </r>
  </si>
  <si>
    <r>
      <t>IL-1</t>
    </r>
    <r>
      <rPr>
        <sz val="12"/>
        <color theme="1"/>
        <rFont val="Symbol"/>
        <charset val="2"/>
      </rPr>
      <t>b</t>
    </r>
  </si>
  <si>
    <t>Adj p value for Dunnett's multiple comparison test vs mock</t>
  </si>
  <si>
    <t>&gt;0.999</t>
  </si>
  <si>
    <t xml:space="preserve">Poly (I:C) </t>
  </si>
  <si>
    <t>STATISTICS</t>
  </si>
  <si>
    <t xml:space="preserve">RIPO heatmap </t>
  </si>
  <si>
    <t>Adjusted p value from Tukey's post hoc intergroup comparison (only comparing PVSRIPO infected conditions)</t>
  </si>
  <si>
    <t>LPS heatmap</t>
  </si>
  <si>
    <r>
      <t>IFN</t>
    </r>
    <r>
      <rPr>
        <sz val="12"/>
        <color theme="1"/>
        <rFont val="Symbol"/>
        <charset val="2"/>
      </rPr>
      <t>a</t>
    </r>
  </si>
  <si>
    <r>
      <t>IFN</t>
    </r>
    <r>
      <rPr>
        <sz val="12"/>
        <color theme="1"/>
        <rFont val="Symbol"/>
        <charset val="2"/>
      </rPr>
      <t>b</t>
    </r>
  </si>
  <si>
    <t>Adjusted p value: Tukey's post hoc test intergroup comparisons</t>
  </si>
  <si>
    <t>Day 1</t>
  </si>
  <si>
    <t>Day 7</t>
  </si>
  <si>
    <t>VS</t>
  </si>
  <si>
    <t>T cell density of CD45+</t>
  </si>
  <si>
    <t>Tukey's post-hoc inter-group comparisons</t>
  </si>
  <si>
    <t>Macrophage activation markers</t>
  </si>
  <si>
    <t>Markers of activation on T cells</t>
  </si>
  <si>
    <t>CD4 T cells</t>
  </si>
  <si>
    <t>CD8 T cells</t>
  </si>
  <si>
    <r>
      <t>IFN-</t>
    </r>
    <r>
      <rPr>
        <sz val="12"/>
        <color theme="1"/>
        <rFont val="Symbol"/>
        <charset val="2"/>
      </rPr>
      <t>g</t>
    </r>
  </si>
  <si>
    <r>
      <t>GZMB + IFN-</t>
    </r>
    <r>
      <rPr>
        <sz val="12"/>
        <color theme="1"/>
        <rFont val="Symbol"/>
        <charset val="2"/>
      </rPr>
      <t>g</t>
    </r>
  </si>
  <si>
    <t>Fig 4A</t>
  </si>
  <si>
    <t xml:space="preserve">LPS </t>
  </si>
  <si>
    <t>LPS + IFNa</t>
  </si>
  <si>
    <t>CD8% live</t>
  </si>
  <si>
    <t>CD4%live</t>
  </si>
  <si>
    <t>Non Treg CD4</t>
  </si>
  <si>
    <t>Adjusted p value Tukey's post hoc test, % live heatmap</t>
  </si>
  <si>
    <t>Adjusted p value % non-Treg CD4</t>
  </si>
  <si>
    <t>Adjusted p value % CD8</t>
  </si>
  <si>
    <t>tukee's post hoc test adjusted p values</t>
  </si>
  <si>
    <t>BLZ945 and IFN-a2 not included in stats due to n=2</t>
  </si>
  <si>
    <t>Tukey's post hoc adjusted p value intergroup comparisons (not computed for cGAMP, BLZ945, or IFN-a2 due to n=2)</t>
  </si>
  <si>
    <t xml:space="preserve">IFNa is excluded because n=2 </t>
  </si>
  <si>
    <t>Statistics: Tukey's post hoc test adjusted p value for intergroup comparisons (corresponding to Fig 4a, raw data in Fig 4a tab)</t>
  </si>
  <si>
    <t>Fig S6d Tukey's post hoc inter-group comparisons</t>
  </si>
  <si>
    <t>Not tested</t>
  </si>
  <si>
    <t>IFN-a*</t>
  </si>
  <si>
    <t>*Not tested for IFNa due to addition of IFNa-2</t>
  </si>
  <si>
    <t>Marker</t>
  </si>
  <si>
    <t>Fig S6d Tukey's post hoc inter-group comparisons, only markers with significant differences (p&lt;0.05, two-tailed) are shown</t>
  </si>
  <si>
    <t>Poly I:C (tfx_</t>
  </si>
  <si>
    <t>0.5ug/ml</t>
  </si>
  <si>
    <t>5ug/ml</t>
  </si>
  <si>
    <t>0.1ug/ml</t>
  </si>
  <si>
    <t>Surface marker</t>
  </si>
  <si>
    <t>MDMs (left panel)</t>
  </si>
  <si>
    <t>DCs (right panel)</t>
  </si>
  <si>
    <t>Average of each cytokine value for each treatment group</t>
  </si>
  <si>
    <t xml:space="preserve">fold maximum value </t>
  </si>
  <si>
    <t>MACROPHAGES (CD11b+, CD14+)</t>
  </si>
  <si>
    <t>Tumor (CD45neg, CD31neg)</t>
  </si>
  <si>
    <t>Endo (CD45neg, CD31+)</t>
  </si>
  <si>
    <t xml:space="preserve">Fold mock control was normalized to %maximum for each </t>
  </si>
  <si>
    <t>S5f</t>
  </si>
  <si>
    <r>
      <t>IFN</t>
    </r>
    <r>
      <rPr>
        <sz val="11"/>
        <rFont val="Symbol"/>
        <charset val="2"/>
      </rPr>
      <t>l1</t>
    </r>
  </si>
  <si>
    <t xml:space="preserve">Fold mock (plotted after log transform) </t>
  </si>
  <si>
    <t>NOTE in this blot series an additional lane on the left testing no transfection was included as a control. This was ommited as it was determined that siCtrl did not impact innate signlaing</t>
  </si>
  <si>
    <t>Green= minimum threshold of linear range</t>
  </si>
  <si>
    <t>Red= maximum threshold of linear range</t>
  </si>
  <si>
    <t>Not plotted, no induction</t>
  </si>
  <si>
    <t>Fig S9D, note Additional lanes testing other inhibitors (n=3 on the right) were originally tested, but not included</t>
  </si>
  <si>
    <t>Fig 7a</t>
  </si>
  <si>
    <t>%CD45+</t>
  </si>
  <si>
    <t>%Macrophage</t>
  </si>
  <si>
    <t>%CD4 heatmap, normalized to fold average mock control, heatmap depicts geometric mean</t>
  </si>
  <si>
    <t>%CD8 heatmap, normalized to fold average mock control, heatmap depicts geometric mean</t>
  </si>
  <si>
    <t>Green= minimum linear range threshold value</t>
  </si>
  <si>
    <t>Baseline (left heatmap)</t>
  </si>
  <si>
    <t>Background subtracted (No cells), pg/ml, right heatmap</t>
  </si>
  <si>
    <t>Fig 8d</t>
  </si>
  <si>
    <t>Fig S11A</t>
  </si>
  <si>
    <t>Fig S11B</t>
  </si>
  <si>
    <t>Fig S11C</t>
  </si>
  <si>
    <t>Fig 8b</t>
  </si>
  <si>
    <t>Fig S14b; geometric mean is plotted on heatmaps</t>
  </si>
  <si>
    <t>d- for immunoblot analysis loading as follows PEC-CD155 treated with mock, mRIPO or UV-mRIPO treatmnet in duplicate side-by-side (6 lanes), follwed by PEC-Wt in the same order in duplicate side by side; blots were flipped horizantally for figure</t>
  </si>
  <si>
    <t>Fig 3e</t>
  </si>
  <si>
    <t>BLz3</t>
  </si>
  <si>
    <t>Excluded/added IFNa to dish</t>
  </si>
  <si>
    <t>Added to dish</t>
  </si>
  <si>
    <t xml:space="preserve">GBM slice culture T-SNE data set from fig 1d and fig 4f </t>
  </si>
  <si>
    <t>MDMs T-SNE data set (from Fig 4c meddle dose)</t>
  </si>
  <si>
    <t>DCs T-SNE data set (from Fig 4d middle dose)</t>
  </si>
  <si>
    <t>Fig 5a, Select blots from donor 1 (right)</t>
  </si>
  <si>
    <t>DONOR 1; Fig S8</t>
  </si>
  <si>
    <t>Donor 2, Fig S8</t>
  </si>
  <si>
    <t>Donor 3, Fig S8</t>
  </si>
  <si>
    <t>Donor 4, Fig S8</t>
  </si>
  <si>
    <t>%stimulis (PVSRIPO or LPS) + DMSO</t>
  </si>
  <si>
    <t>Fig S10A, repeat experiment</t>
  </si>
  <si>
    <t>Baseline (pg/ml)</t>
  </si>
  <si>
    <t>B16 co-cuilture (pg/ml)</t>
  </si>
  <si>
    <t>Mock (DMSO)</t>
  </si>
  <si>
    <t>Fig 9g</t>
  </si>
  <si>
    <t>Fig S6i, j Tukey's post hoc inter-group comparisons (p-values are shown)</t>
  </si>
  <si>
    <t>* For IRF3-p values at "0" time point were not detectable, since baseline background=0 no subtraction was performed</t>
  </si>
  <si>
    <t>Tukey's post-hoc test intergroup comaprisons (adj p value)</t>
  </si>
  <si>
    <t>Log Tfm (plotted)</t>
  </si>
  <si>
    <t>PEC-PVR (right)</t>
  </si>
  <si>
    <t>PEC-WT (left)</t>
  </si>
  <si>
    <t>Tukeys post hoc adj p values</t>
  </si>
  <si>
    <t>Statistics: Dunnett's post-hoc test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</si>
</sst>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[$-1007F]0"/>
    <numFmt numFmtId="165" formatCode="[$-1007F]0.00"/>
    <numFmt numFmtId="166" formatCode="[$-10000]0"/>
    <numFmt numFmtId="167" formatCode="0.0"/>
  </numFmts>
  <fonts count="37" x14ac:knownFonts="1">
    <font>
      <sz val="1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name val="Arial"/>
      <family val="2"/>
    </font>
    <font>
      <sz val="10"/>
      <name val="Arial"/>
      <family val="2"/>
    </font>
    <font>
      <sz val="11"/>
      <color theme="9" tint="-0.499984740745262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0"/>
      <name val="Arial"/>
      <family val="2"/>
    </font>
    <font>
      <b/>
      <sz val="11"/>
      <color theme="1"/>
      <name val="Calibri"/>
      <family val="2"/>
      <scheme val="minor"/>
    </font>
    <font>
      <sz val="11"/>
      <color rgb="FF7030A0"/>
      <name val="Calibri"/>
      <family val="2"/>
      <scheme val="minor"/>
    </font>
    <font>
      <sz val="11"/>
      <color theme="9" tint="-0.249977111117893"/>
      <name val="Calibri"/>
      <family val="2"/>
      <scheme val="minor"/>
    </font>
    <font>
      <sz val="11"/>
      <name val="Calibri"/>
      <family val="2"/>
      <scheme val="minor"/>
    </font>
    <font>
      <sz val="12"/>
      <color rgb="FF7030A0"/>
      <name val="Calibri"/>
      <family val="2"/>
      <scheme val="minor"/>
    </font>
    <font>
      <sz val="12"/>
      <color theme="9" tint="-0.249977111117893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5"/>
      <name val="Calibri"/>
      <family val="2"/>
      <scheme val="minor"/>
    </font>
    <font>
      <sz val="11"/>
      <color theme="9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sz val="12"/>
      <color rgb="FF375623"/>
      <name val="Calibri"/>
      <family val="2"/>
      <scheme val="minor"/>
    </font>
    <font>
      <i/>
      <sz val="12"/>
      <color rgb="FF0000FF"/>
      <name val="Arial"/>
      <family val="2"/>
    </font>
    <font>
      <sz val="12"/>
      <color theme="9" tint="-0.499984740745262"/>
      <name val="Calibri"/>
      <family val="2"/>
      <scheme val="minor"/>
    </font>
    <font>
      <sz val="11"/>
      <name val="Arial"/>
      <family val="2"/>
    </font>
    <font>
      <sz val="8"/>
      <name val="Calibri"/>
      <family val="2"/>
      <scheme val="minor"/>
    </font>
    <font>
      <sz val="12"/>
      <color theme="9" tint="-0.249977111117893"/>
      <name val="Calibri (Body)"/>
    </font>
    <font>
      <b/>
      <sz val="12"/>
      <color theme="1"/>
      <name val="Calibri"/>
      <family val="2"/>
      <scheme val="minor"/>
    </font>
    <font>
      <sz val="11"/>
      <name val="Arial"/>
      <family val="2"/>
    </font>
    <font>
      <b/>
      <sz val="11"/>
      <color theme="9" tint="-0.249977111117893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2"/>
      <color theme="9" tint="-0.249977111117893"/>
      <name val="Calibri"/>
      <family val="2"/>
      <scheme val="minor"/>
    </font>
    <font>
      <b/>
      <sz val="12"/>
      <color rgb="FFFF0000"/>
      <name val="Calibri"/>
      <family val="2"/>
      <scheme val="minor"/>
    </font>
    <font>
      <i/>
      <sz val="11"/>
      <color rgb="FF0000FF"/>
      <name val="Arial"/>
      <family val="2"/>
    </font>
    <font>
      <sz val="11"/>
      <name val="Arial"/>
      <family val="2"/>
    </font>
    <font>
      <i/>
      <sz val="11"/>
      <color rgb="FF0000FF"/>
      <name val="Arial"/>
      <family val="2"/>
    </font>
    <font>
      <sz val="10"/>
      <color theme="1"/>
      <name val="Arial"/>
      <family val="2"/>
    </font>
    <font>
      <sz val="12"/>
      <color theme="1"/>
      <name val="Symbol"/>
      <charset val="2"/>
    </font>
    <font>
      <b/>
      <sz val="12"/>
      <color theme="1"/>
      <name val="Symbol"/>
      <charset val="2"/>
    </font>
    <font>
      <sz val="11"/>
      <name val="Symbol"/>
      <charset val="2"/>
    </font>
  </fonts>
  <fills count="3">
    <fill>
      <patternFill patternType="none"/>
    </fill>
    <fill>
      <patternFill patternType="gray125"/>
    </fill>
    <fill>
      <patternFill patternType="solid">
        <fgColor theme="1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327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2" fillId="0" borderId="4" xfId="0" applyFont="1" applyBorder="1"/>
    <xf numFmtId="0" fontId="2" fillId="0" borderId="0" xfId="0" applyFont="1" applyBorder="1"/>
    <xf numFmtId="0" fontId="2" fillId="0" borderId="5" xfId="0" applyFont="1" applyBorder="1"/>
    <xf numFmtId="0" fontId="2" fillId="0" borderId="6" xfId="0" applyFont="1" applyBorder="1"/>
    <xf numFmtId="0" fontId="2" fillId="0" borderId="7" xfId="0" applyFont="1" applyBorder="1"/>
    <xf numFmtId="0" fontId="2" fillId="0" borderId="8" xfId="0" applyFont="1" applyBorder="1"/>
    <xf numFmtId="0" fontId="0" fillId="0" borderId="5" xfId="0" applyBorder="1"/>
    <xf numFmtId="0" fontId="0" fillId="0" borderId="8" xfId="0" applyBorder="1"/>
    <xf numFmtId="0" fontId="2" fillId="0" borderId="9" xfId="0" applyFont="1" applyBorder="1" applyAlignment="1">
      <alignment horizontal="center"/>
    </xf>
    <xf numFmtId="0" fontId="2" fillId="0" borderId="10" xfId="0" applyFont="1" applyBorder="1"/>
    <xf numFmtId="0" fontId="2" fillId="0" borderId="11" xfId="0" applyFont="1" applyBorder="1"/>
    <xf numFmtId="0" fontId="2" fillId="0" borderId="0" xfId="0" applyFont="1" applyAlignment="1">
      <alignment horizontal="left"/>
    </xf>
    <xf numFmtId="0" fontId="3" fillId="0" borderId="0" xfId="0" applyFont="1"/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0" xfId="0" applyBorder="1"/>
    <xf numFmtId="0" fontId="4" fillId="0" borderId="0" xfId="0" applyFont="1" applyBorder="1"/>
    <xf numFmtId="0" fontId="5" fillId="0" borderId="4" xfId="0" applyFont="1" applyBorder="1"/>
    <xf numFmtId="0" fontId="5" fillId="0" borderId="5" xfId="0" applyFont="1" applyBorder="1"/>
    <xf numFmtId="0" fontId="5" fillId="0" borderId="6" xfId="0" applyFont="1" applyBorder="1"/>
    <xf numFmtId="0" fontId="0" fillId="0" borderId="7" xfId="0" applyBorder="1"/>
    <xf numFmtId="0" fontId="5" fillId="0" borderId="8" xfId="0" applyFont="1" applyBorder="1"/>
    <xf numFmtId="0" fontId="0" fillId="0" borderId="6" xfId="0" applyBorder="1"/>
    <xf numFmtId="0" fontId="2" fillId="0" borderId="10" xfId="0" applyFont="1" applyBorder="1" applyAlignment="1">
      <alignment horizontal="left"/>
    </xf>
    <xf numFmtId="0" fontId="2" fillId="0" borderId="11" xfId="0" applyFont="1" applyBorder="1" applyAlignment="1">
      <alignment horizontal="left"/>
    </xf>
    <xf numFmtId="0" fontId="2" fillId="0" borderId="9" xfId="0" applyFont="1" applyBorder="1" applyAlignment="1">
      <alignment horizontal="left"/>
    </xf>
    <xf numFmtId="0" fontId="2" fillId="0" borderId="1" xfId="0" applyFont="1" applyBorder="1"/>
    <xf numFmtId="0" fontId="2" fillId="0" borderId="2" xfId="0" applyFont="1" applyBorder="1"/>
    <xf numFmtId="0" fontId="2" fillId="0" borderId="3" xfId="0" applyFont="1" applyBorder="1"/>
    <xf numFmtId="0" fontId="2" fillId="0" borderId="1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0" fillId="0" borderId="9" xfId="0" applyBorder="1"/>
    <xf numFmtId="0" fontId="0" fillId="0" borderId="11" xfId="0" applyBorder="1"/>
    <xf numFmtId="0" fontId="0" fillId="0" borderId="10" xfId="0" applyBorder="1"/>
    <xf numFmtId="0" fontId="2" fillId="0" borderId="1" xfId="0" applyFont="1" applyBorder="1" applyAlignment="1">
      <alignment horizontal="left"/>
    </xf>
    <xf numFmtId="0" fontId="2" fillId="0" borderId="6" xfId="0" applyFont="1" applyBorder="1" applyAlignment="1">
      <alignment horizontal="left"/>
    </xf>
    <xf numFmtId="0" fontId="3" fillId="0" borderId="0" xfId="0" applyFont="1" applyBorder="1"/>
    <xf numFmtId="0" fontId="3" fillId="0" borderId="7" xfId="0" applyFont="1" applyBorder="1"/>
    <xf numFmtId="49" fontId="0" fillId="0" borderId="0" xfId="0" applyNumberFormat="1"/>
    <xf numFmtId="49" fontId="6" fillId="0" borderId="0" xfId="0" applyNumberFormat="1" applyFont="1"/>
    <xf numFmtId="0" fontId="6" fillId="0" borderId="5" xfId="0" applyFont="1" applyBorder="1"/>
    <xf numFmtId="0" fontId="6" fillId="0" borderId="0" xfId="0" applyFont="1" applyBorder="1"/>
    <xf numFmtId="0" fontId="6" fillId="0" borderId="7" xfId="0" applyFont="1" applyBorder="1"/>
    <xf numFmtId="0" fontId="6" fillId="0" borderId="8" xfId="0" applyFont="1" applyBorder="1"/>
    <xf numFmtId="0" fontId="3" fillId="0" borderId="4" xfId="0" applyFont="1" applyBorder="1"/>
    <xf numFmtId="0" fontId="2" fillId="0" borderId="3" xfId="0" applyFont="1" applyBorder="1" applyAlignment="1">
      <alignment horizontal="left"/>
    </xf>
    <xf numFmtId="0" fontId="2" fillId="0" borderId="5" xfId="0" applyFont="1" applyBorder="1" applyAlignment="1">
      <alignment horizontal="left"/>
    </xf>
    <xf numFmtId="0" fontId="2" fillId="0" borderId="8" xfId="0" applyFont="1" applyBorder="1" applyAlignment="1">
      <alignment horizontal="left"/>
    </xf>
    <xf numFmtId="0" fontId="3" fillId="0" borderId="6" xfId="0" applyFont="1" applyBorder="1"/>
    <xf numFmtId="0" fontId="0" fillId="0" borderId="0" xfId="0" applyFont="1"/>
    <xf numFmtId="0" fontId="0" fillId="0" borderId="5" xfId="0" applyFill="1" applyBorder="1"/>
    <xf numFmtId="0" fontId="2" fillId="0" borderId="4" xfId="0" applyFont="1" applyBorder="1" applyAlignment="1">
      <alignment horizontal="left"/>
    </xf>
    <xf numFmtId="0" fontId="2" fillId="0" borderId="0" xfId="0" applyFont="1" applyFill="1" applyBorder="1" applyAlignment="1">
      <alignment horizontal="left"/>
    </xf>
    <xf numFmtId="0" fontId="2" fillId="0" borderId="0" xfId="0" applyFont="1" applyFill="1" applyBorder="1" applyAlignment="1">
      <alignment horizontal="center"/>
    </xf>
    <xf numFmtId="0" fontId="0" fillId="0" borderId="12" xfId="0" applyBorder="1"/>
    <xf numFmtId="0" fontId="0" fillId="0" borderId="13" xfId="0" applyBorder="1"/>
    <xf numFmtId="0" fontId="7" fillId="0" borderId="0" xfId="0" applyFont="1"/>
    <xf numFmtId="165" fontId="0" fillId="0" borderId="0" xfId="0" applyNumberFormat="1"/>
    <xf numFmtId="0" fontId="8" fillId="0" borderId="0" xfId="0" applyFont="1"/>
    <xf numFmtId="0" fontId="9" fillId="0" borderId="0" xfId="0" applyFont="1"/>
    <xf numFmtId="0" fontId="7" fillId="0" borderId="1" xfId="0" applyFont="1" applyBorder="1"/>
    <xf numFmtId="0" fontId="7" fillId="0" borderId="2" xfId="0" applyFont="1" applyBorder="1"/>
    <xf numFmtId="0" fontId="7" fillId="0" borderId="3" xfId="0" applyFont="1" applyBorder="1"/>
    <xf numFmtId="164" fontId="0" fillId="0" borderId="0" xfId="0" applyNumberFormat="1" applyBorder="1"/>
    <xf numFmtId="165" fontId="0" fillId="0" borderId="0" xfId="0" applyNumberFormat="1" applyBorder="1"/>
    <xf numFmtId="165" fontId="0" fillId="0" borderId="5" xfId="0" applyNumberFormat="1" applyBorder="1"/>
    <xf numFmtId="0" fontId="8" fillId="0" borderId="0" xfId="0" applyFont="1" applyBorder="1"/>
    <xf numFmtId="0" fontId="9" fillId="0" borderId="0" xfId="0" applyFont="1" applyBorder="1"/>
    <xf numFmtId="0" fontId="9" fillId="0" borderId="5" xfId="0" applyFont="1" applyBorder="1"/>
    <xf numFmtId="0" fontId="7" fillId="0" borderId="0" xfId="0" applyFont="1" applyBorder="1"/>
    <xf numFmtId="0" fontId="7" fillId="0" borderId="5" xfId="0" applyFont="1" applyBorder="1"/>
    <xf numFmtId="164" fontId="0" fillId="0" borderId="4" xfId="0" applyNumberFormat="1" applyBorder="1"/>
    <xf numFmtId="0" fontId="8" fillId="0" borderId="0" xfId="0" applyFont="1" applyBorder="1" applyAlignment="1">
      <alignment horizontal="center"/>
    </xf>
    <xf numFmtId="0" fontId="5" fillId="0" borderId="0" xfId="0" applyFont="1" applyBorder="1"/>
    <xf numFmtId="0" fontId="10" fillId="0" borderId="0" xfId="0" applyFont="1" applyBorder="1"/>
    <xf numFmtId="0" fontId="1" fillId="0" borderId="0" xfId="0" applyFont="1"/>
    <xf numFmtId="0" fontId="1" fillId="0" borderId="0" xfId="0" applyFont="1" applyBorder="1"/>
    <xf numFmtId="164" fontId="11" fillId="0" borderId="0" xfId="0" applyNumberFormat="1" applyFont="1" applyFill="1" applyBorder="1"/>
    <xf numFmtId="164" fontId="1" fillId="0" borderId="0" xfId="0" applyNumberFormat="1" applyFont="1" applyFill="1" applyBorder="1"/>
    <xf numFmtId="164" fontId="12" fillId="0" borderId="0" xfId="0" applyNumberFormat="1" applyFont="1" applyFill="1" applyBorder="1"/>
    <xf numFmtId="165" fontId="0" fillId="0" borderId="0" xfId="0" applyNumberFormat="1" applyFont="1"/>
    <xf numFmtId="0" fontId="13" fillId="0" borderId="0" xfId="0" applyFont="1"/>
    <xf numFmtId="0" fontId="4" fillId="0" borderId="0" xfId="0" applyFont="1" applyFill="1"/>
    <xf numFmtId="0" fontId="0" fillId="0" borderId="0" xfId="0" applyFill="1"/>
    <xf numFmtId="0" fontId="7" fillId="0" borderId="0" xfId="0" applyFont="1" applyFill="1"/>
    <xf numFmtId="0" fontId="8" fillId="0" borderId="0" xfId="0" applyFont="1" applyFill="1"/>
    <xf numFmtId="0" fontId="5" fillId="0" borderId="0" xfId="0" applyFont="1" applyFill="1"/>
    <xf numFmtId="165" fontId="8" fillId="0" borderId="0" xfId="0" applyNumberFormat="1" applyFont="1" applyFill="1"/>
    <xf numFmtId="165" fontId="0" fillId="0" borderId="0" xfId="0" applyNumberFormat="1" applyFill="1"/>
    <xf numFmtId="0" fontId="15" fillId="0" borderId="0" xfId="0" applyFont="1" applyFill="1"/>
    <xf numFmtId="0" fontId="9" fillId="0" borderId="0" xfId="0" applyFont="1" applyFill="1"/>
    <xf numFmtId="0" fontId="14" fillId="0" borderId="0" xfId="0" applyFont="1" applyFill="1"/>
    <xf numFmtId="165" fontId="11" fillId="0" borderId="0" xfId="0" applyNumberFormat="1" applyFont="1" applyFill="1"/>
    <xf numFmtId="0" fontId="16" fillId="0" borderId="0" xfId="0" applyFont="1"/>
    <xf numFmtId="0" fontId="16" fillId="0" borderId="5" xfId="0" applyFont="1" applyBorder="1"/>
    <xf numFmtId="0" fontId="17" fillId="0" borderId="0" xfId="0" applyFont="1"/>
    <xf numFmtId="0" fontId="17" fillId="0" borderId="5" xfId="0" applyFont="1" applyBorder="1"/>
    <xf numFmtId="165" fontId="11" fillId="0" borderId="0" xfId="0" applyNumberFormat="1" applyFont="1"/>
    <xf numFmtId="0" fontId="18" fillId="0" borderId="0" xfId="0" applyFont="1"/>
    <xf numFmtId="165" fontId="16" fillId="0" borderId="0" xfId="0" applyNumberFormat="1" applyFont="1"/>
    <xf numFmtId="0" fontId="11" fillId="0" borderId="0" xfId="0" applyFont="1"/>
    <xf numFmtId="165" fontId="16" fillId="0" borderId="5" xfId="0" applyNumberFormat="1" applyFont="1" applyBorder="1"/>
    <xf numFmtId="164" fontId="16" fillId="0" borderId="0" xfId="0" applyNumberFormat="1" applyFont="1"/>
    <xf numFmtId="0" fontId="3" fillId="0" borderId="1" xfId="0" applyFont="1" applyBorder="1"/>
    <xf numFmtId="0" fontId="3" fillId="0" borderId="5" xfId="0" applyFont="1" applyBorder="1"/>
    <xf numFmtId="0" fontId="3" fillId="0" borderId="0" xfId="0" applyFont="1" applyFill="1"/>
    <xf numFmtId="0" fontId="0" fillId="0" borderId="0" xfId="0" applyFill="1" applyBorder="1"/>
    <xf numFmtId="0" fontId="2" fillId="0" borderId="0" xfId="0" applyFont="1" applyBorder="1" applyAlignment="1">
      <alignment horizontal="center"/>
    </xf>
    <xf numFmtId="0" fontId="3" fillId="0" borderId="0" xfId="0" applyFont="1" applyFill="1" applyBorder="1"/>
    <xf numFmtId="0" fontId="19" fillId="0" borderId="4" xfId="0" applyFont="1" applyBorder="1"/>
    <xf numFmtId="0" fontId="19" fillId="0" borderId="0" xfId="0" applyFont="1" applyBorder="1"/>
    <xf numFmtId="0" fontId="12" fillId="0" borderId="0" xfId="0" applyFont="1"/>
    <xf numFmtId="0" fontId="20" fillId="0" borderId="0" xfId="0" applyFont="1"/>
    <xf numFmtId="0" fontId="2" fillId="0" borderId="0" xfId="0" applyFont="1" applyAlignment="1">
      <alignment horizontal="center"/>
    </xf>
    <xf numFmtId="0" fontId="2" fillId="0" borderId="9" xfId="0" applyFont="1" applyBorder="1"/>
    <xf numFmtId="0" fontId="21" fillId="0" borderId="0" xfId="0" applyFont="1"/>
    <xf numFmtId="0" fontId="21" fillId="0" borderId="0" xfId="0" applyFont="1" applyAlignment="1">
      <alignment horizontal="center"/>
    </xf>
    <xf numFmtId="0" fontId="21" fillId="0" borderId="4" xfId="0" applyFont="1" applyBorder="1"/>
    <xf numFmtId="0" fontId="21" fillId="0" borderId="0" xfId="0" applyFont="1" applyBorder="1"/>
    <xf numFmtId="0" fontId="21" fillId="0" borderId="5" xfId="0" applyFont="1" applyBorder="1"/>
    <xf numFmtId="0" fontId="21" fillId="0" borderId="6" xfId="0" applyFont="1" applyBorder="1"/>
    <xf numFmtId="0" fontId="21" fillId="0" borderId="7" xfId="0" applyFont="1" applyBorder="1"/>
    <xf numFmtId="0" fontId="21" fillId="0" borderId="8" xfId="0" applyFont="1" applyBorder="1"/>
    <xf numFmtId="0" fontId="21" fillId="0" borderId="9" xfId="0" applyFont="1" applyBorder="1"/>
    <xf numFmtId="0" fontId="21" fillId="0" borderId="10" xfId="0" applyFont="1" applyBorder="1"/>
    <xf numFmtId="0" fontId="21" fillId="0" borderId="11" xfId="0" applyFont="1" applyBorder="1"/>
    <xf numFmtId="0" fontId="3" fillId="0" borderId="2" xfId="0" applyFont="1" applyBorder="1"/>
    <xf numFmtId="0" fontId="3" fillId="0" borderId="10" xfId="0" applyFont="1" applyBorder="1"/>
    <xf numFmtId="0" fontId="3" fillId="0" borderId="4" xfId="0" applyFont="1" applyFill="1" applyBorder="1"/>
    <xf numFmtId="0" fontId="3" fillId="0" borderId="5" xfId="0" applyFont="1" applyFill="1" applyBorder="1"/>
    <xf numFmtId="0" fontId="0" fillId="0" borderId="4" xfId="0" applyFill="1" applyBorder="1"/>
    <xf numFmtId="0" fontId="0" fillId="0" borderId="6" xfId="0" applyFill="1" applyBorder="1"/>
    <xf numFmtId="0" fontId="0" fillId="0" borderId="8" xfId="0" applyFill="1" applyBorder="1"/>
    <xf numFmtId="10" fontId="0" fillId="0" borderId="4" xfId="0" applyNumberFormat="1" applyFill="1" applyBorder="1"/>
    <xf numFmtId="0" fontId="0" fillId="0" borderId="7" xfId="0" applyFill="1" applyBorder="1"/>
    <xf numFmtId="166" fontId="0" fillId="0" borderId="0" xfId="0" applyNumberFormat="1"/>
    <xf numFmtId="164" fontId="0" fillId="0" borderId="7" xfId="0" applyNumberFormat="1" applyBorder="1"/>
    <xf numFmtId="165" fontId="0" fillId="0" borderId="7" xfId="0" applyNumberFormat="1" applyBorder="1"/>
    <xf numFmtId="0" fontId="12" fillId="0" borderId="7" xfId="0" applyFont="1" applyBorder="1"/>
    <xf numFmtId="164" fontId="0" fillId="0" borderId="0" xfId="0" applyNumberFormat="1"/>
    <xf numFmtId="0" fontId="1" fillId="0" borderId="7" xfId="0" applyFont="1" applyBorder="1"/>
    <xf numFmtId="0" fontId="13" fillId="0" borderId="5" xfId="0" applyFont="1" applyBorder="1"/>
    <xf numFmtId="0" fontId="20" fillId="0" borderId="5" xfId="0" applyFont="1" applyBorder="1"/>
    <xf numFmtId="165" fontId="0" fillId="0" borderId="8" xfId="0" applyNumberFormat="1" applyBorder="1"/>
    <xf numFmtId="0" fontId="12" fillId="0" borderId="5" xfId="0" applyFont="1" applyBorder="1"/>
    <xf numFmtId="0" fontId="12" fillId="0" borderId="8" xfId="0" applyFont="1" applyBorder="1"/>
    <xf numFmtId="0" fontId="21" fillId="0" borderId="0" xfId="0" applyFont="1" applyAlignment="1">
      <alignment horizontal="left"/>
    </xf>
    <xf numFmtId="0" fontId="21" fillId="0" borderId="0" xfId="0" applyFont="1" applyBorder="1" applyAlignment="1">
      <alignment horizontal="center"/>
    </xf>
    <xf numFmtId="0" fontId="21" fillId="0" borderId="0" xfId="0" applyFont="1" applyFill="1" applyBorder="1" applyAlignment="1">
      <alignment horizontal="left"/>
    </xf>
    <xf numFmtId="0" fontId="21" fillId="0" borderId="9" xfId="0" applyFont="1" applyBorder="1" applyAlignment="1">
      <alignment horizontal="left"/>
    </xf>
    <xf numFmtId="0" fontId="21" fillId="0" borderId="10" xfId="0" applyFont="1" applyBorder="1" applyAlignment="1">
      <alignment horizontal="left"/>
    </xf>
    <xf numFmtId="0" fontId="21" fillId="0" borderId="11" xfId="0" applyFont="1" applyBorder="1" applyAlignment="1">
      <alignment horizontal="left"/>
    </xf>
    <xf numFmtId="0" fontId="23" fillId="0" borderId="0" xfId="0" applyFont="1"/>
    <xf numFmtId="2" fontId="0" fillId="0" borderId="0" xfId="0" applyNumberFormat="1"/>
    <xf numFmtId="0" fontId="25" fillId="0" borderId="0" xfId="0" applyFont="1" applyAlignment="1">
      <alignment horizontal="center"/>
    </xf>
    <xf numFmtId="0" fontId="25" fillId="0" borderId="0" xfId="0" applyFont="1" applyBorder="1" applyAlignment="1">
      <alignment horizontal="center"/>
    </xf>
    <xf numFmtId="0" fontId="25" fillId="0" borderId="0" xfId="0" applyFont="1" applyBorder="1"/>
    <xf numFmtId="0" fontId="25" fillId="0" borderId="4" xfId="0" applyFont="1" applyBorder="1"/>
    <xf numFmtId="0" fontId="25" fillId="0" borderId="5" xfId="0" applyFont="1" applyBorder="1"/>
    <xf numFmtId="0" fontId="25" fillId="0" borderId="6" xfId="0" applyFont="1" applyBorder="1"/>
    <xf numFmtId="0" fontId="25" fillId="0" borderId="7" xfId="0" applyFont="1" applyBorder="1"/>
    <xf numFmtId="0" fontId="25" fillId="0" borderId="8" xfId="0" applyFont="1" applyBorder="1"/>
    <xf numFmtId="0" fontId="25" fillId="0" borderId="9" xfId="0" applyFont="1" applyBorder="1" applyAlignment="1">
      <alignment horizontal="left"/>
    </xf>
    <xf numFmtId="0" fontId="25" fillId="0" borderId="10" xfId="0" applyFont="1" applyBorder="1" applyAlignment="1">
      <alignment horizontal="left"/>
    </xf>
    <xf numFmtId="0" fontId="25" fillId="0" borderId="11" xfId="0" applyFont="1" applyBorder="1" applyAlignment="1">
      <alignment horizontal="left"/>
    </xf>
    <xf numFmtId="0" fontId="7" fillId="0" borderId="4" xfId="0" applyFont="1" applyBorder="1"/>
    <xf numFmtId="0" fontId="7" fillId="0" borderId="6" xfId="0" applyFont="1" applyBorder="1"/>
    <xf numFmtId="0" fontId="7" fillId="0" borderId="7" xfId="0" applyFont="1" applyBorder="1"/>
    <xf numFmtId="0" fontId="7" fillId="0" borderId="8" xfId="0" applyFont="1" applyBorder="1"/>
    <xf numFmtId="0" fontId="24" fillId="0" borderId="0" xfId="0" applyFont="1"/>
    <xf numFmtId="0" fontId="26" fillId="0" borderId="0" xfId="0" applyFont="1"/>
    <xf numFmtId="0" fontId="5" fillId="0" borderId="0" xfId="0" applyFont="1"/>
    <xf numFmtId="0" fontId="27" fillId="0" borderId="0" xfId="0" applyFont="1"/>
    <xf numFmtId="0" fontId="26" fillId="0" borderId="5" xfId="0" applyFont="1" applyBorder="1"/>
    <xf numFmtId="165" fontId="0" fillId="0" borderId="0" xfId="0" applyNumberFormat="1" applyFill="1" applyBorder="1"/>
    <xf numFmtId="165" fontId="0" fillId="0" borderId="5" xfId="0" applyNumberFormat="1" applyFill="1" applyBorder="1"/>
    <xf numFmtId="165" fontId="16" fillId="0" borderId="0" xfId="0" applyNumberFormat="1" applyFont="1" applyFill="1"/>
    <xf numFmtId="0" fontId="28" fillId="0" borderId="0" xfId="0" applyFont="1" applyFill="1"/>
    <xf numFmtId="0" fontId="12" fillId="0" borderId="0" xfId="0" applyFont="1" applyFill="1"/>
    <xf numFmtId="165" fontId="24" fillId="0" borderId="0" xfId="0" applyNumberFormat="1" applyFont="1" applyFill="1"/>
    <xf numFmtId="165" fontId="17" fillId="0" borderId="0" xfId="0" applyNumberFormat="1" applyFont="1" applyFill="1"/>
    <xf numFmtId="0" fontId="29" fillId="0" borderId="0" xfId="0" applyFont="1" applyFill="1"/>
    <xf numFmtId="165" fontId="24" fillId="0" borderId="5" xfId="0" applyNumberFormat="1" applyFont="1" applyFill="1" applyBorder="1"/>
    <xf numFmtId="0" fontId="1" fillId="0" borderId="5" xfId="0" applyFont="1" applyFill="1" applyBorder="1"/>
    <xf numFmtId="0" fontId="30" fillId="0" borderId="0" xfId="0" applyFont="1" applyBorder="1"/>
    <xf numFmtId="0" fontId="21" fillId="0" borderId="4" xfId="0" applyFont="1" applyBorder="1" applyAlignment="1">
      <alignment horizontal="center"/>
    </xf>
    <xf numFmtId="0" fontId="21" fillId="0" borderId="5" xfId="0" applyFont="1" applyBorder="1" applyAlignment="1">
      <alignment horizontal="center"/>
    </xf>
    <xf numFmtId="0" fontId="30" fillId="0" borderId="4" xfId="0" applyFont="1" applyBorder="1"/>
    <xf numFmtId="167" fontId="0" fillId="0" borderId="0" xfId="0" applyNumberFormat="1"/>
    <xf numFmtId="2" fontId="0" fillId="0" borderId="2" xfId="0" applyNumberFormat="1" applyBorder="1"/>
    <xf numFmtId="2" fontId="0" fillId="0" borderId="3" xfId="0" applyNumberFormat="1" applyBorder="1"/>
    <xf numFmtId="0" fontId="24" fillId="0" borderId="0" xfId="0" applyFont="1" applyBorder="1"/>
    <xf numFmtId="0" fontId="24" fillId="0" borderId="5" xfId="0" applyFont="1" applyBorder="1"/>
    <xf numFmtId="167" fontId="0" fillId="0" borderId="0" xfId="0" applyNumberFormat="1" applyBorder="1"/>
    <xf numFmtId="167" fontId="0" fillId="0" borderId="5" xfId="0" applyNumberFormat="1" applyBorder="1"/>
    <xf numFmtId="0" fontId="31" fillId="0" borderId="0" xfId="0" applyFont="1"/>
    <xf numFmtId="0" fontId="31" fillId="0" borderId="0" xfId="0" applyFont="1" applyAlignment="1">
      <alignment horizontal="center"/>
    </xf>
    <xf numFmtId="0" fontId="31" fillId="0" borderId="0" xfId="0" applyFont="1" applyAlignment="1">
      <alignment horizontal="left"/>
    </xf>
    <xf numFmtId="0" fontId="31" fillId="0" borderId="4" xfId="0" applyFont="1" applyBorder="1"/>
    <xf numFmtId="0" fontId="31" fillId="0" borderId="0" xfId="0" applyFont="1" applyBorder="1"/>
    <xf numFmtId="0" fontId="31" fillId="0" borderId="5" xfId="0" applyFont="1" applyBorder="1"/>
    <xf numFmtId="0" fontId="31" fillId="0" borderId="6" xfId="0" applyFont="1" applyBorder="1"/>
    <xf numFmtId="0" fontId="31" fillId="0" borderId="7" xfId="0" applyFont="1" applyBorder="1"/>
    <xf numFmtId="0" fontId="31" fillId="0" borderId="8" xfId="0" applyFont="1" applyBorder="1"/>
    <xf numFmtId="0" fontId="31" fillId="0" borderId="9" xfId="0" applyFont="1" applyBorder="1"/>
    <xf numFmtId="0" fontId="31" fillId="0" borderId="10" xfId="0" applyFont="1" applyBorder="1"/>
    <xf numFmtId="0" fontId="31" fillId="0" borderId="11" xfId="0" applyFont="1" applyBorder="1"/>
    <xf numFmtId="0" fontId="31" fillId="0" borderId="9" xfId="0" applyFont="1" applyBorder="1" applyAlignment="1">
      <alignment horizontal="left"/>
    </xf>
    <xf numFmtId="0" fontId="31" fillId="0" borderId="10" xfId="0" applyFont="1" applyBorder="1" applyAlignment="1">
      <alignment horizontal="left"/>
    </xf>
    <xf numFmtId="0" fontId="31" fillId="0" borderId="11" xfId="0" applyFont="1" applyBorder="1" applyAlignment="1">
      <alignment horizontal="left"/>
    </xf>
    <xf numFmtId="0" fontId="31" fillId="0" borderId="4" xfId="0" applyFont="1" applyBorder="1" applyAlignment="1">
      <alignment horizontal="left"/>
    </xf>
    <xf numFmtId="0" fontId="31" fillId="0" borderId="6" xfId="0" applyFont="1" applyBorder="1" applyAlignment="1">
      <alignment horizontal="left"/>
    </xf>
    <xf numFmtId="0" fontId="31" fillId="0" borderId="14" xfId="0" applyFont="1" applyBorder="1" applyAlignment="1">
      <alignment horizontal="left"/>
    </xf>
    <xf numFmtId="0" fontId="31" fillId="0" borderId="4" xfId="0" applyFont="1" applyBorder="1" applyAlignment="1">
      <alignment horizontal="center"/>
    </xf>
    <xf numFmtId="0" fontId="31" fillId="0" borderId="0" xfId="0" applyFont="1" applyBorder="1" applyAlignment="1">
      <alignment horizontal="center"/>
    </xf>
    <xf numFmtId="0" fontId="31" fillId="0" borderId="5" xfId="0" applyFont="1" applyBorder="1" applyAlignment="1">
      <alignment horizontal="center"/>
    </xf>
    <xf numFmtId="0" fontId="31" fillId="0" borderId="9" xfId="0" applyFont="1" applyBorder="1" applyAlignment="1">
      <alignment horizontal="center"/>
    </xf>
    <xf numFmtId="0" fontId="32" fillId="0" borderId="0" xfId="0" applyFont="1"/>
    <xf numFmtId="0" fontId="6" fillId="0" borderId="0" xfId="0" applyFont="1"/>
    <xf numFmtId="0" fontId="33" fillId="0" borderId="0" xfId="0" applyFont="1"/>
    <xf numFmtId="0" fontId="33" fillId="0" borderId="5" xfId="0" applyFont="1" applyBorder="1"/>
    <xf numFmtId="0" fontId="31" fillId="0" borderId="1" xfId="0" applyFont="1" applyBorder="1" applyAlignment="1">
      <alignment horizontal="center"/>
    </xf>
    <xf numFmtId="0" fontId="31" fillId="0" borderId="2" xfId="0" applyFont="1" applyBorder="1" applyAlignment="1">
      <alignment horizontal="center"/>
    </xf>
    <xf numFmtId="0" fontId="31" fillId="0" borderId="3" xfId="0" applyFont="1" applyBorder="1" applyAlignment="1">
      <alignment horizontal="center"/>
    </xf>
    <xf numFmtId="0" fontId="31" fillId="0" borderId="0" xfId="0" applyFont="1" applyFill="1" applyBorder="1" applyAlignment="1">
      <alignment horizontal="left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Alignment="1">
      <alignment horizontal="center"/>
    </xf>
    <xf numFmtId="0" fontId="31" fillId="0" borderId="10" xfId="0" applyFont="1" applyFill="1" applyBorder="1" applyAlignment="1">
      <alignment horizontal="left"/>
    </xf>
    <xf numFmtId="0" fontId="24" fillId="0" borderId="0" xfId="0" applyFont="1" applyFill="1"/>
    <xf numFmtId="0" fontId="0" fillId="0" borderId="0" xfId="0" applyFill="1" applyAlignment="1">
      <alignment horizontal="center"/>
    </xf>
    <xf numFmtId="0" fontId="0" fillId="2" borderId="0" xfId="0" applyFill="1" applyAlignment="1">
      <alignment horizontal="center"/>
    </xf>
    <xf numFmtId="0" fontId="24" fillId="0" borderId="0" xfId="0" applyFont="1" applyFill="1" applyAlignment="1">
      <alignment horizontal="center"/>
    </xf>
    <xf numFmtId="0" fontId="0" fillId="0" borderId="2" xfId="0" applyFill="1" applyBorder="1"/>
    <xf numFmtId="0" fontId="0" fillId="0" borderId="2" xfId="0" applyFill="1" applyBorder="1" applyAlignment="1">
      <alignment horizontal="center"/>
    </xf>
    <xf numFmtId="0" fontId="24" fillId="0" borderId="2" xfId="0" applyFont="1" applyFill="1" applyBorder="1" applyAlignment="1">
      <alignment horizontal="center"/>
    </xf>
    <xf numFmtId="0" fontId="0" fillId="2" borderId="2" xfId="0" applyFill="1" applyBorder="1" applyAlignment="1">
      <alignment horizontal="center"/>
    </xf>
    <xf numFmtId="0" fontId="0" fillId="0" borderId="2" xfId="0" applyFont="1" applyBorder="1"/>
    <xf numFmtId="0" fontId="0" fillId="0" borderId="0" xfId="0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0" borderId="0" xfId="0" applyFont="1" applyBorder="1"/>
    <xf numFmtId="0" fontId="0" fillId="0" borderId="7" xfId="0" applyFill="1" applyBorder="1" applyAlignment="1">
      <alignment horizontal="center"/>
    </xf>
    <xf numFmtId="0" fontId="24" fillId="0" borderId="7" xfId="0" applyFont="1" applyFill="1" applyBorder="1" applyAlignment="1">
      <alignment horizontal="center"/>
    </xf>
    <xf numFmtId="0" fontId="0" fillId="2" borderId="7" xfId="0" applyFill="1" applyBorder="1" applyAlignment="1">
      <alignment horizontal="center"/>
    </xf>
    <xf numFmtId="0" fontId="0" fillId="0" borderId="7" xfId="0" applyFont="1" applyBorder="1"/>
    <xf numFmtId="0" fontId="0" fillId="0" borderId="2" xfId="0" applyFont="1" applyFill="1" applyBorder="1" applyAlignment="1">
      <alignment horizontal="center"/>
    </xf>
    <xf numFmtId="0" fontId="0" fillId="0" borderId="0" xfId="0" applyFont="1" applyFill="1" applyBorder="1" applyAlignment="1">
      <alignment horizontal="center"/>
    </xf>
    <xf numFmtId="0" fontId="0" fillId="0" borderId="7" xfId="0" applyFont="1" applyFill="1" applyBorder="1" applyAlignment="1">
      <alignment horizontal="center"/>
    </xf>
    <xf numFmtId="0" fontId="0" fillId="0" borderId="0" xfId="0" applyFont="1" applyFill="1" applyAlignment="1">
      <alignment horizontal="center"/>
    </xf>
    <xf numFmtId="0" fontId="0" fillId="2" borderId="0" xfId="0" applyFill="1"/>
    <xf numFmtId="0" fontId="0" fillId="0" borderId="0" xfId="0" applyBorder="1" applyAlignment="1">
      <alignment horizontal="center"/>
    </xf>
    <xf numFmtId="0" fontId="0" fillId="2" borderId="0" xfId="0" applyFill="1" applyBorder="1"/>
    <xf numFmtId="0" fontId="0" fillId="0" borderId="5" xfId="0" applyBorder="1" applyAlignment="1">
      <alignment horizontal="center"/>
    </xf>
    <xf numFmtId="0" fontId="0" fillId="0" borderId="0" xfId="0" applyFont="1" applyFill="1" applyBorder="1"/>
    <xf numFmtId="0" fontId="0" fillId="2" borderId="5" xfId="0" applyFill="1" applyBorder="1"/>
    <xf numFmtId="0" fontId="0" fillId="2" borderId="8" xfId="0" applyFill="1" applyBorder="1"/>
    <xf numFmtId="0" fontId="0" fillId="0" borderId="10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1" xfId="0" applyBorder="1" applyAlignment="1">
      <alignment horizontal="center"/>
    </xf>
    <xf numFmtId="0" fontId="21" fillId="0" borderId="1" xfId="0" applyFont="1" applyFill="1" applyBorder="1" applyAlignment="1">
      <alignment horizontal="left"/>
    </xf>
    <xf numFmtId="0" fontId="21" fillId="0" borderId="4" xfId="0" applyFont="1" applyFill="1" applyBorder="1" applyAlignment="1">
      <alignment horizontal="left"/>
    </xf>
    <xf numFmtId="0" fontId="24" fillId="0" borderId="0" xfId="0" applyFont="1" applyBorder="1" applyAlignment="1">
      <alignment horizontal="center"/>
    </xf>
    <xf numFmtId="0" fontId="0" fillId="2" borderId="7" xfId="0" applyFill="1" applyBorder="1"/>
    <xf numFmtId="0" fontId="21" fillId="0" borderId="2" xfId="0" applyFont="1" applyBorder="1"/>
    <xf numFmtId="0" fontId="21" fillId="0" borderId="0" xfId="0" applyFont="1" applyFill="1"/>
    <xf numFmtId="0" fontId="21" fillId="2" borderId="0" xfId="0" applyFont="1" applyFill="1" applyBorder="1"/>
    <xf numFmtId="0" fontId="31" fillId="0" borderId="1" xfId="0" applyFont="1" applyBorder="1" applyAlignment="1">
      <alignment horizontal="center"/>
    </xf>
    <xf numFmtId="0" fontId="31" fillId="0" borderId="3" xfId="0" applyFont="1" applyBorder="1" applyAlignment="1">
      <alignment horizontal="center"/>
    </xf>
    <xf numFmtId="0" fontId="31" fillId="0" borderId="2" xfId="0" applyFont="1" applyBorder="1" applyAlignment="1">
      <alignment horizontal="center"/>
    </xf>
    <xf numFmtId="0" fontId="30" fillId="0" borderId="0" xfId="0" applyFont="1"/>
    <xf numFmtId="0" fontId="21" fillId="0" borderId="1" xfId="0" applyFont="1" applyBorder="1"/>
    <xf numFmtId="0" fontId="21" fillId="0" borderId="3" xfId="0" applyFont="1" applyBorder="1"/>
    <xf numFmtId="0" fontId="21" fillId="0" borderId="1" xfId="0" applyFont="1" applyBorder="1" applyAlignment="1">
      <alignment horizontal="center"/>
    </xf>
    <xf numFmtId="0" fontId="21" fillId="0" borderId="2" xfId="0" applyFont="1" applyBorder="1" applyAlignment="1">
      <alignment horizontal="center"/>
    </xf>
    <xf numFmtId="0" fontId="21" fillId="0" borderId="3" xfId="0" applyFont="1" applyBorder="1" applyAlignment="1">
      <alignment horizontal="center"/>
    </xf>
    <xf numFmtId="0" fontId="31" fillId="0" borderId="4" xfId="0" applyFont="1" applyBorder="1" applyAlignment="1">
      <alignment horizontal="center"/>
    </xf>
    <xf numFmtId="0" fontId="31" fillId="0" borderId="0" xfId="0" applyFont="1" applyBorder="1" applyAlignment="1">
      <alignment horizontal="center"/>
    </xf>
    <xf numFmtId="0" fontId="31" fillId="0" borderId="5" xfId="0" applyFont="1" applyBorder="1" applyAlignment="1">
      <alignment horizontal="center"/>
    </xf>
    <xf numFmtId="0" fontId="13" fillId="0" borderId="0" xfId="0" applyFont="1" applyFill="1"/>
    <xf numFmtId="1" fontId="0" fillId="0" borderId="0" xfId="0" applyNumberFormat="1" applyFill="1" applyAlignment="1">
      <alignment horizontal="left" indent="5"/>
    </xf>
    <xf numFmtId="165" fontId="12" fillId="0" borderId="0" xfId="0" applyNumberFormat="1" applyFont="1" applyFill="1"/>
    <xf numFmtId="167" fontId="0" fillId="0" borderId="7" xfId="0" applyNumberFormat="1" applyBorder="1"/>
    <xf numFmtId="167" fontId="0" fillId="0" borderId="8" xfId="0" applyNumberFormat="1" applyBorder="1"/>
    <xf numFmtId="165" fontId="0" fillId="0" borderId="1" xfId="0" applyNumberFormat="1" applyFill="1" applyBorder="1"/>
    <xf numFmtId="0" fontId="0" fillId="0" borderId="2" xfId="0" applyFont="1" applyFill="1" applyBorder="1"/>
    <xf numFmtId="165" fontId="0" fillId="0" borderId="2" xfId="0" applyNumberFormat="1" applyFill="1" applyBorder="1"/>
    <xf numFmtId="0" fontId="12" fillId="0" borderId="2" xfId="0" applyFont="1" applyFill="1" applyBorder="1"/>
    <xf numFmtId="1" fontId="0" fillId="0" borderId="3" xfId="0" applyNumberFormat="1" applyFill="1" applyBorder="1" applyAlignment="1">
      <alignment horizontal="left" indent="5"/>
    </xf>
    <xf numFmtId="165" fontId="0" fillId="0" borderId="4" xfId="0" applyNumberFormat="1" applyFill="1" applyBorder="1"/>
    <xf numFmtId="0" fontId="13" fillId="0" borderId="0" xfId="0" applyFont="1" applyBorder="1"/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1" xfId="0" applyBorder="1" applyAlignment="1">
      <alignment horizontal="center"/>
    </xf>
    <xf numFmtId="0" fontId="31" fillId="0" borderId="1" xfId="0" applyFont="1" applyBorder="1" applyAlignment="1">
      <alignment horizontal="center"/>
    </xf>
    <xf numFmtId="0" fontId="31" fillId="0" borderId="3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2" xfId="0" applyFont="1" applyBorder="1" applyAlignment="1">
      <alignment horizontal="center"/>
    </xf>
    <xf numFmtId="0" fontId="31" fillId="0" borderId="2" xfId="0" applyFont="1" applyBorder="1" applyAlignment="1">
      <alignment horizontal="center"/>
    </xf>
    <xf numFmtId="0" fontId="21" fillId="0" borderId="1" xfId="0" applyFont="1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25" fillId="0" borderId="1" xfId="0" applyFont="1" applyBorder="1" applyAlignment="1">
      <alignment horizontal="center"/>
    </xf>
    <xf numFmtId="0" fontId="25" fillId="0" borderId="2" xfId="0" applyFont="1" applyBorder="1" applyAlignment="1">
      <alignment horizontal="center"/>
    </xf>
    <xf numFmtId="0" fontId="25" fillId="0" borderId="3" xfId="0" applyFont="1" applyBorder="1" applyAlignment="1">
      <alignment horizontal="center"/>
    </xf>
    <xf numFmtId="0" fontId="0" fillId="0" borderId="0" xfId="0" applyAlignment="1">
      <alignment horizontal="center"/>
    </xf>
    <xf numFmtId="0" fontId="21" fillId="0" borderId="2" xfId="0" applyFont="1" applyBorder="1" applyAlignment="1">
      <alignment horizontal="center"/>
    </xf>
    <xf numFmtId="0" fontId="21" fillId="0" borderId="3" xfId="0" applyFont="1" applyBorder="1" applyAlignment="1">
      <alignment horizontal="center"/>
    </xf>
    <xf numFmtId="0" fontId="0" fillId="0" borderId="12" xfId="0" applyBorder="1" applyAlignment="1">
      <alignment horizontal="center" wrapText="1"/>
    </xf>
    <xf numFmtId="0" fontId="0" fillId="0" borderId="15" xfId="0" applyBorder="1" applyAlignment="1">
      <alignment horizontal="center" wrapText="1"/>
    </xf>
    <xf numFmtId="0" fontId="0" fillId="0" borderId="13" xfId="0" applyBorder="1" applyAlignment="1">
      <alignment horizontal="center" wrapText="1"/>
    </xf>
    <xf numFmtId="0" fontId="0" fillId="0" borderId="0" xfId="0" applyAlignment="1">
      <alignment horizontal="center" vertical="center"/>
    </xf>
    <xf numFmtId="0" fontId="31" fillId="0" borderId="4" xfId="0" applyFont="1" applyBorder="1" applyAlignment="1">
      <alignment horizontal="center"/>
    </xf>
    <xf numFmtId="0" fontId="31" fillId="0" borderId="0" xfId="0" applyFont="1" applyBorder="1" applyAlignment="1">
      <alignment horizontal="center"/>
    </xf>
    <xf numFmtId="0" fontId="31" fillId="0" borderId="5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" Type="http://schemas.openxmlformats.org/officeDocument/2006/relationships/worksheet" Target="worksheets/sheet5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calcChain" Target="calcChain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5" Type="http://schemas.openxmlformats.org/officeDocument/2006/relationships/image" Target="../media/image5.tiff"/><Relationship Id="rId4" Type="http://schemas.openxmlformats.org/officeDocument/2006/relationships/image" Target="../media/image4.tif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tiff"/><Relationship Id="rId2" Type="http://schemas.openxmlformats.org/officeDocument/2006/relationships/image" Target="../media/image7.tiff"/><Relationship Id="rId1" Type="http://schemas.openxmlformats.org/officeDocument/2006/relationships/image" Target="../media/image6.tiff"/><Relationship Id="rId5" Type="http://schemas.openxmlformats.org/officeDocument/2006/relationships/image" Target="../media/image10.tiff"/><Relationship Id="rId4" Type="http://schemas.openxmlformats.org/officeDocument/2006/relationships/image" Target="../media/image9.tiff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6.tiff"/><Relationship Id="rId21" Type="http://schemas.openxmlformats.org/officeDocument/2006/relationships/image" Target="../media/image31.tiff"/><Relationship Id="rId42" Type="http://schemas.openxmlformats.org/officeDocument/2006/relationships/image" Target="../media/image52.tiff"/><Relationship Id="rId47" Type="http://schemas.openxmlformats.org/officeDocument/2006/relationships/image" Target="../media/image57.tiff"/><Relationship Id="rId63" Type="http://schemas.openxmlformats.org/officeDocument/2006/relationships/image" Target="../media/image73.tiff"/><Relationship Id="rId68" Type="http://schemas.openxmlformats.org/officeDocument/2006/relationships/image" Target="../media/image78.tiff"/><Relationship Id="rId84" Type="http://schemas.openxmlformats.org/officeDocument/2006/relationships/image" Target="../media/image94.tiff"/><Relationship Id="rId89" Type="http://schemas.openxmlformats.org/officeDocument/2006/relationships/image" Target="../media/image99.tiff"/><Relationship Id="rId16" Type="http://schemas.openxmlformats.org/officeDocument/2006/relationships/image" Target="../media/image26.tiff"/><Relationship Id="rId107" Type="http://schemas.openxmlformats.org/officeDocument/2006/relationships/image" Target="../media/image117.tiff"/><Relationship Id="rId11" Type="http://schemas.openxmlformats.org/officeDocument/2006/relationships/image" Target="../media/image21.tiff"/><Relationship Id="rId32" Type="http://schemas.openxmlformats.org/officeDocument/2006/relationships/image" Target="../media/image42.tiff"/><Relationship Id="rId37" Type="http://schemas.openxmlformats.org/officeDocument/2006/relationships/image" Target="../media/image47.tiff"/><Relationship Id="rId53" Type="http://schemas.openxmlformats.org/officeDocument/2006/relationships/image" Target="../media/image63.tiff"/><Relationship Id="rId58" Type="http://schemas.openxmlformats.org/officeDocument/2006/relationships/image" Target="../media/image68.tiff"/><Relationship Id="rId74" Type="http://schemas.openxmlformats.org/officeDocument/2006/relationships/image" Target="../media/image84.tiff"/><Relationship Id="rId79" Type="http://schemas.openxmlformats.org/officeDocument/2006/relationships/image" Target="../media/image89.tiff"/><Relationship Id="rId102" Type="http://schemas.openxmlformats.org/officeDocument/2006/relationships/image" Target="../media/image112.tiff"/><Relationship Id="rId5" Type="http://schemas.openxmlformats.org/officeDocument/2006/relationships/image" Target="../media/image15.tiff"/><Relationship Id="rId90" Type="http://schemas.openxmlformats.org/officeDocument/2006/relationships/image" Target="../media/image100.tiff"/><Relationship Id="rId95" Type="http://schemas.openxmlformats.org/officeDocument/2006/relationships/image" Target="../media/image105.tiff"/><Relationship Id="rId22" Type="http://schemas.openxmlformats.org/officeDocument/2006/relationships/image" Target="../media/image32.tiff"/><Relationship Id="rId27" Type="http://schemas.openxmlformats.org/officeDocument/2006/relationships/image" Target="../media/image37.tiff"/><Relationship Id="rId43" Type="http://schemas.openxmlformats.org/officeDocument/2006/relationships/image" Target="../media/image53.tiff"/><Relationship Id="rId48" Type="http://schemas.openxmlformats.org/officeDocument/2006/relationships/image" Target="../media/image58.tiff"/><Relationship Id="rId64" Type="http://schemas.openxmlformats.org/officeDocument/2006/relationships/image" Target="../media/image74.tiff"/><Relationship Id="rId69" Type="http://schemas.openxmlformats.org/officeDocument/2006/relationships/image" Target="../media/image79.tiff"/><Relationship Id="rId80" Type="http://schemas.openxmlformats.org/officeDocument/2006/relationships/image" Target="../media/image90.tiff"/><Relationship Id="rId85" Type="http://schemas.openxmlformats.org/officeDocument/2006/relationships/image" Target="../media/image95.tiff"/><Relationship Id="rId12" Type="http://schemas.openxmlformats.org/officeDocument/2006/relationships/image" Target="../media/image22.tiff"/><Relationship Id="rId17" Type="http://schemas.openxmlformats.org/officeDocument/2006/relationships/image" Target="../media/image27.tiff"/><Relationship Id="rId33" Type="http://schemas.openxmlformats.org/officeDocument/2006/relationships/image" Target="../media/image43.tiff"/><Relationship Id="rId38" Type="http://schemas.openxmlformats.org/officeDocument/2006/relationships/image" Target="../media/image48.tiff"/><Relationship Id="rId59" Type="http://schemas.openxmlformats.org/officeDocument/2006/relationships/image" Target="../media/image69.tiff"/><Relationship Id="rId103" Type="http://schemas.openxmlformats.org/officeDocument/2006/relationships/image" Target="../media/image113.tiff"/><Relationship Id="rId108" Type="http://schemas.openxmlformats.org/officeDocument/2006/relationships/image" Target="../media/image118.tiff"/><Relationship Id="rId54" Type="http://schemas.openxmlformats.org/officeDocument/2006/relationships/image" Target="../media/image64.tiff"/><Relationship Id="rId70" Type="http://schemas.openxmlformats.org/officeDocument/2006/relationships/image" Target="../media/image80.tiff"/><Relationship Id="rId75" Type="http://schemas.openxmlformats.org/officeDocument/2006/relationships/image" Target="../media/image85.tiff"/><Relationship Id="rId91" Type="http://schemas.openxmlformats.org/officeDocument/2006/relationships/image" Target="../media/image101.tiff"/><Relationship Id="rId96" Type="http://schemas.openxmlformats.org/officeDocument/2006/relationships/image" Target="../media/image106.png"/><Relationship Id="rId1" Type="http://schemas.openxmlformats.org/officeDocument/2006/relationships/image" Target="../media/image11.tiff"/><Relationship Id="rId6" Type="http://schemas.openxmlformats.org/officeDocument/2006/relationships/image" Target="../media/image16.tiff"/><Relationship Id="rId15" Type="http://schemas.openxmlformats.org/officeDocument/2006/relationships/image" Target="../media/image25.tiff"/><Relationship Id="rId23" Type="http://schemas.openxmlformats.org/officeDocument/2006/relationships/image" Target="../media/image33.tiff"/><Relationship Id="rId28" Type="http://schemas.openxmlformats.org/officeDocument/2006/relationships/image" Target="../media/image38.tiff"/><Relationship Id="rId36" Type="http://schemas.openxmlformats.org/officeDocument/2006/relationships/image" Target="../media/image46.tiff"/><Relationship Id="rId49" Type="http://schemas.openxmlformats.org/officeDocument/2006/relationships/image" Target="../media/image59.tiff"/><Relationship Id="rId57" Type="http://schemas.openxmlformats.org/officeDocument/2006/relationships/image" Target="../media/image67.tiff"/><Relationship Id="rId106" Type="http://schemas.openxmlformats.org/officeDocument/2006/relationships/image" Target="../media/image116.tiff"/><Relationship Id="rId10" Type="http://schemas.openxmlformats.org/officeDocument/2006/relationships/image" Target="../media/image20.tiff"/><Relationship Id="rId31" Type="http://schemas.openxmlformats.org/officeDocument/2006/relationships/image" Target="../media/image41.tiff"/><Relationship Id="rId44" Type="http://schemas.openxmlformats.org/officeDocument/2006/relationships/image" Target="../media/image54.tiff"/><Relationship Id="rId52" Type="http://schemas.openxmlformats.org/officeDocument/2006/relationships/image" Target="../media/image62.tiff"/><Relationship Id="rId60" Type="http://schemas.openxmlformats.org/officeDocument/2006/relationships/image" Target="../media/image70.tiff"/><Relationship Id="rId65" Type="http://schemas.openxmlformats.org/officeDocument/2006/relationships/image" Target="../media/image75.tiff"/><Relationship Id="rId73" Type="http://schemas.openxmlformats.org/officeDocument/2006/relationships/image" Target="../media/image83.png"/><Relationship Id="rId78" Type="http://schemas.openxmlformats.org/officeDocument/2006/relationships/image" Target="../media/image88.tiff"/><Relationship Id="rId81" Type="http://schemas.openxmlformats.org/officeDocument/2006/relationships/image" Target="../media/image91.tiff"/><Relationship Id="rId86" Type="http://schemas.openxmlformats.org/officeDocument/2006/relationships/image" Target="../media/image96.tiff"/><Relationship Id="rId94" Type="http://schemas.openxmlformats.org/officeDocument/2006/relationships/image" Target="../media/image104.tiff"/><Relationship Id="rId99" Type="http://schemas.openxmlformats.org/officeDocument/2006/relationships/image" Target="../media/image109.tiff"/><Relationship Id="rId101" Type="http://schemas.openxmlformats.org/officeDocument/2006/relationships/image" Target="../media/image111.tiff"/><Relationship Id="rId4" Type="http://schemas.openxmlformats.org/officeDocument/2006/relationships/image" Target="../media/image14.tiff"/><Relationship Id="rId9" Type="http://schemas.openxmlformats.org/officeDocument/2006/relationships/image" Target="../media/image19.tiff"/><Relationship Id="rId13" Type="http://schemas.openxmlformats.org/officeDocument/2006/relationships/image" Target="../media/image23.tiff"/><Relationship Id="rId18" Type="http://schemas.openxmlformats.org/officeDocument/2006/relationships/image" Target="../media/image28.tiff"/><Relationship Id="rId39" Type="http://schemas.openxmlformats.org/officeDocument/2006/relationships/image" Target="../media/image49.tiff"/><Relationship Id="rId109" Type="http://schemas.openxmlformats.org/officeDocument/2006/relationships/image" Target="../media/image119.tiff"/><Relationship Id="rId34" Type="http://schemas.openxmlformats.org/officeDocument/2006/relationships/image" Target="../media/image44.tiff"/><Relationship Id="rId50" Type="http://schemas.openxmlformats.org/officeDocument/2006/relationships/image" Target="../media/image60.tiff"/><Relationship Id="rId55" Type="http://schemas.openxmlformats.org/officeDocument/2006/relationships/image" Target="../media/image65.tiff"/><Relationship Id="rId76" Type="http://schemas.openxmlformats.org/officeDocument/2006/relationships/image" Target="../media/image86.tiff"/><Relationship Id="rId97" Type="http://schemas.openxmlformats.org/officeDocument/2006/relationships/image" Target="../media/image107.tiff"/><Relationship Id="rId104" Type="http://schemas.openxmlformats.org/officeDocument/2006/relationships/image" Target="../media/image114.tiff"/><Relationship Id="rId7" Type="http://schemas.openxmlformats.org/officeDocument/2006/relationships/image" Target="../media/image17.tiff"/><Relationship Id="rId71" Type="http://schemas.openxmlformats.org/officeDocument/2006/relationships/image" Target="../media/image81.tiff"/><Relationship Id="rId92" Type="http://schemas.openxmlformats.org/officeDocument/2006/relationships/image" Target="../media/image102.tiff"/><Relationship Id="rId2" Type="http://schemas.openxmlformats.org/officeDocument/2006/relationships/image" Target="../media/image12.tiff"/><Relationship Id="rId29" Type="http://schemas.openxmlformats.org/officeDocument/2006/relationships/image" Target="../media/image39.tiff"/><Relationship Id="rId24" Type="http://schemas.openxmlformats.org/officeDocument/2006/relationships/image" Target="../media/image34.tiff"/><Relationship Id="rId40" Type="http://schemas.openxmlformats.org/officeDocument/2006/relationships/image" Target="../media/image50.tiff"/><Relationship Id="rId45" Type="http://schemas.openxmlformats.org/officeDocument/2006/relationships/image" Target="../media/image55.tiff"/><Relationship Id="rId66" Type="http://schemas.openxmlformats.org/officeDocument/2006/relationships/image" Target="../media/image76.tiff"/><Relationship Id="rId87" Type="http://schemas.openxmlformats.org/officeDocument/2006/relationships/image" Target="../media/image97.tiff"/><Relationship Id="rId110" Type="http://schemas.openxmlformats.org/officeDocument/2006/relationships/image" Target="../media/image120.tiff"/><Relationship Id="rId61" Type="http://schemas.openxmlformats.org/officeDocument/2006/relationships/image" Target="../media/image71.tiff"/><Relationship Id="rId82" Type="http://schemas.openxmlformats.org/officeDocument/2006/relationships/image" Target="../media/image92.tiff"/><Relationship Id="rId19" Type="http://schemas.openxmlformats.org/officeDocument/2006/relationships/image" Target="../media/image29.tiff"/><Relationship Id="rId14" Type="http://schemas.openxmlformats.org/officeDocument/2006/relationships/image" Target="../media/image24.tiff"/><Relationship Id="rId30" Type="http://schemas.openxmlformats.org/officeDocument/2006/relationships/image" Target="../media/image40.tiff"/><Relationship Id="rId35" Type="http://schemas.openxmlformats.org/officeDocument/2006/relationships/image" Target="../media/image45.tiff"/><Relationship Id="rId56" Type="http://schemas.openxmlformats.org/officeDocument/2006/relationships/image" Target="../media/image66.tiff"/><Relationship Id="rId77" Type="http://schemas.openxmlformats.org/officeDocument/2006/relationships/image" Target="../media/image87.tiff"/><Relationship Id="rId100" Type="http://schemas.openxmlformats.org/officeDocument/2006/relationships/image" Target="../media/image110.tiff"/><Relationship Id="rId105" Type="http://schemas.openxmlformats.org/officeDocument/2006/relationships/image" Target="../media/image115.tiff"/><Relationship Id="rId8" Type="http://schemas.openxmlformats.org/officeDocument/2006/relationships/image" Target="../media/image18.tiff"/><Relationship Id="rId51" Type="http://schemas.openxmlformats.org/officeDocument/2006/relationships/image" Target="../media/image61.tiff"/><Relationship Id="rId72" Type="http://schemas.openxmlformats.org/officeDocument/2006/relationships/image" Target="../media/image82.tiff"/><Relationship Id="rId93" Type="http://schemas.openxmlformats.org/officeDocument/2006/relationships/image" Target="../media/image103.tiff"/><Relationship Id="rId98" Type="http://schemas.openxmlformats.org/officeDocument/2006/relationships/image" Target="../media/image108.tiff"/><Relationship Id="rId3" Type="http://schemas.openxmlformats.org/officeDocument/2006/relationships/image" Target="../media/image13.tiff"/><Relationship Id="rId25" Type="http://schemas.openxmlformats.org/officeDocument/2006/relationships/image" Target="../media/image35.tiff"/><Relationship Id="rId46" Type="http://schemas.openxmlformats.org/officeDocument/2006/relationships/image" Target="../media/image56.tiff"/><Relationship Id="rId67" Type="http://schemas.openxmlformats.org/officeDocument/2006/relationships/image" Target="../media/image77.tiff"/><Relationship Id="rId20" Type="http://schemas.openxmlformats.org/officeDocument/2006/relationships/image" Target="../media/image30.tiff"/><Relationship Id="rId41" Type="http://schemas.openxmlformats.org/officeDocument/2006/relationships/image" Target="../media/image51.tiff"/><Relationship Id="rId62" Type="http://schemas.openxmlformats.org/officeDocument/2006/relationships/image" Target="../media/image72.tiff"/><Relationship Id="rId83" Type="http://schemas.openxmlformats.org/officeDocument/2006/relationships/image" Target="../media/image93.tiff"/><Relationship Id="rId88" Type="http://schemas.openxmlformats.org/officeDocument/2006/relationships/image" Target="../media/image98.tif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8.tiff"/><Relationship Id="rId3" Type="http://schemas.openxmlformats.org/officeDocument/2006/relationships/image" Target="../media/image123.tiff"/><Relationship Id="rId7" Type="http://schemas.openxmlformats.org/officeDocument/2006/relationships/image" Target="../media/image127.tiff"/><Relationship Id="rId2" Type="http://schemas.openxmlformats.org/officeDocument/2006/relationships/image" Target="../media/image122.tiff"/><Relationship Id="rId1" Type="http://schemas.openxmlformats.org/officeDocument/2006/relationships/image" Target="../media/image121.tiff"/><Relationship Id="rId6" Type="http://schemas.openxmlformats.org/officeDocument/2006/relationships/image" Target="../media/image126.tiff"/><Relationship Id="rId5" Type="http://schemas.openxmlformats.org/officeDocument/2006/relationships/image" Target="../media/image125.tiff"/><Relationship Id="rId4" Type="http://schemas.openxmlformats.org/officeDocument/2006/relationships/image" Target="../media/image124.tif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1.tiff"/><Relationship Id="rId2" Type="http://schemas.openxmlformats.org/officeDocument/2006/relationships/image" Target="../media/image130.tiff"/><Relationship Id="rId1" Type="http://schemas.openxmlformats.org/officeDocument/2006/relationships/image" Target="../media/image129.tif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9.tiff"/><Relationship Id="rId3" Type="http://schemas.openxmlformats.org/officeDocument/2006/relationships/image" Target="../media/image134.tiff"/><Relationship Id="rId7" Type="http://schemas.openxmlformats.org/officeDocument/2006/relationships/image" Target="../media/image138.tiff"/><Relationship Id="rId2" Type="http://schemas.openxmlformats.org/officeDocument/2006/relationships/image" Target="../media/image133.tiff"/><Relationship Id="rId1" Type="http://schemas.openxmlformats.org/officeDocument/2006/relationships/image" Target="../media/image132.tiff"/><Relationship Id="rId6" Type="http://schemas.openxmlformats.org/officeDocument/2006/relationships/image" Target="../media/image137.tiff"/><Relationship Id="rId5" Type="http://schemas.openxmlformats.org/officeDocument/2006/relationships/image" Target="../media/image136.tiff"/><Relationship Id="rId4" Type="http://schemas.openxmlformats.org/officeDocument/2006/relationships/image" Target="../media/image135.tif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2.tif"/><Relationship Id="rId2" Type="http://schemas.openxmlformats.org/officeDocument/2006/relationships/image" Target="../media/image141.tif"/><Relationship Id="rId1" Type="http://schemas.openxmlformats.org/officeDocument/2006/relationships/image" Target="../media/image140.t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35</xdr:row>
      <xdr:rowOff>76200</xdr:rowOff>
    </xdr:from>
    <xdr:to>
      <xdr:col>3</xdr:col>
      <xdr:colOff>1257300</xdr:colOff>
      <xdr:row>47</xdr:row>
      <xdr:rowOff>2427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77CA0D9-95F4-1449-ADA9-4D8A6A7B6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200" y="7188200"/>
          <a:ext cx="3657600" cy="236462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24</xdr:row>
      <xdr:rowOff>101600</xdr:rowOff>
    </xdr:from>
    <xdr:to>
      <xdr:col>3</xdr:col>
      <xdr:colOff>1244600</xdr:colOff>
      <xdr:row>34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125203B-78B9-9849-89E5-A1EA9F7BC7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200" y="4978400"/>
          <a:ext cx="3644900" cy="20828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47</xdr:row>
      <xdr:rowOff>76199</xdr:rowOff>
    </xdr:from>
    <xdr:to>
      <xdr:col>3</xdr:col>
      <xdr:colOff>1244600</xdr:colOff>
      <xdr:row>61</xdr:row>
      <xdr:rowOff>200790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7C44794-FE1A-4C45-876C-593FC92EEF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" y="9626599"/>
          <a:ext cx="3606800" cy="2969391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62</xdr:row>
      <xdr:rowOff>50800</xdr:rowOff>
    </xdr:from>
    <xdr:to>
      <xdr:col>4</xdr:col>
      <xdr:colOff>76200</xdr:colOff>
      <xdr:row>77</xdr:row>
      <xdr:rowOff>77218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C679BA1-03FC-5348-97CE-463617EBE0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900" y="12649200"/>
          <a:ext cx="3746500" cy="307441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77</xdr:row>
      <xdr:rowOff>177799</xdr:rowOff>
    </xdr:from>
    <xdr:to>
      <xdr:col>4</xdr:col>
      <xdr:colOff>482600</xdr:colOff>
      <xdr:row>96</xdr:row>
      <xdr:rowOff>62600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F60AA68-7B12-DE4B-8AA5-0F506C3DC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52400" y="15824199"/>
          <a:ext cx="4089400" cy="374560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21</xdr:row>
      <xdr:rowOff>165100</xdr:rowOff>
    </xdr:from>
    <xdr:to>
      <xdr:col>3</xdr:col>
      <xdr:colOff>431800</xdr:colOff>
      <xdr:row>31</xdr:row>
      <xdr:rowOff>127000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43435B0-3A73-B747-AADE-EC0759F5AC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" y="4432300"/>
          <a:ext cx="2870200" cy="199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31</xdr:row>
      <xdr:rowOff>165099</xdr:rowOff>
    </xdr:from>
    <xdr:to>
      <xdr:col>3</xdr:col>
      <xdr:colOff>469900</xdr:colOff>
      <xdr:row>42</xdr:row>
      <xdr:rowOff>41274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2BE4E97-02C9-CB4B-B568-F1D8129821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400" y="6464299"/>
          <a:ext cx="2921000" cy="211137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42</xdr:row>
      <xdr:rowOff>101600</xdr:rowOff>
    </xdr:from>
    <xdr:to>
      <xdr:col>3</xdr:col>
      <xdr:colOff>371625</xdr:colOff>
      <xdr:row>53</xdr:row>
      <xdr:rowOff>76200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4EF15E8-3F1A-034C-B312-6B91370C1B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8636000"/>
          <a:ext cx="2695725" cy="22098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53</xdr:row>
      <xdr:rowOff>165100</xdr:rowOff>
    </xdr:from>
    <xdr:to>
      <xdr:col>3</xdr:col>
      <xdr:colOff>381000</xdr:colOff>
      <xdr:row>63</xdr:row>
      <xdr:rowOff>83996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1F86C04-B88C-2443-883F-121930AE9D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700" y="10934700"/>
          <a:ext cx="2717800" cy="1950896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63</xdr:row>
      <xdr:rowOff>127000</xdr:rowOff>
    </xdr:from>
    <xdr:to>
      <xdr:col>3</xdr:col>
      <xdr:colOff>101600</xdr:colOff>
      <xdr:row>73</xdr:row>
      <xdr:rowOff>76200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EF5D444-0E55-7347-A447-8FFED3AAFD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100" y="12928600"/>
          <a:ext cx="2413000" cy="19812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127000</xdr:colOff>
      <xdr:row>2</xdr:row>
      <xdr:rowOff>63500</xdr:rowOff>
    </xdr:from>
    <xdr:to>
      <xdr:col>2</xdr:col>
      <xdr:colOff>177800</xdr:colOff>
      <xdr:row>10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877FC0B-BC6A-3B43-9847-261FA62B585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27000" y="469900"/>
          <a:ext cx="1701800" cy="1600200"/>
        </a:xfrm>
        <a:prstGeom prst="rect">
          <a:avLst/>
        </a:prstGeom>
      </xdr:spPr>
    </xdr:pic>
    <xdr:clientData/>
  </xdr:twoCellAnchor>
  <xdr:twoCellAnchor editAs="oneCell">
    <xdr:from>
      <xdr:col>2</xdr:col>
      <xdr:colOff>558800</xdr:colOff>
      <xdr:row>2</xdr:row>
      <xdr:rowOff>88900</xdr:rowOff>
    </xdr:from>
    <xdr:to>
      <xdr:col>3</xdr:col>
      <xdr:colOff>787400</xdr:colOff>
      <xdr:row>9</xdr:row>
      <xdr:rowOff>165100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655F6B8-C4BE-684C-AE40-51C8A14F71CA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9800" y="495300"/>
          <a:ext cx="1054100" cy="14986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12</xdr:row>
      <xdr:rowOff>50800</xdr:rowOff>
    </xdr:from>
    <xdr:to>
      <xdr:col>2</xdr:col>
      <xdr:colOff>127000</xdr:colOff>
      <xdr:row>19</xdr:row>
      <xdr:rowOff>63500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71654AE-5C79-2843-873D-0E754DC6A1F6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700" y="2489200"/>
          <a:ext cx="1638300" cy="1435100"/>
        </a:xfrm>
        <a:prstGeom prst="rect">
          <a:avLst/>
        </a:prstGeom>
      </xdr:spPr>
    </xdr:pic>
    <xdr:clientData/>
  </xdr:twoCellAnchor>
  <xdr:twoCellAnchor editAs="oneCell">
    <xdr:from>
      <xdr:col>2</xdr:col>
      <xdr:colOff>429054</xdr:colOff>
      <xdr:row>12</xdr:row>
      <xdr:rowOff>102972</xdr:rowOff>
    </xdr:from>
    <xdr:to>
      <xdr:col>4</xdr:col>
      <xdr:colOff>1144</xdr:colOff>
      <xdr:row>19</xdr:row>
      <xdr:rowOff>51485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0ACE170-4EA2-3A43-9628-312351B66699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76622" y="2574323"/>
          <a:ext cx="1219657" cy="1390135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21</xdr:row>
      <xdr:rowOff>139700</xdr:rowOff>
    </xdr:from>
    <xdr:to>
      <xdr:col>2</xdr:col>
      <xdr:colOff>203200</xdr:colOff>
      <xdr:row>30</xdr:row>
      <xdr:rowOff>12700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A35A9E4D-7419-A34D-95CC-9E2605E6D10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000" y="4406900"/>
          <a:ext cx="1727200" cy="1701800"/>
        </a:xfrm>
        <a:prstGeom prst="rect">
          <a:avLst/>
        </a:prstGeom>
      </xdr:spPr>
    </xdr:pic>
    <xdr:clientData/>
  </xdr:twoCellAnchor>
  <xdr:twoCellAnchor editAs="oneCell">
    <xdr:from>
      <xdr:col>2</xdr:col>
      <xdr:colOff>508000</xdr:colOff>
      <xdr:row>21</xdr:row>
      <xdr:rowOff>152401</xdr:rowOff>
    </xdr:from>
    <xdr:to>
      <xdr:col>3</xdr:col>
      <xdr:colOff>800100</xdr:colOff>
      <xdr:row>30</xdr:row>
      <xdr:rowOff>38101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AA4A4F8-F8F7-B245-AB2D-8ACF39E0AD7D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59000" y="4419601"/>
          <a:ext cx="1117600" cy="17145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32</xdr:row>
      <xdr:rowOff>76200</xdr:rowOff>
    </xdr:from>
    <xdr:to>
      <xdr:col>2</xdr:col>
      <xdr:colOff>203200</xdr:colOff>
      <xdr:row>40</xdr:row>
      <xdr:rowOff>50800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7E06DE8-5954-6348-846E-BB37098419F2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" y="6578600"/>
          <a:ext cx="1739900" cy="1600200"/>
        </a:xfrm>
        <a:prstGeom prst="rect">
          <a:avLst/>
        </a:prstGeom>
      </xdr:spPr>
    </xdr:pic>
    <xdr:clientData/>
  </xdr:twoCellAnchor>
  <xdr:twoCellAnchor editAs="oneCell">
    <xdr:from>
      <xdr:col>2</xdr:col>
      <xdr:colOff>469900</xdr:colOff>
      <xdr:row>31</xdr:row>
      <xdr:rowOff>88900</xdr:rowOff>
    </xdr:from>
    <xdr:to>
      <xdr:col>4</xdr:col>
      <xdr:colOff>76200</xdr:colOff>
      <xdr:row>40</xdr:row>
      <xdr:rowOff>63500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8197243-1904-824D-A19E-7AF22EBE4BA6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1812" b="14961"/>
        <a:stretch/>
      </xdr:blipFill>
      <xdr:spPr>
        <a:xfrm>
          <a:off x="2120900" y="6388100"/>
          <a:ext cx="1257300" cy="18034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42</xdr:row>
      <xdr:rowOff>25400</xdr:rowOff>
    </xdr:from>
    <xdr:to>
      <xdr:col>2</xdr:col>
      <xdr:colOff>279400</xdr:colOff>
      <xdr:row>48</xdr:row>
      <xdr:rowOff>177800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3B10733-F233-DC40-B12D-EDB5DBFCD6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4300" y="8559800"/>
          <a:ext cx="1816100" cy="137160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533400</xdr:colOff>
      <xdr:row>42</xdr:row>
      <xdr:rowOff>76200</xdr:rowOff>
    </xdr:from>
    <xdr:to>
      <xdr:col>3</xdr:col>
      <xdr:colOff>805708</xdr:colOff>
      <xdr:row>48</xdr:row>
      <xdr:rowOff>177800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8B97D03B-A012-524A-A57A-FC99358875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4400" y="8610600"/>
          <a:ext cx="1097808" cy="13208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13683</xdr:colOff>
      <xdr:row>51</xdr:row>
      <xdr:rowOff>13955</xdr:rowOff>
    </xdr:from>
    <xdr:to>
      <xdr:col>2</xdr:col>
      <xdr:colOff>287467</xdr:colOff>
      <xdr:row>60</xdr:row>
      <xdr:rowOff>9792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C670C36-6DB7-694E-B5D3-E25A1731C4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83" y="10690329"/>
          <a:ext cx="1920597" cy="1879903"/>
        </a:xfrm>
        <a:prstGeom prst="rect">
          <a:avLst/>
        </a:prstGeom>
      </xdr:spPr>
    </xdr:pic>
    <xdr:clientData/>
  </xdr:twoCellAnchor>
  <xdr:twoCellAnchor editAs="oneCell">
    <xdr:from>
      <xdr:col>2</xdr:col>
      <xdr:colOff>530330</xdr:colOff>
      <xdr:row>51</xdr:row>
      <xdr:rowOff>13955</xdr:rowOff>
    </xdr:from>
    <xdr:to>
      <xdr:col>4</xdr:col>
      <xdr:colOff>115160</xdr:colOff>
      <xdr:row>60</xdr:row>
      <xdr:rowOff>41868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7A4B981-DCCD-134D-AB18-84918B3E5B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143" y="10690329"/>
          <a:ext cx="1231643" cy="1911979"/>
        </a:xfrm>
        <a:prstGeom prst="rect">
          <a:avLst/>
        </a:prstGeom>
      </xdr:spPr>
    </xdr:pic>
    <xdr:clientData/>
  </xdr:twoCellAnchor>
  <xdr:twoCellAnchor editAs="oneCell">
    <xdr:from>
      <xdr:col>5</xdr:col>
      <xdr:colOff>22883</xdr:colOff>
      <xdr:row>6</xdr:row>
      <xdr:rowOff>5720</xdr:rowOff>
    </xdr:from>
    <xdr:to>
      <xdr:col>7</xdr:col>
      <xdr:colOff>205947</xdr:colOff>
      <xdr:row>12</xdr:row>
      <xdr:rowOff>91530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6B70D27E-8C9F-0F48-9833-5336F2446C29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41802" y="829504"/>
          <a:ext cx="1830631" cy="1321485"/>
        </a:xfrm>
        <a:prstGeom prst="rect">
          <a:avLst/>
        </a:prstGeom>
      </xdr:spPr>
    </xdr:pic>
    <xdr:clientData/>
  </xdr:twoCellAnchor>
  <xdr:twoCellAnchor editAs="oneCell">
    <xdr:from>
      <xdr:col>7</xdr:col>
      <xdr:colOff>389010</xdr:colOff>
      <xdr:row>6</xdr:row>
      <xdr:rowOff>0</xdr:rowOff>
    </xdr:from>
    <xdr:to>
      <xdr:col>8</xdr:col>
      <xdr:colOff>646442</xdr:colOff>
      <xdr:row>12</xdr:row>
      <xdr:rowOff>91532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91C2AE09-AF47-C144-BA44-0CB78EE454A2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155496" y="823784"/>
          <a:ext cx="1081216" cy="1327207"/>
        </a:xfrm>
        <a:prstGeom prst="rect">
          <a:avLst/>
        </a:prstGeom>
      </xdr:spPr>
    </xdr:pic>
    <xdr:clientData/>
  </xdr:twoCellAnchor>
  <xdr:twoCellAnchor editAs="oneCell">
    <xdr:from>
      <xdr:col>5</xdr:col>
      <xdr:colOff>40045</xdr:colOff>
      <xdr:row>14</xdr:row>
      <xdr:rowOff>51486</xdr:rowOff>
    </xdr:from>
    <xdr:to>
      <xdr:col>7</xdr:col>
      <xdr:colOff>11442</xdr:colOff>
      <xdr:row>19</xdr:row>
      <xdr:rowOff>62928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5B752AD-507C-8547-9A26-C56051B59E22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158964" y="2522837"/>
          <a:ext cx="1618964" cy="1041172"/>
        </a:xfrm>
        <a:prstGeom prst="rect">
          <a:avLst/>
        </a:prstGeom>
      </xdr:spPr>
    </xdr:pic>
    <xdr:clientData/>
  </xdr:twoCellAnchor>
  <xdr:twoCellAnchor editAs="oneCell">
    <xdr:from>
      <xdr:col>7</xdr:col>
      <xdr:colOff>457655</xdr:colOff>
      <xdr:row>14</xdr:row>
      <xdr:rowOff>34325</xdr:rowOff>
    </xdr:from>
    <xdr:to>
      <xdr:col>8</xdr:col>
      <xdr:colOff>434774</xdr:colOff>
      <xdr:row>19</xdr:row>
      <xdr:rowOff>74369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661C3AA7-42C2-684E-A336-7114359FD72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224141" y="2505676"/>
          <a:ext cx="800903" cy="1069774"/>
        </a:xfrm>
        <a:prstGeom prst="rect">
          <a:avLst/>
        </a:prstGeom>
      </xdr:spPr>
    </xdr:pic>
    <xdr:clientData/>
  </xdr:twoCellAnchor>
  <xdr:twoCellAnchor editAs="oneCell">
    <xdr:from>
      <xdr:col>5</xdr:col>
      <xdr:colOff>45766</xdr:colOff>
      <xdr:row>21</xdr:row>
      <xdr:rowOff>40044</xdr:rowOff>
    </xdr:from>
    <xdr:to>
      <xdr:col>7</xdr:col>
      <xdr:colOff>45767</xdr:colOff>
      <xdr:row>27</xdr:row>
      <xdr:rowOff>17161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3ECE7D58-6D0D-F949-976D-E8CF788E4304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64685" y="3953017"/>
          <a:ext cx="1647568" cy="1212793"/>
        </a:xfrm>
        <a:prstGeom prst="rect">
          <a:avLst/>
        </a:prstGeom>
      </xdr:spPr>
    </xdr:pic>
    <xdr:clientData/>
  </xdr:twoCellAnchor>
  <xdr:twoCellAnchor editAs="oneCell">
    <xdr:from>
      <xdr:col>7</xdr:col>
      <xdr:colOff>417613</xdr:colOff>
      <xdr:row>21</xdr:row>
      <xdr:rowOff>102974</xdr:rowOff>
    </xdr:from>
    <xdr:to>
      <xdr:col>8</xdr:col>
      <xdr:colOff>434775</xdr:colOff>
      <xdr:row>26</xdr:row>
      <xdr:rowOff>202045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6E2DDF4-8F08-DD43-BFA8-2A3E63F6FECA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184099" y="4015947"/>
          <a:ext cx="840946" cy="1132702"/>
        </a:xfrm>
        <a:prstGeom prst="rect">
          <a:avLst/>
        </a:prstGeom>
      </xdr:spPr>
    </xdr:pic>
    <xdr:clientData/>
  </xdr:twoCellAnchor>
  <xdr:twoCellAnchor editAs="oneCell">
    <xdr:from>
      <xdr:col>5</xdr:col>
      <xdr:colOff>40045</xdr:colOff>
      <xdr:row>29</xdr:row>
      <xdr:rowOff>28605</xdr:rowOff>
    </xdr:from>
    <xdr:to>
      <xdr:col>7</xdr:col>
      <xdr:colOff>11441</xdr:colOff>
      <xdr:row>34</xdr:row>
      <xdr:rowOff>154462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FDBC2955-FBEA-A345-9746-8B92B616B0B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58964" y="5589146"/>
          <a:ext cx="1618963" cy="1155586"/>
        </a:xfrm>
        <a:prstGeom prst="rect">
          <a:avLst/>
        </a:prstGeom>
      </xdr:spPr>
    </xdr:pic>
    <xdr:clientData/>
  </xdr:twoCellAnchor>
  <xdr:twoCellAnchor editAs="oneCell">
    <xdr:from>
      <xdr:col>7</xdr:col>
      <xdr:colOff>480537</xdr:colOff>
      <xdr:row>29</xdr:row>
      <xdr:rowOff>45765</xdr:rowOff>
    </xdr:from>
    <xdr:to>
      <xdr:col>8</xdr:col>
      <xdr:colOff>359760</xdr:colOff>
      <xdr:row>34</xdr:row>
      <xdr:rowOff>165901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AE16FADC-35D3-B045-9E9B-5E19AA949A8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247023" y="5606306"/>
          <a:ext cx="703007" cy="1149865"/>
        </a:xfrm>
        <a:prstGeom prst="rect">
          <a:avLst/>
        </a:prstGeom>
      </xdr:spPr>
    </xdr:pic>
    <xdr:clientData/>
  </xdr:twoCellAnchor>
  <xdr:twoCellAnchor editAs="oneCell">
    <xdr:from>
      <xdr:col>5</xdr:col>
      <xdr:colOff>85810</xdr:colOff>
      <xdr:row>36</xdr:row>
      <xdr:rowOff>45766</xdr:rowOff>
    </xdr:from>
    <xdr:to>
      <xdr:col>6</xdr:col>
      <xdr:colOff>766575</xdr:colOff>
      <xdr:row>42</xdr:row>
      <xdr:rowOff>80090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AEBC196E-CDB7-D045-9B6C-D234B227377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04729" y="7047928"/>
          <a:ext cx="1504549" cy="127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434775</xdr:colOff>
      <xdr:row>36</xdr:row>
      <xdr:rowOff>85811</xdr:rowOff>
    </xdr:from>
    <xdr:to>
      <xdr:col>8</xdr:col>
      <xdr:colOff>451937</xdr:colOff>
      <xdr:row>42</xdr:row>
      <xdr:rowOff>57207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8BE6731E-D223-0846-B434-DDC64784343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01261" y="7087973"/>
          <a:ext cx="840946" cy="1207072"/>
        </a:xfrm>
        <a:prstGeom prst="rect">
          <a:avLst/>
        </a:prstGeom>
      </xdr:spPr>
    </xdr:pic>
    <xdr:clientData/>
  </xdr:twoCellAnchor>
  <xdr:twoCellAnchor editAs="oneCell">
    <xdr:from>
      <xdr:col>5</xdr:col>
      <xdr:colOff>74370</xdr:colOff>
      <xdr:row>44</xdr:row>
      <xdr:rowOff>40044</xdr:rowOff>
    </xdr:from>
    <xdr:to>
      <xdr:col>6</xdr:col>
      <xdr:colOff>783739</xdr:colOff>
      <xdr:row>50</xdr:row>
      <xdr:rowOff>148739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94DC095-FB6F-7A41-9F0B-5AD4E1731F2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3289" y="8689774"/>
          <a:ext cx="1533153" cy="1344370"/>
        </a:xfrm>
        <a:prstGeom prst="rect">
          <a:avLst/>
        </a:prstGeom>
      </xdr:spPr>
    </xdr:pic>
    <xdr:clientData/>
  </xdr:twoCellAnchor>
  <xdr:twoCellAnchor editAs="oneCell">
    <xdr:from>
      <xdr:col>7</xdr:col>
      <xdr:colOff>469100</xdr:colOff>
      <xdr:row>44</xdr:row>
      <xdr:rowOff>68649</xdr:rowOff>
    </xdr:from>
    <xdr:to>
      <xdr:col>8</xdr:col>
      <xdr:colOff>514865</xdr:colOff>
      <xdr:row>50</xdr:row>
      <xdr:rowOff>125858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29472F00-905C-A842-8AF8-4655852DDD07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35586" y="8718379"/>
          <a:ext cx="869549" cy="1292884"/>
        </a:xfrm>
        <a:prstGeom prst="rect">
          <a:avLst/>
        </a:prstGeom>
      </xdr:spPr>
    </xdr:pic>
    <xdr:clientData/>
  </xdr:twoCellAnchor>
  <xdr:twoCellAnchor editAs="oneCell">
    <xdr:from>
      <xdr:col>5</xdr:col>
      <xdr:colOff>45765</xdr:colOff>
      <xdr:row>52</xdr:row>
      <xdr:rowOff>51488</xdr:rowOff>
    </xdr:from>
    <xdr:to>
      <xdr:col>7</xdr:col>
      <xdr:colOff>40045</xdr:colOff>
      <xdr:row>58</xdr:row>
      <xdr:rowOff>57208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ADE88C0-6A51-234E-8B96-76DC0E2E031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64684" y="10348785"/>
          <a:ext cx="1641847" cy="1241396"/>
        </a:xfrm>
        <a:prstGeom prst="rect">
          <a:avLst/>
        </a:prstGeom>
      </xdr:spPr>
    </xdr:pic>
    <xdr:clientData/>
  </xdr:twoCellAnchor>
  <xdr:twoCellAnchor editAs="oneCell">
    <xdr:from>
      <xdr:col>7</xdr:col>
      <xdr:colOff>469099</xdr:colOff>
      <xdr:row>52</xdr:row>
      <xdr:rowOff>51486</xdr:rowOff>
    </xdr:from>
    <xdr:to>
      <xdr:col>8</xdr:col>
      <xdr:colOff>612118</xdr:colOff>
      <xdr:row>58</xdr:row>
      <xdr:rowOff>51485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46C7292-937A-904A-85F8-B9E5DACA6BC2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235585" y="10348783"/>
          <a:ext cx="966803" cy="1235675"/>
        </a:xfrm>
        <a:prstGeom prst="rect">
          <a:avLst/>
        </a:prstGeom>
      </xdr:spPr>
    </xdr:pic>
    <xdr:clientData/>
  </xdr:twoCellAnchor>
  <xdr:twoCellAnchor editAs="oneCell">
    <xdr:from>
      <xdr:col>5</xdr:col>
      <xdr:colOff>91532</xdr:colOff>
      <xdr:row>59</xdr:row>
      <xdr:rowOff>177342</xdr:rowOff>
    </xdr:from>
    <xdr:to>
      <xdr:col>6</xdr:col>
      <xdr:colOff>717232</xdr:colOff>
      <xdr:row>65</xdr:row>
      <xdr:rowOff>74369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07BD72E-4413-9740-9D16-18A9F171323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0451" y="11916261"/>
          <a:ext cx="1449484" cy="1132703"/>
        </a:xfrm>
        <a:prstGeom prst="rect">
          <a:avLst/>
        </a:prstGeom>
      </xdr:spPr>
    </xdr:pic>
    <xdr:clientData/>
  </xdr:twoCellAnchor>
  <xdr:twoCellAnchor editAs="oneCell">
    <xdr:from>
      <xdr:col>7</xdr:col>
      <xdr:colOff>366127</xdr:colOff>
      <xdr:row>59</xdr:row>
      <xdr:rowOff>194505</xdr:rowOff>
    </xdr:from>
    <xdr:to>
      <xdr:col>8</xdr:col>
      <xdr:colOff>469099</xdr:colOff>
      <xdr:row>65</xdr:row>
      <xdr:rowOff>125855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636F608A-5440-C644-8C1F-0222CD96CC8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132613" y="11933424"/>
          <a:ext cx="926756" cy="1167026"/>
        </a:xfrm>
        <a:prstGeom prst="rect">
          <a:avLst/>
        </a:prstGeom>
      </xdr:spPr>
    </xdr:pic>
    <xdr:clientData/>
  </xdr:twoCellAnchor>
  <xdr:twoCellAnchor editAs="oneCell">
    <xdr:from>
      <xdr:col>5</xdr:col>
      <xdr:colOff>91531</xdr:colOff>
      <xdr:row>67</xdr:row>
      <xdr:rowOff>28604</xdr:rowOff>
    </xdr:from>
    <xdr:to>
      <xdr:col>6</xdr:col>
      <xdr:colOff>692207</xdr:colOff>
      <xdr:row>72</xdr:row>
      <xdr:rowOff>137298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8F55D384-DC3D-4F46-A291-3BD3B829569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210450" y="13415090"/>
          <a:ext cx="1424460" cy="1138424"/>
        </a:xfrm>
        <a:prstGeom prst="rect">
          <a:avLst/>
        </a:prstGeom>
      </xdr:spPr>
    </xdr:pic>
    <xdr:clientData/>
  </xdr:twoCellAnchor>
  <xdr:twoCellAnchor editAs="oneCell">
    <xdr:from>
      <xdr:col>7</xdr:col>
      <xdr:colOff>337524</xdr:colOff>
      <xdr:row>67</xdr:row>
      <xdr:rowOff>68649</xdr:rowOff>
    </xdr:from>
    <xdr:to>
      <xdr:col>8</xdr:col>
      <xdr:colOff>532028</xdr:colOff>
      <xdr:row>72</xdr:row>
      <xdr:rowOff>194505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19048BCA-71ED-114F-B3BD-8F0155D797A6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104010" y="13455135"/>
          <a:ext cx="1018288" cy="1155586"/>
        </a:xfrm>
        <a:prstGeom prst="rect">
          <a:avLst/>
        </a:prstGeom>
      </xdr:spPr>
    </xdr:pic>
    <xdr:clientData/>
  </xdr:twoCellAnchor>
  <xdr:twoCellAnchor editAs="oneCell">
    <xdr:from>
      <xdr:col>5</xdr:col>
      <xdr:colOff>68649</xdr:colOff>
      <xdr:row>74</xdr:row>
      <xdr:rowOff>45766</xdr:rowOff>
    </xdr:from>
    <xdr:to>
      <xdr:col>6</xdr:col>
      <xdr:colOff>755135</xdr:colOff>
      <xdr:row>80</xdr:row>
      <xdr:rowOff>17161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A2F1CF0E-BB0A-A546-BEDF-A6BFF9E795CB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87568" y="14873874"/>
          <a:ext cx="1510270" cy="1207071"/>
        </a:xfrm>
        <a:prstGeom prst="rect">
          <a:avLst/>
        </a:prstGeom>
      </xdr:spPr>
    </xdr:pic>
    <xdr:clientData/>
  </xdr:twoCellAnchor>
  <xdr:twoCellAnchor editAs="oneCell">
    <xdr:from>
      <xdr:col>7</xdr:col>
      <xdr:colOff>371846</xdr:colOff>
      <xdr:row>74</xdr:row>
      <xdr:rowOff>17162</xdr:rowOff>
    </xdr:from>
    <xdr:to>
      <xdr:col>8</xdr:col>
      <xdr:colOff>520585</xdr:colOff>
      <xdr:row>80</xdr:row>
      <xdr:rowOff>22883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B4F95B9A-47B3-144F-8F46-EE343312EFEE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138332" y="14845270"/>
          <a:ext cx="972523" cy="1241397"/>
        </a:xfrm>
        <a:prstGeom prst="rect">
          <a:avLst/>
        </a:prstGeom>
      </xdr:spPr>
    </xdr:pic>
    <xdr:clientData/>
  </xdr:twoCellAnchor>
  <xdr:twoCellAnchor editAs="oneCell">
    <xdr:from>
      <xdr:col>5</xdr:col>
      <xdr:colOff>57207</xdr:colOff>
      <xdr:row>82</xdr:row>
      <xdr:rowOff>51487</xdr:rowOff>
    </xdr:from>
    <xdr:to>
      <xdr:col>6</xdr:col>
      <xdr:colOff>795180</xdr:colOff>
      <xdr:row>88</xdr:row>
      <xdr:rowOff>3901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E46928D8-EAC4-EB45-8712-44104AABC3F3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6126" y="16527163"/>
          <a:ext cx="1561757" cy="1184188"/>
        </a:xfrm>
        <a:prstGeom prst="rect">
          <a:avLst/>
        </a:prstGeom>
      </xdr:spPr>
    </xdr:pic>
    <xdr:clientData/>
  </xdr:twoCellAnchor>
  <xdr:twoCellAnchor editAs="oneCell">
    <xdr:from>
      <xdr:col>7</xdr:col>
      <xdr:colOff>303199</xdr:colOff>
      <xdr:row>82</xdr:row>
      <xdr:rowOff>51487</xdr:rowOff>
    </xdr:from>
    <xdr:to>
      <xdr:col>8</xdr:col>
      <xdr:colOff>463379</xdr:colOff>
      <xdr:row>87</xdr:row>
      <xdr:rowOff>154460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BD58505E-6478-A04C-B950-0B6A068B38DE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69685" y="16527163"/>
          <a:ext cx="983964" cy="1132702"/>
        </a:xfrm>
        <a:prstGeom prst="rect">
          <a:avLst/>
        </a:prstGeom>
      </xdr:spPr>
    </xdr:pic>
    <xdr:clientData/>
  </xdr:twoCellAnchor>
  <xdr:twoCellAnchor editAs="oneCell">
    <xdr:from>
      <xdr:col>5</xdr:col>
      <xdr:colOff>51486</xdr:colOff>
      <xdr:row>90</xdr:row>
      <xdr:rowOff>22885</xdr:rowOff>
    </xdr:from>
    <xdr:to>
      <xdr:col>6</xdr:col>
      <xdr:colOff>783738</xdr:colOff>
      <xdr:row>95</xdr:row>
      <xdr:rowOff>148739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8B7A2096-1C53-D244-9ED2-1DA2107A9389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0405" y="18146128"/>
          <a:ext cx="1556036" cy="1155584"/>
        </a:xfrm>
        <a:prstGeom prst="rect">
          <a:avLst/>
        </a:prstGeom>
      </xdr:spPr>
    </xdr:pic>
    <xdr:clientData/>
  </xdr:twoCellAnchor>
  <xdr:twoCellAnchor editAs="oneCell">
    <xdr:from>
      <xdr:col>7</xdr:col>
      <xdr:colOff>274595</xdr:colOff>
      <xdr:row>90</xdr:row>
      <xdr:rowOff>5722</xdr:rowOff>
    </xdr:from>
    <xdr:to>
      <xdr:col>8</xdr:col>
      <xdr:colOff>354684</xdr:colOff>
      <xdr:row>95</xdr:row>
      <xdr:rowOff>120136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74CCBAB2-0686-8E4B-8347-E3B156B3CC94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041081" y="18128965"/>
          <a:ext cx="903873" cy="1144144"/>
        </a:xfrm>
        <a:prstGeom prst="rect">
          <a:avLst/>
        </a:prstGeom>
      </xdr:spPr>
    </xdr:pic>
    <xdr:clientData/>
  </xdr:twoCellAnchor>
  <xdr:twoCellAnchor editAs="oneCell">
    <xdr:from>
      <xdr:col>5</xdr:col>
      <xdr:colOff>51486</xdr:colOff>
      <xdr:row>97</xdr:row>
      <xdr:rowOff>45765</xdr:rowOff>
    </xdr:from>
    <xdr:to>
      <xdr:col>6</xdr:col>
      <xdr:colOff>749414</xdr:colOff>
      <xdr:row>104</xdr:row>
      <xdr:rowOff>143018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C4E51A69-B4DC-704B-81DD-0F587EA98039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0405" y="19610630"/>
          <a:ext cx="1521712" cy="1538874"/>
        </a:xfrm>
        <a:prstGeom prst="rect">
          <a:avLst/>
        </a:prstGeom>
      </xdr:spPr>
    </xdr:pic>
    <xdr:clientData/>
  </xdr:twoCellAnchor>
  <xdr:twoCellAnchor editAs="oneCell">
    <xdr:from>
      <xdr:col>7</xdr:col>
      <xdr:colOff>205945</xdr:colOff>
      <xdr:row>97</xdr:row>
      <xdr:rowOff>97252</xdr:rowOff>
    </xdr:from>
    <xdr:to>
      <xdr:col>8</xdr:col>
      <xdr:colOff>400450</xdr:colOff>
      <xdr:row>104</xdr:row>
      <xdr:rowOff>108694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BED7DEAB-4269-F543-98FC-CC1A6E352BE4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5972431" y="19662117"/>
          <a:ext cx="1018289" cy="1453063"/>
        </a:xfrm>
        <a:prstGeom prst="rect">
          <a:avLst/>
        </a:prstGeom>
      </xdr:spPr>
    </xdr:pic>
    <xdr:clientData/>
  </xdr:twoCellAnchor>
  <xdr:twoCellAnchor editAs="oneCell">
    <xdr:from>
      <xdr:col>5</xdr:col>
      <xdr:colOff>51487</xdr:colOff>
      <xdr:row>106</xdr:row>
      <xdr:rowOff>40046</xdr:rowOff>
    </xdr:from>
    <xdr:to>
      <xdr:col>6</xdr:col>
      <xdr:colOff>772297</xdr:colOff>
      <xdr:row>112</xdr:row>
      <xdr:rowOff>22884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BA24B554-95FA-DC4F-8600-88F2EE660BC4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0406" y="21458424"/>
          <a:ext cx="1544594" cy="1218514"/>
        </a:xfrm>
        <a:prstGeom prst="rect">
          <a:avLst/>
        </a:prstGeom>
      </xdr:spPr>
    </xdr:pic>
    <xdr:clientData/>
  </xdr:twoCellAnchor>
  <xdr:twoCellAnchor editAs="oneCell">
    <xdr:from>
      <xdr:col>7</xdr:col>
      <xdr:colOff>263153</xdr:colOff>
      <xdr:row>106</xdr:row>
      <xdr:rowOff>40046</xdr:rowOff>
    </xdr:from>
    <xdr:to>
      <xdr:col>8</xdr:col>
      <xdr:colOff>451937</xdr:colOff>
      <xdr:row>111</xdr:row>
      <xdr:rowOff>177342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165AFF92-0DD8-D946-993F-76532D9039A9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29639" y="21458424"/>
          <a:ext cx="1012568" cy="1167026"/>
        </a:xfrm>
        <a:prstGeom prst="rect">
          <a:avLst/>
        </a:prstGeom>
      </xdr:spPr>
    </xdr:pic>
    <xdr:clientData/>
  </xdr:twoCellAnchor>
  <xdr:twoCellAnchor editAs="oneCell">
    <xdr:from>
      <xdr:col>5</xdr:col>
      <xdr:colOff>28605</xdr:colOff>
      <xdr:row>113</xdr:row>
      <xdr:rowOff>40045</xdr:rowOff>
    </xdr:from>
    <xdr:to>
      <xdr:col>6</xdr:col>
      <xdr:colOff>726531</xdr:colOff>
      <xdr:row>118</xdr:row>
      <xdr:rowOff>177342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D4AD33F0-038A-E64D-9F3F-8242F4783AE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47524" y="22900045"/>
          <a:ext cx="1521710" cy="1167027"/>
        </a:xfrm>
        <a:prstGeom prst="rect">
          <a:avLst/>
        </a:prstGeom>
      </xdr:spPr>
    </xdr:pic>
    <xdr:clientData/>
  </xdr:twoCellAnchor>
  <xdr:twoCellAnchor editAs="oneCell">
    <xdr:from>
      <xdr:col>7</xdr:col>
      <xdr:colOff>354685</xdr:colOff>
      <xdr:row>113</xdr:row>
      <xdr:rowOff>51486</xdr:rowOff>
    </xdr:from>
    <xdr:to>
      <xdr:col>8</xdr:col>
      <xdr:colOff>394730</xdr:colOff>
      <xdr:row>118</xdr:row>
      <xdr:rowOff>183062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744B5CDB-8EBE-0149-9D7F-52277EA9503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121171" y="22911486"/>
          <a:ext cx="863829" cy="1161306"/>
        </a:xfrm>
        <a:prstGeom prst="rect">
          <a:avLst/>
        </a:prstGeom>
      </xdr:spPr>
    </xdr:pic>
    <xdr:clientData/>
  </xdr:twoCellAnchor>
  <xdr:twoCellAnchor editAs="oneCell">
    <xdr:from>
      <xdr:col>5</xdr:col>
      <xdr:colOff>18759</xdr:colOff>
      <xdr:row>120</xdr:row>
      <xdr:rowOff>19985</xdr:rowOff>
    </xdr:from>
    <xdr:to>
      <xdr:col>7</xdr:col>
      <xdr:colOff>7317</xdr:colOff>
      <xdr:row>126</xdr:row>
      <xdr:rowOff>199149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88BD081A-0523-6341-B031-D979AB14371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42136" y="23861349"/>
          <a:ext cx="1637908" cy="1391436"/>
        </a:xfrm>
        <a:prstGeom prst="rect">
          <a:avLst/>
        </a:prstGeom>
      </xdr:spPr>
    </xdr:pic>
    <xdr:clientData/>
  </xdr:twoCellAnchor>
  <xdr:twoCellAnchor editAs="oneCell">
    <xdr:from>
      <xdr:col>7</xdr:col>
      <xdr:colOff>364641</xdr:colOff>
      <xdr:row>120</xdr:row>
      <xdr:rowOff>19427</xdr:rowOff>
    </xdr:from>
    <xdr:to>
      <xdr:col>8</xdr:col>
      <xdr:colOff>342240</xdr:colOff>
      <xdr:row>126</xdr:row>
      <xdr:rowOff>187150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6C9F9D2-7A4E-CE43-B548-4BAD42E50B35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V="1">
          <a:off x="6137368" y="23860791"/>
          <a:ext cx="802275" cy="1379995"/>
        </a:xfrm>
        <a:prstGeom prst="rect">
          <a:avLst/>
        </a:prstGeom>
      </xdr:spPr>
    </xdr:pic>
    <xdr:clientData/>
  </xdr:twoCellAnchor>
  <xdr:twoCellAnchor editAs="oneCell">
    <xdr:from>
      <xdr:col>5</xdr:col>
      <xdr:colOff>37111</xdr:colOff>
      <xdr:row>128</xdr:row>
      <xdr:rowOff>45357</xdr:rowOff>
    </xdr:from>
    <xdr:to>
      <xdr:col>6</xdr:col>
      <xdr:colOff>725714</xdr:colOff>
      <xdr:row>134</xdr:row>
      <xdr:rowOff>61849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D7D65456-1C0E-B34E-B78F-68F782C84D54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60488" y="25503084"/>
          <a:ext cx="1513278" cy="1228765"/>
        </a:xfrm>
        <a:prstGeom prst="rect">
          <a:avLst/>
        </a:prstGeom>
      </xdr:spPr>
    </xdr:pic>
    <xdr:clientData/>
  </xdr:twoCellAnchor>
  <xdr:twoCellAnchor editAs="oneCell">
    <xdr:from>
      <xdr:col>7</xdr:col>
      <xdr:colOff>333994</xdr:colOff>
      <xdr:row>128</xdr:row>
      <xdr:rowOff>45356</xdr:rowOff>
    </xdr:from>
    <xdr:to>
      <xdr:col>8</xdr:col>
      <xdr:colOff>408214</xdr:colOff>
      <xdr:row>134</xdr:row>
      <xdr:rowOff>61850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2DBE1DEE-9EEA-0C46-8072-61EAA4790FEE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106721" y="25503083"/>
          <a:ext cx="898896" cy="1228767"/>
        </a:xfrm>
        <a:prstGeom prst="rect">
          <a:avLst/>
        </a:prstGeom>
      </xdr:spPr>
    </xdr:pic>
    <xdr:clientData/>
  </xdr:twoCellAnchor>
  <xdr:twoCellAnchor editAs="oneCell">
    <xdr:from>
      <xdr:col>5</xdr:col>
      <xdr:colOff>37111</xdr:colOff>
      <xdr:row>136</xdr:row>
      <xdr:rowOff>32988</xdr:rowOff>
    </xdr:from>
    <xdr:to>
      <xdr:col>6</xdr:col>
      <xdr:colOff>791688</xdr:colOff>
      <xdr:row>143</xdr:row>
      <xdr:rowOff>86592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B27115DD-1F09-E54B-9EED-2663406E147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60488" y="27107079"/>
          <a:ext cx="1579252" cy="1467922"/>
        </a:xfrm>
        <a:prstGeom prst="rect">
          <a:avLst/>
        </a:prstGeom>
      </xdr:spPr>
    </xdr:pic>
    <xdr:clientData/>
  </xdr:twoCellAnchor>
  <xdr:twoCellAnchor editAs="oneCell">
    <xdr:from>
      <xdr:col>7</xdr:col>
      <xdr:colOff>383472</xdr:colOff>
      <xdr:row>136</xdr:row>
      <xdr:rowOff>24740</xdr:rowOff>
    </xdr:from>
    <xdr:to>
      <xdr:col>8</xdr:col>
      <xdr:colOff>511297</xdr:colOff>
      <xdr:row>143</xdr:row>
      <xdr:rowOff>45357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83E4F639-E092-7E4F-B322-3207A0C91565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156199" y="27098831"/>
          <a:ext cx="952501" cy="1434935"/>
        </a:xfrm>
        <a:prstGeom prst="rect">
          <a:avLst/>
        </a:prstGeom>
      </xdr:spPr>
    </xdr:pic>
    <xdr:clientData/>
  </xdr:twoCellAnchor>
  <xdr:twoCellAnchor editAs="oneCell">
    <xdr:from>
      <xdr:col>5</xdr:col>
      <xdr:colOff>32985</xdr:colOff>
      <xdr:row>145</xdr:row>
      <xdr:rowOff>86591</xdr:rowOff>
    </xdr:from>
    <xdr:to>
      <xdr:col>6</xdr:col>
      <xdr:colOff>795809</xdr:colOff>
      <xdr:row>150</xdr:row>
      <xdr:rowOff>12370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3DF642CE-BECD-2048-BA1B-0DD0E5D0AD9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4156362" y="28979091"/>
          <a:ext cx="1587499" cy="936006"/>
        </a:xfrm>
        <a:prstGeom prst="rect">
          <a:avLst/>
        </a:prstGeom>
      </xdr:spPr>
    </xdr:pic>
    <xdr:clientData/>
  </xdr:twoCellAnchor>
  <xdr:twoCellAnchor editAs="oneCell">
    <xdr:from>
      <xdr:col>7</xdr:col>
      <xdr:colOff>441200</xdr:colOff>
      <xdr:row>145</xdr:row>
      <xdr:rowOff>70096</xdr:rowOff>
    </xdr:from>
    <xdr:to>
      <xdr:col>8</xdr:col>
      <xdr:colOff>478309</xdr:colOff>
      <xdr:row>150</xdr:row>
      <xdr:rowOff>8247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D948A08C-1E68-934A-BEA7-BD2827651CD3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6213927" y="28962596"/>
          <a:ext cx="861785" cy="948378"/>
        </a:xfrm>
        <a:prstGeom prst="rect">
          <a:avLst/>
        </a:prstGeom>
      </xdr:spPr>
    </xdr:pic>
    <xdr:clientData/>
  </xdr:twoCellAnchor>
  <xdr:twoCellAnchor editAs="oneCell">
    <xdr:from>
      <xdr:col>5</xdr:col>
      <xdr:colOff>32986</xdr:colOff>
      <xdr:row>152</xdr:row>
      <xdr:rowOff>24741</xdr:rowOff>
    </xdr:from>
    <xdr:to>
      <xdr:col>7</xdr:col>
      <xdr:colOff>20617</xdr:colOff>
      <xdr:row>158</xdr:row>
      <xdr:rowOff>107208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27533D1B-C3F9-F548-A4E2-9EAE9AD40E5C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56363" y="30331559"/>
          <a:ext cx="1636981" cy="1294740"/>
        </a:xfrm>
        <a:prstGeom prst="rect">
          <a:avLst/>
        </a:prstGeom>
      </xdr:spPr>
    </xdr:pic>
    <xdr:clientData/>
  </xdr:twoCellAnchor>
  <xdr:twoCellAnchor editAs="oneCell">
    <xdr:from>
      <xdr:col>7</xdr:col>
      <xdr:colOff>420585</xdr:colOff>
      <xdr:row>152</xdr:row>
      <xdr:rowOff>16495</xdr:rowOff>
    </xdr:from>
    <xdr:to>
      <xdr:col>8</xdr:col>
      <xdr:colOff>432954</xdr:colOff>
      <xdr:row>158</xdr:row>
      <xdr:rowOff>111332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E1F26A0-BF95-4A44-9E91-85B7433857AF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193312" y="30323313"/>
          <a:ext cx="837045" cy="1307110"/>
        </a:xfrm>
        <a:prstGeom prst="rect">
          <a:avLst/>
        </a:prstGeom>
      </xdr:spPr>
    </xdr:pic>
    <xdr:clientData/>
  </xdr:twoCellAnchor>
  <xdr:twoCellAnchor editAs="oneCell">
    <xdr:from>
      <xdr:col>5</xdr:col>
      <xdr:colOff>36860</xdr:colOff>
      <xdr:row>159</xdr:row>
      <xdr:rowOff>179622</xdr:rowOff>
    </xdr:from>
    <xdr:to>
      <xdr:col>6</xdr:col>
      <xdr:colOff>657838</xdr:colOff>
      <xdr:row>166</xdr:row>
      <xdr:rowOff>64168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3ECF4600-C69E-1842-A12C-FAFBCD60A6D8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2595" y="32767749"/>
          <a:ext cx="1448125" cy="1319243"/>
        </a:xfrm>
        <a:prstGeom prst="rect">
          <a:avLst/>
        </a:prstGeom>
      </xdr:spPr>
    </xdr:pic>
    <xdr:clientData/>
  </xdr:twoCellAnchor>
  <xdr:twoCellAnchor editAs="oneCell">
    <xdr:from>
      <xdr:col>7</xdr:col>
      <xdr:colOff>272143</xdr:colOff>
      <xdr:row>160</xdr:row>
      <xdr:rowOff>37110</xdr:rowOff>
    </xdr:from>
    <xdr:to>
      <xdr:col>8</xdr:col>
      <xdr:colOff>441200</xdr:colOff>
      <xdr:row>166</xdr:row>
      <xdr:rowOff>32986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4F4801D1-377C-AF49-A5D1-E182AE77446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44870" y="31960292"/>
          <a:ext cx="993733" cy="1208149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571500</xdr:colOff>
      <xdr:row>6</xdr:row>
      <xdr:rowOff>101600</xdr:rowOff>
    </xdr:from>
    <xdr:to>
      <xdr:col>12</xdr:col>
      <xdr:colOff>749300</xdr:colOff>
      <xdr:row>11</xdr:row>
      <xdr:rowOff>151002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3CAB9329-2FF9-9D45-9C5B-2090E71C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26500" y="1320800"/>
          <a:ext cx="1828800" cy="1065402"/>
        </a:xfrm>
        <a:prstGeom prst="rect">
          <a:avLst/>
        </a:prstGeom>
      </xdr:spPr>
    </xdr:pic>
    <xdr:clientData/>
  </xdr:twoCellAnchor>
  <xdr:twoCellAnchor editAs="oneCell">
    <xdr:from>
      <xdr:col>13</xdr:col>
      <xdr:colOff>177795</xdr:colOff>
      <xdr:row>6</xdr:row>
      <xdr:rowOff>154779</xdr:rowOff>
    </xdr:from>
    <xdr:to>
      <xdr:col>14</xdr:col>
      <xdr:colOff>41586</xdr:colOff>
      <xdr:row>12</xdr:row>
      <xdr:rowOff>76200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620FD982-1B00-4D44-9766-B17934FCF1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0909295" y="1373979"/>
          <a:ext cx="689291" cy="1140621"/>
        </a:xfrm>
        <a:prstGeom prst="rect">
          <a:avLst/>
        </a:prstGeom>
      </xdr:spPr>
    </xdr:pic>
    <xdr:clientData/>
  </xdr:twoCellAnchor>
  <xdr:twoCellAnchor editAs="oneCell">
    <xdr:from>
      <xdr:col>10</xdr:col>
      <xdr:colOff>558800</xdr:colOff>
      <xdr:row>14</xdr:row>
      <xdr:rowOff>101600</xdr:rowOff>
    </xdr:from>
    <xdr:to>
      <xdr:col>12</xdr:col>
      <xdr:colOff>582688</xdr:colOff>
      <xdr:row>19</xdr:row>
      <xdr:rowOff>190500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B6B64F84-89F3-2A4F-8659-FA2B51487B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13800" y="2946400"/>
          <a:ext cx="1674888" cy="1104900"/>
        </a:xfrm>
        <a:prstGeom prst="rect">
          <a:avLst/>
        </a:prstGeom>
      </xdr:spPr>
    </xdr:pic>
    <xdr:clientData/>
  </xdr:twoCellAnchor>
  <xdr:twoCellAnchor editAs="oneCell">
    <xdr:from>
      <xdr:col>13</xdr:col>
      <xdr:colOff>127000</xdr:colOff>
      <xdr:row>14</xdr:row>
      <xdr:rowOff>88900</xdr:rowOff>
    </xdr:from>
    <xdr:to>
      <xdr:col>14</xdr:col>
      <xdr:colOff>88900</xdr:colOff>
      <xdr:row>20</xdr:row>
      <xdr:rowOff>21993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FD29B872-D1A9-0B48-9D15-B847BCFB0A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8500" y="2933700"/>
          <a:ext cx="787400" cy="1152293"/>
        </a:xfrm>
        <a:prstGeom prst="rect">
          <a:avLst/>
        </a:prstGeom>
      </xdr:spPr>
    </xdr:pic>
    <xdr:clientData/>
  </xdr:twoCellAnchor>
  <xdr:twoCellAnchor editAs="oneCell">
    <xdr:from>
      <xdr:col>10</xdr:col>
      <xdr:colOff>533400</xdr:colOff>
      <xdr:row>22</xdr:row>
      <xdr:rowOff>76200</xdr:rowOff>
    </xdr:from>
    <xdr:to>
      <xdr:col>12</xdr:col>
      <xdr:colOff>368300</xdr:colOff>
      <xdr:row>28</xdr:row>
      <xdr:rowOff>51363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CF7C2316-1736-594B-A30D-18168A6AD9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88400" y="4546600"/>
          <a:ext cx="1485900" cy="1194363"/>
        </a:xfrm>
        <a:prstGeom prst="rect">
          <a:avLst/>
        </a:prstGeom>
      </xdr:spPr>
    </xdr:pic>
    <xdr:clientData/>
  </xdr:twoCellAnchor>
  <xdr:twoCellAnchor editAs="oneCell">
    <xdr:from>
      <xdr:col>13</xdr:col>
      <xdr:colOff>12700</xdr:colOff>
      <xdr:row>22</xdr:row>
      <xdr:rowOff>127000</xdr:rowOff>
    </xdr:from>
    <xdr:to>
      <xdr:col>14</xdr:col>
      <xdr:colOff>34713</xdr:colOff>
      <xdr:row>28</xdr:row>
      <xdr:rowOff>25400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191B2BEE-662D-6F41-ABFC-E90BAFD190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44200" y="4597400"/>
          <a:ext cx="847513" cy="11176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571500</xdr:colOff>
      <xdr:row>30</xdr:row>
      <xdr:rowOff>152400</xdr:rowOff>
    </xdr:from>
    <xdr:to>
      <xdr:col>12</xdr:col>
      <xdr:colOff>377139</xdr:colOff>
      <xdr:row>36</xdr:row>
      <xdr:rowOff>165100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CD096F14-3647-0447-87F6-E4220647ED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26500" y="6248400"/>
          <a:ext cx="1456639" cy="12319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31</xdr:row>
      <xdr:rowOff>25400</xdr:rowOff>
    </xdr:from>
    <xdr:to>
      <xdr:col>14</xdr:col>
      <xdr:colOff>101600</xdr:colOff>
      <xdr:row>36</xdr:row>
      <xdr:rowOff>156686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213C0F96-9914-B142-A206-504386148A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731500" y="6324600"/>
          <a:ext cx="927100" cy="1147286"/>
        </a:xfrm>
        <a:prstGeom prst="rect">
          <a:avLst/>
        </a:prstGeom>
      </xdr:spPr>
    </xdr:pic>
    <xdr:clientData/>
  </xdr:twoCellAnchor>
  <xdr:twoCellAnchor editAs="oneCell">
    <xdr:from>
      <xdr:col>10</xdr:col>
      <xdr:colOff>584200</xdr:colOff>
      <xdr:row>38</xdr:row>
      <xdr:rowOff>76200</xdr:rowOff>
    </xdr:from>
    <xdr:to>
      <xdr:col>12</xdr:col>
      <xdr:colOff>317500</xdr:colOff>
      <xdr:row>43</xdr:row>
      <xdr:rowOff>198605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4F319741-5834-0049-9CFD-EBD37B3CD5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39200" y="7797800"/>
          <a:ext cx="1384300" cy="1138405"/>
        </a:xfrm>
        <a:prstGeom prst="rect">
          <a:avLst/>
        </a:prstGeom>
      </xdr:spPr>
    </xdr:pic>
    <xdr:clientData/>
  </xdr:twoCellAnchor>
  <xdr:twoCellAnchor editAs="oneCell">
    <xdr:from>
      <xdr:col>12</xdr:col>
      <xdr:colOff>812800</xdr:colOff>
      <xdr:row>38</xdr:row>
      <xdr:rowOff>139700</xdr:rowOff>
    </xdr:from>
    <xdr:to>
      <xdr:col>13</xdr:col>
      <xdr:colOff>818710</xdr:colOff>
      <xdr:row>44</xdr:row>
      <xdr:rowOff>25400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5FEEE8F6-D190-634F-85CA-408A2D0B1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0718800" y="7861300"/>
          <a:ext cx="831410" cy="1104900"/>
        </a:xfrm>
        <a:prstGeom prst="rect">
          <a:avLst/>
        </a:prstGeom>
      </xdr:spPr>
    </xdr:pic>
    <xdr:clientData/>
  </xdr:twoCellAnchor>
  <xdr:twoCellAnchor editAs="oneCell">
    <xdr:from>
      <xdr:col>10</xdr:col>
      <xdr:colOff>469900</xdr:colOff>
      <xdr:row>45</xdr:row>
      <xdr:rowOff>38100</xdr:rowOff>
    </xdr:from>
    <xdr:to>
      <xdr:col>12</xdr:col>
      <xdr:colOff>279400</xdr:colOff>
      <xdr:row>51</xdr:row>
      <xdr:rowOff>125663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E11D6425-A0BC-AE44-A1E3-02F59F741E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24900" y="9182100"/>
          <a:ext cx="1460500" cy="1306763"/>
        </a:xfrm>
        <a:prstGeom prst="rect">
          <a:avLst/>
        </a:prstGeom>
      </xdr:spPr>
    </xdr:pic>
    <xdr:clientData/>
  </xdr:twoCellAnchor>
  <xdr:twoCellAnchor editAs="oneCell">
    <xdr:from>
      <xdr:col>12</xdr:col>
      <xdr:colOff>774700</xdr:colOff>
      <xdr:row>45</xdr:row>
      <xdr:rowOff>0</xdr:rowOff>
    </xdr:from>
    <xdr:to>
      <xdr:col>14</xdr:col>
      <xdr:colOff>127000</xdr:colOff>
      <xdr:row>51</xdr:row>
      <xdr:rowOff>127000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33C63FA8-119F-744D-9232-BD19D15F69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80700" y="9144000"/>
          <a:ext cx="1003300" cy="1346200"/>
        </a:xfrm>
        <a:prstGeom prst="rect">
          <a:avLst/>
        </a:prstGeom>
      </xdr:spPr>
    </xdr:pic>
    <xdr:clientData/>
  </xdr:twoCellAnchor>
  <xdr:twoCellAnchor editAs="oneCell">
    <xdr:from>
      <xdr:col>15</xdr:col>
      <xdr:colOff>127001</xdr:colOff>
      <xdr:row>6</xdr:row>
      <xdr:rowOff>50800</xdr:rowOff>
    </xdr:from>
    <xdr:to>
      <xdr:col>17</xdr:col>
      <xdr:colOff>12700</xdr:colOff>
      <xdr:row>12</xdr:row>
      <xdr:rowOff>19770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E685FBAC-4E02-744A-A496-CDCB64A7DB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509501" y="1270000"/>
          <a:ext cx="1536699" cy="1188170"/>
        </a:xfrm>
        <a:prstGeom prst="rect">
          <a:avLst/>
        </a:prstGeom>
      </xdr:spPr>
    </xdr:pic>
    <xdr:clientData/>
  </xdr:twoCellAnchor>
  <xdr:twoCellAnchor editAs="oneCell">
    <xdr:from>
      <xdr:col>17</xdr:col>
      <xdr:colOff>254000</xdr:colOff>
      <xdr:row>6</xdr:row>
      <xdr:rowOff>50801</xdr:rowOff>
    </xdr:from>
    <xdr:to>
      <xdr:col>18</xdr:col>
      <xdr:colOff>228600</xdr:colOff>
      <xdr:row>12</xdr:row>
      <xdr:rowOff>8219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A47FAF6C-BCED-AD4E-8DFD-F8D7333A9D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4287500" y="1270001"/>
          <a:ext cx="800100" cy="1176618"/>
        </a:xfrm>
        <a:prstGeom prst="rect">
          <a:avLst/>
        </a:prstGeom>
      </xdr:spPr>
    </xdr:pic>
    <xdr:clientData/>
  </xdr:twoCellAnchor>
  <xdr:twoCellAnchor editAs="oneCell">
    <xdr:from>
      <xdr:col>15</xdr:col>
      <xdr:colOff>127000</xdr:colOff>
      <xdr:row>14</xdr:row>
      <xdr:rowOff>76200</xdr:rowOff>
    </xdr:from>
    <xdr:to>
      <xdr:col>16</xdr:col>
      <xdr:colOff>800100</xdr:colOff>
      <xdr:row>20</xdr:row>
      <xdr:rowOff>91588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3E76D30B-95E8-4F4D-9B74-F723D99E95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52300" y="2921000"/>
          <a:ext cx="1498600" cy="1234588"/>
        </a:xfrm>
        <a:prstGeom prst="rect">
          <a:avLst/>
        </a:prstGeom>
      </xdr:spPr>
    </xdr:pic>
    <xdr:clientData/>
  </xdr:twoCellAnchor>
  <xdr:twoCellAnchor editAs="oneCell">
    <xdr:from>
      <xdr:col>17</xdr:col>
      <xdr:colOff>266700</xdr:colOff>
      <xdr:row>14</xdr:row>
      <xdr:rowOff>88900</xdr:rowOff>
    </xdr:from>
    <xdr:to>
      <xdr:col>18</xdr:col>
      <xdr:colOff>368300</xdr:colOff>
      <xdr:row>20</xdr:row>
      <xdr:rowOff>114300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94CAEC65-E663-FB41-BF99-77662CDF89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300200" y="2933700"/>
          <a:ext cx="927100" cy="1244600"/>
        </a:xfrm>
        <a:prstGeom prst="rect">
          <a:avLst/>
        </a:prstGeom>
      </xdr:spPr>
    </xdr:pic>
    <xdr:clientData/>
  </xdr:twoCellAnchor>
  <xdr:twoCellAnchor editAs="oneCell">
    <xdr:from>
      <xdr:col>15</xdr:col>
      <xdr:colOff>114300</xdr:colOff>
      <xdr:row>22</xdr:row>
      <xdr:rowOff>152400</xdr:rowOff>
    </xdr:from>
    <xdr:to>
      <xdr:col>17</xdr:col>
      <xdr:colOff>215900</xdr:colOff>
      <xdr:row>28</xdr:row>
      <xdr:rowOff>127000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EA4FA309-D01F-0945-9A98-AAA3AA7F0E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39600" y="4622800"/>
          <a:ext cx="1752600" cy="1193800"/>
        </a:xfrm>
        <a:prstGeom prst="rect">
          <a:avLst/>
        </a:prstGeom>
      </xdr:spPr>
    </xdr:pic>
    <xdr:clientData/>
  </xdr:twoCellAnchor>
  <xdr:twoCellAnchor editAs="oneCell">
    <xdr:from>
      <xdr:col>17</xdr:col>
      <xdr:colOff>330200</xdr:colOff>
      <xdr:row>23</xdr:row>
      <xdr:rowOff>0</xdr:rowOff>
    </xdr:from>
    <xdr:to>
      <xdr:col>18</xdr:col>
      <xdr:colOff>457090</xdr:colOff>
      <xdr:row>28</xdr:row>
      <xdr:rowOff>101600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E952D0F4-D9EB-094E-9294-D4F926743C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06500" y="4673600"/>
          <a:ext cx="952390" cy="1117600"/>
        </a:xfrm>
        <a:prstGeom prst="rect">
          <a:avLst/>
        </a:prstGeom>
      </xdr:spPr>
    </xdr:pic>
    <xdr:clientData/>
  </xdr:twoCellAnchor>
  <xdr:twoCellAnchor editAs="oneCell">
    <xdr:from>
      <xdr:col>15</xdr:col>
      <xdr:colOff>50800</xdr:colOff>
      <xdr:row>30</xdr:row>
      <xdr:rowOff>63500</xdr:rowOff>
    </xdr:from>
    <xdr:to>
      <xdr:col>17</xdr:col>
      <xdr:colOff>139700</xdr:colOff>
      <xdr:row>36</xdr:row>
      <xdr:rowOff>18208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D7D5D0AC-EAC9-7440-A49F-1C65EE967B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76100" y="6159500"/>
          <a:ext cx="1739900" cy="1173908"/>
        </a:xfrm>
        <a:prstGeom prst="rect">
          <a:avLst/>
        </a:prstGeom>
      </xdr:spPr>
    </xdr:pic>
    <xdr:clientData/>
  </xdr:twoCellAnchor>
  <xdr:twoCellAnchor editAs="oneCell">
    <xdr:from>
      <xdr:col>17</xdr:col>
      <xdr:colOff>177800</xdr:colOff>
      <xdr:row>30</xdr:row>
      <xdr:rowOff>12700</xdr:rowOff>
    </xdr:from>
    <xdr:to>
      <xdr:col>18</xdr:col>
      <xdr:colOff>283989</xdr:colOff>
      <xdr:row>36</xdr:row>
      <xdr:rowOff>25400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94FDFFC4-17E9-C945-9958-2CE00BA48F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211300" y="6108700"/>
          <a:ext cx="931689" cy="1231900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</xdr:colOff>
      <xdr:row>38</xdr:row>
      <xdr:rowOff>139700</xdr:rowOff>
    </xdr:from>
    <xdr:to>
      <xdr:col>17</xdr:col>
      <xdr:colOff>152400</xdr:colOff>
      <xdr:row>43</xdr:row>
      <xdr:rowOff>200644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C8EB873D-1026-0B48-932E-2CF3D832E1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63400" y="7861300"/>
          <a:ext cx="1765300" cy="1076944"/>
        </a:xfrm>
        <a:prstGeom prst="rect">
          <a:avLst/>
        </a:prstGeom>
      </xdr:spPr>
    </xdr:pic>
    <xdr:clientData/>
  </xdr:twoCellAnchor>
  <xdr:twoCellAnchor editAs="oneCell">
    <xdr:from>
      <xdr:col>17</xdr:col>
      <xdr:colOff>254000</xdr:colOff>
      <xdr:row>38</xdr:row>
      <xdr:rowOff>101600</xdr:rowOff>
    </xdr:from>
    <xdr:to>
      <xdr:col>18</xdr:col>
      <xdr:colOff>228600</xdr:colOff>
      <xdr:row>44</xdr:row>
      <xdr:rowOff>5945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52372850-B45A-4043-BFB8-5466758794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30300" y="7823200"/>
          <a:ext cx="800100" cy="1123545"/>
        </a:xfrm>
        <a:prstGeom prst="rect">
          <a:avLst/>
        </a:prstGeom>
      </xdr:spPr>
    </xdr:pic>
    <xdr:clientData/>
  </xdr:twoCellAnchor>
  <xdr:twoCellAnchor editAs="oneCell">
    <xdr:from>
      <xdr:col>15</xdr:col>
      <xdr:colOff>12700</xdr:colOff>
      <xdr:row>46</xdr:row>
      <xdr:rowOff>38100</xdr:rowOff>
    </xdr:from>
    <xdr:to>
      <xdr:col>17</xdr:col>
      <xdr:colOff>101600</xdr:colOff>
      <xdr:row>51</xdr:row>
      <xdr:rowOff>90266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5F7AEAB6-06C7-7540-939B-736D1C8988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38000" y="9385300"/>
          <a:ext cx="1739900" cy="1068166"/>
        </a:xfrm>
        <a:prstGeom prst="rect">
          <a:avLst/>
        </a:prstGeom>
      </xdr:spPr>
    </xdr:pic>
    <xdr:clientData/>
  </xdr:twoCellAnchor>
  <xdr:twoCellAnchor editAs="oneCell">
    <xdr:from>
      <xdr:col>17</xdr:col>
      <xdr:colOff>330200</xdr:colOff>
      <xdr:row>46</xdr:row>
      <xdr:rowOff>12700</xdr:rowOff>
    </xdr:from>
    <xdr:to>
      <xdr:col>18</xdr:col>
      <xdr:colOff>148459</xdr:colOff>
      <xdr:row>51</xdr:row>
      <xdr:rowOff>139700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82F08F1A-3FEE-AD4F-A794-70804DE99C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906500" y="9359900"/>
          <a:ext cx="643759" cy="1143000"/>
        </a:xfrm>
        <a:prstGeom prst="rect">
          <a:avLst/>
        </a:prstGeom>
      </xdr:spPr>
    </xdr:pic>
    <xdr:clientData/>
  </xdr:twoCellAnchor>
  <xdr:twoCellAnchor editAs="oneCell">
    <xdr:from>
      <xdr:col>15</xdr:col>
      <xdr:colOff>88900</xdr:colOff>
      <xdr:row>53</xdr:row>
      <xdr:rowOff>38100</xdr:rowOff>
    </xdr:from>
    <xdr:to>
      <xdr:col>17</xdr:col>
      <xdr:colOff>133350</xdr:colOff>
      <xdr:row>58</xdr:row>
      <xdr:rowOff>127000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2CFC3FFC-0FD9-E540-9A97-94C132ACC8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14200" y="10807700"/>
          <a:ext cx="1695450" cy="1104900"/>
        </a:xfrm>
        <a:prstGeom prst="rect">
          <a:avLst/>
        </a:prstGeom>
      </xdr:spPr>
    </xdr:pic>
    <xdr:clientData/>
  </xdr:twoCellAnchor>
  <xdr:twoCellAnchor editAs="oneCell">
    <xdr:from>
      <xdr:col>17</xdr:col>
      <xdr:colOff>304800</xdr:colOff>
      <xdr:row>53</xdr:row>
      <xdr:rowOff>50800</xdr:rowOff>
    </xdr:from>
    <xdr:to>
      <xdr:col>18</xdr:col>
      <xdr:colOff>279400</xdr:colOff>
      <xdr:row>58</xdr:row>
      <xdr:rowOff>127410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6CFC1079-C1A4-1549-AA41-596F443879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81100" y="10820400"/>
          <a:ext cx="800100" cy="1092610"/>
        </a:xfrm>
        <a:prstGeom prst="rect">
          <a:avLst/>
        </a:prstGeom>
      </xdr:spPr>
    </xdr:pic>
    <xdr:clientData/>
  </xdr:twoCellAnchor>
  <xdr:twoCellAnchor editAs="oneCell">
    <xdr:from>
      <xdr:col>15</xdr:col>
      <xdr:colOff>88900</xdr:colOff>
      <xdr:row>60</xdr:row>
      <xdr:rowOff>12700</xdr:rowOff>
    </xdr:from>
    <xdr:to>
      <xdr:col>16</xdr:col>
      <xdr:colOff>787400</xdr:colOff>
      <xdr:row>65</xdr:row>
      <xdr:rowOff>109313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1229D92E-18A4-1442-A849-D4B2CAF752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14200" y="12204700"/>
          <a:ext cx="1524000" cy="1112613"/>
        </a:xfrm>
        <a:prstGeom prst="rect">
          <a:avLst/>
        </a:prstGeom>
      </xdr:spPr>
    </xdr:pic>
    <xdr:clientData/>
  </xdr:twoCellAnchor>
  <xdr:twoCellAnchor editAs="oneCell">
    <xdr:from>
      <xdr:col>17</xdr:col>
      <xdr:colOff>304800</xdr:colOff>
      <xdr:row>59</xdr:row>
      <xdr:rowOff>190500</xdr:rowOff>
    </xdr:from>
    <xdr:to>
      <xdr:col>18</xdr:col>
      <xdr:colOff>369757</xdr:colOff>
      <xdr:row>65</xdr:row>
      <xdr:rowOff>127000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10DDFFD4-3CD9-BF43-9EA8-B2C3EB5197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81100" y="12179300"/>
          <a:ext cx="890457" cy="1155700"/>
        </a:xfrm>
        <a:prstGeom prst="rect">
          <a:avLst/>
        </a:prstGeom>
      </xdr:spPr>
    </xdr:pic>
    <xdr:clientData/>
  </xdr:twoCellAnchor>
  <xdr:twoCellAnchor editAs="oneCell">
    <xdr:from>
      <xdr:col>15</xdr:col>
      <xdr:colOff>101600</xdr:colOff>
      <xdr:row>67</xdr:row>
      <xdr:rowOff>139700</xdr:rowOff>
    </xdr:from>
    <xdr:to>
      <xdr:col>17</xdr:col>
      <xdr:colOff>25676</xdr:colOff>
      <xdr:row>74</xdr:row>
      <xdr:rowOff>50800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6ADA86CC-8950-904C-AB94-034A705BEC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026900" y="13754100"/>
          <a:ext cx="1575076" cy="1333500"/>
        </a:xfrm>
        <a:prstGeom prst="rect">
          <a:avLst/>
        </a:prstGeom>
      </xdr:spPr>
    </xdr:pic>
    <xdr:clientData/>
  </xdr:twoCellAnchor>
  <xdr:twoCellAnchor editAs="oneCell">
    <xdr:from>
      <xdr:col>17</xdr:col>
      <xdr:colOff>292100</xdr:colOff>
      <xdr:row>67</xdr:row>
      <xdr:rowOff>127000</xdr:rowOff>
    </xdr:from>
    <xdr:to>
      <xdr:col>18</xdr:col>
      <xdr:colOff>407894</xdr:colOff>
      <xdr:row>74</xdr:row>
      <xdr:rowOff>38100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3E47CFE3-C8FC-034A-9EDD-190688013D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68400" y="13741400"/>
          <a:ext cx="941294" cy="1333500"/>
        </a:xfrm>
        <a:prstGeom prst="rect">
          <a:avLst/>
        </a:prstGeom>
      </xdr:spPr>
    </xdr:pic>
    <xdr:clientData/>
  </xdr:twoCellAnchor>
  <xdr:twoCellAnchor editAs="oneCell">
    <xdr:from>
      <xdr:col>15</xdr:col>
      <xdr:colOff>63500</xdr:colOff>
      <xdr:row>76</xdr:row>
      <xdr:rowOff>38100</xdr:rowOff>
    </xdr:from>
    <xdr:to>
      <xdr:col>16</xdr:col>
      <xdr:colOff>711200</xdr:colOff>
      <xdr:row>81</xdr:row>
      <xdr:rowOff>4233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31605EBE-E543-634E-BD8F-B79878A8AB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88800" y="15481300"/>
          <a:ext cx="1473200" cy="982133"/>
        </a:xfrm>
        <a:prstGeom prst="rect">
          <a:avLst/>
        </a:prstGeom>
      </xdr:spPr>
    </xdr:pic>
    <xdr:clientData/>
  </xdr:twoCellAnchor>
  <xdr:twoCellAnchor editAs="oneCell">
    <xdr:from>
      <xdr:col>17</xdr:col>
      <xdr:colOff>304800</xdr:colOff>
      <xdr:row>76</xdr:row>
      <xdr:rowOff>1</xdr:rowOff>
    </xdr:from>
    <xdr:to>
      <xdr:col>18</xdr:col>
      <xdr:colOff>106057</xdr:colOff>
      <xdr:row>81</xdr:row>
      <xdr:rowOff>12700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1193E495-3E82-B64F-AB91-0EA553899C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881100" y="15443201"/>
          <a:ext cx="626757" cy="1028699"/>
        </a:xfrm>
        <a:prstGeom prst="rect">
          <a:avLst/>
        </a:prstGeom>
      </xdr:spPr>
    </xdr:pic>
    <xdr:clientData/>
  </xdr:twoCellAnchor>
  <xdr:twoCellAnchor editAs="oneCell">
    <xdr:from>
      <xdr:col>15</xdr:col>
      <xdr:colOff>63500</xdr:colOff>
      <xdr:row>83</xdr:row>
      <xdr:rowOff>25400</xdr:rowOff>
    </xdr:from>
    <xdr:to>
      <xdr:col>16</xdr:col>
      <xdr:colOff>812800</xdr:colOff>
      <xdr:row>88</xdr:row>
      <xdr:rowOff>134257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52231783-C59D-9B4C-A2CE-D57A1D080C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988800" y="16891000"/>
          <a:ext cx="1574800" cy="1124857"/>
        </a:xfrm>
        <a:prstGeom prst="rect">
          <a:avLst/>
        </a:prstGeom>
      </xdr:spPr>
    </xdr:pic>
    <xdr:clientData/>
  </xdr:twoCellAnchor>
  <xdr:twoCellAnchor editAs="oneCell">
    <xdr:from>
      <xdr:col>17</xdr:col>
      <xdr:colOff>215900</xdr:colOff>
      <xdr:row>83</xdr:row>
      <xdr:rowOff>25400</xdr:rowOff>
    </xdr:from>
    <xdr:to>
      <xdr:col>18</xdr:col>
      <xdr:colOff>304800</xdr:colOff>
      <xdr:row>88</xdr:row>
      <xdr:rowOff>157480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1614F808-DF6A-3046-BC58-25222A04D5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792200" y="16891000"/>
          <a:ext cx="914400" cy="1148080"/>
        </a:xfrm>
        <a:prstGeom prst="rect">
          <a:avLst/>
        </a:prstGeom>
      </xdr:spPr>
    </xdr:pic>
    <xdr:clientData/>
  </xdr:twoCellAnchor>
  <xdr:twoCellAnchor editAs="oneCell">
    <xdr:from>
      <xdr:col>19</xdr:col>
      <xdr:colOff>165100</xdr:colOff>
      <xdr:row>6</xdr:row>
      <xdr:rowOff>63499</xdr:rowOff>
    </xdr:from>
    <xdr:to>
      <xdr:col>21</xdr:col>
      <xdr:colOff>101600</xdr:colOff>
      <xdr:row>12</xdr:row>
      <xdr:rowOff>188754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8912AD93-3285-1B4D-A2BB-E59D27F88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0" y="1282699"/>
          <a:ext cx="1587500" cy="1344455"/>
        </a:xfrm>
        <a:prstGeom prst="rect">
          <a:avLst/>
        </a:prstGeom>
      </xdr:spPr>
    </xdr:pic>
    <xdr:clientData/>
  </xdr:twoCellAnchor>
  <xdr:twoCellAnchor editAs="oneCell">
    <xdr:from>
      <xdr:col>21</xdr:col>
      <xdr:colOff>317500</xdr:colOff>
      <xdr:row>6</xdr:row>
      <xdr:rowOff>88900</xdr:rowOff>
    </xdr:from>
    <xdr:to>
      <xdr:col>22</xdr:col>
      <xdr:colOff>334682</xdr:colOff>
      <xdr:row>13</xdr:row>
      <xdr:rowOff>38100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326549CE-FD07-204C-906D-EFF914AEF0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195800" y="1308100"/>
          <a:ext cx="842682" cy="1371600"/>
        </a:xfrm>
        <a:prstGeom prst="rect">
          <a:avLst/>
        </a:prstGeom>
      </xdr:spPr>
    </xdr:pic>
    <xdr:clientData/>
  </xdr:twoCellAnchor>
  <xdr:twoCellAnchor editAs="oneCell">
    <xdr:from>
      <xdr:col>19</xdr:col>
      <xdr:colOff>177800</xdr:colOff>
      <xdr:row>14</xdr:row>
      <xdr:rowOff>190500</xdr:rowOff>
    </xdr:from>
    <xdr:to>
      <xdr:col>20</xdr:col>
      <xdr:colOff>812800</xdr:colOff>
      <xdr:row>21</xdr:row>
      <xdr:rowOff>39884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C037A362-22E5-844F-B249-FA0ED09B2F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405100" y="3035300"/>
          <a:ext cx="1460500" cy="1271784"/>
        </a:xfrm>
        <a:prstGeom prst="rect">
          <a:avLst/>
        </a:prstGeom>
      </xdr:spPr>
    </xdr:pic>
    <xdr:clientData/>
  </xdr:twoCellAnchor>
  <xdr:twoCellAnchor editAs="oneCell">
    <xdr:from>
      <xdr:col>21</xdr:col>
      <xdr:colOff>317500</xdr:colOff>
      <xdr:row>15</xdr:row>
      <xdr:rowOff>0</xdr:rowOff>
    </xdr:from>
    <xdr:to>
      <xdr:col>22</xdr:col>
      <xdr:colOff>457200</xdr:colOff>
      <xdr:row>21</xdr:row>
      <xdr:rowOff>118004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8E17C98B-4EE0-7B45-8912-4CCFD7C05F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195800" y="3048000"/>
          <a:ext cx="965200" cy="1337204"/>
        </a:xfrm>
        <a:prstGeom prst="rect">
          <a:avLst/>
        </a:prstGeom>
      </xdr:spPr>
    </xdr:pic>
    <xdr:clientData/>
  </xdr:twoCellAnchor>
  <xdr:twoCellAnchor editAs="oneCell">
    <xdr:from>
      <xdr:col>19</xdr:col>
      <xdr:colOff>165100</xdr:colOff>
      <xdr:row>23</xdr:row>
      <xdr:rowOff>12700</xdr:rowOff>
    </xdr:from>
    <xdr:to>
      <xdr:col>21</xdr:col>
      <xdr:colOff>38100</xdr:colOff>
      <xdr:row>28</xdr:row>
      <xdr:rowOff>101344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592B21A6-066B-AC4C-BAFB-6172C517E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92400" y="4686300"/>
          <a:ext cx="1524000" cy="1104644"/>
        </a:xfrm>
        <a:prstGeom prst="rect">
          <a:avLst/>
        </a:prstGeom>
      </xdr:spPr>
    </xdr:pic>
    <xdr:clientData/>
  </xdr:twoCellAnchor>
  <xdr:twoCellAnchor editAs="oneCell">
    <xdr:from>
      <xdr:col>21</xdr:col>
      <xdr:colOff>342900</xdr:colOff>
      <xdr:row>23</xdr:row>
      <xdr:rowOff>25400</xdr:rowOff>
    </xdr:from>
    <xdr:to>
      <xdr:col>22</xdr:col>
      <xdr:colOff>279400</xdr:colOff>
      <xdr:row>28</xdr:row>
      <xdr:rowOff>137160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63C39564-59E7-1945-83BD-8F668D9F0A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221200" y="4699000"/>
          <a:ext cx="762000" cy="1127760"/>
        </a:xfrm>
        <a:prstGeom prst="rect">
          <a:avLst/>
        </a:prstGeom>
      </xdr:spPr>
    </xdr:pic>
    <xdr:clientData/>
  </xdr:twoCellAnchor>
  <xdr:twoCellAnchor editAs="oneCell">
    <xdr:from>
      <xdr:col>19</xdr:col>
      <xdr:colOff>177800</xdr:colOff>
      <xdr:row>30</xdr:row>
      <xdr:rowOff>38100</xdr:rowOff>
    </xdr:from>
    <xdr:to>
      <xdr:col>20</xdr:col>
      <xdr:colOff>812800</xdr:colOff>
      <xdr:row>36</xdr:row>
      <xdr:rowOff>88024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A583EF6A-6E6C-D24F-BA87-3E55199D7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436100" y="6186803"/>
          <a:ext cx="1462147" cy="1279665"/>
        </a:xfrm>
        <a:prstGeom prst="rect">
          <a:avLst/>
        </a:prstGeom>
      </xdr:spPr>
    </xdr:pic>
    <xdr:clientData/>
  </xdr:twoCellAnchor>
  <xdr:twoCellAnchor editAs="oneCell">
    <xdr:from>
      <xdr:col>21</xdr:col>
      <xdr:colOff>406400</xdr:colOff>
      <xdr:row>30</xdr:row>
      <xdr:rowOff>38100</xdr:rowOff>
    </xdr:from>
    <xdr:to>
      <xdr:col>22</xdr:col>
      <xdr:colOff>355600</xdr:colOff>
      <xdr:row>36</xdr:row>
      <xdr:rowOff>154590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ED5B4349-8FC3-8A4C-8342-807F0C3B2A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284700" y="6134100"/>
          <a:ext cx="774700" cy="1335690"/>
        </a:xfrm>
        <a:prstGeom prst="rect">
          <a:avLst/>
        </a:prstGeom>
      </xdr:spPr>
    </xdr:pic>
    <xdr:clientData/>
  </xdr:twoCellAnchor>
  <xdr:twoCellAnchor editAs="oneCell">
    <xdr:from>
      <xdr:col>19</xdr:col>
      <xdr:colOff>114300</xdr:colOff>
      <xdr:row>38</xdr:row>
      <xdr:rowOff>76200</xdr:rowOff>
    </xdr:from>
    <xdr:to>
      <xdr:col>20</xdr:col>
      <xdr:colOff>611213</xdr:colOff>
      <xdr:row>43</xdr:row>
      <xdr:rowOff>101600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7E460BF8-88F2-EE47-84A9-F01667111E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41600" y="7797800"/>
          <a:ext cx="1322413" cy="1041400"/>
        </a:xfrm>
        <a:prstGeom prst="rect">
          <a:avLst/>
        </a:prstGeom>
      </xdr:spPr>
    </xdr:pic>
    <xdr:clientData/>
  </xdr:twoCellAnchor>
  <xdr:twoCellAnchor editAs="oneCell">
    <xdr:from>
      <xdr:col>21</xdr:col>
      <xdr:colOff>101600</xdr:colOff>
      <xdr:row>38</xdr:row>
      <xdr:rowOff>76200</xdr:rowOff>
    </xdr:from>
    <xdr:to>
      <xdr:col>21</xdr:col>
      <xdr:colOff>817228</xdr:colOff>
      <xdr:row>43</xdr:row>
      <xdr:rowOff>114300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6191302D-BCDD-AE44-AA49-A085A88859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6979900" y="7797800"/>
          <a:ext cx="715628" cy="1054100"/>
        </a:xfrm>
        <a:prstGeom prst="rect">
          <a:avLst/>
        </a:prstGeom>
      </xdr:spPr>
    </xdr:pic>
    <xdr:clientData/>
  </xdr:twoCellAnchor>
  <xdr:twoCellAnchor editAs="oneCell">
    <xdr:from>
      <xdr:col>19</xdr:col>
      <xdr:colOff>38100</xdr:colOff>
      <xdr:row>46</xdr:row>
      <xdr:rowOff>0</xdr:rowOff>
    </xdr:from>
    <xdr:to>
      <xdr:col>20</xdr:col>
      <xdr:colOff>796774</xdr:colOff>
      <xdr:row>51</xdr:row>
      <xdr:rowOff>165100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53C936A6-1F6E-F04E-B76C-84759E8AC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65400" y="9347200"/>
          <a:ext cx="1584174" cy="1181100"/>
        </a:xfrm>
        <a:prstGeom prst="rect">
          <a:avLst/>
        </a:prstGeom>
      </xdr:spPr>
    </xdr:pic>
    <xdr:clientData/>
  </xdr:twoCellAnchor>
  <xdr:twoCellAnchor editAs="oneCell">
    <xdr:from>
      <xdr:col>21</xdr:col>
      <xdr:colOff>165100</xdr:colOff>
      <xdr:row>46</xdr:row>
      <xdr:rowOff>38100</xdr:rowOff>
    </xdr:from>
    <xdr:to>
      <xdr:col>22</xdr:col>
      <xdr:colOff>76200</xdr:colOff>
      <xdr:row>51</xdr:row>
      <xdr:rowOff>161260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E1BBEA7A-52A4-4241-97F1-43E144E0F7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043400" y="9385300"/>
          <a:ext cx="736600" cy="1139160"/>
        </a:xfrm>
        <a:prstGeom prst="rect">
          <a:avLst/>
        </a:prstGeom>
      </xdr:spPr>
    </xdr:pic>
    <xdr:clientData/>
  </xdr:twoCellAnchor>
  <xdr:twoCellAnchor editAs="oneCell">
    <xdr:from>
      <xdr:col>19</xdr:col>
      <xdr:colOff>38100</xdr:colOff>
      <xdr:row>53</xdr:row>
      <xdr:rowOff>50800</xdr:rowOff>
    </xdr:from>
    <xdr:to>
      <xdr:col>21</xdr:col>
      <xdr:colOff>89816</xdr:colOff>
      <xdr:row>58</xdr:row>
      <xdr:rowOff>114300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7FFDA24A-6765-EC4E-81D8-D9F4BC864E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65400" y="10820400"/>
          <a:ext cx="1702716" cy="1079500"/>
        </a:xfrm>
        <a:prstGeom prst="rect">
          <a:avLst/>
        </a:prstGeom>
      </xdr:spPr>
    </xdr:pic>
    <xdr:clientData/>
  </xdr:twoCellAnchor>
  <xdr:twoCellAnchor editAs="oneCell">
    <xdr:from>
      <xdr:col>21</xdr:col>
      <xdr:colOff>279400</xdr:colOff>
      <xdr:row>53</xdr:row>
      <xdr:rowOff>63500</xdr:rowOff>
    </xdr:from>
    <xdr:to>
      <xdr:col>22</xdr:col>
      <xdr:colOff>133404</xdr:colOff>
      <xdr:row>58</xdr:row>
      <xdr:rowOff>139700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5C25F892-D4C7-4949-BE40-71A1E803C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157700" y="10833100"/>
          <a:ext cx="679504" cy="1092200"/>
        </a:xfrm>
        <a:prstGeom prst="rect">
          <a:avLst/>
        </a:prstGeom>
      </xdr:spPr>
    </xdr:pic>
    <xdr:clientData/>
  </xdr:twoCellAnchor>
  <xdr:twoCellAnchor editAs="oneCell">
    <xdr:from>
      <xdr:col>19</xdr:col>
      <xdr:colOff>101600</xdr:colOff>
      <xdr:row>60</xdr:row>
      <xdr:rowOff>12700</xdr:rowOff>
    </xdr:from>
    <xdr:to>
      <xdr:col>21</xdr:col>
      <xdr:colOff>0</xdr:colOff>
      <xdr:row>65</xdr:row>
      <xdr:rowOff>149302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7F1F6119-85CE-F049-B515-1833793E3C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28900" y="12204700"/>
          <a:ext cx="1549400" cy="1152602"/>
        </a:xfrm>
        <a:prstGeom prst="rect">
          <a:avLst/>
        </a:prstGeom>
      </xdr:spPr>
    </xdr:pic>
    <xdr:clientData/>
  </xdr:twoCellAnchor>
  <xdr:twoCellAnchor editAs="oneCell">
    <xdr:from>
      <xdr:col>21</xdr:col>
      <xdr:colOff>152400</xdr:colOff>
      <xdr:row>60</xdr:row>
      <xdr:rowOff>0</xdr:rowOff>
    </xdr:from>
    <xdr:to>
      <xdr:col>22</xdr:col>
      <xdr:colOff>165100</xdr:colOff>
      <xdr:row>66</xdr:row>
      <xdr:rowOff>14014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7FE8C555-4C79-554E-9940-F6310AFC0D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030700" y="12192000"/>
          <a:ext cx="838200" cy="1233214"/>
        </a:xfrm>
        <a:prstGeom prst="rect">
          <a:avLst/>
        </a:prstGeom>
      </xdr:spPr>
    </xdr:pic>
    <xdr:clientData/>
  </xdr:twoCellAnchor>
  <xdr:twoCellAnchor editAs="oneCell">
    <xdr:from>
      <xdr:col>19</xdr:col>
      <xdr:colOff>101600</xdr:colOff>
      <xdr:row>67</xdr:row>
      <xdr:rowOff>177800</xdr:rowOff>
    </xdr:from>
    <xdr:to>
      <xdr:col>21</xdr:col>
      <xdr:colOff>747</xdr:colOff>
      <xdr:row>74</xdr:row>
      <xdr:rowOff>25400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88EE734E-D487-0147-B8EF-5E9D691EBB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328900" y="13792200"/>
          <a:ext cx="1550147" cy="127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215900</xdr:colOff>
      <xdr:row>67</xdr:row>
      <xdr:rowOff>177800</xdr:rowOff>
    </xdr:from>
    <xdr:to>
      <xdr:col>22</xdr:col>
      <xdr:colOff>25400</xdr:colOff>
      <xdr:row>74</xdr:row>
      <xdr:rowOff>82387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D57ABA5D-992F-7649-82B7-78518438E7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094200" y="13792200"/>
          <a:ext cx="635000" cy="1326987"/>
        </a:xfrm>
        <a:prstGeom prst="rect">
          <a:avLst/>
        </a:prstGeom>
      </xdr:spPr>
    </xdr:pic>
    <xdr:clientData/>
  </xdr:twoCellAnchor>
  <xdr:twoCellAnchor editAs="oneCell">
    <xdr:from>
      <xdr:col>19</xdr:col>
      <xdr:colOff>63500</xdr:colOff>
      <xdr:row>76</xdr:row>
      <xdr:rowOff>38100</xdr:rowOff>
    </xdr:from>
    <xdr:to>
      <xdr:col>20</xdr:col>
      <xdr:colOff>609600</xdr:colOff>
      <xdr:row>81</xdr:row>
      <xdr:rowOff>159483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B834C714-933D-7347-A708-0540B7FAA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90800" y="15481300"/>
          <a:ext cx="1371600" cy="1137383"/>
        </a:xfrm>
        <a:prstGeom prst="rect">
          <a:avLst/>
        </a:prstGeom>
      </xdr:spPr>
    </xdr:pic>
    <xdr:clientData/>
  </xdr:twoCellAnchor>
  <xdr:twoCellAnchor editAs="oneCell">
    <xdr:from>
      <xdr:col>20</xdr:col>
      <xdr:colOff>800100</xdr:colOff>
      <xdr:row>76</xdr:row>
      <xdr:rowOff>38100</xdr:rowOff>
    </xdr:from>
    <xdr:to>
      <xdr:col>21</xdr:col>
      <xdr:colOff>635000</xdr:colOff>
      <xdr:row>81</xdr:row>
      <xdr:rowOff>139700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E6B0135B-EDFD-2340-AA90-30BC455E46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6852900" y="15481300"/>
          <a:ext cx="660400" cy="1117600"/>
        </a:xfrm>
        <a:prstGeom prst="rect">
          <a:avLst/>
        </a:prstGeom>
      </xdr:spPr>
    </xdr:pic>
    <xdr:clientData/>
  </xdr:twoCellAnchor>
  <xdr:twoCellAnchor editAs="oneCell">
    <xdr:from>
      <xdr:col>19</xdr:col>
      <xdr:colOff>127000</xdr:colOff>
      <xdr:row>83</xdr:row>
      <xdr:rowOff>50800</xdr:rowOff>
    </xdr:from>
    <xdr:to>
      <xdr:col>21</xdr:col>
      <xdr:colOff>127000</xdr:colOff>
      <xdr:row>88</xdr:row>
      <xdr:rowOff>114300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3B74126F-D7DE-0D4D-949C-0AB8BE53B9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5354300" y="16916400"/>
          <a:ext cx="1651000" cy="1079500"/>
        </a:xfrm>
        <a:prstGeom prst="rect">
          <a:avLst/>
        </a:prstGeom>
      </xdr:spPr>
    </xdr:pic>
    <xdr:clientData/>
  </xdr:twoCellAnchor>
  <xdr:twoCellAnchor editAs="oneCell">
    <xdr:from>
      <xdr:col>21</xdr:col>
      <xdr:colOff>304800</xdr:colOff>
      <xdr:row>83</xdr:row>
      <xdr:rowOff>76200</xdr:rowOff>
    </xdr:from>
    <xdr:to>
      <xdr:col>22</xdr:col>
      <xdr:colOff>175039</xdr:colOff>
      <xdr:row>88</xdr:row>
      <xdr:rowOff>127000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3DE0A4D5-430C-354D-A5AC-DF1A54B2BF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7183100" y="16941800"/>
          <a:ext cx="695739" cy="10668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622300</xdr:colOff>
      <xdr:row>2</xdr:row>
      <xdr:rowOff>139700</xdr:rowOff>
    </xdr:from>
    <xdr:to>
      <xdr:col>2</xdr:col>
      <xdr:colOff>749300</xdr:colOff>
      <xdr:row>9</xdr:row>
      <xdr:rowOff>76200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8BED85-1A83-8744-9635-48ABE7CAFB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22300" y="546100"/>
          <a:ext cx="1778000" cy="13589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11</xdr:row>
      <xdr:rowOff>114300</xdr:rowOff>
    </xdr:from>
    <xdr:to>
      <xdr:col>2</xdr:col>
      <xdr:colOff>749300</xdr:colOff>
      <xdr:row>18</xdr:row>
      <xdr:rowOff>38100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8C2D456-6F5B-2744-9C45-FF944E1746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5000" y="2349500"/>
          <a:ext cx="1765300" cy="1346200"/>
        </a:xfrm>
        <a:prstGeom prst="rect">
          <a:avLst/>
        </a:prstGeom>
      </xdr:spPr>
    </xdr:pic>
    <xdr:clientData/>
  </xdr:twoCellAnchor>
  <xdr:twoCellAnchor editAs="oneCell">
    <xdr:from>
      <xdr:col>0</xdr:col>
      <xdr:colOff>673100</xdr:colOff>
      <xdr:row>20</xdr:row>
      <xdr:rowOff>177800</xdr:rowOff>
    </xdr:from>
    <xdr:to>
      <xdr:col>2</xdr:col>
      <xdr:colOff>762000</xdr:colOff>
      <xdr:row>28</xdr:row>
      <xdr:rowOff>93690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705DAFD-C84F-124B-9F72-BBFFAD3DAF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73100" y="4241800"/>
          <a:ext cx="1739900" cy="154149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30</xdr:row>
      <xdr:rowOff>63500</xdr:rowOff>
    </xdr:from>
    <xdr:to>
      <xdr:col>2</xdr:col>
      <xdr:colOff>787400</xdr:colOff>
      <xdr:row>37</xdr:row>
      <xdr:rowOff>114300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50F68E8-4159-9946-9CF2-D7F9A1479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00" y="6159500"/>
          <a:ext cx="1866900" cy="1473200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508000</xdr:colOff>
      <xdr:row>39</xdr:row>
      <xdr:rowOff>12700</xdr:rowOff>
    </xdr:from>
    <xdr:to>
      <xdr:col>2</xdr:col>
      <xdr:colOff>787400</xdr:colOff>
      <xdr:row>47</xdr:row>
      <xdr:rowOff>83512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097F278-99EB-CD49-BF0C-84595C1DA0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08000" y="7937500"/>
          <a:ext cx="1930400" cy="1696412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49</xdr:row>
      <xdr:rowOff>127000</xdr:rowOff>
    </xdr:from>
    <xdr:to>
      <xdr:col>3</xdr:col>
      <xdr:colOff>12700</xdr:colOff>
      <xdr:row>58</xdr:row>
      <xdr:rowOff>76200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620A217-1676-0341-9952-C6E408EF09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7200" y="10083800"/>
          <a:ext cx="2032000" cy="177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438117</xdr:colOff>
      <xdr:row>60</xdr:row>
      <xdr:rowOff>170785</xdr:rowOff>
    </xdr:from>
    <xdr:to>
      <xdr:col>3</xdr:col>
      <xdr:colOff>83995</xdr:colOff>
      <xdr:row>69</xdr:row>
      <xdr:rowOff>25272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B4AF116-DEE4-694E-AD2D-83B9833EFF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8117" y="12302128"/>
          <a:ext cx="2129012" cy="1674189"/>
        </a:xfrm>
        <a:prstGeom prst="rect">
          <a:avLst/>
        </a:prstGeom>
      </xdr:spPr>
    </xdr:pic>
    <xdr:clientData/>
  </xdr:twoCellAnchor>
  <xdr:twoCellAnchor editAs="oneCell">
    <xdr:from>
      <xdr:col>0</xdr:col>
      <xdr:colOff>330200</xdr:colOff>
      <xdr:row>71</xdr:row>
      <xdr:rowOff>12700</xdr:rowOff>
    </xdr:from>
    <xdr:to>
      <xdr:col>2</xdr:col>
      <xdr:colOff>622300</xdr:colOff>
      <xdr:row>79</xdr:row>
      <xdr:rowOff>165100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E0D042A-11FF-1545-B24A-AB6BD2AD13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0200" y="14439900"/>
          <a:ext cx="1943100" cy="1778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317500</xdr:colOff>
      <xdr:row>1</xdr:row>
      <xdr:rowOff>190500</xdr:rowOff>
    </xdr:from>
    <xdr:to>
      <xdr:col>2</xdr:col>
      <xdr:colOff>647700</xdr:colOff>
      <xdr:row>9</xdr:row>
      <xdr:rowOff>78100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A38B935-1936-204A-98C8-5C1860F9CB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500" y="393700"/>
          <a:ext cx="1981200" cy="1513200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355600</xdr:colOff>
      <xdr:row>11</xdr:row>
      <xdr:rowOff>38100</xdr:rowOff>
    </xdr:from>
    <xdr:to>
      <xdr:col>2</xdr:col>
      <xdr:colOff>381000</xdr:colOff>
      <xdr:row>17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532A288-D45F-8F47-98F0-2ADBB0F436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55600" y="2273300"/>
          <a:ext cx="1676400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317500</xdr:colOff>
      <xdr:row>21</xdr:row>
      <xdr:rowOff>25400</xdr:rowOff>
    </xdr:from>
    <xdr:to>
      <xdr:col>2</xdr:col>
      <xdr:colOff>508000</xdr:colOff>
      <xdr:row>27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9A9B122-4055-7E4B-BB87-5948E80D4E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500" y="4292600"/>
          <a:ext cx="1841500" cy="1295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342900</xdr:colOff>
      <xdr:row>2</xdr:row>
      <xdr:rowOff>127000</xdr:rowOff>
    </xdr:from>
    <xdr:to>
      <xdr:col>3</xdr:col>
      <xdr:colOff>270809</xdr:colOff>
      <xdr:row>12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408975C-22BC-704D-AB03-64E2BC7D14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900" y="533400"/>
          <a:ext cx="2404409" cy="19939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14</xdr:row>
      <xdr:rowOff>38100</xdr:rowOff>
    </xdr:from>
    <xdr:to>
      <xdr:col>3</xdr:col>
      <xdr:colOff>419101</xdr:colOff>
      <xdr:row>22</xdr:row>
      <xdr:rowOff>130062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51157EC-4A2D-7B46-B7E3-3810EA034B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1" y="2882900"/>
          <a:ext cx="2514600" cy="1717562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24</xdr:row>
      <xdr:rowOff>114300</xdr:rowOff>
    </xdr:from>
    <xdr:to>
      <xdr:col>3</xdr:col>
      <xdr:colOff>127000</xdr:colOff>
      <xdr:row>32</xdr:row>
      <xdr:rowOff>25400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9BFFD54-CACB-324F-9B22-6074D806B2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100" y="4991100"/>
          <a:ext cx="2184400" cy="15367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34</xdr:row>
      <xdr:rowOff>88900</xdr:rowOff>
    </xdr:from>
    <xdr:to>
      <xdr:col>3</xdr:col>
      <xdr:colOff>355600</xdr:colOff>
      <xdr:row>42</xdr:row>
      <xdr:rowOff>190500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4351C36-11C2-3143-88B7-98B48B865E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" y="6997700"/>
          <a:ext cx="2451100" cy="172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46</xdr:row>
      <xdr:rowOff>38100</xdr:rowOff>
    </xdr:from>
    <xdr:to>
      <xdr:col>3</xdr:col>
      <xdr:colOff>50800</xdr:colOff>
      <xdr:row>56</xdr:row>
      <xdr:rowOff>101600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2BAD73A-EDB1-E748-82C6-885CA7A9E8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7200" y="9385300"/>
          <a:ext cx="2070100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58</xdr:row>
      <xdr:rowOff>25400</xdr:rowOff>
    </xdr:from>
    <xdr:to>
      <xdr:col>3</xdr:col>
      <xdr:colOff>266700</xdr:colOff>
      <xdr:row>66</xdr:row>
      <xdr:rowOff>177800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3D2C396-4137-CE49-AC3E-BC901EC64A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81000" y="11811000"/>
          <a:ext cx="2362200" cy="1778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68</xdr:row>
      <xdr:rowOff>76200</xdr:rowOff>
    </xdr:from>
    <xdr:to>
      <xdr:col>3</xdr:col>
      <xdr:colOff>279400</xdr:colOff>
      <xdr:row>77</xdr:row>
      <xdr:rowOff>38100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6724075-110C-D144-AF20-DBE3AA97AE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100" y="13893800"/>
          <a:ext cx="2336800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80</xdr:row>
      <xdr:rowOff>152400</xdr:rowOff>
    </xdr:from>
    <xdr:to>
      <xdr:col>3</xdr:col>
      <xdr:colOff>571500</xdr:colOff>
      <xdr:row>88</xdr:row>
      <xdr:rowOff>12700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51780EF-25CA-0742-9BEB-5873B3BEDF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368300" y="16408400"/>
          <a:ext cx="2679700" cy="14859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33</xdr:row>
      <xdr:rowOff>50800</xdr:rowOff>
    </xdr:from>
    <xdr:to>
      <xdr:col>3</xdr:col>
      <xdr:colOff>723900</xdr:colOff>
      <xdr:row>46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E827BB3-0C62-5C48-BAF0-B18B19C21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8475" t="25408" r="24569" b="15676"/>
        <a:stretch/>
      </xdr:blipFill>
      <xdr:spPr>
        <a:xfrm>
          <a:off x="76200" y="6756400"/>
          <a:ext cx="3124200" cy="274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47</xdr:row>
      <xdr:rowOff>190500</xdr:rowOff>
    </xdr:from>
    <xdr:to>
      <xdr:col>4</xdr:col>
      <xdr:colOff>76200</xdr:colOff>
      <xdr:row>61</xdr:row>
      <xdr:rowOff>3074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7C05282-9094-2540-8595-156882F702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3871" t="28006" r="30979" b="28516"/>
        <a:stretch/>
      </xdr:blipFill>
      <xdr:spPr>
        <a:xfrm>
          <a:off x="127000" y="9740900"/>
          <a:ext cx="3251200" cy="2657374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62</xdr:row>
      <xdr:rowOff>63500</xdr:rowOff>
    </xdr:from>
    <xdr:to>
      <xdr:col>3</xdr:col>
      <xdr:colOff>419100</xdr:colOff>
      <xdr:row>69</xdr:row>
      <xdr:rowOff>177800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1FE144F-DFEF-E048-90C2-C7804679FD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9249" t="28073" r="35281" b="17276"/>
        <a:stretch/>
      </xdr:blipFill>
      <xdr:spPr>
        <a:xfrm>
          <a:off x="165100" y="12661900"/>
          <a:ext cx="2730500" cy="1536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078D0C-8A8B-5F4B-93ED-91DBC7106BAE}">
  <sheetPr codeName="Sheet1"/>
  <dimension ref="A1:Z44"/>
  <sheetViews>
    <sheetView workbookViewId="0"/>
  </sheetViews>
  <sheetFormatPr baseColWidth="10" defaultRowHeight="16" x14ac:dyDescent="0.2"/>
  <cols>
    <col min="1" max="1" width="7.1640625" customWidth="1"/>
    <col min="2" max="2" width="10.33203125" customWidth="1"/>
    <col min="3" max="3" width="13" customWidth="1"/>
    <col min="4" max="4" width="8.5" customWidth="1"/>
    <col min="5" max="5" width="8.33203125" customWidth="1"/>
    <col min="6" max="6" width="8.1640625" customWidth="1"/>
    <col min="7" max="7" width="8.33203125" customWidth="1"/>
    <col min="8" max="8" width="7" customWidth="1"/>
    <col min="12" max="12" width="12.33203125" customWidth="1"/>
    <col min="13" max="13" width="13.1640625" customWidth="1"/>
  </cols>
  <sheetData>
    <row r="1" spans="1:26" s="90" customFormat="1" x14ac:dyDescent="0.2">
      <c r="A1" s="90" t="s">
        <v>155</v>
      </c>
      <c r="B1" s="90" t="s">
        <v>257</v>
      </c>
      <c r="C1" s="90" t="s">
        <v>258</v>
      </c>
      <c r="D1" s="90" t="s">
        <v>217</v>
      </c>
      <c r="E1" s="90" t="s">
        <v>218</v>
      </c>
      <c r="F1" s="90" t="s">
        <v>219</v>
      </c>
      <c r="G1" s="90" t="s">
        <v>220</v>
      </c>
      <c r="H1" s="90" t="s">
        <v>221</v>
      </c>
      <c r="I1" s="90" t="s">
        <v>222</v>
      </c>
      <c r="J1" s="90" t="s">
        <v>223</v>
      </c>
      <c r="K1" s="90" t="s">
        <v>224</v>
      </c>
      <c r="L1" s="90" t="s">
        <v>213</v>
      </c>
      <c r="M1" s="90" t="s">
        <v>223</v>
      </c>
      <c r="N1" s="112" t="s">
        <v>214</v>
      </c>
      <c r="O1" s="112" t="s">
        <v>223</v>
      </c>
      <c r="P1" s="90" t="s">
        <v>225</v>
      </c>
      <c r="Q1" s="112" t="s">
        <v>223</v>
      </c>
      <c r="R1" s="90" t="s">
        <v>226</v>
      </c>
      <c r="S1" s="112" t="s">
        <v>223</v>
      </c>
      <c r="T1" s="90" t="s">
        <v>227</v>
      </c>
      <c r="U1" s="90" t="s">
        <v>228</v>
      </c>
      <c r="V1" s="90" t="s">
        <v>223</v>
      </c>
      <c r="W1" s="90" t="s">
        <v>229</v>
      </c>
      <c r="X1" s="90" t="s">
        <v>230</v>
      </c>
      <c r="Y1" t="s">
        <v>216</v>
      </c>
      <c r="Z1" s="90" t="s">
        <v>223</v>
      </c>
    </row>
    <row r="2" spans="1:26" x14ac:dyDescent="0.2">
      <c r="A2" t="s">
        <v>256</v>
      </c>
      <c r="B2">
        <v>1</v>
      </c>
      <c r="C2" t="s">
        <v>259</v>
      </c>
      <c r="D2">
        <v>431000</v>
      </c>
      <c r="E2">
        <v>352900</v>
      </c>
      <c r="F2">
        <v>282883</v>
      </c>
      <c r="G2">
        <v>48150</v>
      </c>
      <c r="H2">
        <v>41518</v>
      </c>
      <c r="I2">
        <v>1358</v>
      </c>
      <c r="J2">
        <v>351</v>
      </c>
      <c r="K2">
        <v>34305</v>
      </c>
      <c r="L2">
        <v>4828</v>
      </c>
      <c r="M2">
        <v>419</v>
      </c>
      <c r="N2">
        <v>5797</v>
      </c>
      <c r="O2">
        <v>248</v>
      </c>
      <c r="P2">
        <v>7815</v>
      </c>
      <c r="Q2">
        <v>344</v>
      </c>
      <c r="R2">
        <v>10905</v>
      </c>
      <c r="S2">
        <v>215</v>
      </c>
      <c r="T2">
        <v>237246</v>
      </c>
      <c r="U2">
        <v>1797</v>
      </c>
      <c r="V2">
        <v>198</v>
      </c>
      <c r="W2">
        <v>233009</v>
      </c>
      <c r="X2">
        <v>265</v>
      </c>
      <c r="Y2">
        <v>6213</v>
      </c>
      <c r="Z2">
        <v>102</v>
      </c>
    </row>
    <row r="3" spans="1:26" x14ac:dyDescent="0.2">
      <c r="A3" t="s">
        <v>255</v>
      </c>
      <c r="B3">
        <v>1</v>
      </c>
      <c r="C3" t="s">
        <v>260</v>
      </c>
      <c r="D3">
        <v>439000</v>
      </c>
      <c r="E3">
        <v>355157</v>
      </c>
      <c r="F3">
        <v>287975</v>
      </c>
      <c r="G3">
        <v>47831</v>
      </c>
      <c r="H3">
        <v>40391</v>
      </c>
      <c r="I3">
        <v>1409</v>
      </c>
      <c r="J3">
        <v>465</v>
      </c>
      <c r="K3">
        <v>33761</v>
      </c>
      <c r="L3">
        <v>5468</v>
      </c>
      <c r="M3">
        <v>901</v>
      </c>
      <c r="N3">
        <v>5385</v>
      </c>
      <c r="O3">
        <v>402</v>
      </c>
      <c r="P3">
        <v>8391</v>
      </c>
      <c r="Q3">
        <v>605</v>
      </c>
      <c r="R3">
        <v>10139</v>
      </c>
      <c r="S3">
        <v>270</v>
      </c>
      <c r="T3">
        <v>242691</v>
      </c>
      <c r="U3">
        <v>1514</v>
      </c>
      <c r="V3">
        <v>655</v>
      </c>
      <c r="W3">
        <v>238954</v>
      </c>
      <c r="X3">
        <v>291</v>
      </c>
      <c r="Y3">
        <v>6902</v>
      </c>
      <c r="Z3">
        <v>183</v>
      </c>
    </row>
    <row r="4" spans="1:26" x14ac:dyDescent="0.2">
      <c r="A4" t="s">
        <v>232</v>
      </c>
      <c r="B4">
        <v>2</v>
      </c>
      <c r="C4" t="s">
        <v>259</v>
      </c>
      <c r="D4">
        <v>1730000</v>
      </c>
      <c r="E4">
        <v>1550000</v>
      </c>
      <c r="F4">
        <v>1430000</v>
      </c>
      <c r="G4">
        <v>25030</v>
      </c>
      <c r="H4">
        <v>22997</v>
      </c>
      <c r="I4">
        <v>6853</v>
      </c>
      <c r="J4">
        <v>282</v>
      </c>
      <c r="K4">
        <v>15551</v>
      </c>
      <c r="L4">
        <v>5723</v>
      </c>
      <c r="M4">
        <v>440</v>
      </c>
      <c r="N4">
        <v>7511</v>
      </c>
      <c r="O4">
        <v>203</v>
      </c>
      <c r="P4">
        <v>8246</v>
      </c>
      <c r="Q4">
        <v>354</v>
      </c>
      <c r="R4">
        <v>6851</v>
      </c>
      <c r="S4">
        <v>250</v>
      </c>
      <c r="T4">
        <v>1390000</v>
      </c>
      <c r="U4">
        <v>6160</v>
      </c>
      <c r="V4">
        <v>38.5</v>
      </c>
      <c r="W4">
        <v>1380000</v>
      </c>
      <c r="X4">
        <v>166</v>
      </c>
      <c r="Y4">
        <v>829</v>
      </c>
      <c r="Z4">
        <v>174</v>
      </c>
    </row>
    <row r="5" spans="1:26" x14ac:dyDescent="0.2">
      <c r="A5" t="s">
        <v>231</v>
      </c>
      <c r="B5">
        <v>2</v>
      </c>
      <c r="C5" t="s">
        <v>260</v>
      </c>
      <c r="D5">
        <v>1720000</v>
      </c>
      <c r="E5">
        <v>1550000</v>
      </c>
      <c r="F5">
        <v>1430000</v>
      </c>
      <c r="G5">
        <v>24286</v>
      </c>
      <c r="H5">
        <v>22498</v>
      </c>
      <c r="I5">
        <v>6556</v>
      </c>
      <c r="J5">
        <v>840</v>
      </c>
      <c r="K5">
        <v>15354</v>
      </c>
      <c r="L5">
        <v>5586</v>
      </c>
      <c r="M5">
        <v>988</v>
      </c>
      <c r="N5">
        <v>7426</v>
      </c>
      <c r="O5">
        <v>556</v>
      </c>
      <c r="P5">
        <v>8241</v>
      </c>
      <c r="Q5">
        <v>844</v>
      </c>
      <c r="R5">
        <v>6691</v>
      </c>
      <c r="S5">
        <v>948</v>
      </c>
      <c r="T5">
        <v>1400000</v>
      </c>
      <c r="U5">
        <v>6188</v>
      </c>
      <c r="V5">
        <v>3058</v>
      </c>
      <c r="W5">
        <v>1380000</v>
      </c>
      <c r="X5">
        <v>617</v>
      </c>
      <c r="Y5">
        <v>832</v>
      </c>
      <c r="Z5">
        <v>328</v>
      </c>
    </row>
    <row r="6" spans="1:26" x14ac:dyDescent="0.2">
      <c r="A6" t="s">
        <v>234</v>
      </c>
      <c r="B6">
        <v>3</v>
      </c>
      <c r="C6" t="s">
        <v>259</v>
      </c>
      <c r="D6">
        <v>3420000</v>
      </c>
      <c r="E6">
        <v>3130000</v>
      </c>
      <c r="F6">
        <v>2580000</v>
      </c>
      <c r="G6">
        <v>56146</v>
      </c>
      <c r="H6">
        <v>50543</v>
      </c>
      <c r="I6">
        <v>3780</v>
      </c>
      <c r="J6">
        <v>320</v>
      </c>
      <c r="K6">
        <v>45567</v>
      </c>
      <c r="L6">
        <v>25222</v>
      </c>
      <c r="M6">
        <v>350</v>
      </c>
      <c r="N6">
        <v>12915</v>
      </c>
      <c r="O6">
        <v>186</v>
      </c>
      <c r="P6">
        <v>28737</v>
      </c>
      <c r="Q6">
        <v>312</v>
      </c>
      <c r="R6">
        <v>15082</v>
      </c>
      <c r="S6">
        <v>366</v>
      </c>
      <c r="T6">
        <v>2470000</v>
      </c>
      <c r="U6">
        <v>30653</v>
      </c>
      <c r="V6">
        <v>178</v>
      </c>
      <c r="W6">
        <v>2400000</v>
      </c>
      <c r="X6">
        <v>179</v>
      </c>
      <c r="Y6">
        <v>3926</v>
      </c>
      <c r="Z6">
        <v>69.400000000000006</v>
      </c>
    </row>
    <row r="7" spans="1:26" x14ac:dyDescent="0.2">
      <c r="A7" t="s">
        <v>233</v>
      </c>
      <c r="B7">
        <v>3</v>
      </c>
      <c r="C7" t="s">
        <v>260</v>
      </c>
      <c r="D7">
        <v>3390000</v>
      </c>
      <c r="E7">
        <v>3080000</v>
      </c>
      <c r="F7">
        <v>2520000</v>
      </c>
      <c r="G7">
        <v>55181</v>
      </c>
      <c r="H7">
        <v>50094</v>
      </c>
      <c r="I7">
        <v>3534</v>
      </c>
      <c r="J7">
        <v>873</v>
      </c>
      <c r="K7">
        <v>45490</v>
      </c>
      <c r="L7">
        <v>24337</v>
      </c>
      <c r="M7">
        <v>509</v>
      </c>
      <c r="N7">
        <v>13811</v>
      </c>
      <c r="O7">
        <v>433</v>
      </c>
      <c r="P7">
        <v>28615</v>
      </c>
      <c r="Q7">
        <v>544</v>
      </c>
      <c r="R7">
        <v>15249</v>
      </c>
      <c r="S7">
        <v>510</v>
      </c>
      <c r="T7">
        <v>2420000</v>
      </c>
      <c r="U7">
        <v>30464</v>
      </c>
      <c r="V7">
        <v>333</v>
      </c>
      <c r="W7">
        <v>2340000</v>
      </c>
      <c r="X7">
        <v>293</v>
      </c>
      <c r="Y7">
        <v>3468</v>
      </c>
      <c r="Z7">
        <v>107</v>
      </c>
    </row>
    <row r="8" spans="1:26" x14ac:dyDescent="0.2">
      <c r="A8" t="s">
        <v>236</v>
      </c>
      <c r="B8">
        <v>4</v>
      </c>
      <c r="C8" t="s">
        <v>259</v>
      </c>
      <c r="D8">
        <v>2080000</v>
      </c>
      <c r="E8">
        <v>2000000</v>
      </c>
      <c r="F8">
        <v>1560000</v>
      </c>
      <c r="G8">
        <v>24633</v>
      </c>
      <c r="H8">
        <v>23712</v>
      </c>
      <c r="I8">
        <v>4549</v>
      </c>
      <c r="J8">
        <v>431</v>
      </c>
      <c r="K8">
        <v>18656</v>
      </c>
      <c r="L8">
        <v>9238</v>
      </c>
      <c r="M8">
        <v>628</v>
      </c>
      <c r="N8">
        <v>8855</v>
      </c>
      <c r="O8">
        <v>240</v>
      </c>
      <c r="P8">
        <v>17134</v>
      </c>
      <c r="Q8">
        <v>423</v>
      </c>
      <c r="R8">
        <v>1399</v>
      </c>
      <c r="S8">
        <v>313</v>
      </c>
      <c r="T8">
        <v>1520000</v>
      </c>
      <c r="U8">
        <v>4930</v>
      </c>
      <c r="V8">
        <v>348</v>
      </c>
      <c r="W8">
        <v>1500000</v>
      </c>
      <c r="X8">
        <v>165</v>
      </c>
      <c r="Y8">
        <v>702</v>
      </c>
      <c r="Z8">
        <v>121</v>
      </c>
    </row>
    <row r="9" spans="1:26" x14ac:dyDescent="0.2">
      <c r="A9" t="s">
        <v>235</v>
      </c>
      <c r="B9">
        <v>4</v>
      </c>
      <c r="C9" t="s">
        <v>260</v>
      </c>
      <c r="D9">
        <v>2070000</v>
      </c>
      <c r="E9">
        <v>1980000</v>
      </c>
      <c r="F9">
        <v>1520000</v>
      </c>
      <c r="G9">
        <v>25387</v>
      </c>
      <c r="H9">
        <v>24448</v>
      </c>
      <c r="I9">
        <v>4759</v>
      </c>
      <c r="J9">
        <v>646</v>
      </c>
      <c r="K9">
        <v>19021</v>
      </c>
      <c r="L9">
        <v>9297</v>
      </c>
      <c r="M9">
        <v>803</v>
      </c>
      <c r="N9">
        <v>9183</v>
      </c>
      <c r="O9">
        <v>310</v>
      </c>
      <c r="P9">
        <v>17459</v>
      </c>
      <c r="Q9">
        <v>527</v>
      </c>
      <c r="R9">
        <v>1420</v>
      </c>
      <c r="S9">
        <v>332</v>
      </c>
      <c r="T9">
        <v>1480000</v>
      </c>
      <c r="U9">
        <v>5248</v>
      </c>
      <c r="V9">
        <v>1801</v>
      </c>
      <c r="W9">
        <v>1460000</v>
      </c>
      <c r="X9">
        <v>158</v>
      </c>
      <c r="Y9">
        <v>714</v>
      </c>
      <c r="Z9">
        <v>213</v>
      </c>
    </row>
    <row r="10" spans="1:26" x14ac:dyDescent="0.2">
      <c r="A10" t="s">
        <v>238</v>
      </c>
      <c r="B10">
        <v>5</v>
      </c>
      <c r="C10" t="s">
        <v>259</v>
      </c>
      <c r="D10">
        <v>1890000</v>
      </c>
      <c r="E10">
        <v>1820000</v>
      </c>
      <c r="F10">
        <v>1570000</v>
      </c>
      <c r="G10">
        <v>13295</v>
      </c>
      <c r="H10">
        <v>12475</v>
      </c>
      <c r="I10">
        <v>3168</v>
      </c>
      <c r="J10">
        <v>299</v>
      </c>
      <c r="K10">
        <v>8959</v>
      </c>
      <c r="L10">
        <v>5876</v>
      </c>
      <c r="M10">
        <v>298</v>
      </c>
      <c r="N10">
        <v>2874</v>
      </c>
      <c r="O10">
        <v>168</v>
      </c>
      <c r="P10">
        <v>8240</v>
      </c>
      <c r="Q10">
        <v>258</v>
      </c>
      <c r="R10">
        <v>553</v>
      </c>
      <c r="S10">
        <v>158</v>
      </c>
      <c r="T10">
        <v>1540000</v>
      </c>
      <c r="U10">
        <v>4315</v>
      </c>
      <c r="V10">
        <v>105</v>
      </c>
      <c r="W10">
        <v>1530000</v>
      </c>
      <c r="X10">
        <v>138</v>
      </c>
      <c r="Y10">
        <v>458</v>
      </c>
      <c r="Z10">
        <v>56.5</v>
      </c>
    </row>
    <row r="11" spans="1:26" x14ac:dyDescent="0.2">
      <c r="A11" t="s">
        <v>237</v>
      </c>
      <c r="B11">
        <v>5</v>
      </c>
      <c r="C11" t="s">
        <v>260</v>
      </c>
      <c r="D11">
        <v>1910000</v>
      </c>
      <c r="E11">
        <v>1850000</v>
      </c>
      <c r="F11">
        <v>1600000</v>
      </c>
      <c r="G11">
        <v>12536</v>
      </c>
      <c r="H11">
        <v>11763</v>
      </c>
      <c r="I11">
        <v>3163</v>
      </c>
      <c r="J11">
        <v>800</v>
      </c>
      <c r="K11">
        <v>8201</v>
      </c>
      <c r="L11">
        <v>5251</v>
      </c>
      <c r="M11">
        <v>613</v>
      </c>
      <c r="N11">
        <v>2758</v>
      </c>
      <c r="O11">
        <v>310</v>
      </c>
      <c r="P11">
        <v>7501</v>
      </c>
      <c r="Q11">
        <v>512</v>
      </c>
      <c r="R11">
        <v>532</v>
      </c>
      <c r="S11">
        <v>261</v>
      </c>
      <c r="T11">
        <v>1570000</v>
      </c>
      <c r="U11">
        <v>4189</v>
      </c>
      <c r="V11">
        <v>571</v>
      </c>
      <c r="W11">
        <v>1560000</v>
      </c>
      <c r="X11">
        <v>148</v>
      </c>
      <c r="Y11">
        <v>426</v>
      </c>
      <c r="Z11">
        <v>73.2</v>
      </c>
    </row>
    <row r="12" spans="1:26" x14ac:dyDescent="0.2">
      <c r="A12" t="s">
        <v>240</v>
      </c>
      <c r="B12">
        <v>6</v>
      </c>
      <c r="C12" t="s">
        <v>259</v>
      </c>
      <c r="D12">
        <v>1310000</v>
      </c>
      <c r="E12">
        <v>1030000</v>
      </c>
      <c r="F12">
        <v>961000</v>
      </c>
      <c r="G12">
        <v>5523</v>
      </c>
      <c r="H12">
        <v>5193</v>
      </c>
      <c r="I12">
        <v>347</v>
      </c>
      <c r="J12">
        <v>380</v>
      </c>
      <c r="K12">
        <v>4823</v>
      </c>
      <c r="L12">
        <v>261</v>
      </c>
      <c r="M12">
        <v>352</v>
      </c>
      <c r="N12">
        <v>4095</v>
      </c>
      <c r="O12">
        <v>207</v>
      </c>
      <c r="P12">
        <v>2416</v>
      </c>
      <c r="Q12">
        <v>283</v>
      </c>
      <c r="R12">
        <v>2127</v>
      </c>
      <c r="S12">
        <v>188</v>
      </c>
      <c r="T12">
        <v>955000</v>
      </c>
      <c r="U12">
        <v>926</v>
      </c>
      <c r="V12">
        <v>127</v>
      </c>
      <c r="W12">
        <v>951000</v>
      </c>
      <c r="X12">
        <v>329</v>
      </c>
      <c r="Y12">
        <v>90</v>
      </c>
      <c r="Z12">
        <v>120</v>
      </c>
    </row>
    <row r="13" spans="1:26" x14ac:dyDescent="0.2">
      <c r="A13" t="s">
        <v>239</v>
      </c>
      <c r="B13">
        <v>6</v>
      </c>
      <c r="C13" t="s">
        <v>260</v>
      </c>
      <c r="D13">
        <v>1280000</v>
      </c>
      <c r="E13">
        <v>1020000</v>
      </c>
      <c r="F13">
        <v>949000</v>
      </c>
      <c r="G13">
        <v>5523</v>
      </c>
      <c r="H13">
        <v>4980</v>
      </c>
      <c r="I13">
        <v>437</v>
      </c>
      <c r="J13">
        <v>1095</v>
      </c>
      <c r="K13">
        <v>4516</v>
      </c>
      <c r="L13">
        <v>211</v>
      </c>
      <c r="M13">
        <v>890</v>
      </c>
      <c r="N13">
        <v>3615</v>
      </c>
      <c r="O13">
        <v>465</v>
      </c>
      <c r="P13">
        <v>2242</v>
      </c>
      <c r="Q13">
        <v>699</v>
      </c>
      <c r="R13">
        <v>2038</v>
      </c>
      <c r="S13">
        <v>394</v>
      </c>
      <c r="T13">
        <v>943000</v>
      </c>
      <c r="U13">
        <v>950</v>
      </c>
      <c r="V13">
        <v>3126</v>
      </c>
      <c r="W13">
        <v>938000</v>
      </c>
      <c r="X13">
        <v>786</v>
      </c>
      <c r="Y13">
        <v>103</v>
      </c>
      <c r="Z13">
        <v>217</v>
      </c>
    </row>
    <row r="14" spans="1:26" x14ac:dyDescent="0.2">
      <c r="A14" t="s">
        <v>242</v>
      </c>
      <c r="B14">
        <v>7</v>
      </c>
      <c r="C14" t="s">
        <v>259</v>
      </c>
      <c r="D14">
        <v>1590000</v>
      </c>
      <c r="E14">
        <v>1490000</v>
      </c>
      <c r="F14">
        <v>1240000</v>
      </c>
      <c r="G14">
        <v>33361</v>
      </c>
      <c r="H14">
        <v>29657</v>
      </c>
      <c r="I14">
        <v>1335</v>
      </c>
      <c r="J14">
        <v>436</v>
      </c>
      <c r="K14">
        <v>26903</v>
      </c>
      <c r="L14">
        <v>5781</v>
      </c>
      <c r="M14">
        <v>437</v>
      </c>
      <c r="N14">
        <v>19737</v>
      </c>
      <c r="O14">
        <v>175</v>
      </c>
      <c r="P14">
        <v>16810</v>
      </c>
      <c r="Q14">
        <v>291</v>
      </c>
      <c r="R14">
        <v>8661</v>
      </c>
      <c r="S14">
        <v>117</v>
      </c>
      <c r="T14">
        <v>1190000</v>
      </c>
      <c r="U14">
        <v>3111</v>
      </c>
      <c r="V14">
        <v>96.4</v>
      </c>
      <c r="W14">
        <v>1090000</v>
      </c>
      <c r="X14">
        <v>134</v>
      </c>
      <c r="Y14">
        <v>1891</v>
      </c>
      <c r="Z14">
        <v>100</v>
      </c>
    </row>
    <row r="15" spans="1:26" x14ac:dyDescent="0.2">
      <c r="A15" t="s">
        <v>241</v>
      </c>
      <c r="B15">
        <v>7</v>
      </c>
      <c r="C15" t="s">
        <v>260</v>
      </c>
      <c r="D15">
        <v>1610000</v>
      </c>
      <c r="E15">
        <v>1510000</v>
      </c>
      <c r="F15">
        <v>1270000</v>
      </c>
      <c r="G15">
        <v>32374</v>
      </c>
      <c r="H15">
        <v>28873</v>
      </c>
      <c r="I15">
        <v>1340</v>
      </c>
      <c r="J15">
        <v>945</v>
      </c>
      <c r="K15">
        <v>26043</v>
      </c>
      <c r="L15">
        <v>5848</v>
      </c>
      <c r="M15">
        <v>906</v>
      </c>
      <c r="N15">
        <v>18971</v>
      </c>
      <c r="O15">
        <v>359</v>
      </c>
      <c r="P15">
        <v>16938</v>
      </c>
      <c r="Q15">
        <v>570</v>
      </c>
      <c r="R15">
        <v>7755</v>
      </c>
      <c r="S15">
        <v>229</v>
      </c>
      <c r="T15">
        <v>1210000</v>
      </c>
      <c r="U15">
        <v>3056</v>
      </c>
      <c r="V15">
        <v>1606</v>
      </c>
      <c r="W15">
        <v>1110000</v>
      </c>
      <c r="X15">
        <v>279</v>
      </c>
      <c r="Y15">
        <v>1912</v>
      </c>
      <c r="Z15">
        <v>169</v>
      </c>
    </row>
    <row r="16" spans="1:26" x14ac:dyDescent="0.2">
      <c r="A16" s="112" t="s">
        <v>244</v>
      </c>
      <c r="B16" s="112">
        <v>8</v>
      </c>
      <c r="C16" t="s">
        <v>259</v>
      </c>
      <c r="D16">
        <v>1470000</v>
      </c>
      <c r="E16">
        <v>1350000</v>
      </c>
      <c r="F16">
        <v>1050000</v>
      </c>
      <c r="G16">
        <v>167995</v>
      </c>
      <c r="H16">
        <v>150296</v>
      </c>
      <c r="I16">
        <v>1398</v>
      </c>
      <c r="J16">
        <v>958</v>
      </c>
      <c r="K16">
        <v>147446</v>
      </c>
      <c r="L16">
        <v>23073</v>
      </c>
      <c r="M16">
        <v>781</v>
      </c>
      <c r="N16">
        <v>108327</v>
      </c>
      <c r="O16">
        <v>356</v>
      </c>
      <c r="P16">
        <v>89817</v>
      </c>
      <c r="Q16">
        <v>646</v>
      </c>
      <c r="R16">
        <v>54368</v>
      </c>
      <c r="S16">
        <v>222</v>
      </c>
      <c r="T16">
        <v>868000</v>
      </c>
      <c r="U16">
        <v>1766</v>
      </c>
      <c r="V16">
        <v>135</v>
      </c>
      <c r="W16">
        <v>808000</v>
      </c>
      <c r="X16">
        <v>178</v>
      </c>
      <c r="Y16">
        <v>10749</v>
      </c>
      <c r="Z16">
        <v>148</v>
      </c>
    </row>
    <row r="17" spans="1:26" x14ac:dyDescent="0.2">
      <c r="A17" s="112" t="s">
        <v>243</v>
      </c>
      <c r="B17" s="112">
        <v>8</v>
      </c>
      <c r="C17" t="s">
        <v>260</v>
      </c>
      <c r="D17">
        <v>1470000</v>
      </c>
      <c r="E17">
        <v>1350000</v>
      </c>
      <c r="F17">
        <v>1050000</v>
      </c>
      <c r="G17">
        <v>165313</v>
      </c>
      <c r="H17">
        <v>147822</v>
      </c>
      <c r="I17">
        <v>3043</v>
      </c>
      <c r="J17">
        <v>2185</v>
      </c>
      <c r="K17">
        <v>143128</v>
      </c>
      <c r="L17">
        <v>21575</v>
      </c>
      <c r="M17">
        <v>1263</v>
      </c>
      <c r="N17">
        <v>105501</v>
      </c>
      <c r="O17">
        <v>582</v>
      </c>
      <c r="P17">
        <v>84231</v>
      </c>
      <c r="Q17">
        <v>1010</v>
      </c>
      <c r="R17">
        <v>55473</v>
      </c>
      <c r="S17">
        <v>332</v>
      </c>
      <c r="T17">
        <v>876000</v>
      </c>
      <c r="U17">
        <v>1885</v>
      </c>
      <c r="V17">
        <v>1154</v>
      </c>
      <c r="W17">
        <v>817000</v>
      </c>
      <c r="X17">
        <v>191</v>
      </c>
      <c r="Y17">
        <v>10502</v>
      </c>
      <c r="Z17">
        <v>200</v>
      </c>
    </row>
    <row r="18" spans="1:26" x14ac:dyDescent="0.2">
      <c r="A18" t="s">
        <v>246</v>
      </c>
      <c r="B18">
        <v>9</v>
      </c>
      <c r="C18" t="s">
        <v>259</v>
      </c>
      <c r="D18">
        <v>1480000</v>
      </c>
      <c r="E18">
        <v>1360000</v>
      </c>
      <c r="F18">
        <v>1310000</v>
      </c>
      <c r="G18">
        <v>20707</v>
      </c>
      <c r="H18">
        <v>18983</v>
      </c>
      <c r="I18">
        <v>4477</v>
      </c>
      <c r="J18">
        <v>405</v>
      </c>
      <c r="K18">
        <v>13526</v>
      </c>
      <c r="L18">
        <v>2068</v>
      </c>
      <c r="M18">
        <v>326</v>
      </c>
      <c r="N18">
        <v>9434</v>
      </c>
      <c r="O18">
        <v>174</v>
      </c>
      <c r="P18">
        <v>5479</v>
      </c>
      <c r="Q18">
        <v>281</v>
      </c>
      <c r="R18">
        <v>6428</v>
      </c>
      <c r="S18">
        <v>151</v>
      </c>
      <c r="T18">
        <v>1290000</v>
      </c>
      <c r="U18">
        <v>982</v>
      </c>
      <c r="V18">
        <v>70.599999999999994</v>
      </c>
      <c r="W18">
        <v>1280000</v>
      </c>
      <c r="X18">
        <v>133</v>
      </c>
      <c r="Y18">
        <v>395</v>
      </c>
      <c r="Z18">
        <v>64.2</v>
      </c>
    </row>
    <row r="19" spans="1:26" x14ac:dyDescent="0.2">
      <c r="A19" t="s">
        <v>245</v>
      </c>
      <c r="B19">
        <v>9</v>
      </c>
      <c r="C19" t="s">
        <v>260</v>
      </c>
      <c r="D19">
        <v>1560000</v>
      </c>
      <c r="E19">
        <v>1440000</v>
      </c>
      <c r="F19">
        <v>1390000</v>
      </c>
      <c r="G19">
        <v>21345</v>
      </c>
      <c r="H19">
        <v>19393</v>
      </c>
      <c r="I19">
        <v>4759</v>
      </c>
      <c r="J19">
        <v>562</v>
      </c>
      <c r="K19">
        <v>13505</v>
      </c>
      <c r="L19">
        <v>2218</v>
      </c>
      <c r="M19">
        <v>475</v>
      </c>
      <c r="N19">
        <v>9402</v>
      </c>
      <c r="O19">
        <v>310</v>
      </c>
      <c r="P19">
        <v>5981</v>
      </c>
      <c r="Q19">
        <v>493</v>
      </c>
      <c r="R19">
        <v>6040</v>
      </c>
      <c r="S19">
        <v>271</v>
      </c>
      <c r="T19">
        <v>1370000</v>
      </c>
      <c r="U19">
        <v>1342</v>
      </c>
      <c r="V19">
        <v>579</v>
      </c>
      <c r="W19">
        <v>1360000</v>
      </c>
      <c r="X19">
        <v>146</v>
      </c>
      <c r="Y19">
        <v>445</v>
      </c>
      <c r="Z19">
        <v>129</v>
      </c>
    </row>
    <row r="20" spans="1:26" x14ac:dyDescent="0.2">
      <c r="A20" t="s">
        <v>248</v>
      </c>
      <c r="B20">
        <v>10</v>
      </c>
      <c r="C20" t="s">
        <v>259</v>
      </c>
      <c r="D20">
        <v>483000</v>
      </c>
      <c r="E20">
        <v>462000</v>
      </c>
      <c r="F20">
        <v>271604</v>
      </c>
      <c r="G20">
        <v>2427</v>
      </c>
      <c r="H20">
        <v>2073</v>
      </c>
      <c r="I20">
        <v>754</v>
      </c>
      <c r="J20">
        <v>444</v>
      </c>
      <c r="K20">
        <v>1261</v>
      </c>
      <c r="L20">
        <v>595</v>
      </c>
      <c r="M20">
        <v>343</v>
      </c>
      <c r="N20">
        <v>415</v>
      </c>
      <c r="O20">
        <v>226</v>
      </c>
      <c r="P20">
        <v>524</v>
      </c>
      <c r="Q20">
        <v>392</v>
      </c>
      <c r="R20">
        <v>562</v>
      </c>
      <c r="S20">
        <v>205</v>
      </c>
      <c r="T20">
        <v>269115</v>
      </c>
      <c r="U20">
        <v>1013</v>
      </c>
      <c r="V20">
        <v>92.5</v>
      </c>
      <c r="W20">
        <v>265647</v>
      </c>
      <c r="X20">
        <v>168</v>
      </c>
      <c r="Y20">
        <v>182</v>
      </c>
      <c r="Z20">
        <v>102</v>
      </c>
    </row>
    <row r="21" spans="1:26" x14ac:dyDescent="0.2">
      <c r="A21" t="s">
        <v>247</v>
      </c>
      <c r="B21">
        <v>10</v>
      </c>
      <c r="C21" t="s">
        <v>260</v>
      </c>
      <c r="D21">
        <v>612000</v>
      </c>
      <c r="E21">
        <v>587000</v>
      </c>
      <c r="F21">
        <v>335237</v>
      </c>
      <c r="G21">
        <v>2498</v>
      </c>
      <c r="H21">
        <v>2141</v>
      </c>
      <c r="I21">
        <v>784</v>
      </c>
      <c r="J21">
        <v>774</v>
      </c>
      <c r="K21">
        <v>1265</v>
      </c>
      <c r="L21">
        <v>628</v>
      </c>
      <c r="M21">
        <v>918</v>
      </c>
      <c r="N21">
        <v>385</v>
      </c>
      <c r="O21">
        <v>406</v>
      </c>
      <c r="P21">
        <v>539</v>
      </c>
      <c r="Q21">
        <v>1108</v>
      </c>
      <c r="R21">
        <v>558</v>
      </c>
      <c r="S21">
        <v>421</v>
      </c>
      <c r="T21">
        <v>332685</v>
      </c>
      <c r="U21">
        <v>1076</v>
      </c>
      <c r="V21">
        <v>1389</v>
      </c>
      <c r="W21">
        <v>328736</v>
      </c>
      <c r="X21">
        <v>270</v>
      </c>
      <c r="Y21">
        <v>213</v>
      </c>
      <c r="Z21">
        <v>51.4</v>
      </c>
    </row>
    <row r="22" spans="1:26" x14ac:dyDescent="0.2">
      <c r="A22" t="s">
        <v>250</v>
      </c>
      <c r="B22">
        <v>11</v>
      </c>
      <c r="C22" t="s">
        <v>259</v>
      </c>
      <c r="D22">
        <v>1220000</v>
      </c>
      <c r="E22">
        <v>1110000</v>
      </c>
      <c r="F22">
        <v>854000</v>
      </c>
      <c r="G22">
        <v>25540</v>
      </c>
      <c r="H22">
        <v>21616</v>
      </c>
      <c r="I22">
        <v>5176</v>
      </c>
      <c r="J22">
        <v>388</v>
      </c>
      <c r="K22">
        <v>15938</v>
      </c>
      <c r="L22">
        <v>11638</v>
      </c>
      <c r="M22">
        <v>671</v>
      </c>
      <c r="N22">
        <v>3307</v>
      </c>
      <c r="O22">
        <v>322</v>
      </c>
      <c r="P22">
        <v>10038</v>
      </c>
      <c r="Q22">
        <v>687</v>
      </c>
      <c r="R22">
        <v>1291</v>
      </c>
      <c r="S22">
        <v>194</v>
      </c>
      <c r="T22">
        <v>827000</v>
      </c>
      <c r="U22">
        <v>826</v>
      </c>
      <c r="V22">
        <v>285</v>
      </c>
      <c r="W22">
        <v>809000</v>
      </c>
      <c r="X22">
        <v>100</v>
      </c>
      <c r="Y22">
        <v>2997</v>
      </c>
      <c r="Z22">
        <v>104</v>
      </c>
    </row>
    <row r="23" spans="1:26" x14ac:dyDescent="0.2">
      <c r="A23" t="s">
        <v>249</v>
      </c>
      <c r="B23">
        <v>11</v>
      </c>
      <c r="C23" t="s">
        <v>260</v>
      </c>
      <c r="D23">
        <v>1230000</v>
      </c>
      <c r="E23">
        <v>1130000</v>
      </c>
      <c r="F23">
        <v>876000</v>
      </c>
      <c r="G23">
        <v>24689</v>
      </c>
      <c r="H23">
        <v>20648</v>
      </c>
      <c r="I23">
        <v>5259</v>
      </c>
      <c r="J23">
        <v>541</v>
      </c>
      <c r="K23">
        <v>14790</v>
      </c>
      <c r="L23">
        <v>10820</v>
      </c>
      <c r="M23">
        <v>1345</v>
      </c>
      <c r="N23">
        <v>2980</v>
      </c>
      <c r="O23">
        <v>543</v>
      </c>
      <c r="P23">
        <v>9562</v>
      </c>
      <c r="Q23">
        <v>1305</v>
      </c>
      <c r="R23">
        <v>1232</v>
      </c>
      <c r="S23">
        <v>328</v>
      </c>
      <c r="T23">
        <v>850000</v>
      </c>
      <c r="U23">
        <v>989</v>
      </c>
      <c r="V23">
        <v>419</v>
      </c>
      <c r="W23">
        <v>831000</v>
      </c>
      <c r="X23">
        <v>100</v>
      </c>
      <c r="Y23">
        <v>3160</v>
      </c>
      <c r="Z23">
        <v>140</v>
      </c>
    </row>
    <row r="24" spans="1:26" x14ac:dyDescent="0.2">
      <c r="A24" t="s">
        <v>251</v>
      </c>
      <c r="B24">
        <v>12</v>
      </c>
      <c r="C24" t="s">
        <v>259</v>
      </c>
      <c r="D24">
        <v>1610000</v>
      </c>
      <c r="E24">
        <v>1280000</v>
      </c>
      <c r="F24">
        <v>1200000</v>
      </c>
      <c r="G24">
        <v>76899</v>
      </c>
      <c r="H24">
        <v>66114</v>
      </c>
      <c r="I24">
        <v>1326</v>
      </c>
      <c r="J24">
        <v>343</v>
      </c>
      <c r="K24">
        <v>64514</v>
      </c>
      <c r="L24">
        <v>10040</v>
      </c>
      <c r="M24">
        <v>873</v>
      </c>
      <c r="N24">
        <v>5127</v>
      </c>
      <c r="O24">
        <v>399</v>
      </c>
      <c r="P24">
        <v>10956</v>
      </c>
      <c r="Q24">
        <v>810</v>
      </c>
      <c r="R24">
        <v>48784</v>
      </c>
      <c r="S24">
        <v>862</v>
      </c>
      <c r="T24">
        <v>1110000</v>
      </c>
      <c r="U24">
        <v>2781</v>
      </c>
      <c r="V24">
        <v>250</v>
      </c>
      <c r="W24">
        <v>961000</v>
      </c>
      <c r="X24">
        <v>263</v>
      </c>
      <c r="Y24">
        <v>5537</v>
      </c>
      <c r="Z24">
        <v>70.599999999999994</v>
      </c>
    </row>
    <row r="25" spans="1:26" x14ac:dyDescent="0.2">
      <c r="A25" t="s">
        <v>252</v>
      </c>
      <c r="B25">
        <v>12</v>
      </c>
      <c r="C25" t="s">
        <v>260</v>
      </c>
      <c r="D25">
        <v>1370000</v>
      </c>
      <c r="E25">
        <v>1080000</v>
      </c>
      <c r="F25">
        <v>1020000</v>
      </c>
      <c r="G25">
        <v>63108</v>
      </c>
      <c r="H25">
        <v>53859</v>
      </c>
      <c r="I25">
        <v>1332</v>
      </c>
      <c r="J25">
        <v>562</v>
      </c>
      <c r="K25">
        <v>52041</v>
      </c>
      <c r="L25">
        <v>8308</v>
      </c>
      <c r="M25">
        <v>1467</v>
      </c>
      <c r="N25">
        <v>3622</v>
      </c>
      <c r="O25">
        <v>546</v>
      </c>
      <c r="P25">
        <v>9027</v>
      </c>
      <c r="Q25">
        <v>1394</v>
      </c>
      <c r="R25">
        <v>39983</v>
      </c>
      <c r="S25">
        <v>941</v>
      </c>
      <c r="T25">
        <v>947000</v>
      </c>
      <c r="U25">
        <v>2239</v>
      </c>
      <c r="V25">
        <v>920</v>
      </c>
      <c r="W25">
        <v>856000</v>
      </c>
      <c r="X25">
        <v>299</v>
      </c>
      <c r="Y25">
        <v>5441</v>
      </c>
      <c r="Z25">
        <v>62.9</v>
      </c>
    </row>
    <row r="26" spans="1:26" x14ac:dyDescent="0.2">
      <c r="A26" t="s">
        <v>254</v>
      </c>
      <c r="B26">
        <v>13</v>
      </c>
      <c r="C26" t="s">
        <v>259</v>
      </c>
      <c r="D26">
        <v>314845</v>
      </c>
      <c r="E26">
        <v>292598</v>
      </c>
      <c r="F26">
        <v>215194</v>
      </c>
      <c r="G26">
        <v>25561</v>
      </c>
      <c r="H26">
        <v>23344</v>
      </c>
      <c r="I26">
        <v>821</v>
      </c>
      <c r="J26">
        <v>451</v>
      </c>
      <c r="K26">
        <v>22295</v>
      </c>
      <c r="L26">
        <v>8927</v>
      </c>
      <c r="M26">
        <v>525</v>
      </c>
      <c r="N26">
        <v>12626</v>
      </c>
      <c r="O26">
        <v>306</v>
      </c>
      <c r="P26">
        <v>18690</v>
      </c>
      <c r="Q26">
        <v>433</v>
      </c>
      <c r="R26">
        <v>1346</v>
      </c>
      <c r="S26">
        <v>174</v>
      </c>
      <c r="T26">
        <v>188234</v>
      </c>
      <c r="U26">
        <v>7568</v>
      </c>
      <c r="V26">
        <v>225</v>
      </c>
      <c r="W26">
        <v>138222</v>
      </c>
      <c r="X26">
        <v>274</v>
      </c>
      <c r="Y26">
        <v>980</v>
      </c>
      <c r="Z26">
        <v>66.8</v>
      </c>
    </row>
    <row r="27" spans="1:26" x14ac:dyDescent="0.2">
      <c r="A27" t="s">
        <v>253</v>
      </c>
      <c r="B27">
        <v>13</v>
      </c>
      <c r="C27" t="s">
        <v>260</v>
      </c>
      <c r="D27">
        <v>413000</v>
      </c>
      <c r="E27">
        <v>383142</v>
      </c>
      <c r="F27">
        <v>279380</v>
      </c>
      <c r="G27">
        <v>35192</v>
      </c>
      <c r="H27">
        <v>32447</v>
      </c>
      <c r="I27">
        <v>1075</v>
      </c>
      <c r="J27">
        <v>594</v>
      </c>
      <c r="K27">
        <v>31097</v>
      </c>
      <c r="L27">
        <v>13908</v>
      </c>
      <c r="M27">
        <v>606</v>
      </c>
      <c r="N27">
        <v>16218</v>
      </c>
      <c r="O27">
        <v>333</v>
      </c>
      <c r="P27">
        <v>24200</v>
      </c>
      <c r="Q27">
        <v>512</v>
      </c>
      <c r="R27">
        <v>1874</v>
      </c>
      <c r="S27">
        <v>196</v>
      </c>
      <c r="T27">
        <v>242355</v>
      </c>
      <c r="U27">
        <v>9866</v>
      </c>
      <c r="V27">
        <v>2604</v>
      </c>
      <c r="W27">
        <v>177910</v>
      </c>
      <c r="X27">
        <v>964</v>
      </c>
      <c r="Y27">
        <v>697</v>
      </c>
      <c r="Z27">
        <v>75.8</v>
      </c>
    </row>
    <row r="29" spans="1:26" x14ac:dyDescent="0.2">
      <c r="B29" s="17" t="s">
        <v>271</v>
      </c>
      <c r="C29" s="18"/>
      <c r="D29" s="18"/>
      <c r="E29" s="18"/>
      <c r="F29" s="18"/>
      <c r="G29" s="18"/>
      <c r="H29" s="18"/>
      <c r="I29" s="18"/>
      <c r="J29" s="19"/>
    </row>
    <row r="30" spans="1:26" x14ac:dyDescent="0.2">
      <c r="B30" s="20"/>
      <c r="C30" s="21" t="s">
        <v>262</v>
      </c>
      <c r="D30" s="21" t="s">
        <v>263</v>
      </c>
      <c r="E30" s="21" t="s">
        <v>264</v>
      </c>
      <c r="F30" s="21" t="s">
        <v>263</v>
      </c>
      <c r="G30" s="21" t="s">
        <v>265</v>
      </c>
      <c r="H30" s="113" t="s">
        <v>228</v>
      </c>
      <c r="I30" s="113" t="s">
        <v>229</v>
      </c>
      <c r="J30" s="57" t="s">
        <v>261</v>
      </c>
    </row>
    <row r="31" spans="1:26" x14ac:dyDescent="0.2">
      <c r="B31" s="20" t="s">
        <v>96</v>
      </c>
      <c r="C31" s="114" t="s">
        <v>215</v>
      </c>
      <c r="D31" s="113" t="s">
        <v>213</v>
      </c>
      <c r="E31" s="115" t="s">
        <v>214</v>
      </c>
      <c r="F31" s="113" t="s">
        <v>225</v>
      </c>
      <c r="G31" s="113" t="s">
        <v>226</v>
      </c>
      <c r="H31" s="113" t="s">
        <v>266</v>
      </c>
      <c r="I31" s="113" t="s">
        <v>267</v>
      </c>
      <c r="J31" s="57" t="s">
        <v>268</v>
      </c>
    </row>
    <row r="32" spans="1:26" x14ac:dyDescent="0.2">
      <c r="B32" s="20">
        <v>1</v>
      </c>
      <c r="C32" s="21">
        <f>J3-J2</f>
        <v>114</v>
      </c>
      <c r="D32" s="21">
        <f>M3-M2</f>
        <v>482</v>
      </c>
      <c r="E32" s="21">
        <f>O3-O2</f>
        <v>154</v>
      </c>
      <c r="F32" s="21">
        <f>Q3-Q2</f>
        <v>261</v>
      </c>
      <c r="G32" s="21">
        <f>S3-S2</f>
        <v>55</v>
      </c>
      <c r="H32" s="21">
        <f>V3-V2</f>
        <v>457</v>
      </c>
      <c r="I32" s="21">
        <f>X3-X2</f>
        <v>26</v>
      </c>
      <c r="J32" s="10">
        <f>Z3-Z2</f>
        <v>81</v>
      </c>
      <c r="K32" s="3"/>
    </row>
    <row r="33" spans="2:11" x14ac:dyDescent="0.2">
      <c r="B33" s="20">
        <v>2</v>
      </c>
      <c r="C33" s="21">
        <f>J5-J4</f>
        <v>558</v>
      </c>
      <c r="D33" s="21">
        <f>M5-M4</f>
        <v>548</v>
      </c>
      <c r="E33" s="21">
        <f>O5-O4</f>
        <v>353</v>
      </c>
      <c r="F33" s="21">
        <f>Q5-Q4</f>
        <v>490</v>
      </c>
      <c r="G33" s="21">
        <f>S5-S4</f>
        <v>698</v>
      </c>
      <c r="H33" s="21">
        <f>V5-V4</f>
        <v>3019.5</v>
      </c>
      <c r="I33" s="21">
        <f>X5-X4</f>
        <v>451</v>
      </c>
      <c r="J33" s="10">
        <f>Z5-Z4</f>
        <v>154</v>
      </c>
      <c r="K33" s="1"/>
    </row>
    <row r="34" spans="2:11" x14ac:dyDescent="0.2">
      <c r="B34" s="20">
        <v>3</v>
      </c>
      <c r="C34" s="21">
        <f>J7-J6</f>
        <v>553</v>
      </c>
      <c r="D34" s="21">
        <f>M7-M6</f>
        <v>159</v>
      </c>
      <c r="E34" s="21">
        <f>O7-O6</f>
        <v>247</v>
      </c>
      <c r="F34" s="21">
        <f>Q7-Q6</f>
        <v>232</v>
      </c>
      <c r="G34" s="21">
        <f>S7-S6</f>
        <v>144</v>
      </c>
      <c r="H34" s="21">
        <f>V7-V6</f>
        <v>155</v>
      </c>
      <c r="I34" s="21">
        <f>X7-X6</f>
        <v>114</v>
      </c>
      <c r="J34" s="10">
        <f>Z7-Z6</f>
        <v>37.599999999999994</v>
      </c>
      <c r="K34" s="1"/>
    </row>
    <row r="35" spans="2:11" x14ac:dyDescent="0.2">
      <c r="B35" s="20">
        <v>4</v>
      </c>
      <c r="C35" s="21">
        <f>J9-J8</f>
        <v>215</v>
      </c>
      <c r="D35" s="21">
        <f>M9-M8</f>
        <v>175</v>
      </c>
      <c r="E35" s="21">
        <f>O9-O8</f>
        <v>70</v>
      </c>
      <c r="F35" s="21">
        <f>Q9-Q8</f>
        <v>104</v>
      </c>
      <c r="G35" s="21">
        <f>S9-S8</f>
        <v>19</v>
      </c>
      <c r="H35" s="21">
        <f>V9-V8</f>
        <v>1453</v>
      </c>
      <c r="I35" s="21">
        <f>X9-X8</f>
        <v>-7</v>
      </c>
      <c r="J35" s="10">
        <f>Z9-Z8</f>
        <v>92</v>
      </c>
      <c r="K35" s="1"/>
    </row>
    <row r="36" spans="2:11" x14ac:dyDescent="0.2">
      <c r="B36" s="20">
        <v>5</v>
      </c>
      <c r="C36" s="21">
        <f>J11-J10</f>
        <v>501</v>
      </c>
      <c r="D36" s="21">
        <f>M11-M10</f>
        <v>315</v>
      </c>
      <c r="E36" s="21">
        <f>O11-O10</f>
        <v>142</v>
      </c>
      <c r="F36" s="21">
        <f>Q11-Q10</f>
        <v>254</v>
      </c>
      <c r="G36" s="21">
        <f>S11-S10</f>
        <v>103</v>
      </c>
      <c r="H36" s="21">
        <f>V11-V10</f>
        <v>466</v>
      </c>
      <c r="I36" s="21">
        <f>X11-X10</f>
        <v>10</v>
      </c>
      <c r="J36" s="10">
        <f>Z11-Z10</f>
        <v>16.700000000000003</v>
      </c>
      <c r="K36" s="1"/>
    </row>
    <row r="37" spans="2:11" x14ac:dyDescent="0.2">
      <c r="B37" s="20">
        <v>6</v>
      </c>
      <c r="C37" s="21">
        <f>J13-J12</f>
        <v>715</v>
      </c>
      <c r="D37" s="21">
        <f>M13-M12</f>
        <v>538</v>
      </c>
      <c r="E37" s="21">
        <f>O13-O12</f>
        <v>258</v>
      </c>
      <c r="F37" s="21">
        <f>Q13-Q12</f>
        <v>416</v>
      </c>
      <c r="G37" s="21">
        <f>S13-S12</f>
        <v>206</v>
      </c>
      <c r="H37" s="21">
        <f>V13-V12</f>
        <v>2999</v>
      </c>
      <c r="I37" s="21">
        <f>X13-X12</f>
        <v>457</v>
      </c>
      <c r="J37" s="10">
        <f>Z13-Z12</f>
        <v>97</v>
      </c>
      <c r="K37" s="1"/>
    </row>
    <row r="38" spans="2:11" x14ac:dyDescent="0.2">
      <c r="B38" s="20">
        <v>7</v>
      </c>
      <c r="C38" s="21">
        <f>J15-J14</f>
        <v>509</v>
      </c>
      <c r="D38" s="21">
        <f>M15-M14</f>
        <v>469</v>
      </c>
      <c r="E38" s="21">
        <f>O15-O14</f>
        <v>184</v>
      </c>
      <c r="F38" s="21">
        <f>Q15-Q14</f>
        <v>279</v>
      </c>
      <c r="G38" s="21">
        <f>S15-S14</f>
        <v>112</v>
      </c>
      <c r="H38" s="21">
        <f>V15-V14</f>
        <v>1509.6</v>
      </c>
      <c r="I38" s="21">
        <f>X15-X14</f>
        <v>145</v>
      </c>
      <c r="J38" s="10">
        <f>Z15-Z14</f>
        <v>69</v>
      </c>
      <c r="K38" s="1"/>
    </row>
    <row r="39" spans="2:11" x14ac:dyDescent="0.2">
      <c r="B39" s="20">
        <v>8</v>
      </c>
      <c r="C39" s="21">
        <f>J17-J16</f>
        <v>1227</v>
      </c>
      <c r="D39" s="21">
        <f>M17-M16</f>
        <v>482</v>
      </c>
      <c r="E39" s="21">
        <f>O17-O16</f>
        <v>226</v>
      </c>
      <c r="F39" s="21">
        <f>Q17-Q16</f>
        <v>364</v>
      </c>
      <c r="G39" s="21">
        <f>S17-S16</f>
        <v>110</v>
      </c>
      <c r="H39" s="21">
        <f>V17-V16</f>
        <v>1019</v>
      </c>
      <c r="I39" s="21">
        <f>X17-X16</f>
        <v>13</v>
      </c>
      <c r="J39" s="10">
        <f>Z17-Z16</f>
        <v>52</v>
      </c>
    </row>
    <row r="40" spans="2:11" x14ac:dyDescent="0.2">
      <c r="B40" s="20">
        <v>9</v>
      </c>
      <c r="C40" s="21">
        <f>J19-J18</f>
        <v>157</v>
      </c>
      <c r="D40" s="21">
        <f>M19-M18</f>
        <v>149</v>
      </c>
      <c r="E40" s="21">
        <f>O19-O18</f>
        <v>136</v>
      </c>
      <c r="F40" s="21">
        <f>Q19-Q18</f>
        <v>212</v>
      </c>
      <c r="G40" s="21">
        <f>S19-S18</f>
        <v>120</v>
      </c>
      <c r="H40" s="21">
        <f>V19-V18</f>
        <v>508.4</v>
      </c>
      <c r="I40" s="21">
        <f>X19-X18</f>
        <v>13</v>
      </c>
      <c r="J40" s="10">
        <f>Z19-Z18</f>
        <v>64.8</v>
      </c>
    </row>
    <row r="41" spans="2:11" x14ac:dyDescent="0.2">
      <c r="B41" s="20">
        <v>10</v>
      </c>
      <c r="C41" s="21">
        <f>J21-J20</f>
        <v>330</v>
      </c>
      <c r="D41" s="21">
        <f>M21-M20</f>
        <v>575</v>
      </c>
      <c r="E41" s="21">
        <f>O21-O20</f>
        <v>180</v>
      </c>
      <c r="F41" s="21">
        <f>Q21-Q20</f>
        <v>716</v>
      </c>
      <c r="G41" s="21">
        <f>S21-S20</f>
        <v>216</v>
      </c>
      <c r="H41" s="21">
        <f>V21-V20</f>
        <v>1296.5</v>
      </c>
      <c r="I41" s="21">
        <f>X21-X20</f>
        <v>102</v>
      </c>
      <c r="J41" s="10">
        <f>Z21-Z20</f>
        <v>-50.6</v>
      </c>
    </row>
    <row r="42" spans="2:11" x14ac:dyDescent="0.2">
      <c r="B42" s="20">
        <v>11</v>
      </c>
      <c r="C42" s="21">
        <f>J23-J22</f>
        <v>153</v>
      </c>
      <c r="D42" s="21">
        <f>M23-M22</f>
        <v>674</v>
      </c>
      <c r="E42" s="21">
        <f>O23-O22</f>
        <v>221</v>
      </c>
      <c r="F42" s="21">
        <f>Q23-Q22</f>
        <v>618</v>
      </c>
      <c r="G42" s="21">
        <f>S23-S22</f>
        <v>134</v>
      </c>
      <c r="H42" s="21">
        <f>V23-V22</f>
        <v>134</v>
      </c>
      <c r="I42" s="21">
        <f>X23-X22</f>
        <v>0</v>
      </c>
      <c r="J42" s="10">
        <f>Z23-Z22</f>
        <v>36</v>
      </c>
    </row>
    <row r="43" spans="2:11" x14ac:dyDescent="0.2">
      <c r="B43" s="20">
        <v>12</v>
      </c>
      <c r="C43" s="21">
        <f>J25-J24</f>
        <v>219</v>
      </c>
      <c r="D43" s="21">
        <f>M25-M24</f>
        <v>594</v>
      </c>
      <c r="E43" s="21">
        <f>O25-O24</f>
        <v>147</v>
      </c>
      <c r="F43" s="21">
        <f>Q25-Q24</f>
        <v>584</v>
      </c>
      <c r="G43" s="21">
        <f>S25-S24</f>
        <v>79</v>
      </c>
      <c r="H43" s="21">
        <f>V25-V24</f>
        <v>670</v>
      </c>
      <c r="I43" s="21">
        <f>X25-X24</f>
        <v>36</v>
      </c>
      <c r="J43" s="10">
        <f>Z25-Z24</f>
        <v>-7.6999999999999957</v>
      </c>
    </row>
    <row r="44" spans="2:11" x14ac:dyDescent="0.2">
      <c r="B44" s="28">
        <v>13</v>
      </c>
      <c r="C44" s="26">
        <f>J27-J26</f>
        <v>143</v>
      </c>
      <c r="D44" s="26">
        <f>M27-M26</f>
        <v>81</v>
      </c>
      <c r="E44" s="26">
        <f>O27-O26</f>
        <v>27</v>
      </c>
      <c r="F44" s="26">
        <f>Q27-Q26</f>
        <v>79</v>
      </c>
      <c r="G44" s="26">
        <f>S27-S26</f>
        <v>22</v>
      </c>
      <c r="H44" s="26">
        <f>V27-V26</f>
        <v>2379</v>
      </c>
      <c r="I44" s="26">
        <f>X27-X26</f>
        <v>690</v>
      </c>
      <c r="J44" s="11">
        <f>Z27-Z26</f>
        <v>9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7FEC61-EDBD-CF45-AB34-0E9F9B328B88}">
  <sheetPr codeName="Sheet2"/>
  <dimension ref="A1:G68"/>
  <sheetViews>
    <sheetView zoomScale="70" zoomScaleNormal="70" workbookViewId="0">
      <selection activeCell="H57" sqref="H57"/>
    </sheetView>
  </sheetViews>
  <sheetFormatPr baseColWidth="10" defaultColWidth="28.83203125" defaultRowHeight="16" x14ac:dyDescent="0.2"/>
  <cols>
    <col min="3" max="3" width="14.33203125" customWidth="1"/>
    <col min="4" max="4" width="11.83203125" customWidth="1"/>
    <col min="5" max="5" width="11.5" customWidth="1"/>
    <col min="6" max="6" width="13.6640625" customWidth="1"/>
    <col min="258" max="258" width="14.33203125" customWidth="1"/>
    <col min="259" max="259" width="11.83203125" customWidth="1"/>
    <col min="260" max="260" width="11.5" customWidth="1"/>
    <col min="261" max="261" width="13.6640625" customWidth="1"/>
    <col min="514" max="514" width="14.33203125" customWidth="1"/>
    <col min="515" max="515" width="11.83203125" customWidth="1"/>
    <col min="516" max="516" width="11.5" customWidth="1"/>
    <col min="517" max="517" width="13.6640625" customWidth="1"/>
    <col min="770" max="770" width="14.33203125" customWidth="1"/>
    <col min="771" max="771" width="11.83203125" customWidth="1"/>
    <col min="772" max="772" width="11.5" customWidth="1"/>
    <col min="773" max="773" width="13.6640625" customWidth="1"/>
    <col min="1026" max="1026" width="14.33203125" customWidth="1"/>
    <col min="1027" max="1027" width="11.83203125" customWidth="1"/>
    <col min="1028" max="1028" width="11.5" customWidth="1"/>
    <col min="1029" max="1029" width="13.6640625" customWidth="1"/>
    <col min="1282" max="1282" width="14.33203125" customWidth="1"/>
    <col min="1283" max="1283" width="11.83203125" customWidth="1"/>
    <col min="1284" max="1284" width="11.5" customWidth="1"/>
    <col min="1285" max="1285" width="13.6640625" customWidth="1"/>
    <col min="1538" max="1538" width="14.33203125" customWidth="1"/>
    <col min="1539" max="1539" width="11.83203125" customWidth="1"/>
    <col min="1540" max="1540" width="11.5" customWidth="1"/>
    <col min="1541" max="1541" width="13.6640625" customWidth="1"/>
    <col min="1794" max="1794" width="14.33203125" customWidth="1"/>
    <col min="1795" max="1795" width="11.83203125" customWidth="1"/>
    <col min="1796" max="1796" width="11.5" customWidth="1"/>
    <col min="1797" max="1797" width="13.6640625" customWidth="1"/>
    <col min="2050" max="2050" width="14.33203125" customWidth="1"/>
    <col min="2051" max="2051" width="11.83203125" customWidth="1"/>
    <col min="2052" max="2052" width="11.5" customWidth="1"/>
    <col min="2053" max="2053" width="13.6640625" customWidth="1"/>
    <col min="2306" max="2306" width="14.33203125" customWidth="1"/>
    <col min="2307" max="2307" width="11.83203125" customWidth="1"/>
    <col min="2308" max="2308" width="11.5" customWidth="1"/>
    <col min="2309" max="2309" width="13.6640625" customWidth="1"/>
    <col min="2562" max="2562" width="14.33203125" customWidth="1"/>
    <col min="2563" max="2563" width="11.83203125" customWidth="1"/>
    <col min="2564" max="2564" width="11.5" customWidth="1"/>
    <col min="2565" max="2565" width="13.6640625" customWidth="1"/>
    <col min="2818" max="2818" width="14.33203125" customWidth="1"/>
    <col min="2819" max="2819" width="11.83203125" customWidth="1"/>
    <col min="2820" max="2820" width="11.5" customWidth="1"/>
    <col min="2821" max="2821" width="13.6640625" customWidth="1"/>
    <col min="3074" max="3074" width="14.33203125" customWidth="1"/>
    <col min="3075" max="3075" width="11.83203125" customWidth="1"/>
    <col min="3076" max="3076" width="11.5" customWidth="1"/>
    <col min="3077" max="3077" width="13.6640625" customWidth="1"/>
    <col min="3330" max="3330" width="14.33203125" customWidth="1"/>
    <col min="3331" max="3331" width="11.83203125" customWidth="1"/>
    <col min="3332" max="3332" width="11.5" customWidth="1"/>
    <col min="3333" max="3333" width="13.6640625" customWidth="1"/>
    <col min="3586" max="3586" width="14.33203125" customWidth="1"/>
    <col min="3587" max="3587" width="11.83203125" customWidth="1"/>
    <col min="3588" max="3588" width="11.5" customWidth="1"/>
    <col min="3589" max="3589" width="13.6640625" customWidth="1"/>
    <col min="3842" max="3842" width="14.33203125" customWidth="1"/>
    <col min="3843" max="3843" width="11.83203125" customWidth="1"/>
    <col min="3844" max="3844" width="11.5" customWidth="1"/>
    <col min="3845" max="3845" width="13.6640625" customWidth="1"/>
    <col min="4098" max="4098" width="14.33203125" customWidth="1"/>
    <col min="4099" max="4099" width="11.83203125" customWidth="1"/>
    <col min="4100" max="4100" width="11.5" customWidth="1"/>
    <col min="4101" max="4101" width="13.6640625" customWidth="1"/>
    <col min="4354" max="4354" width="14.33203125" customWidth="1"/>
    <col min="4355" max="4355" width="11.83203125" customWidth="1"/>
    <col min="4356" max="4356" width="11.5" customWidth="1"/>
    <col min="4357" max="4357" width="13.6640625" customWidth="1"/>
    <col min="4610" max="4610" width="14.33203125" customWidth="1"/>
    <col min="4611" max="4611" width="11.83203125" customWidth="1"/>
    <col min="4612" max="4612" width="11.5" customWidth="1"/>
    <col min="4613" max="4613" width="13.6640625" customWidth="1"/>
    <col min="4866" max="4866" width="14.33203125" customWidth="1"/>
    <col min="4867" max="4867" width="11.83203125" customWidth="1"/>
    <col min="4868" max="4868" width="11.5" customWidth="1"/>
    <col min="4869" max="4869" width="13.6640625" customWidth="1"/>
    <col min="5122" max="5122" width="14.33203125" customWidth="1"/>
    <col min="5123" max="5123" width="11.83203125" customWidth="1"/>
    <col min="5124" max="5124" width="11.5" customWidth="1"/>
    <col min="5125" max="5125" width="13.6640625" customWidth="1"/>
    <col min="5378" max="5378" width="14.33203125" customWidth="1"/>
    <col min="5379" max="5379" width="11.83203125" customWidth="1"/>
    <col min="5380" max="5380" width="11.5" customWidth="1"/>
    <col min="5381" max="5381" width="13.6640625" customWidth="1"/>
    <col min="5634" max="5634" width="14.33203125" customWidth="1"/>
    <col min="5635" max="5635" width="11.83203125" customWidth="1"/>
    <col min="5636" max="5636" width="11.5" customWidth="1"/>
    <col min="5637" max="5637" width="13.6640625" customWidth="1"/>
    <col min="5890" max="5890" width="14.33203125" customWidth="1"/>
    <col min="5891" max="5891" width="11.83203125" customWidth="1"/>
    <col min="5892" max="5892" width="11.5" customWidth="1"/>
    <col min="5893" max="5893" width="13.6640625" customWidth="1"/>
    <col min="6146" max="6146" width="14.33203125" customWidth="1"/>
    <col min="6147" max="6147" width="11.83203125" customWidth="1"/>
    <col min="6148" max="6148" width="11.5" customWidth="1"/>
    <col min="6149" max="6149" width="13.6640625" customWidth="1"/>
    <col min="6402" max="6402" width="14.33203125" customWidth="1"/>
    <col min="6403" max="6403" width="11.83203125" customWidth="1"/>
    <col min="6404" max="6404" width="11.5" customWidth="1"/>
    <col min="6405" max="6405" width="13.6640625" customWidth="1"/>
    <col min="6658" max="6658" width="14.33203125" customWidth="1"/>
    <col min="6659" max="6659" width="11.83203125" customWidth="1"/>
    <col min="6660" max="6660" width="11.5" customWidth="1"/>
    <col min="6661" max="6661" width="13.6640625" customWidth="1"/>
    <col min="6914" max="6914" width="14.33203125" customWidth="1"/>
    <col min="6915" max="6915" width="11.83203125" customWidth="1"/>
    <col min="6916" max="6916" width="11.5" customWidth="1"/>
    <col min="6917" max="6917" width="13.6640625" customWidth="1"/>
    <col min="7170" max="7170" width="14.33203125" customWidth="1"/>
    <col min="7171" max="7171" width="11.83203125" customWidth="1"/>
    <col min="7172" max="7172" width="11.5" customWidth="1"/>
    <col min="7173" max="7173" width="13.6640625" customWidth="1"/>
    <col min="7426" max="7426" width="14.33203125" customWidth="1"/>
    <col min="7427" max="7427" width="11.83203125" customWidth="1"/>
    <col min="7428" max="7428" width="11.5" customWidth="1"/>
    <col min="7429" max="7429" width="13.6640625" customWidth="1"/>
    <col min="7682" max="7682" width="14.33203125" customWidth="1"/>
    <col min="7683" max="7683" width="11.83203125" customWidth="1"/>
    <col min="7684" max="7684" width="11.5" customWidth="1"/>
    <col min="7685" max="7685" width="13.6640625" customWidth="1"/>
    <col min="7938" max="7938" width="14.33203125" customWidth="1"/>
    <col min="7939" max="7939" width="11.83203125" customWidth="1"/>
    <col min="7940" max="7940" width="11.5" customWidth="1"/>
    <col min="7941" max="7941" width="13.6640625" customWidth="1"/>
    <col min="8194" max="8194" width="14.33203125" customWidth="1"/>
    <col min="8195" max="8195" width="11.83203125" customWidth="1"/>
    <col min="8196" max="8196" width="11.5" customWidth="1"/>
    <col min="8197" max="8197" width="13.6640625" customWidth="1"/>
    <col min="8450" max="8450" width="14.33203125" customWidth="1"/>
    <col min="8451" max="8451" width="11.83203125" customWidth="1"/>
    <col min="8452" max="8452" width="11.5" customWidth="1"/>
    <col min="8453" max="8453" width="13.6640625" customWidth="1"/>
    <col min="8706" max="8706" width="14.33203125" customWidth="1"/>
    <col min="8707" max="8707" width="11.83203125" customWidth="1"/>
    <col min="8708" max="8708" width="11.5" customWidth="1"/>
    <col min="8709" max="8709" width="13.6640625" customWidth="1"/>
    <col min="8962" max="8962" width="14.33203125" customWidth="1"/>
    <col min="8963" max="8963" width="11.83203125" customWidth="1"/>
    <col min="8964" max="8964" width="11.5" customWidth="1"/>
    <col min="8965" max="8965" width="13.6640625" customWidth="1"/>
    <col min="9218" max="9218" width="14.33203125" customWidth="1"/>
    <col min="9219" max="9219" width="11.83203125" customWidth="1"/>
    <col min="9220" max="9220" width="11.5" customWidth="1"/>
    <col min="9221" max="9221" width="13.6640625" customWidth="1"/>
    <col min="9474" max="9474" width="14.33203125" customWidth="1"/>
    <col min="9475" max="9475" width="11.83203125" customWidth="1"/>
    <col min="9476" max="9476" width="11.5" customWidth="1"/>
    <col min="9477" max="9477" width="13.6640625" customWidth="1"/>
    <col min="9730" max="9730" width="14.33203125" customWidth="1"/>
    <col min="9731" max="9731" width="11.83203125" customWidth="1"/>
    <col min="9732" max="9732" width="11.5" customWidth="1"/>
    <col min="9733" max="9733" width="13.6640625" customWidth="1"/>
    <col min="9986" max="9986" width="14.33203125" customWidth="1"/>
    <col min="9987" max="9987" width="11.83203125" customWidth="1"/>
    <col min="9988" max="9988" width="11.5" customWidth="1"/>
    <col min="9989" max="9989" width="13.6640625" customWidth="1"/>
    <col min="10242" max="10242" width="14.33203125" customWidth="1"/>
    <col min="10243" max="10243" width="11.83203125" customWidth="1"/>
    <col min="10244" max="10244" width="11.5" customWidth="1"/>
    <col min="10245" max="10245" width="13.6640625" customWidth="1"/>
    <col min="10498" max="10498" width="14.33203125" customWidth="1"/>
    <col min="10499" max="10499" width="11.83203125" customWidth="1"/>
    <col min="10500" max="10500" width="11.5" customWidth="1"/>
    <col min="10501" max="10501" width="13.6640625" customWidth="1"/>
    <col min="10754" max="10754" width="14.33203125" customWidth="1"/>
    <col min="10755" max="10755" width="11.83203125" customWidth="1"/>
    <col min="10756" max="10756" width="11.5" customWidth="1"/>
    <col min="10757" max="10757" width="13.6640625" customWidth="1"/>
    <col min="11010" max="11010" width="14.33203125" customWidth="1"/>
    <col min="11011" max="11011" width="11.83203125" customWidth="1"/>
    <col min="11012" max="11012" width="11.5" customWidth="1"/>
    <col min="11013" max="11013" width="13.6640625" customWidth="1"/>
    <col min="11266" max="11266" width="14.33203125" customWidth="1"/>
    <col min="11267" max="11267" width="11.83203125" customWidth="1"/>
    <col min="11268" max="11268" width="11.5" customWidth="1"/>
    <col min="11269" max="11269" width="13.6640625" customWidth="1"/>
    <col min="11522" max="11522" width="14.33203125" customWidth="1"/>
    <col min="11523" max="11523" width="11.83203125" customWidth="1"/>
    <col min="11524" max="11524" width="11.5" customWidth="1"/>
    <col min="11525" max="11525" width="13.6640625" customWidth="1"/>
    <col min="11778" max="11778" width="14.33203125" customWidth="1"/>
    <col min="11779" max="11779" width="11.83203125" customWidth="1"/>
    <col min="11780" max="11780" width="11.5" customWidth="1"/>
    <col min="11781" max="11781" width="13.6640625" customWidth="1"/>
    <col min="12034" max="12034" width="14.33203125" customWidth="1"/>
    <col min="12035" max="12035" width="11.83203125" customWidth="1"/>
    <col min="12036" max="12036" width="11.5" customWidth="1"/>
    <col min="12037" max="12037" width="13.6640625" customWidth="1"/>
    <col min="12290" max="12290" width="14.33203125" customWidth="1"/>
    <col min="12291" max="12291" width="11.83203125" customWidth="1"/>
    <col min="12292" max="12292" width="11.5" customWidth="1"/>
    <col min="12293" max="12293" width="13.6640625" customWidth="1"/>
    <col min="12546" max="12546" width="14.33203125" customWidth="1"/>
    <col min="12547" max="12547" width="11.83203125" customWidth="1"/>
    <col min="12548" max="12548" width="11.5" customWidth="1"/>
    <col min="12549" max="12549" width="13.6640625" customWidth="1"/>
    <col min="12802" max="12802" width="14.33203125" customWidth="1"/>
    <col min="12803" max="12803" width="11.83203125" customWidth="1"/>
    <col min="12804" max="12804" width="11.5" customWidth="1"/>
    <col min="12805" max="12805" width="13.6640625" customWidth="1"/>
    <col min="13058" max="13058" width="14.33203125" customWidth="1"/>
    <col min="13059" max="13059" width="11.83203125" customWidth="1"/>
    <col min="13060" max="13060" width="11.5" customWidth="1"/>
    <col min="13061" max="13061" width="13.6640625" customWidth="1"/>
    <col min="13314" max="13314" width="14.33203125" customWidth="1"/>
    <col min="13315" max="13315" width="11.83203125" customWidth="1"/>
    <col min="13316" max="13316" width="11.5" customWidth="1"/>
    <col min="13317" max="13317" width="13.6640625" customWidth="1"/>
    <col min="13570" max="13570" width="14.33203125" customWidth="1"/>
    <col min="13571" max="13571" width="11.83203125" customWidth="1"/>
    <col min="13572" max="13572" width="11.5" customWidth="1"/>
    <col min="13573" max="13573" width="13.6640625" customWidth="1"/>
    <col min="13826" max="13826" width="14.33203125" customWidth="1"/>
    <col min="13827" max="13827" width="11.83203125" customWidth="1"/>
    <col min="13828" max="13828" width="11.5" customWidth="1"/>
    <col min="13829" max="13829" width="13.6640625" customWidth="1"/>
    <col min="14082" max="14082" width="14.33203125" customWidth="1"/>
    <col min="14083" max="14083" width="11.83203125" customWidth="1"/>
    <col min="14084" max="14084" width="11.5" customWidth="1"/>
    <col min="14085" max="14085" width="13.6640625" customWidth="1"/>
    <col min="14338" max="14338" width="14.33203125" customWidth="1"/>
    <col min="14339" max="14339" width="11.83203125" customWidth="1"/>
    <col min="14340" max="14340" width="11.5" customWidth="1"/>
    <col min="14341" max="14341" width="13.6640625" customWidth="1"/>
    <col min="14594" max="14594" width="14.33203125" customWidth="1"/>
    <col min="14595" max="14595" width="11.83203125" customWidth="1"/>
    <col min="14596" max="14596" width="11.5" customWidth="1"/>
    <col min="14597" max="14597" width="13.6640625" customWidth="1"/>
    <col min="14850" max="14850" width="14.33203125" customWidth="1"/>
    <col min="14851" max="14851" width="11.83203125" customWidth="1"/>
    <col min="14852" max="14852" width="11.5" customWidth="1"/>
    <col min="14853" max="14853" width="13.6640625" customWidth="1"/>
    <col min="15106" max="15106" width="14.33203125" customWidth="1"/>
    <col min="15107" max="15107" width="11.83203125" customWidth="1"/>
    <col min="15108" max="15108" width="11.5" customWidth="1"/>
    <col min="15109" max="15109" width="13.6640625" customWidth="1"/>
    <col min="15362" max="15362" width="14.33203125" customWidth="1"/>
    <col min="15363" max="15363" width="11.83203125" customWidth="1"/>
    <col min="15364" max="15364" width="11.5" customWidth="1"/>
    <col min="15365" max="15365" width="13.6640625" customWidth="1"/>
    <col min="15618" max="15618" width="14.33203125" customWidth="1"/>
    <col min="15619" max="15619" width="11.83203125" customWidth="1"/>
    <col min="15620" max="15620" width="11.5" customWidth="1"/>
    <col min="15621" max="15621" width="13.6640625" customWidth="1"/>
    <col min="15874" max="15874" width="14.33203125" customWidth="1"/>
    <col min="15875" max="15875" width="11.83203125" customWidth="1"/>
    <col min="15876" max="15876" width="11.5" customWidth="1"/>
    <col min="15877" max="15877" width="13.6640625" customWidth="1"/>
    <col min="16130" max="16130" width="14.33203125" customWidth="1"/>
    <col min="16131" max="16131" width="11.83203125" customWidth="1"/>
    <col min="16132" max="16132" width="11.5" customWidth="1"/>
    <col min="16133" max="16133" width="13.6640625" customWidth="1"/>
  </cols>
  <sheetData>
    <row r="1" spans="1:6" ht="16" customHeight="1" x14ac:dyDescent="0.2">
      <c r="A1" s="16" t="s">
        <v>183</v>
      </c>
      <c r="B1" t="s">
        <v>155</v>
      </c>
      <c r="C1" t="s">
        <v>156</v>
      </c>
      <c r="D1" t="s">
        <v>157</v>
      </c>
      <c r="E1" s="16" t="s">
        <v>184</v>
      </c>
      <c r="F1" s="16" t="s">
        <v>158</v>
      </c>
    </row>
    <row r="2" spans="1:6" ht="12.75" customHeight="1" x14ac:dyDescent="0.2">
      <c r="A2" s="16" t="s">
        <v>211</v>
      </c>
      <c r="B2" t="s">
        <v>159</v>
      </c>
      <c r="C2">
        <v>294012</v>
      </c>
      <c r="D2">
        <v>125699</v>
      </c>
      <c r="E2">
        <f t="shared" ref="E2:E21" si="0">D2/C2*100</f>
        <v>42.753016883664614</v>
      </c>
      <c r="F2">
        <f>AVERAGE(E2:E3)</f>
        <v>40.673848332602077</v>
      </c>
    </row>
    <row r="3" spans="1:6" ht="12.75" customHeight="1" x14ac:dyDescent="0.2">
      <c r="A3" s="16" t="s">
        <v>211</v>
      </c>
      <c r="B3" t="s">
        <v>160</v>
      </c>
      <c r="C3">
        <v>294424</v>
      </c>
      <c r="D3">
        <v>113632</v>
      </c>
      <c r="E3">
        <f t="shared" si="0"/>
        <v>38.594679781539547</v>
      </c>
    </row>
    <row r="4" spans="1:6" ht="12.75" customHeight="1" x14ac:dyDescent="0.2">
      <c r="A4" s="16" t="s">
        <v>211</v>
      </c>
      <c r="B4" t="s">
        <v>161</v>
      </c>
      <c r="C4">
        <v>324154</v>
      </c>
      <c r="D4">
        <v>118646</v>
      </c>
      <c r="E4">
        <f t="shared" si="0"/>
        <v>36.601738679763322</v>
      </c>
      <c r="F4">
        <f>AVERAGE(E4:E5)</f>
        <v>33.34500206385561</v>
      </c>
    </row>
    <row r="5" spans="1:6" ht="12.75" customHeight="1" x14ac:dyDescent="0.2">
      <c r="A5" s="16" t="s">
        <v>211</v>
      </c>
      <c r="B5" t="s">
        <v>162</v>
      </c>
      <c r="C5">
        <v>334559</v>
      </c>
      <c r="D5">
        <v>100663</v>
      </c>
      <c r="E5">
        <f t="shared" si="0"/>
        <v>30.088265447947894</v>
      </c>
    </row>
    <row r="6" spans="1:6" ht="12.75" customHeight="1" x14ac:dyDescent="0.2">
      <c r="A6" s="16" t="s">
        <v>186</v>
      </c>
      <c r="B6" t="s">
        <v>163</v>
      </c>
      <c r="C6">
        <v>43232</v>
      </c>
      <c r="D6">
        <v>38103</v>
      </c>
      <c r="E6">
        <f t="shared" si="0"/>
        <v>88.13610288675055</v>
      </c>
      <c r="F6">
        <f>AVERAGE(E6:E7)</f>
        <v>86.037388048986784</v>
      </c>
    </row>
    <row r="7" spans="1:6" ht="12.75" customHeight="1" x14ac:dyDescent="0.2">
      <c r="A7" s="16" t="s">
        <v>186</v>
      </c>
      <c r="B7" t="s">
        <v>164</v>
      </c>
      <c r="C7">
        <v>105533</v>
      </c>
      <c r="D7">
        <v>88583</v>
      </c>
      <c r="E7">
        <f t="shared" si="0"/>
        <v>83.938673211223019</v>
      </c>
    </row>
    <row r="8" spans="1:6" ht="12.75" customHeight="1" x14ac:dyDescent="0.2">
      <c r="A8" s="16" t="s">
        <v>186</v>
      </c>
      <c r="B8" t="s">
        <v>165</v>
      </c>
      <c r="C8">
        <v>82143</v>
      </c>
      <c r="D8">
        <v>65437</v>
      </c>
      <c r="E8">
        <f t="shared" si="0"/>
        <v>79.662296239484803</v>
      </c>
      <c r="F8">
        <f>AVERAGE(E8:E9)</f>
        <v>76.526621040972657</v>
      </c>
    </row>
    <row r="9" spans="1:6" ht="12.75" customHeight="1" x14ac:dyDescent="0.2">
      <c r="A9" s="16" t="s">
        <v>186</v>
      </c>
      <c r="B9" t="s">
        <v>166</v>
      </c>
      <c r="C9">
        <v>224604</v>
      </c>
      <c r="D9">
        <v>164839</v>
      </c>
      <c r="E9">
        <f t="shared" si="0"/>
        <v>73.390945842460511</v>
      </c>
    </row>
    <row r="10" spans="1:6" ht="12.75" customHeight="1" x14ac:dyDescent="0.2">
      <c r="A10" s="16" t="s">
        <v>187</v>
      </c>
      <c r="B10" t="s">
        <v>167</v>
      </c>
      <c r="C10">
        <v>305250</v>
      </c>
      <c r="D10">
        <v>184859</v>
      </c>
      <c r="E10">
        <f t="shared" si="0"/>
        <v>60.559868959868957</v>
      </c>
      <c r="F10">
        <f>AVERAGE(E10:E11)</f>
        <v>64.155856138920655</v>
      </c>
    </row>
    <row r="11" spans="1:6" ht="12.75" customHeight="1" x14ac:dyDescent="0.2">
      <c r="A11" s="16" t="s">
        <v>187</v>
      </c>
      <c r="B11" t="s">
        <v>168</v>
      </c>
      <c r="C11">
        <v>434000</v>
      </c>
      <c r="D11">
        <v>294043</v>
      </c>
      <c r="E11">
        <f t="shared" si="0"/>
        <v>67.751843317972344</v>
      </c>
    </row>
    <row r="12" spans="1:6" ht="12.75" customHeight="1" x14ac:dyDescent="0.2">
      <c r="A12" s="16" t="s">
        <v>187</v>
      </c>
      <c r="B12" t="s">
        <v>169</v>
      </c>
      <c r="C12">
        <v>410000</v>
      </c>
      <c r="D12">
        <v>305753</v>
      </c>
      <c r="E12">
        <f t="shared" si="0"/>
        <v>74.57390243902438</v>
      </c>
      <c r="F12">
        <f>AVERAGE(E12:E13)</f>
        <v>72.418523989465243</v>
      </c>
    </row>
    <row r="13" spans="1:6" ht="12.75" customHeight="1" x14ac:dyDescent="0.2">
      <c r="A13" s="16" t="s">
        <v>187</v>
      </c>
      <c r="B13" t="s">
        <v>170</v>
      </c>
      <c r="C13">
        <v>426000</v>
      </c>
      <c r="D13">
        <v>299321</v>
      </c>
      <c r="E13">
        <f t="shared" si="0"/>
        <v>70.263145539906105</v>
      </c>
    </row>
    <row r="14" spans="1:6" ht="12.75" customHeight="1" x14ac:dyDescent="0.2">
      <c r="A14" s="16" t="s">
        <v>188</v>
      </c>
      <c r="B14" t="s">
        <v>171</v>
      </c>
      <c r="C14">
        <v>606000</v>
      </c>
      <c r="D14">
        <v>576000</v>
      </c>
      <c r="E14">
        <f t="shared" si="0"/>
        <v>95.049504950495049</v>
      </c>
      <c r="F14">
        <f>AVERAGE(E14:E15)</f>
        <v>94.677070356042236</v>
      </c>
    </row>
    <row r="15" spans="1:6" ht="12.75" customHeight="1" x14ac:dyDescent="0.2">
      <c r="A15" s="16" t="s">
        <v>188</v>
      </c>
      <c r="B15" t="s">
        <v>172</v>
      </c>
      <c r="C15">
        <v>755000</v>
      </c>
      <c r="D15">
        <v>712000</v>
      </c>
      <c r="E15">
        <f t="shared" si="0"/>
        <v>94.30463576158941</v>
      </c>
    </row>
    <row r="16" spans="1:6" ht="12.75" customHeight="1" x14ac:dyDescent="0.2">
      <c r="A16" s="16" t="s">
        <v>188</v>
      </c>
      <c r="B16" t="s">
        <v>173</v>
      </c>
      <c r="C16">
        <v>907000</v>
      </c>
      <c r="D16">
        <v>892000</v>
      </c>
      <c r="E16">
        <f t="shared" si="0"/>
        <v>98.346196251378174</v>
      </c>
      <c r="F16">
        <f>AVERAGE(E16:E17)</f>
        <v>98.238518686436748</v>
      </c>
    </row>
    <row r="17" spans="1:6" ht="12.75" customHeight="1" x14ac:dyDescent="0.2">
      <c r="A17" s="16" t="s">
        <v>188</v>
      </c>
      <c r="B17" t="s">
        <v>174</v>
      </c>
      <c r="C17">
        <v>1070000</v>
      </c>
      <c r="D17">
        <v>1050000</v>
      </c>
      <c r="E17">
        <f t="shared" si="0"/>
        <v>98.130841121495322</v>
      </c>
    </row>
    <row r="18" spans="1:6" ht="12.75" customHeight="1" x14ac:dyDescent="0.2">
      <c r="A18" s="16" t="s">
        <v>189</v>
      </c>
      <c r="B18" t="s">
        <v>175</v>
      </c>
      <c r="C18">
        <v>595000</v>
      </c>
      <c r="D18">
        <v>573000</v>
      </c>
      <c r="E18">
        <f t="shared" si="0"/>
        <v>96.30252100840336</v>
      </c>
      <c r="F18">
        <f>AVERAGE(E18:E19)</f>
        <v>95.792769938163943</v>
      </c>
    </row>
    <row r="19" spans="1:6" ht="12.75" customHeight="1" x14ac:dyDescent="0.2">
      <c r="A19" s="16" t="s">
        <v>189</v>
      </c>
      <c r="B19" t="s">
        <v>176</v>
      </c>
      <c r="C19">
        <v>636000</v>
      </c>
      <c r="D19">
        <v>606000</v>
      </c>
      <c r="E19">
        <f t="shared" si="0"/>
        <v>95.283018867924525</v>
      </c>
    </row>
    <row r="20" spans="1:6" ht="13" customHeight="1" x14ac:dyDescent="0.2">
      <c r="A20" s="16" t="s">
        <v>189</v>
      </c>
      <c r="B20" t="s">
        <v>177</v>
      </c>
      <c r="C20">
        <v>439000</v>
      </c>
      <c r="D20">
        <v>388878</v>
      </c>
      <c r="E20">
        <f t="shared" si="0"/>
        <v>88.58268792710706</v>
      </c>
      <c r="F20">
        <f>AVERAGE(E20:E21)</f>
        <v>87.311519402150026</v>
      </c>
    </row>
    <row r="21" spans="1:6" ht="12.75" customHeight="1" x14ac:dyDescent="0.2">
      <c r="A21" s="16" t="s">
        <v>189</v>
      </c>
      <c r="B21" t="s">
        <v>178</v>
      </c>
      <c r="C21">
        <v>456000</v>
      </c>
      <c r="D21">
        <v>392344</v>
      </c>
      <c r="E21">
        <f t="shared" si="0"/>
        <v>86.040350877192978</v>
      </c>
    </row>
    <row r="22" spans="1:6" ht="12.75" customHeight="1" x14ac:dyDescent="0.2">
      <c r="A22" s="16" t="s">
        <v>185</v>
      </c>
      <c r="B22" t="s">
        <v>179</v>
      </c>
      <c r="C22">
        <v>243633</v>
      </c>
      <c r="D22">
        <v>104604</v>
      </c>
      <c r="E22">
        <f t="shared" ref="E22:E25" si="1">D22/C22*100</f>
        <v>42.935070372240212</v>
      </c>
      <c r="F22">
        <f>AVERAGE(E22:E23)</f>
        <v>37.793347440086521</v>
      </c>
    </row>
    <row r="23" spans="1:6" ht="12.75" customHeight="1" x14ac:dyDescent="0.2">
      <c r="A23" s="16" t="s">
        <v>185</v>
      </c>
      <c r="B23" t="s">
        <v>180</v>
      </c>
      <c r="C23">
        <v>309663</v>
      </c>
      <c r="D23">
        <v>101110</v>
      </c>
      <c r="E23">
        <f t="shared" si="1"/>
        <v>32.651624507932823</v>
      </c>
    </row>
    <row r="24" spans="1:6" ht="12.75" customHeight="1" x14ac:dyDescent="0.2">
      <c r="A24" s="16" t="s">
        <v>185</v>
      </c>
      <c r="B24" t="s">
        <v>181</v>
      </c>
      <c r="C24">
        <v>294012</v>
      </c>
      <c r="D24">
        <v>87516</v>
      </c>
      <c r="E24">
        <f t="shared" si="1"/>
        <v>29.766131994612465</v>
      </c>
      <c r="F24">
        <f>AVERAGE(E24:E25)</f>
        <v>34.564065412296095</v>
      </c>
    </row>
    <row r="25" spans="1:6" ht="12.75" customHeight="1" x14ac:dyDescent="0.2">
      <c r="A25" s="16" t="s">
        <v>185</v>
      </c>
      <c r="B25" t="s">
        <v>182</v>
      </c>
      <c r="C25">
        <v>294012</v>
      </c>
      <c r="D25">
        <v>115729</v>
      </c>
      <c r="E25">
        <f t="shared" si="1"/>
        <v>39.361998829979726</v>
      </c>
    </row>
    <row r="26" spans="1:6" ht="12.75" customHeight="1" x14ac:dyDescent="0.2">
      <c r="A26" s="16"/>
    </row>
    <row r="27" spans="1:6" ht="12.75" customHeight="1" x14ac:dyDescent="0.2">
      <c r="A27" s="16" t="s">
        <v>190</v>
      </c>
      <c r="B27" t="s">
        <v>191</v>
      </c>
      <c r="C27">
        <v>41267</v>
      </c>
      <c r="D27">
        <v>38742</v>
      </c>
      <c r="E27">
        <f>D27/C27*100</f>
        <v>93.881309520924702</v>
      </c>
      <c r="F27">
        <f>AVERAGE(E27:E29)</f>
        <v>93.746447634223728</v>
      </c>
    </row>
    <row r="28" spans="1:6" ht="12.75" customHeight="1" x14ac:dyDescent="0.2">
      <c r="A28" s="16" t="s">
        <v>190</v>
      </c>
      <c r="B28" t="s">
        <v>192</v>
      </c>
      <c r="C28">
        <v>41917</v>
      </c>
      <c r="D28">
        <v>39311</v>
      </c>
      <c r="E28">
        <f t="shared" ref="E28:E44" si="2">D28/C28*100</f>
        <v>93.782952024238369</v>
      </c>
    </row>
    <row r="29" spans="1:6" ht="12.75" customHeight="1" x14ac:dyDescent="0.2">
      <c r="A29" s="16" t="s">
        <v>190</v>
      </c>
      <c r="B29" t="s">
        <v>193</v>
      </c>
      <c r="C29">
        <v>43020</v>
      </c>
      <c r="D29">
        <v>40256</v>
      </c>
      <c r="E29">
        <f t="shared" si="2"/>
        <v>93.575081357508139</v>
      </c>
    </row>
    <row r="30" spans="1:6" ht="12.75" customHeight="1" x14ac:dyDescent="0.2">
      <c r="A30" s="16" t="s">
        <v>190</v>
      </c>
      <c r="B30" t="s">
        <v>194</v>
      </c>
      <c r="C30">
        <v>40711</v>
      </c>
      <c r="D30">
        <v>4310</v>
      </c>
      <c r="E30">
        <f t="shared" si="2"/>
        <v>10.586819287170544</v>
      </c>
      <c r="F30">
        <f>AVERAGE(E30:E32)</f>
        <v>9.3254494589344166</v>
      </c>
    </row>
    <row r="31" spans="1:6" x14ac:dyDescent="0.2">
      <c r="A31" s="16" t="s">
        <v>190</v>
      </c>
      <c r="B31" t="s">
        <v>195</v>
      </c>
      <c r="C31">
        <v>42028</v>
      </c>
      <c r="D31">
        <v>4607</v>
      </c>
      <c r="E31">
        <f t="shared" si="2"/>
        <v>10.961739792519273</v>
      </c>
    </row>
    <row r="32" spans="1:6" x14ac:dyDescent="0.2">
      <c r="A32" s="16" t="s">
        <v>190</v>
      </c>
      <c r="B32" t="s">
        <v>196</v>
      </c>
      <c r="C32">
        <v>42923</v>
      </c>
      <c r="D32">
        <v>2759</v>
      </c>
      <c r="E32">
        <f t="shared" si="2"/>
        <v>6.4277892971134358</v>
      </c>
    </row>
    <row r="33" spans="1:7" x14ac:dyDescent="0.2">
      <c r="A33" s="16" t="s">
        <v>197</v>
      </c>
      <c r="B33" t="s">
        <v>198</v>
      </c>
      <c r="C33">
        <v>115456</v>
      </c>
      <c r="D33">
        <v>113361</v>
      </c>
      <c r="E33">
        <f t="shared" si="2"/>
        <v>98.18545593126386</v>
      </c>
      <c r="F33">
        <f>AVERAGE(E33:E35)</f>
        <v>98.506915632396726</v>
      </c>
    </row>
    <row r="34" spans="1:7" x14ac:dyDescent="0.2">
      <c r="A34" s="16" t="s">
        <v>197</v>
      </c>
      <c r="B34" t="s">
        <v>199</v>
      </c>
      <c r="C34">
        <v>110557</v>
      </c>
      <c r="D34">
        <v>109078</v>
      </c>
      <c r="E34">
        <f t="shared" si="2"/>
        <v>98.662228533697544</v>
      </c>
    </row>
    <row r="35" spans="1:7" x14ac:dyDescent="0.2">
      <c r="A35" s="16" t="s">
        <v>197</v>
      </c>
      <c r="B35" t="s">
        <v>200</v>
      </c>
      <c r="C35">
        <v>108822</v>
      </c>
      <c r="D35">
        <v>107378</v>
      </c>
      <c r="E35">
        <f t="shared" si="2"/>
        <v>98.673062432228775</v>
      </c>
    </row>
    <row r="36" spans="1:7" x14ac:dyDescent="0.2">
      <c r="A36" s="16" t="s">
        <v>197</v>
      </c>
      <c r="B36" t="s">
        <v>201</v>
      </c>
      <c r="C36">
        <v>114057</v>
      </c>
      <c r="D36">
        <v>6856</v>
      </c>
      <c r="E36">
        <f>D36/C36*100</f>
        <v>6.0110295729328325</v>
      </c>
      <c r="F36">
        <f>AVERAGE(E36:E38)</f>
        <v>5.7482529173429482</v>
      </c>
    </row>
    <row r="37" spans="1:7" x14ac:dyDescent="0.2">
      <c r="A37" s="16" t="s">
        <v>197</v>
      </c>
      <c r="B37" t="s">
        <v>202</v>
      </c>
      <c r="C37">
        <v>257595</v>
      </c>
      <c r="D37">
        <v>14128</v>
      </c>
      <c r="E37">
        <f t="shared" si="2"/>
        <v>5.4845785050175664</v>
      </c>
    </row>
    <row r="38" spans="1:7" x14ac:dyDescent="0.2">
      <c r="A38" s="16" t="s">
        <v>197</v>
      </c>
      <c r="B38" t="s">
        <v>203</v>
      </c>
      <c r="C38">
        <v>232243</v>
      </c>
      <c r="D38">
        <v>13352</v>
      </c>
      <c r="E38">
        <f t="shared" si="2"/>
        <v>5.7491506740784439</v>
      </c>
    </row>
    <row r="39" spans="1:7" x14ac:dyDescent="0.2">
      <c r="A39" s="16" t="s">
        <v>204</v>
      </c>
      <c r="B39" t="s">
        <v>205</v>
      </c>
      <c r="C39">
        <v>131049</v>
      </c>
      <c r="D39">
        <v>124819</v>
      </c>
      <c r="E39">
        <f t="shared" si="2"/>
        <v>95.246053003075176</v>
      </c>
      <c r="F39">
        <f>AVERAGE(E39:E41)</f>
        <v>95.466815845223394</v>
      </c>
    </row>
    <row r="40" spans="1:7" x14ac:dyDescent="0.2">
      <c r="A40" s="16" t="s">
        <v>204</v>
      </c>
      <c r="B40" t="s">
        <v>206</v>
      </c>
      <c r="C40">
        <v>150951</v>
      </c>
      <c r="D40">
        <v>141482</v>
      </c>
      <c r="E40">
        <f t="shared" si="2"/>
        <v>93.727103497161337</v>
      </c>
    </row>
    <row r="41" spans="1:7" x14ac:dyDescent="0.2">
      <c r="A41" s="16" t="s">
        <v>204</v>
      </c>
      <c r="B41" t="s">
        <v>207</v>
      </c>
      <c r="C41">
        <v>110234</v>
      </c>
      <c r="D41">
        <v>107398</v>
      </c>
      <c r="E41">
        <f t="shared" si="2"/>
        <v>97.427291035433711</v>
      </c>
    </row>
    <row r="42" spans="1:7" x14ac:dyDescent="0.2">
      <c r="A42" s="16" t="s">
        <v>204</v>
      </c>
      <c r="B42" t="s">
        <v>208</v>
      </c>
      <c r="C42">
        <v>110656</v>
      </c>
      <c r="D42">
        <v>25025</v>
      </c>
      <c r="E42">
        <f t="shared" si="2"/>
        <v>22.615131578947366</v>
      </c>
      <c r="F42">
        <f>AVERAGE(E42:E44)</f>
        <v>21.284815080574639</v>
      </c>
    </row>
    <row r="43" spans="1:7" x14ac:dyDescent="0.2">
      <c r="A43" s="16" t="s">
        <v>204</v>
      </c>
      <c r="B43" t="s">
        <v>209</v>
      </c>
      <c r="C43">
        <v>109080</v>
      </c>
      <c r="D43">
        <v>21721</v>
      </c>
      <c r="E43">
        <f t="shared" si="2"/>
        <v>19.912907957462416</v>
      </c>
    </row>
    <row r="44" spans="1:7" x14ac:dyDescent="0.2">
      <c r="A44" s="16" t="s">
        <v>204</v>
      </c>
      <c r="B44" t="s">
        <v>210</v>
      </c>
      <c r="C44">
        <v>150316</v>
      </c>
      <c r="D44">
        <v>32057</v>
      </c>
      <c r="E44">
        <f t="shared" si="2"/>
        <v>21.326405705314137</v>
      </c>
    </row>
    <row r="47" spans="1:7" x14ac:dyDescent="0.2">
      <c r="A47" s="110" t="s">
        <v>270</v>
      </c>
      <c r="B47" s="18"/>
      <c r="C47" s="18"/>
      <c r="D47" s="18"/>
      <c r="E47" s="18"/>
      <c r="F47" s="18"/>
      <c r="G47" s="19"/>
    </row>
    <row r="48" spans="1:7" x14ac:dyDescent="0.2">
      <c r="A48" s="51" t="s">
        <v>183</v>
      </c>
      <c r="B48" s="21" t="s">
        <v>155</v>
      </c>
      <c r="C48" s="21" t="s">
        <v>156</v>
      </c>
      <c r="D48" s="21" t="s">
        <v>157</v>
      </c>
      <c r="E48" s="43" t="s">
        <v>184</v>
      </c>
      <c r="F48" s="43" t="s">
        <v>158</v>
      </c>
      <c r="G48" s="10" t="s">
        <v>269</v>
      </c>
    </row>
    <row r="49" spans="1:7" x14ac:dyDescent="0.2">
      <c r="A49" s="51" t="s">
        <v>185</v>
      </c>
      <c r="B49" s="21" t="s">
        <v>179</v>
      </c>
      <c r="C49" s="21">
        <v>243633</v>
      </c>
      <c r="D49" s="21">
        <v>104604</v>
      </c>
      <c r="E49" s="43">
        <v>42.935070372240212</v>
      </c>
      <c r="F49" s="43">
        <v>37.793347440086521</v>
      </c>
      <c r="G49" s="10" t="s">
        <v>34</v>
      </c>
    </row>
    <row r="50" spans="1:7" x14ac:dyDescent="0.2">
      <c r="A50" s="51" t="s">
        <v>211</v>
      </c>
      <c r="B50" s="21" t="s">
        <v>159</v>
      </c>
      <c r="C50" s="21">
        <v>294012</v>
      </c>
      <c r="D50" s="21">
        <v>125699</v>
      </c>
      <c r="E50" s="21">
        <v>42.753016883664614</v>
      </c>
      <c r="F50" s="21">
        <v>40.673848332602077</v>
      </c>
      <c r="G50" s="111" t="s">
        <v>34</v>
      </c>
    </row>
    <row r="51" spans="1:7" x14ac:dyDescent="0.2">
      <c r="A51" s="51" t="s">
        <v>186</v>
      </c>
      <c r="B51" s="21" t="s">
        <v>163</v>
      </c>
      <c r="C51" s="21">
        <v>43232</v>
      </c>
      <c r="D51" s="21">
        <v>38103</v>
      </c>
      <c r="E51" s="21">
        <v>88.13610288675055</v>
      </c>
      <c r="F51" s="21">
        <v>86.037388048986784</v>
      </c>
      <c r="G51" s="111" t="s">
        <v>34</v>
      </c>
    </row>
    <row r="52" spans="1:7" x14ac:dyDescent="0.2">
      <c r="A52" s="51" t="s">
        <v>187</v>
      </c>
      <c r="B52" s="21" t="s">
        <v>167</v>
      </c>
      <c r="C52" s="21">
        <v>305250</v>
      </c>
      <c r="D52" s="21">
        <v>184859</v>
      </c>
      <c r="E52" s="21">
        <v>60.559868959868957</v>
      </c>
      <c r="F52" s="21">
        <v>64.155856138920655</v>
      </c>
      <c r="G52" s="111" t="s">
        <v>34</v>
      </c>
    </row>
    <row r="53" spans="1:7" x14ac:dyDescent="0.2">
      <c r="A53" s="51" t="s">
        <v>188</v>
      </c>
      <c r="B53" s="21" t="s">
        <v>171</v>
      </c>
      <c r="C53" s="21">
        <v>606000</v>
      </c>
      <c r="D53" s="21">
        <v>576000</v>
      </c>
      <c r="E53" s="21">
        <v>95.049504950495049</v>
      </c>
      <c r="F53" s="21">
        <v>94.677070356042236</v>
      </c>
      <c r="G53" s="111" t="s">
        <v>34</v>
      </c>
    </row>
    <row r="54" spans="1:7" x14ac:dyDescent="0.2">
      <c r="A54" s="51" t="s">
        <v>189</v>
      </c>
      <c r="B54" s="21" t="s">
        <v>175</v>
      </c>
      <c r="C54" s="21">
        <v>595000</v>
      </c>
      <c r="D54" s="21">
        <v>573000</v>
      </c>
      <c r="E54" s="21">
        <v>96.30252100840336</v>
      </c>
      <c r="F54" s="21">
        <v>95.792769938163943</v>
      </c>
      <c r="G54" s="111" t="s">
        <v>34</v>
      </c>
    </row>
    <row r="55" spans="1:7" x14ac:dyDescent="0.2">
      <c r="A55" s="51" t="s">
        <v>185</v>
      </c>
      <c r="B55" s="21" t="s">
        <v>181</v>
      </c>
      <c r="C55" s="21">
        <v>294012</v>
      </c>
      <c r="D55" s="21">
        <v>87516</v>
      </c>
      <c r="E55" s="21">
        <v>29.766131994612465</v>
      </c>
      <c r="F55" s="21">
        <v>34.564065412296095</v>
      </c>
      <c r="G55" s="111" t="s">
        <v>212</v>
      </c>
    </row>
    <row r="56" spans="1:7" x14ac:dyDescent="0.2">
      <c r="A56" s="51" t="s">
        <v>211</v>
      </c>
      <c r="B56" s="21" t="s">
        <v>161</v>
      </c>
      <c r="C56" s="21">
        <v>324154</v>
      </c>
      <c r="D56" s="21">
        <v>118646</v>
      </c>
      <c r="E56" s="21">
        <v>36.601738679763322</v>
      </c>
      <c r="F56" s="21">
        <v>33.34500206385561</v>
      </c>
      <c r="G56" s="111" t="s">
        <v>212</v>
      </c>
    </row>
    <row r="57" spans="1:7" x14ac:dyDescent="0.2">
      <c r="A57" s="51" t="s">
        <v>186</v>
      </c>
      <c r="B57" s="21" t="s">
        <v>165</v>
      </c>
      <c r="C57" s="21">
        <v>82143</v>
      </c>
      <c r="D57" s="21">
        <v>65437</v>
      </c>
      <c r="E57" s="21">
        <v>79.662296239484803</v>
      </c>
      <c r="F57" s="21">
        <v>76.526621040972657</v>
      </c>
      <c r="G57" s="111" t="s">
        <v>212</v>
      </c>
    </row>
    <row r="58" spans="1:7" x14ac:dyDescent="0.2">
      <c r="A58" s="51" t="s">
        <v>187</v>
      </c>
      <c r="B58" s="21" t="s">
        <v>169</v>
      </c>
      <c r="C58" s="21">
        <v>410000</v>
      </c>
      <c r="D58" s="21">
        <v>305753</v>
      </c>
      <c r="E58" s="21">
        <v>74.57390243902438</v>
      </c>
      <c r="F58" s="21">
        <v>72.418523989465243</v>
      </c>
      <c r="G58" s="111" t="s">
        <v>212</v>
      </c>
    </row>
    <row r="59" spans="1:7" x14ac:dyDescent="0.2">
      <c r="A59" s="51" t="s">
        <v>188</v>
      </c>
      <c r="B59" s="21" t="s">
        <v>173</v>
      </c>
      <c r="C59" s="21">
        <v>907000</v>
      </c>
      <c r="D59" s="21">
        <v>892000</v>
      </c>
      <c r="E59" s="21">
        <v>98.346196251378174</v>
      </c>
      <c r="F59" s="21">
        <v>98.238518686436748</v>
      </c>
      <c r="G59" s="111" t="s">
        <v>212</v>
      </c>
    </row>
    <row r="60" spans="1:7" x14ac:dyDescent="0.2">
      <c r="A60" s="51" t="s">
        <v>189</v>
      </c>
      <c r="B60" s="21" t="s">
        <v>177</v>
      </c>
      <c r="C60" s="21">
        <v>439000</v>
      </c>
      <c r="D60" s="21">
        <v>388878</v>
      </c>
      <c r="E60" s="21">
        <v>88.58268792710706</v>
      </c>
      <c r="F60" s="21">
        <v>87.311519402150026</v>
      </c>
      <c r="G60" s="111" t="s">
        <v>212</v>
      </c>
    </row>
    <row r="61" spans="1:7" x14ac:dyDescent="0.2">
      <c r="A61" s="51"/>
      <c r="B61" s="21"/>
      <c r="C61" s="21"/>
      <c r="D61" s="21"/>
      <c r="E61" s="21"/>
      <c r="F61" s="21"/>
      <c r="G61" s="10"/>
    </row>
    <row r="62" spans="1:7" x14ac:dyDescent="0.2">
      <c r="A62" s="51" t="s">
        <v>190</v>
      </c>
      <c r="B62" s="21" t="s">
        <v>191</v>
      </c>
      <c r="C62" s="21">
        <v>41267</v>
      </c>
      <c r="D62" s="21">
        <v>38742</v>
      </c>
      <c r="E62" s="21">
        <v>93.881309520924702</v>
      </c>
      <c r="F62" s="21">
        <v>93.746447634223728</v>
      </c>
      <c r="G62" s="111" t="s">
        <v>34</v>
      </c>
    </row>
    <row r="63" spans="1:7" x14ac:dyDescent="0.2">
      <c r="A63" s="51" t="s">
        <v>197</v>
      </c>
      <c r="B63" s="21" t="s">
        <v>198</v>
      </c>
      <c r="C63" s="21">
        <v>115456</v>
      </c>
      <c r="D63" s="21">
        <v>113361</v>
      </c>
      <c r="E63" s="21">
        <v>98.18545593126386</v>
      </c>
      <c r="F63" s="21">
        <v>98.506915632396726</v>
      </c>
      <c r="G63" s="111" t="s">
        <v>34</v>
      </c>
    </row>
    <row r="64" spans="1:7" x14ac:dyDescent="0.2">
      <c r="A64" s="51" t="s">
        <v>204</v>
      </c>
      <c r="B64" s="21" t="s">
        <v>205</v>
      </c>
      <c r="C64" s="21">
        <v>131049</v>
      </c>
      <c r="D64" s="21">
        <v>124819</v>
      </c>
      <c r="E64" s="21">
        <v>95.246053003075176</v>
      </c>
      <c r="F64" s="21">
        <v>95.466815845223394</v>
      </c>
      <c r="G64" s="111" t="s">
        <v>34</v>
      </c>
    </row>
    <row r="65" spans="1:7" x14ac:dyDescent="0.2">
      <c r="A65" s="51" t="s">
        <v>190</v>
      </c>
      <c r="B65" s="21" t="s">
        <v>194</v>
      </c>
      <c r="C65" s="21">
        <v>40711</v>
      </c>
      <c r="D65" s="21">
        <v>4310</v>
      </c>
      <c r="E65" s="21">
        <v>10.586819287170544</v>
      </c>
      <c r="F65" s="21">
        <v>9.3254494589344166</v>
      </c>
      <c r="G65" s="111" t="s">
        <v>212</v>
      </c>
    </row>
    <row r="66" spans="1:7" x14ac:dyDescent="0.2">
      <c r="A66" s="51" t="s">
        <v>197</v>
      </c>
      <c r="B66" s="21" t="s">
        <v>201</v>
      </c>
      <c r="C66" s="21">
        <v>114057</v>
      </c>
      <c r="D66" s="21">
        <v>6856</v>
      </c>
      <c r="E66" s="21">
        <v>6.0110295729328325</v>
      </c>
      <c r="F66" s="21">
        <v>5.7482529173429482</v>
      </c>
      <c r="G66" s="111" t="s">
        <v>212</v>
      </c>
    </row>
    <row r="67" spans="1:7" x14ac:dyDescent="0.2">
      <c r="A67" s="51" t="s">
        <v>204</v>
      </c>
      <c r="B67" s="21" t="s">
        <v>208</v>
      </c>
      <c r="C67" s="21">
        <v>110656</v>
      </c>
      <c r="D67" s="21">
        <v>25025</v>
      </c>
      <c r="E67" s="21">
        <v>22.615131578947366</v>
      </c>
      <c r="F67" s="21">
        <v>21.284815080574639</v>
      </c>
      <c r="G67" s="111" t="s">
        <v>212</v>
      </c>
    </row>
    <row r="68" spans="1:7" x14ac:dyDescent="0.2">
      <c r="A68" s="28"/>
      <c r="B68" s="26"/>
      <c r="C68" s="26"/>
      <c r="D68" s="26"/>
      <c r="E68" s="26"/>
      <c r="F68" s="26"/>
      <c r="G68" s="11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098793-27F6-9644-AA06-5FA8D50987DB}">
  <sheetPr codeName="Sheet3"/>
  <dimension ref="A1:V167"/>
  <sheetViews>
    <sheetView zoomScale="87" zoomScaleNormal="87" workbookViewId="0">
      <selection activeCell="D18" sqref="D18"/>
    </sheetView>
  </sheetViews>
  <sheetFormatPr baseColWidth="10" defaultRowHeight="16" x14ac:dyDescent="0.2"/>
  <cols>
    <col min="1" max="1" width="9.83203125" customWidth="1"/>
    <col min="2" max="2" width="14" customWidth="1"/>
    <col min="3" max="3" width="16" customWidth="1"/>
    <col min="7" max="7" width="16" customWidth="1"/>
    <col min="11" max="11" width="10.83203125" style="10"/>
    <col min="12" max="20" width="10.83203125" style="56"/>
  </cols>
  <sheetData>
    <row r="1" spans="1:20" x14ac:dyDescent="0.2">
      <c r="A1" t="s">
        <v>108</v>
      </c>
      <c r="C1" t="s">
        <v>95</v>
      </c>
      <c r="L1" s="56" t="s">
        <v>112</v>
      </c>
    </row>
    <row r="2" spans="1:20" x14ac:dyDescent="0.2">
      <c r="A2" s="67" t="s">
        <v>96</v>
      </c>
      <c r="B2" s="68" t="s">
        <v>97</v>
      </c>
      <c r="C2" s="68" t="s">
        <v>17</v>
      </c>
      <c r="D2" s="68" t="s">
        <v>15</v>
      </c>
      <c r="E2" s="68" t="s">
        <v>98</v>
      </c>
      <c r="F2" s="68" t="s">
        <v>99</v>
      </c>
      <c r="G2" s="68" t="s">
        <v>100</v>
      </c>
      <c r="H2" s="68" t="s">
        <v>101</v>
      </c>
      <c r="I2" s="68" t="s">
        <v>102</v>
      </c>
      <c r="J2" s="68" t="s">
        <v>10</v>
      </c>
      <c r="K2" s="69" t="s">
        <v>103</v>
      </c>
      <c r="L2" s="63" t="s">
        <v>17</v>
      </c>
      <c r="M2" s="63" t="s">
        <v>15</v>
      </c>
      <c r="N2" s="63" t="s">
        <v>98</v>
      </c>
      <c r="O2" s="63" t="s">
        <v>99</v>
      </c>
      <c r="P2" s="63" t="s">
        <v>100</v>
      </c>
      <c r="Q2" s="63" t="s">
        <v>101</v>
      </c>
      <c r="R2" s="63" t="s">
        <v>102</v>
      </c>
      <c r="S2" s="63" t="s">
        <v>10</v>
      </c>
      <c r="T2" s="63" t="s">
        <v>103</v>
      </c>
    </row>
    <row r="3" spans="1:20" x14ac:dyDescent="0.2">
      <c r="A3" s="20">
        <v>1</v>
      </c>
      <c r="B3" s="70" t="s">
        <v>7</v>
      </c>
      <c r="C3" s="71">
        <v>484.43</v>
      </c>
      <c r="D3" s="71">
        <v>2290.62</v>
      </c>
      <c r="E3" s="71">
        <v>2055.15</v>
      </c>
      <c r="F3" s="71">
        <v>951.42</v>
      </c>
      <c r="G3" s="71">
        <v>433.37</v>
      </c>
      <c r="H3" s="71">
        <v>567.77</v>
      </c>
      <c r="I3" s="71">
        <v>400.39</v>
      </c>
      <c r="J3" s="71">
        <v>2594.5100000000002</v>
      </c>
      <c r="K3" s="72">
        <v>60.64</v>
      </c>
      <c r="L3" s="87">
        <f>C3/C3</f>
        <v>1</v>
      </c>
      <c r="M3" s="87">
        <f t="shared" ref="M3:T3" si="0">D3/D3</f>
        <v>1</v>
      </c>
      <c r="N3" s="87">
        <f t="shared" si="0"/>
        <v>1</v>
      </c>
      <c r="O3" s="87">
        <f t="shared" si="0"/>
        <v>1</v>
      </c>
      <c r="P3" s="87">
        <f t="shared" si="0"/>
        <v>1</v>
      </c>
      <c r="Q3" s="87">
        <f t="shared" si="0"/>
        <v>1</v>
      </c>
      <c r="R3" s="87">
        <f t="shared" si="0"/>
        <v>1</v>
      </c>
      <c r="S3" s="87">
        <f t="shared" si="0"/>
        <v>1</v>
      </c>
      <c r="T3" s="87">
        <f t="shared" si="0"/>
        <v>1</v>
      </c>
    </row>
    <row r="4" spans="1:20" x14ac:dyDescent="0.2">
      <c r="A4" s="20">
        <v>1</v>
      </c>
      <c r="B4" s="70" t="s">
        <v>104</v>
      </c>
      <c r="C4" s="71">
        <v>383.65</v>
      </c>
      <c r="D4" s="71">
        <v>23233.55</v>
      </c>
      <c r="E4" s="71">
        <v>1554.6</v>
      </c>
      <c r="F4" s="71">
        <v>9864.74</v>
      </c>
      <c r="G4" s="71">
        <v>298.77999999999997</v>
      </c>
      <c r="H4" s="71">
        <v>546.65</v>
      </c>
      <c r="I4" s="71">
        <v>240.9</v>
      </c>
      <c r="J4" s="71">
        <v>4816.1099999999997</v>
      </c>
      <c r="K4" s="72">
        <v>136.38999999999999</v>
      </c>
      <c r="L4" s="87">
        <f>C4/C3</f>
        <v>0.7919616869310323</v>
      </c>
      <c r="M4" s="87">
        <f t="shared" ref="M4:T4" si="1">D4/D3</f>
        <v>10.142908906758869</v>
      </c>
      <c r="N4" s="87">
        <f t="shared" si="1"/>
        <v>0.75644113568352667</v>
      </c>
      <c r="O4" s="87">
        <f t="shared" si="1"/>
        <v>10.368438754703496</v>
      </c>
      <c r="P4" s="87">
        <f t="shared" si="1"/>
        <v>0.6894339709716869</v>
      </c>
      <c r="Q4" s="87">
        <f t="shared" si="1"/>
        <v>0.9628018387727425</v>
      </c>
      <c r="R4" s="87">
        <f t="shared" si="1"/>
        <v>0.60166337820624893</v>
      </c>
      <c r="S4" s="87">
        <f t="shared" si="1"/>
        <v>1.8562695846229151</v>
      </c>
      <c r="T4" s="87">
        <f t="shared" si="1"/>
        <v>2.2491754617414244</v>
      </c>
    </row>
    <row r="5" spans="1:20" x14ac:dyDescent="0.2">
      <c r="A5" s="20">
        <v>1</v>
      </c>
      <c r="B5" s="70" t="s">
        <v>105</v>
      </c>
      <c r="C5" s="71">
        <v>849.47</v>
      </c>
      <c r="D5" s="71">
        <v>37969.47</v>
      </c>
      <c r="E5" s="71">
        <v>3450.91</v>
      </c>
      <c r="F5" s="71">
        <v>1377.47</v>
      </c>
      <c r="G5" s="71">
        <v>264.99</v>
      </c>
      <c r="H5" s="71">
        <v>457.19</v>
      </c>
      <c r="I5" s="71">
        <v>255.29</v>
      </c>
      <c r="J5" s="71">
        <v>8434.7000000000007</v>
      </c>
      <c r="K5" s="72">
        <v>53.69</v>
      </c>
      <c r="L5" s="87">
        <f>C5/C3</f>
        <v>1.7535454038767211</v>
      </c>
      <c r="M5" s="87">
        <f t="shared" ref="M5:T5" si="2">D5/D3</f>
        <v>16.576066741755508</v>
      </c>
      <c r="N5" s="87">
        <f t="shared" si="2"/>
        <v>1.6791523733060845</v>
      </c>
      <c r="O5" s="87">
        <f t="shared" si="2"/>
        <v>1.4478043345735849</v>
      </c>
      <c r="P5" s="87">
        <f t="shared" si="2"/>
        <v>0.61146364538385212</v>
      </c>
      <c r="Q5" s="87">
        <f t="shared" si="2"/>
        <v>0.80523803652887616</v>
      </c>
      <c r="R5" s="87">
        <f t="shared" si="2"/>
        <v>0.63760333674667202</v>
      </c>
      <c r="S5" s="87">
        <f t="shared" si="2"/>
        <v>3.2509799538255777</v>
      </c>
      <c r="T5" s="87">
        <f t="shared" si="2"/>
        <v>0.8853891820580474</v>
      </c>
    </row>
    <row r="6" spans="1:20" x14ac:dyDescent="0.2">
      <c r="A6" s="20">
        <v>1</v>
      </c>
      <c r="B6" s="70" t="s">
        <v>106</v>
      </c>
      <c r="C6" s="71">
        <v>472.23</v>
      </c>
      <c r="D6" s="71">
        <v>12495.37</v>
      </c>
      <c r="E6" s="71">
        <v>4002.14</v>
      </c>
      <c r="F6" s="71">
        <v>30775.87</v>
      </c>
      <c r="G6" s="71">
        <v>304.42</v>
      </c>
      <c r="H6" s="71">
        <v>741.35</v>
      </c>
      <c r="I6" s="71">
        <v>324.66000000000003</v>
      </c>
      <c r="J6" s="71">
        <v>3410.61</v>
      </c>
      <c r="K6" s="72">
        <v>42.48</v>
      </c>
      <c r="L6" s="87">
        <f>C6/C3</f>
        <v>0.97481576285531457</v>
      </c>
      <c r="M6" s="87">
        <f t="shared" ref="M6:T6" si="3">D6/D3</f>
        <v>5.455016545738709</v>
      </c>
      <c r="N6" s="87">
        <f t="shared" si="3"/>
        <v>1.9473712381091404</v>
      </c>
      <c r="O6" s="87">
        <f t="shared" si="3"/>
        <v>32.347301927644992</v>
      </c>
      <c r="P6" s="87">
        <f t="shared" si="3"/>
        <v>0.70244825437847569</v>
      </c>
      <c r="Q6" s="87">
        <f t="shared" si="3"/>
        <v>1.3057223875865227</v>
      </c>
      <c r="R6" s="87">
        <f t="shared" si="3"/>
        <v>0.81085941207322865</v>
      </c>
      <c r="S6" s="87">
        <f t="shared" si="3"/>
        <v>1.3145487972680776</v>
      </c>
      <c r="T6" s="87">
        <f t="shared" si="3"/>
        <v>0.70052770448548807</v>
      </c>
    </row>
    <row r="7" spans="1:20" x14ac:dyDescent="0.2">
      <c r="A7" s="20"/>
      <c r="B7" s="70"/>
      <c r="C7" s="21"/>
      <c r="D7" s="71"/>
      <c r="E7" s="71"/>
      <c r="F7" s="71"/>
      <c r="G7" s="71"/>
      <c r="H7" s="21"/>
      <c r="I7" s="21"/>
      <c r="J7" s="21"/>
      <c r="M7" s="87"/>
      <c r="N7" s="87"/>
      <c r="O7" s="87"/>
      <c r="P7" s="87"/>
    </row>
    <row r="8" spans="1:20" x14ac:dyDescent="0.2">
      <c r="A8" s="20">
        <v>2</v>
      </c>
      <c r="B8" s="70" t="s">
        <v>7</v>
      </c>
      <c r="C8" s="71">
        <v>23</v>
      </c>
      <c r="D8" s="73">
        <v>2851.31</v>
      </c>
      <c r="E8" s="71">
        <v>5.25</v>
      </c>
      <c r="F8" s="71">
        <v>35.06</v>
      </c>
      <c r="G8" s="71">
        <v>4.54</v>
      </c>
      <c r="H8" s="71">
        <v>8.69</v>
      </c>
      <c r="I8" s="71">
        <v>21.84</v>
      </c>
      <c r="J8" s="71">
        <v>4.1100000000000003</v>
      </c>
      <c r="K8" s="72">
        <v>8.5500000000000007</v>
      </c>
      <c r="L8" s="87">
        <f>C8/C8</f>
        <v>1</v>
      </c>
      <c r="M8" s="87">
        <f>D8/D8</f>
        <v>1</v>
      </c>
      <c r="N8" s="87">
        <f t="shared" ref="N8:T8" si="4">E8/E8</f>
        <v>1</v>
      </c>
      <c r="O8" s="87">
        <f t="shared" si="4"/>
        <v>1</v>
      </c>
      <c r="P8" s="87">
        <f t="shared" si="4"/>
        <v>1</v>
      </c>
      <c r="Q8" s="87">
        <f t="shared" si="4"/>
        <v>1</v>
      </c>
      <c r="R8" s="87">
        <f t="shared" si="4"/>
        <v>1</v>
      </c>
      <c r="S8" s="87">
        <f t="shared" si="4"/>
        <v>1</v>
      </c>
      <c r="T8" s="87">
        <f t="shared" si="4"/>
        <v>1</v>
      </c>
    </row>
    <row r="9" spans="1:20" x14ac:dyDescent="0.2">
      <c r="A9" s="20">
        <v>2</v>
      </c>
      <c r="B9" s="70" t="s">
        <v>104</v>
      </c>
      <c r="C9" s="71">
        <v>11.57</v>
      </c>
      <c r="D9" s="73">
        <v>142.84</v>
      </c>
      <c r="E9" s="71">
        <v>16.690000000000001</v>
      </c>
      <c r="F9" s="71">
        <v>6116.44</v>
      </c>
      <c r="G9" s="71">
        <v>13.57</v>
      </c>
      <c r="H9" s="71">
        <v>23.46</v>
      </c>
      <c r="I9" s="71">
        <v>21.84</v>
      </c>
      <c r="J9" s="71">
        <v>5.63</v>
      </c>
      <c r="K9" s="72">
        <v>5.14</v>
      </c>
      <c r="L9" s="87">
        <f>C9/C8</f>
        <v>0.50304347826086959</v>
      </c>
      <c r="M9" s="87">
        <f>D9/D8</f>
        <v>5.0096271538345533E-2</v>
      </c>
      <c r="N9" s="87">
        <f t="shared" ref="N9:T9" si="5">E9/E8</f>
        <v>3.1790476190476191</v>
      </c>
      <c r="O9" s="87">
        <f t="shared" si="5"/>
        <v>174.45636052481458</v>
      </c>
      <c r="P9" s="87">
        <f t="shared" si="5"/>
        <v>2.9889867841409692</v>
      </c>
      <c r="Q9" s="87">
        <f t="shared" si="5"/>
        <v>2.6996547756041429</v>
      </c>
      <c r="R9" s="87">
        <f t="shared" si="5"/>
        <v>1</v>
      </c>
      <c r="S9" s="87">
        <f t="shared" si="5"/>
        <v>1.3698296836982966</v>
      </c>
      <c r="T9" s="87">
        <f t="shared" si="5"/>
        <v>0.6011695906432748</v>
      </c>
    </row>
    <row r="10" spans="1:20" x14ac:dyDescent="0.2">
      <c r="A10" s="20">
        <v>2</v>
      </c>
      <c r="B10" s="70" t="s">
        <v>105</v>
      </c>
      <c r="C10" s="71">
        <v>28.41</v>
      </c>
      <c r="D10" s="73">
        <v>158.04</v>
      </c>
      <c r="E10" s="71">
        <v>38.85</v>
      </c>
      <c r="F10" s="71">
        <v>822.71</v>
      </c>
      <c r="G10" s="71">
        <v>7.18</v>
      </c>
      <c r="H10" s="71">
        <v>3.11</v>
      </c>
      <c r="I10" s="71">
        <v>6.61</v>
      </c>
      <c r="J10" s="71">
        <v>5.48</v>
      </c>
      <c r="K10" s="72">
        <v>4.47</v>
      </c>
      <c r="L10" s="87">
        <f>C10/C8</f>
        <v>1.2352173913043478</v>
      </c>
      <c r="M10" s="87">
        <f>D10/D8</f>
        <v>5.5427154535985214E-2</v>
      </c>
      <c r="N10" s="87">
        <f t="shared" ref="N10:T10" si="6">E10/E8</f>
        <v>7.4</v>
      </c>
      <c r="O10" s="87">
        <f t="shared" si="6"/>
        <v>23.465772960638905</v>
      </c>
      <c r="P10" s="87">
        <f t="shared" si="6"/>
        <v>1.5814977973568281</v>
      </c>
      <c r="Q10" s="87">
        <f t="shared" si="6"/>
        <v>0.35788262370540852</v>
      </c>
      <c r="R10" s="87">
        <f t="shared" si="6"/>
        <v>0.30265567765567769</v>
      </c>
      <c r="S10" s="87">
        <f t="shared" si="6"/>
        <v>1.3333333333333333</v>
      </c>
      <c r="T10" s="87">
        <f t="shared" si="6"/>
        <v>0.52280701754385961</v>
      </c>
    </row>
    <row r="11" spans="1:20" x14ac:dyDescent="0.2">
      <c r="A11" s="20">
        <v>2</v>
      </c>
      <c r="B11" s="70" t="s">
        <v>106</v>
      </c>
      <c r="C11" s="71">
        <v>71.069999999999993</v>
      </c>
      <c r="D11" s="73">
        <v>1166.8</v>
      </c>
      <c r="E11" s="71">
        <v>162.65</v>
      </c>
      <c r="F11" s="71">
        <v>1794.31</v>
      </c>
      <c r="G11" s="71">
        <v>8.08</v>
      </c>
      <c r="H11" s="71">
        <v>7.72</v>
      </c>
      <c r="I11" s="71">
        <v>22.55</v>
      </c>
      <c r="J11" s="71">
        <v>25.62</v>
      </c>
      <c r="K11" s="72">
        <v>9.94</v>
      </c>
      <c r="L11" s="87">
        <f>C11/C8</f>
        <v>3.09</v>
      </c>
      <c r="M11" s="87">
        <f>D11/D8</f>
        <v>0.40921541326618288</v>
      </c>
      <c r="N11" s="87">
        <f t="shared" ref="N11:T11" si="7">E11/E8</f>
        <v>30.980952380952381</v>
      </c>
      <c r="O11" s="87">
        <f t="shared" si="7"/>
        <v>51.178265830005699</v>
      </c>
      <c r="P11" s="87">
        <f t="shared" si="7"/>
        <v>1.7797356828193833</v>
      </c>
      <c r="Q11" s="87">
        <f t="shared" si="7"/>
        <v>0.88837744533947072</v>
      </c>
      <c r="R11" s="87">
        <f t="shared" si="7"/>
        <v>1.0325091575091576</v>
      </c>
      <c r="S11" s="87">
        <f t="shared" si="7"/>
        <v>6.2335766423357661</v>
      </c>
      <c r="T11" s="87">
        <f t="shared" si="7"/>
        <v>1.1625730994152046</v>
      </c>
    </row>
    <row r="12" spans="1:20" x14ac:dyDescent="0.2">
      <c r="A12" s="20"/>
      <c r="B12" s="21"/>
      <c r="C12" s="21"/>
      <c r="D12" s="71"/>
      <c r="E12" s="71"/>
      <c r="F12" s="71"/>
      <c r="G12" s="71"/>
      <c r="H12" s="21"/>
      <c r="I12" s="21"/>
      <c r="J12" s="21"/>
      <c r="M12" s="87"/>
      <c r="N12" s="87"/>
      <c r="O12" s="87"/>
      <c r="P12" s="87"/>
    </row>
    <row r="13" spans="1:20" x14ac:dyDescent="0.2">
      <c r="A13" s="20">
        <v>4</v>
      </c>
      <c r="B13" s="70" t="s">
        <v>7</v>
      </c>
      <c r="C13" s="74">
        <v>8.67</v>
      </c>
      <c r="D13" s="21">
        <v>1148.81</v>
      </c>
      <c r="E13" s="21">
        <v>203.61</v>
      </c>
      <c r="F13" s="74">
        <v>1.86</v>
      </c>
      <c r="G13" s="74">
        <v>1.88</v>
      </c>
      <c r="H13" s="74">
        <v>35.520000000000003</v>
      </c>
      <c r="I13" s="74">
        <v>39.1</v>
      </c>
      <c r="J13" s="21">
        <v>8.2100000000000009</v>
      </c>
      <c r="K13" s="75">
        <v>74.05</v>
      </c>
      <c r="L13" s="88">
        <f>C13/C13</f>
        <v>1</v>
      </c>
      <c r="M13" s="56">
        <f t="shared" ref="M13:T13" si="8">D13/D13</f>
        <v>1</v>
      </c>
      <c r="N13" s="56">
        <f t="shared" si="8"/>
        <v>1</v>
      </c>
      <c r="O13" s="88">
        <f t="shared" si="8"/>
        <v>1</v>
      </c>
      <c r="P13" s="88">
        <f t="shared" si="8"/>
        <v>1</v>
      </c>
      <c r="Q13" s="88">
        <f t="shared" si="8"/>
        <v>1</v>
      </c>
      <c r="R13" s="88">
        <f t="shared" si="8"/>
        <v>1</v>
      </c>
      <c r="S13" s="56">
        <f t="shared" si="8"/>
        <v>1</v>
      </c>
      <c r="T13" s="88">
        <f t="shared" si="8"/>
        <v>1</v>
      </c>
    </row>
    <row r="14" spans="1:20" x14ac:dyDescent="0.2">
      <c r="A14" s="20">
        <v>4</v>
      </c>
      <c r="B14" s="70" t="s">
        <v>104</v>
      </c>
      <c r="C14" s="21">
        <v>88.52</v>
      </c>
      <c r="D14" s="21">
        <v>1997.02</v>
      </c>
      <c r="E14" s="21">
        <v>550.97</v>
      </c>
      <c r="F14" s="21">
        <v>211.36</v>
      </c>
      <c r="G14" s="74">
        <v>1.88</v>
      </c>
      <c r="H14" s="74">
        <v>35.520000000000003</v>
      </c>
      <c r="I14" s="74">
        <v>39.1</v>
      </c>
      <c r="J14" s="21">
        <v>4.71</v>
      </c>
      <c r="K14" s="75">
        <v>74.05</v>
      </c>
      <c r="L14" s="56">
        <f>C14/C13</f>
        <v>10.209919261822376</v>
      </c>
      <c r="M14" s="56">
        <f t="shared" ref="M14:T14" si="9">D14/D13</f>
        <v>1.7383379322951578</v>
      </c>
      <c r="N14" s="56">
        <f t="shared" si="9"/>
        <v>2.7060065812091745</v>
      </c>
      <c r="O14" s="56">
        <f t="shared" si="9"/>
        <v>113.63440860215054</v>
      </c>
      <c r="P14" s="88">
        <f t="shared" si="9"/>
        <v>1</v>
      </c>
      <c r="Q14" s="88">
        <f t="shared" si="9"/>
        <v>1</v>
      </c>
      <c r="R14" s="88">
        <f t="shared" si="9"/>
        <v>1</v>
      </c>
      <c r="S14" s="56">
        <f t="shared" si="9"/>
        <v>0.57369062119366621</v>
      </c>
      <c r="T14" s="88">
        <f t="shared" si="9"/>
        <v>1</v>
      </c>
    </row>
    <row r="15" spans="1:20" x14ac:dyDescent="0.2">
      <c r="A15" s="20">
        <v>4</v>
      </c>
      <c r="B15" s="70" t="s">
        <v>105</v>
      </c>
      <c r="C15" s="21">
        <v>16.649999999999999</v>
      </c>
      <c r="D15" s="21">
        <v>1896.74</v>
      </c>
      <c r="E15" s="21">
        <v>303.87</v>
      </c>
      <c r="F15" s="21">
        <v>76.239999999999995</v>
      </c>
      <c r="G15" s="74">
        <v>1.88</v>
      </c>
      <c r="H15" s="74">
        <v>35.520000000000003</v>
      </c>
      <c r="I15" s="74">
        <v>39.1</v>
      </c>
      <c r="J15" s="21">
        <v>10.99</v>
      </c>
      <c r="K15" s="75">
        <v>74.05</v>
      </c>
      <c r="L15" s="56">
        <f>C15/C13</f>
        <v>1.9204152249134947</v>
      </c>
      <c r="M15" s="56">
        <f t="shared" ref="M15:T15" si="10">D15/D13</f>
        <v>1.6510476057833758</v>
      </c>
      <c r="N15" s="56">
        <f t="shared" si="10"/>
        <v>1.4924119640489171</v>
      </c>
      <c r="O15" s="56">
        <f t="shared" si="10"/>
        <v>40.989247311827953</v>
      </c>
      <c r="P15" s="88">
        <f t="shared" si="10"/>
        <v>1</v>
      </c>
      <c r="Q15" s="88">
        <f t="shared" si="10"/>
        <v>1</v>
      </c>
      <c r="R15" s="88">
        <f t="shared" si="10"/>
        <v>1</v>
      </c>
      <c r="S15" s="56">
        <f t="shared" si="10"/>
        <v>1.3386114494518879</v>
      </c>
      <c r="T15" s="88">
        <f t="shared" si="10"/>
        <v>1</v>
      </c>
    </row>
    <row r="16" spans="1:20" x14ac:dyDescent="0.2">
      <c r="A16" s="20">
        <v>4</v>
      </c>
      <c r="B16" s="70" t="s">
        <v>106</v>
      </c>
      <c r="C16" s="21">
        <v>58.15</v>
      </c>
      <c r="D16" s="21">
        <v>1449.72</v>
      </c>
      <c r="E16" s="21">
        <v>213.95</v>
      </c>
      <c r="F16" s="21">
        <v>578.26</v>
      </c>
      <c r="G16" s="74">
        <v>1.88</v>
      </c>
      <c r="H16" s="74">
        <v>35.520000000000003</v>
      </c>
      <c r="I16" s="74">
        <v>39.1</v>
      </c>
      <c r="J16" s="21">
        <v>6.13</v>
      </c>
      <c r="K16" s="75">
        <v>74.05</v>
      </c>
      <c r="L16" s="56">
        <f>C16/C13</f>
        <v>6.7070357554786622</v>
      </c>
      <c r="M16" s="56">
        <f t="shared" ref="M16:T16" si="11">D16/D13</f>
        <v>1.2619319121525754</v>
      </c>
      <c r="N16" s="56">
        <f t="shared" si="11"/>
        <v>1.050783360345759</v>
      </c>
      <c r="O16" s="56">
        <f t="shared" si="11"/>
        <v>310.89247311827955</v>
      </c>
      <c r="P16" s="88">
        <f t="shared" si="11"/>
        <v>1</v>
      </c>
      <c r="Q16" s="88">
        <f t="shared" si="11"/>
        <v>1</v>
      </c>
      <c r="R16" s="88">
        <f t="shared" si="11"/>
        <v>1</v>
      </c>
      <c r="S16" s="56">
        <f t="shared" si="11"/>
        <v>0.74665042630937872</v>
      </c>
      <c r="T16" s="88">
        <f t="shared" si="11"/>
        <v>1</v>
      </c>
    </row>
    <row r="17" spans="1:20" x14ac:dyDescent="0.2">
      <c r="A17" s="20"/>
      <c r="B17" s="21"/>
      <c r="C17" s="21"/>
      <c r="D17" s="21"/>
      <c r="E17" s="21"/>
      <c r="F17" s="21"/>
      <c r="G17" s="21"/>
      <c r="H17" s="21"/>
      <c r="I17" s="21"/>
      <c r="J17" s="21"/>
    </row>
    <row r="18" spans="1:20" x14ac:dyDescent="0.2">
      <c r="A18" s="20">
        <v>5</v>
      </c>
      <c r="B18" s="70" t="s">
        <v>7</v>
      </c>
      <c r="C18" s="74">
        <v>8.67</v>
      </c>
      <c r="D18" s="21">
        <v>459.85</v>
      </c>
      <c r="E18" s="74">
        <v>1.65</v>
      </c>
      <c r="F18" s="21">
        <v>188.16</v>
      </c>
      <c r="G18" s="74">
        <v>1.88</v>
      </c>
      <c r="H18" s="74">
        <v>35.520000000000003</v>
      </c>
      <c r="I18" s="74">
        <v>39.1</v>
      </c>
      <c r="J18" s="74">
        <v>1.86</v>
      </c>
      <c r="K18" s="75">
        <v>74.05</v>
      </c>
      <c r="L18" s="88">
        <f>C18/C18</f>
        <v>1</v>
      </c>
      <c r="M18" s="56">
        <f t="shared" ref="M18:T18" si="12">D18/D18</f>
        <v>1</v>
      </c>
      <c r="N18" s="88">
        <f t="shared" si="12"/>
        <v>1</v>
      </c>
      <c r="O18" s="56">
        <f t="shared" si="12"/>
        <v>1</v>
      </c>
      <c r="P18" s="88">
        <f t="shared" si="12"/>
        <v>1</v>
      </c>
      <c r="Q18" s="88">
        <f t="shared" si="12"/>
        <v>1</v>
      </c>
      <c r="R18" s="88">
        <f t="shared" si="12"/>
        <v>1</v>
      </c>
      <c r="S18" s="88">
        <f t="shared" si="12"/>
        <v>1</v>
      </c>
      <c r="T18" s="88">
        <f t="shared" si="12"/>
        <v>1</v>
      </c>
    </row>
    <row r="19" spans="1:20" x14ac:dyDescent="0.2">
      <c r="A19" s="20">
        <v>5</v>
      </c>
      <c r="B19" s="70" t="s">
        <v>104</v>
      </c>
      <c r="C19" s="74">
        <v>8.67</v>
      </c>
      <c r="D19" s="21">
        <v>4252.6499999999996</v>
      </c>
      <c r="E19" s="21">
        <v>3.12</v>
      </c>
      <c r="F19" s="21">
        <v>8479.1299999999992</v>
      </c>
      <c r="G19" s="21">
        <v>22.06</v>
      </c>
      <c r="H19" s="21">
        <v>149.66</v>
      </c>
      <c r="I19" s="21">
        <v>68.209999999999994</v>
      </c>
      <c r="J19" s="21">
        <v>24.05</v>
      </c>
      <c r="K19" s="75">
        <v>74.05</v>
      </c>
      <c r="L19" s="88">
        <f>C19/C18</f>
        <v>1</v>
      </c>
      <c r="M19" s="56">
        <f t="shared" ref="M19:T19" si="13">D19/D18</f>
        <v>9.2479069261715772</v>
      </c>
      <c r="N19" s="56">
        <f t="shared" si="13"/>
        <v>1.8909090909090911</v>
      </c>
      <c r="O19" s="56">
        <f t="shared" si="13"/>
        <v>45.063403486394556</v>
      </c>
      <c r="P19" s="56">
        <f t="shared" si="13"/>
        <v>11.73404255319149</v>
      </c>
      <c r="Q19" s="56">
        <f t="shared" si="13"/>
        <v>4.2134009009009006</v>
      </c>
      <c r="R19" s="56">
        <f t="shared" si="13"/>
        <v>1.7445012787723784</v>
      </c>
      <c r="S19" s="56">
        <f t="shared" si="13"/>
        <v>12.93010752688172</v>
      </c>
      <c r="T19" s="88">
        <f t="shared" si="13"/>
        <v>1</v>
      </c>
    </row>
    <row r="20" spans="1:20" x14ac:dyDescent="0.2">
      <c r="A20" s="20">
        <v>5</v>
      </c>
      <c r="B20" s="70" t="s">
        <v>105</v>
      </c>
      <c r="C20" s="74">
        <v>8.67</v>
      </c>
      <c r="D20" s="21">
        <v>2481.5700000000002</v>
      </c>
      <c r="E20" s="74">
        <v>1.65</v>
      </c>
      <c r="F20" s="21">
        <v>1057.1099999999999</v>
      </c>
      <c r="G20" s="74">
        <v>1.88</v>
      </c>
      <c r="H20" s="74">
        <v>35.520000000000003</v>
      </c>
      <c r="I20" s="74">
        <v>39.1</v>
      </c>
      <c r="J20" s="21">
        <v>15.13</v>
      </c>
      <c r="K20" s="75">
        <v>74.05</v>
      </c>
      <c r="L20" s="88">
        <f>C20/C18</f>
        <v>1</v>
      </c>
      <c r="M20" s="56">
        <f t="shared" ref="M20:T20" si="14">D20/D18</f>
        <v>5.3964771121017723</v>
      </c>
      <c r="N20" s="88">
        <f t="shared" si="14"/>
        <v>1</v>
      </c>
      <c r="O20" s="56">
        <f t="shared" si="14"/>
        <v>5.618144132653061</v>
      </c>
      <c r="P20" s="88">
        <f t="shared" si="14"/>
        <v>1</v>
      </c>
      <c r="Q20" s="88">
        <f t="shared" si="14"/>
        <v>1</v>
      </c>
      <c r="R20" s="88">
        <f t="shared" si="14"/>
        <v>1</v>
      </c>
      <c r="S20" s="56">
        <f t="shared" si="14"/>
        <v>8.134408602150538</v>
      </c>
      <c r="T20" s="88">
        <f t="shared" si="14"/>
        <v>1</v>
      </c>
    </row>
    <row r="21" spans="1:20" x14ac:dyDescent="0.2">
      <c r="A21" s="20">
        <v>5</v>
      </c>
      <c r="B21" s="70" t="s">
        <v>106</v>
      </c>
      <c r="C21" s="74">
        <v>8.67</v>
      </c>
      <c r="D21" s="21">
        <v>6176.23</v>
      </c>
      <c r="E21" s="74">
        <v>1.65</v>
      </c>
      <c r="F21" s="21">
        <v>2492.25</v>
      </c>
      <c r="G21" s="74">
        <v>1.88</v>
      </c>
      <c r="H21" s="74">
        <v>35.520000000000003</v>
      </c>
      <c r="I21" s="74">
        <v>39.1</v>
      </c>
      <c r="J21" s="21">
        <v>11.9</v>
      </c>
      <c r="K21" s="75">
        <v>74.05</v>
      </c>
      <c r="L21" s="88">
        <f>C21/C18</f>
        <v>1</v>
      </c>
      <c r="M21" s="56">
        <f t="shared" ref="M21:T21" si="15">D21/D18</f>
        <v>13.430966619549851</v>
      </c>
      <c r="N21" s="88">
        <f t="shared" si="15"/>
        <v>1</v>
      </c>
      <c r="O21" s="56">
        <f t="shared" si="15"/>
        <v>13.245376275510205</v>
      </c>
      <c r="P21" s="88">
        <f t="shared" si="15"/>
        <v>1</v>
      </c>
      <c r="Q21" s="88">
        <f t="shared" si="15"/>
        <v>1</v>
      </c>
      <c r="R21" s="88">
        <f t="shared" si="15"/>
        <v>1</v>
      </c>
      <c r="S21" s="56">
        <f t="shared" si="15"/>
        <v>6.397849462365591</v>
      </c>
      <c r="T21" s="88">
        <f t="shared" si="15"/>
        <v>1</v>
      </c>
    </row>
    <row r="22" spans="1:20" x14ac:dyDescent="0.2">
      <c r="A22" s="20"/>
      <c r="B22" s="21"/>
      <c r="C22" s="76"/>
      <c r="D22" s="76"/>
      <c r="E22" s="76"/>
      <c r="F22" s="76"/>
      <c r="G22" s="76"/>
      <c r="H22" s="76"/>
      <c r="I22" s="76"/>
      <c r="J22" s="76"/>
      <c r="K22" s="77"/>
      <c r="L22" s="63"/>
      <c r="M22" s="63"/>
      <c r="N22" s="63"/>
      <c r="O22" s="63"/>
      <c r="P22" s="63"/>
      <c r="Q22" s="63"/>
      <c r="R22" s="63"/>
      <c r="S22" s="63"/>
      <c r="T22" s="63"/>
    </row>
    <row r="23" spans="1:20" x14ac:dyDescent="0.2">
      <c r="A23" s="78">
        <v>6</v>
      </c>
      <c r="B23" s="70" t="s">
        <v>7</v>
      </c>
      <c r="C23" s="71">
        <v>172.31</v>
      </c>
      <c r="D23" s="73">
        <v>911.58</v>
      </c>
      <c r="E23" s="71">
        <v>20.96</v>
      </c>
      <c r="F23" s="71">
        <v>102.49</v>
      </c>
      <c r="G23" s="74">
        <v>1.83</v>
      </c>
      <c r="H23" s="74">
        <v>1.85</v>
      </c>
      <c r="I23" s="74">
        <v>2.14</v>
      </c>
      <c r="J23" s="71">
        <v>105.04</v>
      </c>
      <c r="K23" s="75">
        <v>1.39</v>
      </c>
      <c r="L23" s="87">
        <f>C23/C23</f>
        <v>1</v>
      </c>
      <c r="M23" s="87">
        <f>D23/D23</f>
        <v>1</v>
      </c>
      <c r="N23" s="87">
        <f t="shared" ref="N23:T23" si="16">E23/E23</f>
        <v>1</v>
      </c>
      <c r="O23" s="87">
        <f t="shared" si="16"/>
        <v>1</v>
      </c>
      <c r="P23" s="88">
        <f t="shared" si="16"/>
        <v>1</v>
      </c>
      <c r="Q23" s="88">
        <f t="shared" si="16"/>
        <v>1</v>
      </c>
      <c r="R23" s="88">
        <f t="shared" si="16"/>
        <v>1</v>
      </c>
      <c r="S23" s="87">
        <f t="shared" si="16"/>
        <v>1</v>
      </c>
      <c r="T23" s="88">
        <f t="shared" si="16"/>
        <v>1</v>
      </c>
    </row>
    <row r="24" spans="1:20" x14ac:dyDescent="0.2">
      <c r="A24" s="78">
        <v>6</v>
      </c>
      <c r="B24" s="70" t="s">
        <v>104</v>
      </c>
      <c r="C24" s="71">
        <v>144.44</v>
      </c>
      <c r="D24" s="73">
        <v>2466.4899999999998</v>
      </c>
      <c r="E24" s="71">
        <v>77.78</v>
      </c>
      <c r="F24" s="71">
        <v>2616.4699999999998</v>
      </c>
      <c r="G24" s="71">
        <v>8.76</v>
      </c>
      <c r="H24" s="71">
        <v>84.18</v>
      </c>
      <c r="I24" s="71">
        <v>41.68</v>
      </c>
      <c r="J24" s="71">
        <v>297.45</v>
      </c>
      <c r="K24" s="72">
        <v>6.98</v>
      </c>
      <c r="L24" s="87">
        <f>C24/C23</f>
        <v>0.83825663049155585</v>
      </c>
      <c r="M24" s="87">
        <f>D24/D23</f>
        <v>2.7057307093178871</v>
      </c>
      <c r="N24" s="87">
        <f t="shared" ref="N24:T24" si="17">E24/E23</f>
        <v>3.71087786259542</v>
      </c>
      <c r="O24" s="87">
        <f t="shared" si="17"/>
        <v>25.529027222168015</v>
      </c>
      <c r="P24" s="87">
        <f t="shared" si="17"/>
        <v>4.7868852459016393</v>
      </c>
      <c r="Q24" s="87">
        <f t="shared" si="17"/>
        <v>45.502702702702706</v>
      </c>
      <c r="R24" s="87">
        <f t="shared" si="17"/>
        <v>19.476635514018689</v>
      </c>
      <c r="S24" s="87">
        <f t="shared" si="17"/>
        <v>2.8317783701447063</v>
      </c>
      <c r="T24" s="87">
        <f t="shared" si="17"/>
        <v>5.0215827338129504</v>
      </c>
    </row>
    <row r="25" spans="1:20" x14ac:dyDescent="0.2">
      <c r="A25" s="78">
        <v>6</v>
      </c>
      <c r="B25" s="70" t="s">
        <v>105</v>
      </c>
      <c r="C25" s="71">
        <v>110.58</v>
      </c>
      <c r="D25" s="73">
        <v>6327.69</v>
      </c>
      <c r="E25" s="71">
        <v>51.9</v>
      </c>
      <c r="F25" s="71">
        <v>532.08000000000004</v>
      </c>
      <c r="G25" s="71">
        <v>4.46</v>
      </c>
      <c r="H25" s="74">
        <v>1.85</v>
      </c>
      <c r="I25" s="71">
        <v>2.75</v>
      </c>
      <c r="J25" s="71">
        <v>133.53</v>
      </c>
      <c r="K25" s="75">
        <v>1.39</v>
      </c>
      <c r="L25" s="87">
        <f>C25/C23</f>
        <v>0.64175033370088796</v>
      </c>
      <c r="M25" s="87">
        <f>D25/D23</f>
        <v>6.9414533008622383</v>
      </c>
      <c r="N25" s="87">
        <f t="shared" ref="N25:T25" si="18">E25/E23</f>
        <v>2.4761450381679388</v>
      </c>
      <c r="O25" s="87">
        <f t="shared" si="18"/>
        <v>5.1915308810615679</v>
      </c>
      <c r="P25" s="87">
        <f t="shared" si="18"/>
        <v>2.4371584699453552</v>
      </c>
      <c r="Q25" s="88">
        <f t="shared" si="18"/>
        <v>1</v>
      </c>
      <c r="R25" s="87">
        <f t="shared" si="18"/>
        <v>1.2850467289719625</v>
      </c>
      <c r="S25" s="87">
        <f t="shared" si="18"/>
        <v>1.2712300076161462</v>
      </c>
      <c r="T25" s="88">
        <f t="shared" si="18"/>
        <v>1</v>
      </c>
    </row>
    <row r="26" spans="1:20" x14ac:dyDescent="0.2">
      <c r="A26" s="78">
        <v>6</v>
      </c>
      <c r="B26" s="70" t="s">
        <v>106</v>
      </c>
      <c r="C26" s="71">
        <v>164.3</v>
      </c>
      <c r="D26" s="73">
        <v>2422.98</v>
      </c>
      <c r="E26" s="71">
        <v>179.35</v>
      </c>
      <c r="F26" s="71">
        <v>1870.27</v>
      </c>
      <c r="G26" s="71">
        <v>6.87</v>
      </c>
      <c r="H26" s="71">
        <v>3.02</v>
      </c>
      <c r="I26" s="71">
        <v>15.98</v>
      </c>
      <c r="J26" s="71">
        <v>149.38999999999999</v>
      </c>
      <c r="K26" s="72">
        <v>1.52</v>
      </c>
      <c r="L26" s="87">
        <f>C26/C23</f>
        <v>0.95351401543729331</v>
      </c>
      <c r="M26" s="87">
        <f>D26/D23</f>
        <v>2.6580003949187123</v>
      </c>
      <c r="N26" s="87">
        <f t="shared" ref="N26:T26" si="19">E26/E23</f>
        <v>8.556774809160304</v>
      </c>
      <c r="O26" s="87">
        <f t="shared" si="19"/>
        <v>18.248316908966729</v>
      </c>
      <c r="P26" s="87">
        <f t="shared" si="19"/>
        <v>3.7540983606557377</v>
      </c>
      <c r="Q26" s="87">
        <f t="shared" si="19"/>
        <v>1.6324324324324324</v>
      </c>
      <c r="R26" s="87">
        <f t="shared" si="19"/>
        <v>7.4672897196261676</v>
      </c>
      <c r="S26" s="87">
        <f t="shared" si="19"/>
        <v>1.4222201066260469</v>
      </c>
      <c r="T26" s="87">
        <f t="shared" si="19"/>
        <v>1.0935251798561152</v>
      </c>
    </row>
    <row r="27" spans="1:20" x14ac:dyDescent="0.2">
      <c r="A27" s="78">
        <v>6</v>
      </c>
      <c r="B27" s="70" t="s">
        <v>9</v>
      </c>
      <c r="C27" s="71">
        <v>353.7</v>
      </c>
      <c r="D27" s="79" t="s">
        <v>107</v>
      </c>
      <c r="E27" s="71">
        <v>318</v>
      </c>
      <c r="F27" s="71">
        <v>818.76</v>
      </c>
      <c r="G27" s="71">
        <v>3.57</v>
      </c>
      <c r="H27" s="74">
        <v>1.85</v>
      </c>
      <c r="I27" s="74">
        <v>2.14</v>
      </c>
      <c r="J27" s="71">
        <v>1703.07</v>
      </c>
      <c r="K27" s="75">
        <v>1.39</v>
      </c>
      <c r="L27" s="87">
        <f>C27/C23</f>
        <v>2.0526957228251406</v>
      </c>
      <c r="M27" s="88"/>
      <c r="N27" s="87">
        <f t="shared" ref="N27:T27" si="20">E27/E23</f>
        <v>15.17175572519084</v>
      </c>
      <c r="O27" s="87">
        <f t="shared" si="20"/>
        <v>7.988681822616841</v>
      </c>
      <c r="P27" s="87">
        <f t="shared" si="20"/>
        <v>1.9508196721311475</v>
      </c>
      <c r="Q27" s="88">
        <f t="shared" si="20"/>
        <v>1</v>
      </c>
      <c r="R27" s="88">
        <f t="shared" si="20"/>
        <v>1</v>
      </c>
      <c r="S27" s="87">
        <f t="shared" si="20"/>
        <v>16.213537699923837</v>
      </c>
      <c r="T27" s="88">
        <f t="shared" si="20"/>
        <v>1</v>
      </c>
    </row>
    <row r="28" spans="1:20" x14ac:dyDescent="0.2">
      <c r="A28" s="78"/>
      <c r="B28" s="70"/>
      <c r="C28" s="71"/>
      <c r="D28" s="73"/>
      <c r="E28" s="71"/>
      <c r="F28" s="71"/>
      <c r="G28" s="71"/>
      <c r="H28" s="21"/>
      <c r="I28" s="21"/>
      <c r="J28" s="71"/>
      <c r="L28" s="87"/>
      <c r="N28" s="87"/>
      <c r="O28" s="87"/>
      <c r="P28" s="87"/>
      <c r="S28" s="87"/>
    </row>
    <row r="29" spans="1:20" x14ac:dyDescent="0.2">
      <c r="A29" s="78">
        <v>7</v>
      </c>
      <c r="B29" s="70" t="s">
        <v>7</v>
      </c>
      <c r="C29" s="71">
        <v>5.0199999999999996</v>
      </c>
      <c r="D29" s="71">
        <v>7832.36</v>
      </c>
      <c r="E29" s="74">
        <v>1.63</v>
      </c>
      <c r="F29" s="71">
        <v>208.98</v>
      </c>
      <c r="G29" s="74">
        <v>1.83</v>
      </c>
      <c r="H29" s="74">
        <v>1.85</v>
      </c>
      <c r="I29" s="74">
        <v>2.14</v>
      </c>
      <c r="J29" s="71">
        <v>65.91</v>
      </c>
      <c r="K29" s="75">
        <v>1.39</v>
      </c>
      <c r="L29" s="87">
        <f>C29/C29</f>
        <v>1</v>
      </c>
      <c r="M29" s="87">
        <f t="shared" ref="M29:T29" si="21">D29/D29</f>
        <v>1</v>
      </c>
      <c r="N29" s="88">
        <f t="shared" si="21"/>
        <v>1</v>
      </c>
      <c r="O29" s="87">
        <f t="shared" si="21"/>
        <v>1</v>
      </c>
      <c r="P29" s="88">
        <f t="shared" si="21"/>
        <v>1</v>
      </c>
      <c r="Q29" s="88">
        <f t="shared" si="21"/>
        <v>1</v>
      </c>
      <c r="R29" s="88">
        <f t="shared" si="21"/>
        <v>1</v>
      </c>
      <c r="S29" s="87">
        <f t="shared" si="21"/>
        <v>1</v>
      </c>
      <c r="T29" s="88">
        <f t="shared" si="21"/>
        <v>1</v>
      </c>
    </row>
    <row r="30" spans="1:20" x14ac:dyDescent="0.2">
      <c r="A30" s="78">
        <v>7</v>
      </c>
      <c r="B30" s="70" t="s">
        <v>104</v>
      </c>
      <c r="C30" s="71">
        <v>51.34</v>
      </c>
      <c r="D30" s="80">
        <v>43952.61</v>
      </c>
      <c r="E30" s="71">
        <v>12.28</v>
      </c>
      <c r="F30" s="71">
        <v>3052.27</v>
      </c>
      <c r="G30" s="71">
        <v>19.41</v>
      </c>
      <c r="H30" s="71">
        <v>298.60000000000002</v>
      </c>
      <c r="I30" s="71">
        <v>142</v>
      </c>
      <c r="J30" s="71">
        <v>217.98</v>
      </c>
      <c r="K30" s="72">
        <v>4.1399999999999997</v>
      </c>
      <c r="L30" s="87">
        <f>C30/C29</f>
        <v>10.227091633466136</v>
      </c>
      <c r="M30" s="88">
        <f t="shared" ref="M30:T30" si="22">D30/D29</f>
        <v>5.6116687690555596</v>
      </c>
      <c r="N30" s="87">
        <f t="shared" si="22"/>
        <v>7.5337423312883436</v>
      </c>
      <c r="O30" s="87">
        <f t="shared" si="22"/>
        <v>14.605560340702461</v>
      </c>
      <c r="P30" s="87">
        <f t="shared" si="22"/>
        <v>10.60655737704918</v>
      </c>
      <c r="Q30" s="87">
        <f t="shared" si="22"/>
        <v>161.40540540540542</v>
      </c>
      <c r="R30" s="87">
        <f t="shared" si="22"/>
        <v>66.355140186915889</v>
      </c>
      <c r="S30" s="87">
        <f t="shared" si="22"/>
        <v>3.3072371415566684</v>
      </c>
      <c r="T30" s="87">
        <f t="shared" si="22"/>
        <v>2.9784172661870505</v>
      </c>
    </row>
    <row r="31" spans="1:20" x14ac:dyDescent="0.2">
      <c r="A31" s="78">
        <v>7</v>
      </c>
      <c r="B31" s="70" t="s">
        <v>105</v>
      </c>
      <c r="C31" s="71">
        <v>29.64</v>
      </c>
      <c r="D31" s="71">
        <v>31836.26</v>
      </c>
      <c r="E31" s="71">
        <v>52.32</v>
      </c>
      <c r="F31" s="71">
        <v>2409.2600000000002</v>
      </c>
      <c r="G31" s="71">
        <v>26.22</v>
      </c>
      <c r="H31" s="74">
        <v>1.85</v>
      </c>
      <c r="I31" s="71">
        <v>10.45</v>
      </c>
      <c r="J31" s="71">
        <v>138.11000000000001</v>
      </c>
      <c r="K31" s="75">
        <v>1.39</v>
      </c>
      <c r="L31" s="87">
        <f>C31/C29</f>
        <v>5.9043824701195229</v>
      </c>
      <c r="M31" s="87">
        <f t="shared" ref="M31:T31" si="23">D31/D29</f>
        <v>4.0647084659029975</v>
      </c>
      <c r="N31" s="87">
        <f t="shared" si="23"/>
        <v>32.098159509202453</v>
      </c>
      <c r="O31" s="87">
        <f t="shared" si="23"/>
        <v>11.528663029955021</v>
      </c>
      <c r="P31" s="87">
        <f t="shared" si="23"/>
        <v>14.327868852459016</v>
      </c>
      <c r="Q31" s="88">
        <f t="shared" si="23"/>
        <v>1</v>
      </c>
      <c r="R31" s="87">
        <f t="shared" si="23"/>
        <v>4.8831775700934577</v>
      </c>
      <c r="S31" s="87">
        <f t="shared" si="23"/>
        <v>2.0954331664390837</v>
      </c>
      <c r="T31" s="88">
        <f t="shared" si="23"/>
        <v>1</v>
      </c>
    </row>
    <row r="32" spans="1:20" x14ac:dyDescent="0.2">
      <c r="A32" s="78">
        <v>7</v>
      </c>
      <c r="B32" s="70" t="s">
        <v>106</v>
      </c>
      <c r="C32" s="71">
        <v>18.16</v>
      </c>
      <c r="D32" s="80">
        <v>43952.61</v>
      </c>
      <c r="E32" s="71">
        <v>16.54</v>
      </c>
      <c r="F32" s="71">
        <v>2763.94</v>
      </c>
      <c r="G32" s="71">
        <v>16.55</v>
      </c>
      <c r="H32" s="71">
        <v>6.69</v>
      </c>
      <c r="I32" s="71">
        <v>18.600000000000001</v>
      </c>
      <c r="J32" s="71">
        <v>105.22</v>
      </c>
      <c r="K32" s="75">
        <v>1.39</v>
      </c>
      <c r="L32" s="87">
        <f>C32/C29</f>
        <v>3.617529880478088</v>
      </c>
      <c r="M32" s="88">
        <f t="shared" ref="M32:T32" si="24">D32/D29</f>
        <v>5.6116687690555596</v>
      </c>
      <c r="N32" s="87">
        <f t="shared" si="24"/>
        <v>10.147239263803682</v>
      </c>
      <c r="O32" s="87">
        <f t="shared" si="24"/>
        <v>13.22585893386927</v>
      </c>
      <c r="P32" s="87">
        <f t="shared" si="24"/>
        <v>9.0437158469945356</v>
      </c>
      <c r="Q32" s="87">
        <f t="shared" si="24"/>
        <v>3.6162162162162161</v>
      </c>
      <c r="R32" s="87">
        <f t="shared" si="24"/>
        <v>8.6915887850467293</v>
      </c>
      <c r="S32" s="87">
        <f t="shared" si="24"/>
        <v>1.5964193597329692</v>
      </c>
      <c r="T32" s="88">
        <f t="shared" si="24"/>
        <v>1</v>
      </c>
    </row>
    <row r="33" spans="1:20" x14ac:dyDescent="0.2">
      <c r="A33" s="78">
        <v>7</v>
      </c>
      <c r="B33" s="70" t="s">
        <v>9</v>
      </c>
      <c r="C33" s="71">
        <v>594.59</v>
      </c>
      <c r="D33" s="80">
        <v>43952.61</v>
      </c>
      <c r="E33" s="71">
        <v>129.44</v>
      </c>
      <c r="F33" s="71">
        <v>2018.65</v>
      </c>
      <c r="G33" s="71">
        <v>7.54</v>
      </c>
      <c r="H33" s="74">
        <v>1.85</v>
      </c>
      <c r="I33" s="71">
        <v>6.68</v>
      </c>
      <c r="J33" s="71">
        <v>3643.31</v>
      </c>
      <c r="K33" s="75">
        <v>1.39</v>
      </c>
      <c r="L33" s="87">
        <f>C33/C29</f>
        <v>118.44422310756974</v>
      </c>
      <c r="M33" s="88">
        <f t="shared" ref="M33:T33" si="25">D33/D29</f>
        <v>5.6116687690555596</v>
      </c>
      <c r="N33" s="87">
        <f t="shared" si="25"/>
        <v>79.411042944785279</v>
      </c>
      <c r="O33" s="87">
        <f t="shared" si="25"/>
        <v>9.6595367977796922</v>
      </c>
      <c r="P33" s="87">
        <f t="shared" si="25"/>
        <v>4.1202185792349724</v>
      </c>
      <c r="Q33" s="88">
        <f t="shared" si="25"/>
        <v>1</v>
      </c>
      <c r="R33" s="87">
        <f t="shared" si="25"/>
        <v>3.1214953271028034</v>
      </c>
      <c r="S33" s="87">
        <f t="shared" si="25"/>
        <v>55.277044454559253</v>
      </c>
      <c r="T33" s="88">
        <f t="shared" si="25"/>
        <v>1</v>
      </c>
    </row>
    <row r="34" spans="1:20" x14ac:dyDescent="0.2">
      <c r="A34" s="20"/>
      <c r="B34" s="21"/>
      <c r="C34" s="80"/>
      <c r="D34" s="81"/>
      <c r="E34" s="21"/>
      <c r="F34" s="21"/>
      <c r="G34" s="21"/>
      <c r="H34" s="21"/>
      <c r="I34" s="21"/>
      <c r="J34" s="21"/>
      <c r="L34" s="88"/>
      <c r="M34" s="88"/>
    </row>
    <row r="35" spans="1:20" x14ac:dyDescent="0.2">
      <c r="A35" s="20">
        <v>8</v>
      </c>
      <c r="B35" s="70" t="s">
        <v>7</v>
      </c>
      <c r="C35" s="21">
        <v>4.22</v>
      </c>
      <c r="D35" s="21">
        <v>825.75</v>
      </c>
      <c r="E35" s="74">
        <v>1.92</v>
      </c>
      <c r="F35" s="21">
        <v>80.7</v>
      </c>
      <c r="G35" s="21">
        <v>3.29</v>
      </c>
      <c r="H35" s="74">
        <v>0.91</v>
      </c>
      <c r="I35" s="74">
        <v>1.82</v>
      </c>
      <c r="J35" s="21">
        <v>3.36</v>
      </c>
      <c r="K35" s="75">
        <v>1.86</v>
      </c>
      <c r="L35" s="56">
        <f>C35/C35</f>
        <v>1</v>
      </c>
      <c r="M35" s="56">
        <f t="shared" ref="M35:T35" si="26">D35/D35</f>
        <v>1</v>
      </c>
      <c r="N35" s="88">
        <f t="shared" si="26"/>
        <v>1</v>
      </c>
      <c r="O35" s="56">
        <f t="shared" si="26"/>
        <v>1</v>
      </c>
      <c r="P35" s="56">
        <f t="shared" si="26"/>
        <v>1</v>
      </c>
      <c r="Q35" s="88">
        <f t="shared" si="26"/>
        <v>1</v>
      </c>
      <c r="R35" s="88">
        <f t="shared" si="26"/>
        <v>1</v>
      </c>
      <c r="S35" s="56">
        <f t="shared" si="26"/>
        <v>1</v>
      </c>
      <c r="T35" s="88">
        <f t="shared" si="26"/>
        <v>1</v>
      </c>
    </row>
    <row r="36" spans="1:20" x14ac:dyDescent="0.2">
      <c r="A36" s="20">
        <v>8</v>
      </c>
      <c r="B36" s="70" t="s">
        <v>104</v>
      </c>
      <c r="C36" s="21">
        <v>7.77</v>
      </c>
      <c r="D36" s="21">
        <v>1661.87</v>
      </c>
      <c r="E36" s="21">
        <v>3.79</v>
      </c>
      <c r="F36" s="21">
        <v>3806.71</v>
      </c>
      <c r="G36" s="21">
        <v>8.0399999999999991</v>
      </c>
      <c r="H36" s="21">
        <v>19.75</v>
      </c>
      <c r="I36" s="21">
        <v>4.8499999999999996</v>
      </c>
      <c r="J36" s="21">
        <v>24.08</v>
      </c>
      <c r="K36" s="75">
        <v>1.86</v>
      </c>
      <c r="L36" s="56">
        <f>C36/C35</f>
        <v>1.8412322274881516</v>
      </c>
      <c r="M36" s="56">
        <f t="shared" ref="M36:T36" si="27">D36/D35</f>
        <v>2.0125582803511959</v>
      </c>
      <c r="N36" s="56">
        <f t="shared" si="27"/>
        <v>1.9739583333333335</v>
      </c>
      <c r="O36" s="56">
        <f t="shared" si="27"/>
        <v>47.171127633209416</v>
      </c>
      <c r="P36" s="56">
        <f t="shared" si="27"/>
        <v>2.4437689969604861</v>
      </c>
      <c r="Q36" s="56">
        <f t="shared" si="27"/>
        <v>21.703296703296701</v>
      </c>
      <c r="R36" s="56">
        <f t="shared" si="27"/>
        <v>2.6648351648351647</v>
      </c>
      <c r="S36" s="56">
        <f t="shared" si="27"/>
        <v>7.1666666666666661</v>
      </c>
      <c r="T36" s="88">
        <f t="shared" si="27"/>
        <v>1</v>
      </c>
    </row>
    <row r="37" spans="1:20" x14ac:dyDescent="0.2">
      <c r="A37" s="20">
        <v>8</v>
      </c>
      <c r="B37" s="70" t="s">
        <v>105</v>
      </c>
      <c r="C37" s="21">
        <v>28.28</v>
      </c>
      <c r="D37" s="80">
        <v>10566.58</v>
      </c>
      <c r="E37" s="21">
        <v>18.89</v>
      </c>
      <c r="F37" s="21">
        <v>2906.52</v>
      </c>
      <c r="G37" s="21">
        <v>20.03</v>
      </c>
      <c r="H37" s="21">
        <v>2.39</v>
      </c>
      <c r="I37" s="21">
        <v>4.47</v>
      </c>
      <c r="J37" s="21">
        <v>21.01</v>
      </c>
      <c r="K37" s="75">
        <v>1.86</v>
      </c>
      <c r="L37" s="56">
        <f>C37/C35</f>
        <v>6.7014218009478679</v>
      </c>
      <c r="M37" s="88">
        <f t="shared" ref="M37:T37" si="28">D37/D35</f>
        <v>12.796342718740538</v>
      </c>
      <c r="N37" s="56">
        <f t="shared" si="28"/>
        <v>9.8385416666666679</v>
      </c>
      <c r="O37" s="56">
        <f t="shared" si="28"/>
        <v>36.016356877323418</v>
      </c>
      <c r="P37" s="56">
        <f t="shared" si="28"/>
        <v>6.0881458966565356</v>
      </c>
      <c r="Q37" s="56">
        <f t="shared" si="28"/>
        <v>2.6263736263736264</v>
      </c>
      <c r="R37" s="56">
        <f t="shared" si="28"/>
        <v>2.4560439560439558</v>
      </c>
      <c r="S37" s="56">
        <f t="shared" si="28"/>
        <v>6.2529761904761916</v>
      </c>
      <c r="T37" s="88">
        <f t="shared" si="28"/>
        <v>1</v>
      </c>
    </row>
    <row r="38" spans="1:20" x14ac:dyDescent="0.2">
      <c r="A38" s="20">
        <v>8</v>
      </c>
      <c r="B38" s="70" t="s">
        <v>106</v>
      </c>
      <c r="C38" s="21">
        <v>12.06</v>
      </c>
      <c r="D38" s="21">
        <v>6859.3</v>
      </c>
      <c r="E38" s="21">
        <v>8.84</v>
      </c>
      <c r="F38" s="80">
        <v>16488.97</v>
      </c>
      <c r="G38" s="21">
        <v>26.58</v>
      </c>
      <c r="H38" s="21">
        <v>15.19</v>
      </c>
      <c r="I38" s="21">
        <v>19.760000000000002</v>
      </c>
      <c r="J38" s="21">
        <v>8.4700000000000006</v>
      </c>
      <c r="K38" s="75">
        <v>1.86</v>
      </c>
      <c r="L38" s="56">
        <f>C38/C35</f>
        <v>2.8578199052132702</v>
      </c>
      <c r="M38" s="56">
        <f t="shared" ref="M38:T38" si="29">D38/D35</f>
        <v>8.3067514380865877</v>
      </c>
      <c r="N38" s="56">
        <f t="shared" si="29"/>
        <v>4.604166666666667</v>
      </c>
      <c r="O38" s="88">
        <f t="shared" si="29"/>
        <v>204.32428748451053</v>
      </c>
      <c r="P38" s="56">
        <f t="shared" si="29"/>
        <v>8.0790273556230989</v>
      </c>
      <c r="Q38" s="56">
        <f t="shared" si="29"/>
        <v>16.69230769230769</v>
      </c>
      <c r="R38" s="56">
        <f t="shared" si="29"/>
        <v>10.857142857142858</v>
      </c>
      <c r="S38" s="56">
        <f t="shared" si="29"/>
        <v>2.5208333333333335</v>
      </c>
      <c r="T38" s="88">
        <f t="shared" si="29"/>
        <v>1</v>
      </c>
    </row>
    <row r="39" spans="1:20" x14ac:dyDescent="0.2">
      <c r="A39" s="20">
        <v>8</v>
      </c>
      <c r="B39" s="70" t="s">
        <v>9</v>
      </c>
      <c r="C39" s="21">
        <v>204.23</v>
      </c>
      <c r="D39" s="80">
        <v>10566.58</v>
      </c>
      <c r="E39" s="21">
        <v>34.380000000000003</v>
      </c>
      <c r="F39" s="21">
        <v>720.42</v>
      </c>
      <c r="G39" s="21">
        <v>5.33</v>
      </c>
      <c r="H39" s="21">
        <v>0.96</v>
      </c>
      <c r="I39" s="21">
        <v>3.59</v>
      </c>
      <c r="J39" s="21">
        <v>795.12</v>
      </c>
      <c r="K39" s="75">
        <v>1.86</v>
      </c>
      <c r="L39" s="56">
        <f>C39/C35</f>
        <v>48.395734597156398</v>
      </c>
      <c r="M39" s="88">
        <f t="shared" ref="M39:T39" si="30">D39/D35</f>
        <v>12.796342718740538</v>
      </c>
      <c r="N39" s="56">
        <f t="shared" si="30"/>
        <v>17.906250000000004</v>
      </c>
      <c r="O39" s="56">
        <f t="shared" si="30"/>
        <v>8.9271375464684013</v>
      </c>
      <c r="P39" s="56">
        <f t="shared" si="30"/>
        <v>1.6200607902735562</v>
      </c>
      <c r="Q39" s="56">
        <f t="shared" si="30"/>
        <v>1.054945054945055</v>
      </c>
      <c r="R39" s="56">
        <f t="shared" si="30"/>
        <v>1.9725274725274724</v>
      </c>
      <c r="S39" s="56">
        <f t="shared" si="30"/>
        <v>236.64285714285714</v>
      </c>
      <c r="T39" s="88">
        <f t="shared" si="30"/>
        <v>1</v>
      </c>
    </row>
    <row r="40" spans="1:20" x14ac:dyDescent="0.2">
      <c r="A40" s="20"/>
      <c r="B40" s="21"/>
      <c r="C40" s="21"/>
      <c r="D40" s="21"/>
      <c r="E40" s="21"/>
      <c r="F40" s="21"/>
      <c r="G40" s="21"/>
      <c r="H40" s="21"/>
      <c r="I40" s="21"/>
      <c r="J40" s="21"/>
    </row>
    <row r="41" spans="1:20" x14ac:dyDescent="0.2">
      <c r="A41" s="20">
        <v>9</v>
      </c>
      <c r="B41" s="70" t="s">
        <v>7</v>
      </c>
      <c r="C41" s="21">
        <v>3.85</v>
      </c>
      <c r="D41" s="21">
        <v>602.42999999999995</v>
      </c>
      <c r="E41" s="21">
        <v>3.97</v>
      </c>
      <c r="F41" s="21">
        <v>9.61</v>
      </c>
      <c r="G41" s="21">
        <v>2.59</v>
      </c>
      <c r="H41" s="74">
        <v>0.91</v>
      </c>
      <c r="I41" s="74">
        <v>1.82</v>
      </c>
      <c r="J41" s="21">
        <v>5.64</v>
      </c>
      <c r="K41" s="75">
        <v>1.86</v>
      </c>
      <c r="L41" s="56">
        <f>C41/C41</f>
        <v>1</v>
      </c>
      <c r="M41" s="56">
        <f t="shared" ref="M41:T41" si="31">D41/D41</f>
        <v>1</v>
      </c>
      <c r="N41" s="56">
        <f t="shared" si="31"/>
        <v>1</v>
      </c>
      <c r="O41" s="56">
        <f t="shared" si="31"/>
        <v>1</v>
      </c>
      <c r="P41" s="56">
        <f t="shared" si="31"/>
        <v>1</v>
      </c>
      <c r="Q41" s="88">
        <f t="shared" si="31"/>
        <v>1</v>
      </c>
      <c r="R41" s="88">
        <f t="shared" si="31"/>
        <v>1</v>
      </c>
      <c r="S41" s="56">
        <f t="shared" si="31"/>
        <v>1</v>
      </c>
      <c r="T41" s="88">
        <f t="shared" si="31"/>
        <v>1</v>
      </c>
    </row>
    <row r="42" spans="1:20" x14ac:dyDescent="0.2">
      <c r="A42" s="20">
        <v>9</v>
      </c>
      <c r="B42" s="70" t="s">
        <v>104</v>
      </c>
      <c r="C42" s="21">
        <v>5.59</v>
      </c>
      <c r="D42" s="21">
        <v>563.97</v>
      </c>
      <c r="E42" s="21">
        <v>21.47</v>
      </c>
      <c r="F42" s="21">
        <v>7316.14</v>
      </c>
      <c r="G42" s="21">
        <v>33.17</v>
      </c>
      <c r="H42" s="21">
        <v>4.37</v>
      </c>
      <c r="I42" s="21">
        <v>3.08</v>
      </c>
      <c r="J42" s="21">
        <v>9.5299999999999994</v>
      </c>
      <c r="K42" s="10">
        <v>2.04</v>
      </c>
      <c r="L42" s="56">
        <f>C42/C41</f>
        <v>1.4519480519480519</v>
      </c>
      <c r="M42" s="56">
        <f t="shared" ref="M42:T42" si="32">D42/D41</f>
        <v>0.93615855784074509</v>
      </c>
      <c r="N42" s="56">
        <f t="shared" si="32"/>
        <v>5.4080604534005028</v>
      </c>
      <c r="O42" s="56">
        <f t="shared" si="32"/>
        <v>761.30489073881381</v>
      </c>
      <c r="P42" s="56">
        <f t="shared" si="32"/>
        <v>12.806949806949808</v>
      </c>
      <c r="Q42" s="56">
        <f t="shared" si="32"/>
        <v>4.802197802197802</v>
      </c>
      <c r="R42" s="56">
        <f t="shared" si="32"/>
        <v>1.6923076923076923</v>
      </c>
      <c r="S42" s="56">
        <f t="shared" si="32"/>
        <v>1.6897163120567376</v>
      </c>
      <c r="T42" s="56">
        <f t="shared" si="32"/>
        <v>1.096774193548387</v>
      </c>
    </row>
    <row r="43" spans="1:20" x14ac:dyDescent="0.2">
      <c r="A43" s="20">
        <v>9</v>
      </c>
      <c r="B43" s="70" t="s">
        <v>105</v>
      </c>
      <c r="C43" s="21">
        <v>12.86</v>
      </c>
      <c r="D43" s="21">
        <v>1935.43</v>
      </c>
      <c r="E43" s="21">
        <v>49.89</v>
      </c>
      <c r="F43" s="21">
        <v>113.23</v>
      </c>
      <c r="G43" s="21">
        <v>3.95</v>
      </c>
      <c r="H43" s="21">
        <v>1.02</v>
      </c>
      <c r="I43" s="74">
        <v>1.82</v>
      </c>
      <c r="J43" s="21">
        <v>57.4</v>
      </c>
      <c r="K43" s="75">
        <v>1.86</v>
      </c>
      <c r="L43" s="56">
        <f>C43/C41</f>
        <v>3.3402597402597398</v>
      </c>
      <c r="M43" s="56">
        <f t="shared" ref="M43:T43" si="33">D43/D41</f>
        <v>3.2127052105638834</v>
      </c>
      <c r="N43" s="56">
        <f t="shared" si="33"/>
        <v>12.566750629722922</v>
      </c>
      <c r="O43" s="56">
        <f t="shared" si="33"/>
        <v>11.782518210197711</v>
      </c>
      <c r="P43" s="56">
        <f t="shared" si="33"/>
        <v>1.5250965250965252</v>
      </c>
      <c r="Q43" s="56">
        <f t="shared" si="33"/>
        <v>1.1208791208791209</v>
      </c>
      <c r="R43" s="88">
        <f t="shared" si="33"/>
        <v>1</v>
      </c>
      <c r="S43" s="56">
        <f t="shared" si="33"/>
        <v>10.177304964539008</v>
      </c>
      <c r="T43" s="88">
        <f t="shared" si="33"/>
        <v>1</v>
      </c>
    </row>
    <row r="44" spans="1:20" x14ac:dyDescent="0.2">
      <c r="A44" s="20">
        <v>9</v>
      </c>
      <c r="B44" s="70" t="s">
        <v>106</v>
      </c>
      <c r="C44" s="21">
        <v>16.02</v>
      </c>
      <c r="D44" s="21">
        <v>3291.09</v>
      </c>
      <c r="E44" s="21">
        <v>24.27</v>
      </c>
      <c r="F44" s="21">
        <v>4621.6000000000004</v>
      </c>
      <c r="G44" s="21">
        <v>7.39</v>
      </c>
      <c r="H44" s="21">
        <v>1.53</v>
      </c>
      <c r="I44" s="21">
        <v>3.65</v>
      </c>
      <c r="J44" s="21">
        <v>23.5</v>
      </c>
      <c r="K44" s="75">
        <v>1.86</v>
      </c>
      <c r="L44" s="56">
        <f>C44/C41</f>
        <v>4.1610389610389609</v>
      </c>
      <c r="M44" s="56">
        <f t="shared" ref="M44:T44" si="34">D44/D41</f>
        <v>5.4630247497634583</v>
      </c>
      <c r="N44" s="56">
        <f t="shared" si="34"/>
        <v>6.1133501259445842</v>
      </c>
      <c r="O44" s="56">
        <f t="shared" si="34"/>
        <v>480.91571279916758</v>
      </c>
      <c r="P44" s="56">
        <f t="shared" si="34"/>
        <v>2.8532818532818531</v>
      </c>
      <c r="Q44" s="56">
        <f t="shared" si="34"/>
        <v>1.6813186813186813</v>
      </c>
      <c r="R44" s="56">
        <f t="shared" si="34"/>
        <v>2.0054945054945055</v>
      </c>
      <c r="S44" s="56">
        <f t="shared" si="34"/>
        <v>4.166666666666667</v>
      </c>
      <c r="T44" s="88">
        <f t="shared" si="34"/>
        <v>1</v>
      </c>
    </row>
    <row r="45" spans="1:20" x14ac:dyDescent="0.2">
      <c r="A45" s="20">
        <v>9</v>
      </c>
      <c r="B45" s="70" t="s">
        <v>9</v>
      </c>
      <c r="C45" s="21">
        <v>375.78</v>
      </c>
      <c r="D45" s="80">
        <v>10566.58</v>
      </c>
      <c r="E45" s="21">
        <v>268.64</v>
      </c>
      <c r="F45" s="21">
        <v>32.369999999999997</v>
      </c>
      <c r="G45" s="21">
        <v>4.04</v>
      </c>
      <c r="H45" s="21">
        <v>1.1000000000000001</v>
      </c>
      <c r="I45" s="21">
        <v>3.46</v>
      </c>
      <c r="J45" s="21">
        <v>947.69</v>
      </c>
      <c r="K45" s="75">
        <v>1.86</v>
      </c>
      <c r="L45" s="56">
        <f>C45/C41</f>
        <v>97.605194805194799</v>
      </c>
      <c r="M45" s="88">
        <f t="shared" ref="M45:T45" si="35">D45/D41</f>
        <v>17.539929950367679</v>
      </c>
      <c r="N45" s="56">
        <f t="shared" si="35"/>
        <v>67.66750629722921</v>
      </c>
      <c r="O45" s="56">
        <f t="shared" si="35"/>
        <v>3.368366285119667</v>
      </c>
      <c r="P45" s="56">
        <f t="shared" si="35"/>
        <v>1.5598455598455598</v>
      </c>
      <c r="Q45" s="56">
        <f t="shared" si="35"/>
        <v>1.2087912087912089</v>
      </c>
      <c r="R45" s="56">
        <f t="shared" si="35"/>
        <v>1.901098901098901</v>
      </c>
      <c r="S45" s="56">
        <f t="shared" si="35"/>
        <v>168.03014184397165</v>
      </c>
      <c r="T45" s="88">
        <f t="shared" si="35"/>
        <v>1</v>
      </c>
    </row>
    <row r="46" spans="1:20" x14ac:dyDescent="0.2">
      <c r="A46" s="20"/>
      <c r="B46" s="21"/>
      <c r="C46" s="21"/>
      <c r="D46" s="21"/>
      <c r="E46" s="21"/>
      <c r="F46" s="21"/>
      <c r="G46" s="21"/>
      <c r="H46" s="21"/>
      <c r="I46" s="21"/>
      <c r="J46" s="21"/>
    </row>
    <row r="47" spans="1:20" x14ac:dyDescent="0.2">
      <c r="A47" s="20">
        <v>10</v>
      </c>
      <c r="B47" s="70" t="s">
        <v>7</v>
      </c>
      <c r="C47" s="21">
        <v>3.09</v>
      </c>
      <c r="D47" s="21">
        <v>1567.83</v>
      </c>
      <c r="E47" s="21">
        <v>10.220000000000001</v>
      </c>
      <c r="F47" s="21">
        <v>11.81</v>
      </c>
      <c r="G47" s="21">
        <v>10.4</v>
      </c>
      <c r="H47" s="21">
        <v>1.49</v>
      </c>
      <c r="I47" s="74">
        <v>1.82</v>
      </c>
      <c r="J47" s="21">
        <v>2.62</v>
      </c>
      <c r="K47" s="10">
        <v>2.1</v>
      </c>
      <c r="L47" s="56">
        <f>C47/C47</f>
        <v>1</v>
      </c>
      <c r="M47" s="56">
        <f t="shared" ref="M47:T47" si="36">D47/D47</f>
        <v>1</v>
      </c>
      <c r="N47" s="56">
        <f t="shared" si="36"/>
        <v>1</v>
      </c>
      <c r="O47" s="56">
        <f t="shared" si="36"/>
        <v>1</v>
      </c>
      <c r="P47" s="56">
        <f t="shared" si="36"/>
        <v>1</v>
      </c>
      <c r="Q47" s="56">
        <f t="shared" si="36"/>
        <v>1</v>
      </c>
      <c r="R47" s="88">
        <f t="shared" si="36"/>
        <v>1</v>
      </c>
      <c r="S47" s="56">
        <f t="shared" si="36"/>
        <v>1</v>
      </c>
      <c r="T47" s="56">
        <f t="shared" si="36"/>
        <v>1</v>
      </c>
    </row>
    <row r="48" spans="1:20" x14ac:dyDescent="0.2">
      <c r="A48" s="20">
        <v>10</v>
      </c>
      <c r="B48" s="70" t="s">
        <v>104</v>
      </c>
      <c r="C48" s="74">
        <v>2.02</v>
      </c>
      <c r="D48" s="21">
        <v>245.71</v>
      </c>
      <c r="E48" s="74">
        <v>1.92</v>
      </c>
      <c r="F48" s="21">
        <v>74.5</v>
      </c>
      <c r="G48" s="21">
        <v>3.76</v>
      </c>
      <c r="H48" s="21">
        <v>0.91</v>
      </c>
      <c r="I48" s="74">
        <v>1.82</v>
      </c>
      <c r="J48" s="21">
        <v>1.81</v>
      </c>
      <c r="K48" s="75">
        <v>1.86</v>
      </c>
      <c r="L48" s="88">
        <f>C48/C47</f>
        <v>0.65372168284789645</v>
      </c>
      <c r="M48" s="56">
        <f t="shared" ref="M48:T48" si="37">D48/D47</f>
        <v>0.15671979742701697</v>
      </c>
      <c r="N48" s="88">
        <f t="shared" si="37"/>
        <v>0.18786692759295498</v>
      </c>
      <c r="O48" s="56">
        <f t="shared" si="37"/>
        <v>6.3082133784928027</v>
      </c>
      <c r="P48" s="56">
        <f t="shared" si="37"/>
        <v>0.36153846153846153</v>
      </c>
      <c r="Q48" s="56">
        <f t="shared" si="37"/>
        <v>0.61073825503355705</v>
      </c>
      <c r="R48" s="88">
        <f t="shared" si="37"/>
        <v>1</v>
      </c>
      <c r="S48" s="56">
        <f t="shared" si="37"/>
        <v>0.69083969465648853</v>
      </c>
      <c r="T48" s="88">
        <f t="shared" si="37"/>
        <v>0.88571428571428568</v>
      </c>
    </row>
    <row r="49" spans="1:20" x14ac:dyDescent="0.2">
      <c r="A49" s="20">
        <v>10</v>
      </c>
      <c r="B49" s="70" t="s">
        <v>105</v>
      </c>
      <c r="C49" s="21">
        <v>3.85</v>
      </c>
      <c r="D49" s="21">
        <v>3793.27</v>
      </c>
      <c r="E49" s="21">
        <v>10.07</v>
      </c>
      <c r="F49" s="21">
        <v>11.41</v>
      </c>
      <c r="G49" s="21">
        <v>8.81</v>
      </c>
      <c r="H49" s="21">
        <v>1.4</v>
      </c>
      <c r="I49" s="74">
        <v>1.82</v>
      </c>
      <c r="J49" s="21">
        <v>2.2400000000000002</v>
      </c>
      <c r="K49" s="10">
        <v>3.04</v>
      </c>
      <c r="L49" s="56">
        <f>C49/C47</f>
        <v>1.2459546925566345</v>
      </c>
      <c r="M49" s="56">
        <f t="shared" ref="M49:T49" si="38">D49/D47</f>
        <v>2.4194396076105189</v>
      </c>
      <c r="N49" s="56">
        <f t="shared" si="38"/>
        <v>0.98532289628180036</v>
      </c>
      <c r="O49" s="56">
        <f t="shared" si="38"/>
        <v>0.96613039796782385</v>
      </c>
      <c r="P49" s="56">
        <f t="shared" si="38"/>
        <v>0.8471153846153846</v>
      </c>
      <c r="Q49" s="56">
        <f t="shared" si="38"/>
        <v>0.93959731543624159</v>
      </c>
      <c r="R49" s="88">
        <f t="shared" si="38"/>
        <v>1</v>
      </c>
      <c r="S49" s="56">
        <f t="shared" si="38"/>
        <v>0.85496183206106879</v>
      </c>
      <c r="T49" s="56">
        <f t="shared" si="38"/>
        <v>1.4476190476190476</v>
      </c>
    </row>
    <row r="50" spans="1:20" x14ac:dyDescent="0.2">
      <c r="A50" s="20">
        <v>10</v>
      </c>
      <c r="B50" s="70" t="s">
        <v>106</v>
      </c>
      <c r="C50" s="74">
        <v>2.02</v>
      </c>
      <c r="D50" s="21">
        <v>1586.13</v>
      </c>
      <c r="E50" s="74">
        <v>1.92</v>
      </c>
      <c r="F50" s="21">
        <v>795.71</v>
      </c>
      <c r="G50" s="21">
        <v>2.77</v>
      </c>
      <c r="H50" s="74">
        <v>0.91</v>
      </c>
      <c r="I50" s="74">
        <v>1.82</v>
      </c>
      <c r="J50" s="74">
        <v>1.68</v>
      </c>
      <c r="K50" s="75">
        <v>1.86</v>
      </c>
      <c r="L50" s="88">
        <f>C50/C47</f>
        <v>0.65372168284789645</v>
      </c>
      <c r="M50" s="56">
        <f t="shared" ref="M50:T50" si="39">D50/D47</f>
        <v>1.0116721838464631</v>
      </c>
      <c r="N50" s="88">
        <f t="shared" si="39"/>
        <v>0.18786692759295498</v>
      </c>
      <c r="O50" s="56">
        <f t="shared" si="39"/>
        <v>67.375952582557161</v>
      </c>
      <c r="P50" s="56">
        <f t="shared" si="39"/>
        <v>0.26634615384615384</v>
      </c>
      <c r="Q50" s="88">
        <f t="shared" si="39"/>
        <v>0.61073825503355705</v>
      </c>
      <c r="R50" s="88">
        <f t="shared" si="39"/>
        <v>1</v>
      </c>
      <c r="S50" s="88">
        <f t="shared" si="39"/>
        <v>0.64122137404580148</v>
      </c>
      <c r="T50" s="88">
        <f t="shared" si="39"/>
        <v>0.88571428571428568</v>
      </c>
    </row>
    <row r="51" spans="1:20" x14ac:dyDescent="0.2">
      <c r="A51" s="20">
        <v>10</v>
      </c>
      <c r="B51" s="70" t="s">
        <v>9</v>
      </c>
      <c r="C51" s="21">
        <v>34.450000000000003</v>
      </c>
      <c r="D51" s="80">
        <v>10566.58</v>
      </c>
      <c r="E51" s="21">
        <v>11.41</v>
      </c>
      <c r="F51" s="21">
        <v>33.89</v>
      </c>
      <c r="G51" s="21">
        <v>6.68</v>
      </c>
      <c r="H51" s="21">
        <v>1.02</v>
      </c>
      <c r="I51" s="74">
        <v>1.82</v>
      </c>
      <c r="J51" s="21">
        <v>21.56</v>
      </c>
      <c r="K51" s="10">
        <v>1.99</v>
      </c>
      <c r="L51" s="56">
        <f>C51/C47</f>
        <v>11.14886731391586</v>
      </c>
      <c r="M51" s="88">
        <f t="shared" ref="M51:T51" si="40">D51/D47</f>
        <v>6.7396210048283303</v>
      </c>
      <c r="N51" s="56">
        <f t="shared" si="40"/>
        <v>1.1164383561643836</v>
      </c>
      <c r="O51" s="56">
        <f t="shared" si="40"/>
        <v>2.8696020321761218</v>
      </c>
      <c r="P51" s="56">
        <f t="shared" si="40"/>
        <v>0.64230769230769225</v>
      </c>
      <c r="Q51" s="56">
        <f t="shared" si="40"/>
        <v>0.68456375838926176</v>
      </c>
      <c r="R51" s="88">
        <f t="shared" si="40"/>
        <v>1</v>
      </c>
      <c r="S51" s="56">
        <f t="shared" si="40"/>
        <v>8.229007633587786</v>
      </c>
      <c r="T51" s="56">
        <f t="shared" si="40"/>
        <v>0.94761904761904758</v>
      </c>
    </row>
    <row r="52" spans="1:20" x14ac:dyDescent="0.2">
      <c r="A52" s="20"/>
      <c r="B52" s="21"/>
      <c r="C52" s="21"/>
      <c r="D52" s="21"/>
      <c r="E52" s="21"/>
      <c r="F52" s="21"/>
      <c r="G52" s="21"/>
      <c r="H52" s="21"/>
      <c r="I52" s="21"/>
      <c r="J52" s="21"/>
    </row>
    <row r="53" spans="1:20" x14ac:dyDescent="0.2">
      <c r="A53" s="20">
        <v>11</v>
      </c>
      <c r="B53" s="70" t="s">
        <v>7</v>
      </c>
      <c r="C53" s="21">
        <v>2.4500000000000002</v>
      </c>
      <c r="D53" s="21">
        <v>7176.24</v>
      </c>
      <c r="E53" s="21">
        <v>3.97</v>
      </c>
      <c r="F53" s="21">
        <v>32.69</v>
      </c>
      <c r="G53" s="21">
        <v>5.51</v>
      </c>
      <c r="H53" s="21">
        <v>1.05</v>
      </c>
      <c r="I53" s="74">
        <v>1.82</v>
      </c>
      <c r="J53" s="21">
        <v>5.41</v>
      </c>
      <c r="K53" s="75">
        <v>1.86</v>
      </c>
      <c r="L53" s="56">
        <f>C53/C53</f>
        <v>1</v>
      </c>
      <c r="M53" s="56">
        <f t="shared" ref="M53:T53" si="41">D53/D53</f>
        <v>1</v>
      </c>
      <c r="N53" s="56">
        <f t="shared" si="41"/>
        <v>1</v>
      </c>
      <c r="O53" s="56">
        <f t="shared" si="41"/>
        <v>1</v>
      </c>
      <c r="P53" s="56">
        <f t="shared" si="41"/>
        <v>1</v>
      </c>
      <c r="Q53" s="56">
        <f t="shared" si="41"/>
        <v>1</v>
      </c>
      <c r="R53" s="88">
        <f t="shared" si="41"/>
        <v>1</v>
      </c>
      <c r="S53" s="56">
        <f t="shared" si="41"/>
        <v>1</v>
      </c>
      <c r="T53" s="88">
        <f t="shared" si="41"/>
        <v>1</v>
      </c>
    </row>
    <row r="54" spans="1:20" x14ac:dyDescent="0.2">
      <c r="A54" s="20">
        <v>11</v>
      </c>
      <c r="B54" s="70" t="s">
        <v>104</v>
      </c>
      <c r="C54" s="21">
        <v>2.2999999999999998</v>
      </c>
      <c r="D54" s="21">
        <v>677.08</v>
      </c>
      <c r="E54" s="21">
        <v>2.87</v>
      </c>
      <c r="F54" s="21">
        <v>381.75</v>
      </c>
      <c r="G54" s="21">
        <v>5.65</v>
      </c>
      <c r="H54" s="21">
        <v>0.95</v>
      </c>
      <c r="I54" s="74">
        <v>1.82</v>
      </c>
      <c r="J54" s="21">
        <v>2.87</v>
      </c>
      <c r="K54" s="75">
        <v>1.86</v>
      </c>
      <c r="L54" s="56">
        <f>C54/C53</f>
        <v>0.93877551020408145</v>
      </c>
      <c r="M54" s="56">
        <f t="shared" ref="M54:T54" si="42">D54/D53</f>
        <v>9.4350244696386976E-2</v>
      </c>
      <c r="N54" s="56">
        <f t="shared" si="42"/>
        <v>0.7229219143576826</v>
      </c>
      <c r="O54" s="56">
        <f t="shared" si="42"/>
        <v>11.677883144692567</v>
      </c>
      <c r="P54" s="56">
        <f t="shared" si="42"/>
        <v>1.0254083484573504</v>
      </c>
      <c r="Q54" s="56">
        <f t="shared" si="42"/>
        <v>0.90476190476190466</v>
      </c>
      <c r="R54" s="88">
        <f t="shared" si="42"/>
        <v>1</v>
      </c>
      <c r="S54" s="56">
        <f t="shared" si="42"/>
        <v>0.53049907578558231</v>
      </c>
      <c r="T54" s="88">
        <f t="shared" si="42"/>
        <v>1</v>
      </c>
    </row>
    <row r="55" spans="1:20" x14ac:dyDescent="0.2">
      <c r="A55" s="20">
        <v>11</v>
      </c>
      <c r="B55" s="70" t="s">
        <v>105</v>
      </c>
      <c r="C55" s="21">
        <v>2.68</v>
      </c>
      <c r="D55" s="21">
        <v>317.47000000000003</v>
      </c>
      <c r="E55" s="21">
        <v>2.98</v>
      </c>
      <c r="F55" s="21">
        <v>15.44</v>
      </c>
      <c r="G55" s="21">
        <v>3.67</v>
      </c>
      <c r="H55" s="74">
        <v>0.91</v>
      </c>
      <c r="I55" s="74">
        <v>1.82</v>
      </c>
      <c r="J55" s="21">
        <v>3.2</v>
      </c>
      <c r="K55" s="75">
        <v>1.86</v>
      </c>
      <c r="L55" s="56">
        <f>C55/C53</f>
        <v>1.0938775510204082</v>
      </c>
      <c r="M55" s="56">
        <f t="shared" ref="M55:T55" si="43">D55/D53</f>
        <v>4.4239044402082435E-2</v>
      </c>
      <c r="N55" s="56">
        <f t="shared" si="43"/>
        <v>0.75062972292191432</v>
      </c>
      <c r="O55" s="56">
        <f t="shared" si="43"/>
        <v>0.47231569287243808</v>
      </c>
      <c r="P55" s="56">
        <f t="shared" si="43"/>
        <v>0.66606170598911074</v>
      </c>
      <c r="Q55" s="88">
        <f t="shared" si="43"/>
        <v>0.8666666666666667</v>
      </c>
      <c r="R55" s="88">
        <f t="shared" si="43"/>
        <v>1</v>
      </c>
      <c r="S55" s="56">
        <f t="shared" si="43"/>
        <v>0.59149722735674681</v>
      </c>
      <c r="T55" s="88">
        <f t="shared" si="43"/>
        <v>1</v>
      </c>
    </row>
    <row r="56" spans="1:20" x14ac:dyDescent="0.2">
      <c r="A56" s="20">
        <v>11</v>
      </c>
      <c r="B56" s="70" t="s">
        <v>106</v>
      </c>
      <c r="C56" s="74">
        <v>2.02</v>
      </c>
      <c r="D56" s="21">
        <v>63.05</v>
      </c>
      <c r="E56" s="21">
        <v>3.55</v>
      </c>
      <c r="F56" s="21">
        <v>5.26</v>
      </c>
      <c r="G56" s="21">
        <v>2.2599999999999998</v>
      </c>
      <c r="H56" s="74">
        <v>0.91</v>
      </c>
      <c r="I56" s="74">
        <v>1.82</v>
      </c>
      <c r="J56" s="21">
        <v>2.25</v>
      </c>
      <c r="K56" s="75">
        <v>1.86</v>
      </c>
      <c r="L56" s="88">
        <f>C56/C53</f>
        <v>0.82448979591836724</v>
      </c>
      <c r="M56" s="56">
        <f t="shared" ref="M56:T56" si="44">D56/D53</f>
        <v>8.785938039976366E-3</v>
      </c>
      <c r="N56" s="56">
        <f t="shared" si="44"/>
        <v>0.89420654911838782</v>
      </c>
      <c r="O56" s="56">
        <f t="shared" si="44"/>
        <v>0.16090547568063629</v>
      </c>
      <c r="P56" s="56">
        <f t="shared" si="44"/>
        <v>0.41016333938294008</v>
      </c>
      <c r="Q56" s="88">
        <f t="shared" si="44"/>
        <v>0.8666666666666667</v>
      </c>
      <c r="R56" s="88">
        <f t="shared" si="44"/>
        <v>1</v>
      </c>
      <c r="S56" s="56">
        <f t="shared" si="44"/>
        <v>0.41589648798521256</v>
      </c>
      <c r="T56" s="88">
        <f t="shared" si="44"/>
        <v>1</v>
      </c>
    </row>
    <row r="57" spans="1:20" x14ac:dyDescent="0.2">
      <c r="A57" s="20">
        <v>11</v>
      </c>
      <c r="B57" s="70" t="s">
        <v>9</v>
      </c>
      <c r="C57" s="21">
        <v>8.81</v>
      </c>
      <c r="D57" s="80">
        <v>10566.58</v>
      </c>
      <c r="E57" s="21">
        <v>32.380000000000003</v>
      </c>
      <c r="F57" s="21">
        <v>33.979999999999997</v>
      </c>
      <c r="G57" s="21">
        <v>2.87</v>
      </c>
      <c r="H57" s="74">
        <v>0.91</v>
      </c>
      <c r="I57" s="74">
        <v>1.82</v>
      </c>
      <c r="J57" s="21">
        <v>33.85</v>
      </c>
      <c r="K57" s="75">
        <v>1.86</v>
      </c>
      <c r="L57" s="56">
        <f>C57/C53</f>
        <v>3.5959183673469388</v>
      </c>
      <c r="M57" s="88">
        <f t="shared" ref="M57:T57" si="45">D57/D53</f>
        <v>1.4724396062562011</v>
      </c>
      <c r="N57" s="56">
        <f t="shared" si="45"/>
        <v>8.1561712846347607</v>
      </c>
      <c r="O57" s="56">
        <f t="shared" si="45"/>
        <v>1.0394616090547568</v>
      </c>
      <c r="P57" s="56">
        <f t="shared" si="45"/>
        <v>0.52087114337568063</v>
      </c>
      <c r="Q57" s="88">
        <f t="shared" si="45"/>
        <v>0.8666666666666667</v>
      </c>
      <c r="R57" s="88">
        <f t="shared" si="45"/>
        <v>1</v>
      </c>
      <c r="S57" s="56">
        <f t="shared" si="45"/>
        <v>6.2569316081330868</v>
      </c>
      <c r="T57" s="88">
        <f t="shared" si="45"/>
        <v>1</v>
      </c>
    </row>
    <row r="58" spans="1:20" x14ac:dyDescent="0.2">
      <c r="A58" s="20"/>
      <c r="B58" s="21"/>
      <c r="C58" s="21"/>
      <c r="D58" s="21"/>
      <c r="E58" s="21"/>
      <c r="F58" s="21"/>
      <c r="G58" s="21"/>
      <c r="H58" s="21"/>
      <c r="I58" s="21"/>
      <c r="J58" s="21"/>
    </row>
    <row r="59" spans="1:20" x14ac:dyDescent="0.2">
      <c r="A59" s="20">
        <v>12</v>
      </c>
      <c r="B59" s="70" t="s">
        <v>7</v>
      </c>
      <c r="C59" s="21">
        <v>3.74</v>
      </c>
      <c r="D59" s="21">
        <v>863.68</v>
      </c>
      <c r="E59" s="21">
        <v>9</v>
      </c>
      <c r="F59" s="21">
        <v>23.16</v>
      </c>
      <c r="G59" s="21">
        <v>8.64</v>
      </c>
      <c r="H59" s="21">
        <v>1.78</v>
      </c>
      <c r="I59" s="21">
        <v>12.9</v>
      </c>
      <c r="J59" s="21">
        <v>26.77</v>
      </c>
      <c r="K59" s="10">
        <v>2.84</v>
      </c>
      <c r="L59" s="56">
        <f>C59/C59</f>
        <v>1</v>
      </c>
      <c r="M59" s="56">
        <f t="shared" ref="M59:T59" si="46">D59/D59</f>
        <v>1</v>
      </c>
      <c r="N59" s="56">
        <f t="shared" si="46"/>
        <v>1</v>
      </c>
      <c r="O59" s="56">
        <f t="shared" si="46"/>
        <v>1</v>
      </c>
      <c r="P59" s="56">
        <f t="shared" si="46"/>
        <v>1</v>
      </c>
      <c r="Q59" s="56">
        <f t="shared" si="46"/>
        <v>1</v>
      </c>
      <c r="R59" s="56">
        <f t="shared" si="46"/>
        <v>1</v>
      </c>
      <c r="S59" s="56">
        <f t="shared" si="46"/>
        <v>1</v>
      </c>
      <c r="T59" s="56">
        <f t="shared" si="46"/>
        <v>1</v>
      </c>
    </row>
    <row r="60" spans="1:20" x14ac:dyDescent="0.2">
      <c r="A60" s="20">
        <v>12</v>
      </c>
      <c r="B60" s="70" t="s">
        <v>104</v>
      </c>
      <c r="C60" s="21">
        <v>3.52</v>
      </c>
      <c r="D60" s="21">
        <v>1344.13</v>
      </c>
      <c r="E60" s="21">
        <v>20.48</v>
      </c>
      <c r="F60" s="21">
        <v>11018.7</v>
      </c>
      <c r="G60" s="21">
        <v>19.96</v>
      </c>
      <c r="H60" s="21">
        <v>84.43</v>
      </c>
      <c r="I60" s="21">
        <v>8.83</v>
      </c>
      <c r="J60" s="21">
        <v>37.1</v>
      </c>
      <c r="K60" s="75">
        <v>1.86</v>
      </c>
      <c r="L60" s="56">
        <f>C60/C59</f>
        <v>0.94117647058823528</v>
      </c>
      <c r="M60" s="56">
        <f t="shared" ref="M60:T60" si="47">D60/D59</f>
        <v>1.5562824194145981</v>
      </c>
      <c r="N60" s="56">
        <f t="shared" si="47"/>
        <v>2.2755555555555556</v>
      </c>
      <c r="O60" s="56">
        <f t="shared" si="47"/>
        <v>475.76424870466326</v>
      </c>
      <c r="P60" s="56">
        <f t="shared" si="47"/>
        <v>2.3101851851851851</v>
      </c>
      <c r="Q60" s="56">
        <f t="shared" si="47"/>
        <v>47.432584269662925</v>
      </c>
      <c r="R60" s="56">
        <f t="shared" si="47"/>
        <v>0.68449612403100779</v>
      </c>
      <c r="S60" s="56">
        <f t="shared" si="47"/>
        <v>1.3858797161001122</v>
      </c>
      <c r="T60" s="88">
        <f t="shared" si="47"/>
        <v>0.65492957746478875</v>
      </c>
    </row>
    <row r="61" spans="1:20" x14ac:dyDescent="0.2">
      <c r="A61" s="20">
        <v>12</v>
      </c>
      <c r="B61" s="70" t="s">
        <v>105</v>
      </c>
      <c r="C61" s="21">
        <v>5.23</v>
      </c>
      <c r="D61" s="21">
        <v>3355.65</v>
      </c>
      <c r="E61" s="21">
        <v>301.14</v>
      </c>
      <c r="F61" s="21">
        <v>3204.4</v>
      </c>
      <c r="G61" s="21">
        <v>6.73</v>
      </c>
      <c r="H61" s="21">
        <v>1.24</v>
      </c>
      <c r="I61" s="21">
        <v>4.83</v>
      </c>
      <c r="J61" s="21">
        <v>50.25</v>
      </c>
      <c r="K61" s="75">
        <v>1.86</v>
      </c>
      <c r="L61" s="56">
        <f>C61/C59</f>
        <v>1.3983957219251337</v>
      </c>
      <c r="M61" s="56">
        <f t="shared" ref="M61:T61" si="48">D61/D59</f>
        <v>3.8852931641348651</v>
      </c>
      <c r="N61" s="56">
        <f t="shared" si="48"/>
        <v>33.46</v>
      </c>
      <c r="O61" s="56">
        <f t="shared" si="48"/>
        <v>138.35924006908462</v>
      </c>
      <c r="P61" s="56">
        <f t="shared" si="48"/>
        <v>0.77893518518518523</v>
      </c>
      <c r="Q61" s="56">
        <f t="shared" si="48"/>
        <v>0.6966292134831461</v>
      </c>
      <c r="R61" s="56">
        <f t="shared" si="48"/>
        <v>0.37441860465116278</v>
      </c>
      <c r="S61" s="56">
        <f t="shared" si="48"/>
        <v>1.8771012327231977</v>
      </c>
      <c r="T61" s="88">
        <f t="shared" si="48"/>
        <v>0.65492957746478875</v>
      </c>
    </row>
    <row r="62" spans="1:20" x14ac:dyDescent="0.2">
      <c r="A62" s="20">
        <v>12</v>
      </c>
      <c r="B62" s="70" t="s">
        <v>106</v>
      </c>
      <c r="C62" s="21">
        <v>2.67</v>
      </c>
      <c r="D62" s="21">
        <v>427.05</v>
      </c>
      <c r="E62" s="21">
        <v>14.43</v>
      </c>
      <c r="F62" s="21">
        <v>3896.8</v>
      </c>
      <c r="G62" s="21">
        <v>6.06</v>
      </c>
      <c r="H62" s="21">
        <v>1.48</v>
      </c>
      <c r="I62" s="21">
        <v>3.68</v>
      </c>
      <c r="J62" s="21">
        <v>11.7</v>
      </c>
      <c r="K62" s="75">
        <v>1.86</v>
      </c>
      <c r="L62" s="56">
        <f>C62/C59</f>
        <v>0.71390374331550799</v>
      </c>
      <c r="M62" s="56">
        <f t="shared" ref="M62:T62" si="49">D62/D59</f>
        <v>0.49445396443127088</v>
      </c>
      <c r="N62" s="56">
        <f t="shared" si="49"/>
        <v>1.6033333333333333</v>
      </c>
      <c r="O62" s="56">
        <f t="shared" si="49"/>
        <v>168.25561312607945</v>
      </c>
      <c r="P62" s="56">
        <f t="shared" si="49"/>
        <v>0.70138888888888884</v>
      </c>
      <c r="Q62" s="56">
        <f t="shared" si="49"/>
        <v>0.8314606741573034</v>
      </c>
      <c r="R62" s="56">
        <f t="shared" si="49"/>
        <v>0.28527131782945736</v>
      </c>
      <c r="S62" s="56">
        <f t="shared" si="49"/>
        <v>0.43705640642510268</v>
      </c>
      <c r="T62" s="88">
        <f t="shared" si="49"/>
        <v>0.65492957746478875</v>
      </c>
    </row>
    <row r="63" spans="1:20" x14ac:dyDescent="0.2">
      <c r="A63" s="20">
        <v>12</v>
      </c>
      <c r="B63" s="70" t="s">
        <v>9</v>
      </c>
      <c r="C63" s="21">
        <v>15.09</v>
      </c>
      <c r="D63" s="80">
        <v>10566.58</v>
      </c>
      <c r="E63" s="21">
        <v>641.94000000000005</v>
      </c>
      <c r="F63" s="21">
        <v>164.66</v>
      </c>
      <c r="G63" s="21">
        <v>4.6399999999999997</v>
      </c>
      <c r="H63" s="74">
        <v>0.91</v>
      </c>
      <c r="I63" s="74">
        <v>1.82</v>
      </c>
      <c r="J63" s="21">
        <v>547.84</v>
      </c>
      <c r="K63" s="75">
        <v>1.86</v>
      </c>
      <c r="L63" s="56">
        <f>C63/C59</f>
        <v>4.0347593582887695</v>
      </c>
      <c r="M63" s="88">
        <f t="shared" ref="M63:T63" si="50">D63/D59</f>
        <v>12.234369210818823</v>
      </c>
      <c r="N63" s="56">
        <f t="shared" si="50"/>
        <v>71.326666666666668</v>
      </c>
      <c r="O63" s="56">
        <f t="shared" si="50"/>
        <v>7.109671848013817</v>
      </c>
      <c r="P63" s="56">
        <f t="shared" si="50"/>
        <v>0.53703703703703698</v>
      </c>
      <c r="Q63" s="88">
        <f t="shared" si="50"/>
        <v>0.5112359550561798</v>
      </c>
      <c r="R63" s="88">
        <f t="shared" si="50"/>
        <v>0.14108527131782947</v>
      </c>
      <c r="S63" s="56">
        <f t="shared" si="50"/>
        <v>20.46469929025028</v>
      </c>
      <c r="T63" s="88">
        <f t="shared" si="50"/>
        <v>0.65492957746478875</v>
      </c>
    </row>
    <row r="64" spans="1:20" x14ac:dyDescent="0.2">
      <c r="A64" s="20"/>
      <c r="B64" s="21"/>
      <c r="C64" s="21"/>
      <c r="D64" s="21"/>
      <c r="E64" s="21"/>
      <c r="F64" s="21"/>
      <c r="G64" s="21"/>
      <c r="H64" s="21"/>
      <c r="I64" s="21"/>
      <c r="J64" s="21"/>
    </row>
    <row r="65" spans="1:20" x14ac:dyDescent="0.2">
      <c r="A65" s="20">
        <v>13</v>
      </c>
      <c r="B65" s="70" t="s">
        <v>7</v>
      </c>
      <c r="C65" s="21">
        <v>6.04</v>
      </c>
      <c r="D65" s="21">
        <v>495.01</v>
      </c>
      <c r="E65" s="21">
        <v>3.55</v>
      </c>
      <c r="F65" s="21">
        <v>9.58</v>
      </c>
      <c r="G65" s="21">
        <v>2.2599999999999998</v>
      </c>
      <c r="H65" s="21">
        <v>1.37</v>
      </c>
      <c r="I65" s="21">
        <v>5.2</v>
      </c>
      <c r="J65" s="21">
        <v>7.73</v>
      </c>
      <c r="K65" s="75">
        <v>1.86</v>
      </c>
      <c r="L65" s="56">
        <f>C65/C65</f>
        <v>1</v>
      </c>
      <c r="M65" s="56">
        <f t="shared" ref="M65:T65" si="51">D65/D65</f>
        <v>1</v>
      </c>
      <c r="N65" s="56">
        <f t="shared" si="51"/>
        <v>1</v>
      </c>
      <c r="O65" s="56">
        <f t="shared" si="51"/>
        <v>1</v>
      </c>
      <c r="P65" s="56">
        <f t="shared" si="51"/>
        <v>1</v>
      </c>
      <c r="Q65" s="56">
        <f t="shared" si="51"/>
        <v>1</v>
      </c>
      <c r="R65" s="56">
        <f t="shared" si="51"/>
        <v>1</v>
      </c>
      <c r="S65" s="56">
        <f t="shared" si="51"/>
        <v>1</v>
      </c>
      <c r="T65" s="88">
        <f t="shared" si="51"/>
        <v>1</v>
      </c>
    </row>
    <row r="66" spans="1:20" x14ac:dyDescent="0.2">
      <c r="A66" s="20">
        <v>13</v>
      </c>
      <c r="B66" s="70" t="s">
        <v>104</v>
      </c>
      <c r="C66" s="21">
        <v>2.4</v>
      </c>
      <c r="D66" s="21">
        <v>382.38</v>
      </c>
      <c r="E66" s="21">
        <v>10.69</v>
      </c>
      <c r="F66" s="21">
        <v>4565.32</v>
      </c>
      <c r="G66" s="21">
        <v>20.350000000000001</v>
      </c>
      <c r="H66" s="21">
        <v>66.52</v>
      </c>
      <c r="I66" s="21">
        <v>10.07</v>
      </c>
      <c r="J66" s="21">
        <v>4.91</v>
      </c>
      <c r="K66" s="75">
        <v>1.86</v>
      </c>
      <c r="L66" s="56">
        <f>C66/C65</f>
        <v>0.39735099337748342</v>
      </c>
      <c r="M66" s="56">
        <f t="shared" ref="M66:T66" si="52">D66/D65</f>
        <v>0.77246924304559506</v>
      </c>
      <c r="N66" s="56">
        <f t="shared" si="52"/>
        <v>3.0112676056338028</v>
      </c>
      <c r="O66" s="56">
        <f t="shared" si="52"/>
        <v>476.54697286012521</v>
      </c>
      <c r="P66" s="56">
        <f t="shared" si="52"/>
        <v>9.004424778761063</v>
      </c>
      <c r="Q66" s="56">
        <f t="shared" si="52"/>
        <v>48.554744525547441</v>
      </c>
      <c r="R66" s="56">
        <f t="shared" si="52"/>
        <v>1.9365384615384615</v>
      </c>
      <c r="S66" s="56">
        <f t="shared" si="52"/>
        <v>0.63518758085381632</v>
      </c>
      <c r="T66" s="88">
        <f t="shared" si="52"/>
        <v>1</v>
      </c>
    </row>
    <row r="67" spans="1:20" x14ac:dyDescent="0.2">
      <c r="A67" s="20">
        <v>13</v>
      </c>
      <c r="B67" s="70" t="s">
        <v>105</v>
      </c>
      <c r="C67" s="21">
        <v>57.22</v>
      </c>
      <c r="D67" s="80">
        <v>10566.58</v>
      </c>
      <c r="E67" s="21">
        <v>93.12</v>
      </c>
      <c r="F67" s="21">
        <v>311.08</v>
      </c>
      <c r="G67" s="21">
        <v>8.77</v>
      </c>
      <c r="H67" s="21">
        <v>1.86</v>
      </c>
      <c r="I67" s="74">
        <v>1.82</v>
      </c>
      <c r="J67" s="21">
        <v>109.56</v>
      </c>
      <c r="K67" s="75">
        <v>1.86</v>
      </c>
      <c r="L67" s="56">
        <f>C67/C65</f>
        <v>9.4735099337748334</v>
      </c>
      <c r="M67" s="88">
        <f t="shared" ref="M67:T67" si="53">D67/D65</f>
        <v>21.346195026363105</v>
      </c>
      <c r="N67" s="56">
        <f t="shared" si="53"/>
        <v>26.230985915492962</v>
      </c>
      <c r="O67" s="56">
        <f t="shared" si="53"/>
        <v>32.471816283924845</v>
      </c>
      <c r="P67" s="56">
        <f t="shared" si="53"/>
        <v>3.8805309734513278</v>
      </c>
      <c r="Q67" s="56">
        <f t="shared" si="53"/>
        <v>1.3576642335766422</v>
      </c>
      <c r="R67" s="88">
        <f t="shared" si="53"/>
        <v>0.35</v>
      </c>
      <c r="S67" s="56">
        <f t="shared" si="53"/>
        <v>14.173350582147476</v>
      </c>
      <c r="T67" s="88">
        <f t="shared" si="53"/>
        <v>1</v>
      </c>
    </row>
    <row r="68" spans="1:20" x14ac:dyDescent="0.2">
      <c r="A68" s="20">
        <v>13</v>
      </c>
      <c r="B68" s="70" t="s">
        <v>106</v>
      </c>
      <c r="C68" s="74">
        <v>2.02</v>
      </c>
      <c r="D68" s="21">
        <v>1003.48</v>
      </c>
      <c r="E68" s="21">
        <v>4.1500000000000004</v>
      </c>
      <c r="F68" s="21">
        <v>1811.85</v>
      </c>
      <c r="G68" s="21">
        <v>3.57</v>
      </c>
      <c r="H68" s="21">
        <v>1.1599999999999999</v>
      </c>
      <c r="I68" s="74">
        <v>1.82</v>
      </c>
      <c r="J68" s="21">
        <v>7.48</v>
      </c>
      <c r="K68" s="75">
        <v>1.86</v>
      </c>
      <c r="L68" s="88">
        <f>C68/C65</f>
        <v>0.33443708609271522</v>
      </c>
      <c r="M68" s="56">
        <f t="shared" ref="M68:T68" si="54">D68/D65</f>
        <v>2.027191369871316</v>
      </c>
      <c r="N68" s="56">
        <f t="shared" si="54"/>
        <v>1.1690140845070425</v>
      </c>
      <c r="O68" s="56">
        <f t="shared" si="54"/>
        <v>189.12839248434236</v>
      </c>
      <c r="P68" s="56">
        <f t="shared" si="54"/>
        <v>1.5796460176991152</v>
      </c>
      <c r="Q68" s="56">
        <f t="shared" si="54"/>
        <v>0.84671532846715314</v>
      </c>
      <c r="R68" s="88">
        <f t="shared" si="54"/>
        <v>0.35</v>
      </c>
      <c r="S68" s="56">
        <f t="shared" si="54"/>
        <v>0.96765847347994827</v>
      </c>
      <c r="T68" s="88">
        <f t="shared" si="54"/>
        <v>1</v>
      </c>
    </row>
    <row r="69" spans="1:20" x14ac:dyDescent="0.2">
      <c r="A69" s="20">
        <v>13</v>
      </c>
      <c r="B69" s="70" t="s">
        <v>9</v>
      </c>
      <c r="C69" s="21">
        <v>172.39</v>
      </c>
      <c r="D69" s="80">
        <v>10566.58</v>
      </c>
      <c r="E69" s="21">
        <v>179.61</v>
      </c>
      <c r="F69" s="21">
        <v>1126.04</v>
      </c>
      <c r="G69" s="21">
        <v>5.38</v>
      </c>
      <c r="H69" s="21">
        <v>1.3</v>
      </c>
      <c r="I69" s="21">
        <v>3.79</v>
      </c>
      <c r="J69" s="21">
        <v>522.58000000000004</v>
      </c>
      <c r="K69" s="75">
        <v>1.86</v>
      </c>
      <c r="L69" s="56">
        <f>C69/C65</f>
        <v>28.54139072847682</v>
      </c>
      <c r="M69" s="88">
        <f t="shared" ref="M69:T69" si="55">D69/D65</f>
        <v>21.346195026363105</v>
      </c>
      <c r="N69" s="56">
        <f t="shared" si="55"/>
        <v>50.594366197183106</v>
      </c>
      <c r="O69" s="56">
        <f t="shared" si="55"/>
        <v>117.54070981210856</v>
      </c>
      <c r="P69" s="56">
        <f t="shared" si="55"/>
        <v>2.3805309734513278</v>
      </c>
      <c r="Q69" s="56">
        <f t="shared" si="55"/>
        <v>0.94890510948905105</v>
      </c>
      <c r="R69" s="56">
        <f t="shared" si="55"/>
        <v>0.72884615384615381</v>
      </c>
      <c r="S69" s="56">
        <f t="shared" si="55"/>
        <v>67.604139715394567</v>
      </c>
      <c r="T69" s="88">
        <f t="shared" si="55"/>
        <v>1</v>
      </c>
    </row>
    <row r="70" spans="1:20" x14ac:dyDescent="0.2">
      <c r="A70" s="20"/>
      <c r="B70" s="21"/>
      <c r="C70" s="21"/>
      <c r="D70" s="21"/>
      <c r="E70" s="21"/>
      <c r="F70" s="21"/>
      <c r="G70" s="21"/>
      <c r="H70" s="21"/>
      <c r="I70" s="21"/>
      <c r="J70" s="21"/>
    </row>
    <row r="71" spans="1:20" x14ac:dyDescent="0.2">
      <c r="A71" s="20">
        <v>14</v>
      </c>
      <c r="B71" s="70" t="s">
        <v>7</v>
      </c>
      <c r="C71" s="21">
        <v>39.46</v>
      </c>
      <c r="D71" s="21">
        <v>3604.65</v>
      </c>
      <c r="E71" s="21">
        <v>4.91</v>
      </c>
      <c r="F71" s="21">
        <v>23.71</v>
      </c>
      <c r="G71" s="21">
        <v>5.97</v>
      </c>
      <c r="H71" s="21">
        <v>1.05</v>
      </c>
      <c r="I71" s="74">
        <v>1.82</v>
      </c>
      <c r="J71" s="21">
        <v>22.05</v>
      </c>
      <c r="K71" s="75">
        <v>1.86</v>
      </c>
      <c r="L71" s="56">
        <f>C71/C71</f>
        <v>1</v>
      </c>
      <c r="M71" s="56">
        <f t="shared" ref="M71:T71" si="56">D71/D71</f>
        <v>1</v>
      </c>
      <c r="N71" s="56">
        <f t="shared" si="56"/>
        <v>1</v>
      </c>
      <c r="O71" s="56">
        <f t="shared" si="56"/>
        <v>1</v>
      </c>
      <c r="P71" s="56">
        <f t="shared" si="56"/>
        <v>1</v>
      </c>
      <c r="Q71" s="56">
        <f t="shared" si="56"/>
        <v>1</v>
      </c>
      <c r="R71" s="88">
        <f t="shared" si="56"/>
        <v>1</v>
      </c>
      <c r="S71" s="56">
        <f t="shared" si="56"/>
        <v>1</v>
      </c>
      <c r="T71" s="88">
        <f t="shared" si="56"/>
        <v>1</v>
      </c>
    </row>
    <row r="72" spans="1:20" x14ac:dyDescent="0.2">
      <c r="A72" s="20">
        <v>14</v>
      </c>
      <c r="B72" s="70" t="s">
        <v>104</v>
      </c>
      <c r="C72" s="21">
        <v>61.08</v>
      </c>
      <c r="D72" s="21">
        <v>9084.9599999999991</v>
      </c>
      <c r="E72" s="21">
        <v>17.41</v>
      </c>
      <c r="F72" s="21">
        <v>1466.65</v>
      </c>
      <c r="G72" s="21">
        <v>10.64</v>
      </c>
      <c r="H72" s="21">
        <v>13.06</v>
      </c>
      <c r="I72" s="21">
        <v>11.41</v>
      </c>
      <c r="J72" s="21">
        <v>62.51</v>
      </c>
      <c r="K72" s="10">
        <v>3.22</v>
      </c>
      <c r="L72" s="56">
        <f>C72/C71</f>
        <v>1.5478966041561073</v>
      </c>
      <c r="M72" s="56">
        <f t="shared" ref="M72:T72" si="57">D72/D71</f>
        <v>2.520344554949856</v>
      </c>
      <c r="N72" s="56">
        <f t="shared" si="57"/>
        <v>3.5458248472505089</v>
      </c>
      <c r="O72" s="56">
        <f t="shared" si="57"/>
        <v>61.857865879375794</v>
      </c>
      <c r="P72" s="56">
        <f t="shared" si="57"/>
        <v>1.7822445561139031</v>
      </c>
      <c r="Q72" s="56">
        <f t="shared" si="57"/>
        <v>12.438095238095238</v>
      </c>
      <c r="R72" s="56">
        <f t="shared" si="57"/>
        <v>6.2692307692307692</v>
      </c>
      <c r="S72" s="56">
        <f t="shared" si="57"/>
        <v>2.8349206349206346</v>
      </c>
      <c r="T72" s="56">
        <f t="shared" si="57"/>
        <v>1.7311827956989247</v>
      </c>
    </row>
    <row r="73" spans="1:20" x14ac:dyDescent="0.2">
      <c r="A73" s="20">
        <v>14</v>
      </c>
      <c r="B73" s="70" t="s">
        <v>105</v>
      </c>
      <c r="C73" s="21">
        <v>141.13</v>
      </c>
      <c r="D73" s="80">
        <v>10566.58</v>
      </c>
      <c r="E73" s="21">
        <v>8.32</v>
      </c>
      <c r="F73" s="21">
        <v>272.52999999999997</v>
      </c>
      <c r="G73" s="21">
        <v>8.0399999999999991</v>
      </c>
      <c r="H73" s="21">
        <v>1.08</v>
      </c>
      <c r="I73" s="21">
        <v>2.09</v>
      </c>
      <c r="J73" s="21">
        <v>98.81</v>
      </c>
      <c r="K73" s="75">
        <v>1.86</v>
      </c>
      <c r="L73" s="56">
        <f>C73/C71</f>
        <v>3.5765331981753672</v>
      </c>
      <c r="M73" s="88">
        <f t="shared" ref="M73:T73" si="58">D73/D71</f>
        <v>2.9313747520563713</v>
      </c>
      <c r="N73" s="56">
        <f t="shared" si="58"/>
        <v>1.6945010183299389</v>
      </c>
      <c r="O73" s="56">
        <f t="shared" si="58"/>
        <v>11.494306199915647</v>
      </c>
      <c r="P73" s="56">
        <f t="shared" si="58"/>
        <v>1.3467336683417084</v>
      </c>
      <c r="Q73" s="56">
        <f t="shared" si="58"/>
        <v>1.0285714285714287</v>
      </c>
      <c r="R73" s="56">
        <f t="shared" si="58"/>
        <v>1.1483516483516483</v>
      </c>
      <c r="S73" s="56">
        <f t="shared" si="58"/>
        <v>4.4811791383219957</v>
      </c>
      <c r="T73" s="88">
        <f t="shared" si="58"/>
        <v>1</v>
      </c>
    </row>
    <row r="74" spans="1:20" x14ac:dyDescent="0.2">
      <c r="A74" s="20">
        <v>14</v>
      </c>
      <c r="B74" s="70" t="s">
        <v>106</v>
      </c>
      <c r="C74" s="21">
        <v>45.16</v>
      </c>
      <c r="D74" s="21">
        <v>6821.5</v>
      </c>
      <c r="E74" s="21">
        <v>5.17</v>
      </c>
      <c r="F74" s="21">
        <v>191.04</v>
      </c>
      <c r="G74" s="21">
        <v>6.01</v>
      </c>
      <c r="H74" s="21">
        <v>1.22</v>
      </c>
      <c r="I74" s="21">
        <v>3.12</v>
      </c>
      <c r="J74" s="21">
        <v>42.34</v>
      </c>
      <c r="K74" s="75">
        <v>1.86</v>
      </c>
      <c r="L74" s="56">
        <f>C74/C71</f>
        <v>1.1444500760263556</v>
      </c>
      <c r="M74" s="56">
        <f t="shared" ref="M74:T74" si="59">D74/D71</f>
        <v>1.8924167394892708</v>
      </c>
      <c r="N74" s="56">
        <f t="shared" si="59"/>
        <v>1.0529531568228105</v>
      </c>
      <c r="O74" s="56">
        <f t="shared" si="59"/>
        <v>8.0573597638127374</v>
      </c>
      <c r="P74" s="56">
        <f t="shared" si="59"/>
        <v>1.0067001675041876</v>
      </c>
      <c r="Q74" s="56">
        <f t="shared" si="59"/>
        <v>1.1619047619047618</v>
      </c>
      <c r="R74" s="56">
        <f t="shared" si="59"/>
        <v>1.7142857142857142</v>
      </c>
      <c r="S74" s="56">
        <f t="shared" si="59"/>
        <v>1.9201814058956916</v>
      </c>
      <c r="T74" s="88">
        <f t="shared" si="59"/>
        <v>1</v>
      </c>
    </row>
    <row r="75" spans="1:20" x14ac:dyDescent="0.2">
      <c r="A75" s="20">
        <v>14</v>
      </c>
      <c r="B75" s="70" t="s">
        <v>9</v>
      </c>
      <c r="C75" s="21">
        <v>561.52</v>
      </c>
      <c r="D75" s="80">
        <v>10566.58</v>
      </c>
      <c r="E75" s="21">
        <v>13.68</v>
      </c>
      <c r="F75" s="21">
        <v>89.25</v>
      </c>
      <c r="G75" s="21">
        <v>5.79</v>
      </c>
      <c r="H75" s="21">
        <v>1.1599999999999999</v>
      </c>
      <c r="I75" s="21">
        <v>4.79</v>
      </c>
      <c r="J75" s="21">
        <v>222.14</v>
      </c>
      <c r="K75" s="75">
        <v>1.86</v>
      </c>
      <c r="L75" s="56">
        <f>C75/C71</f>
        <v>14.230106436898124</v>
      </c>
      <c r="M75" s="88">
        <f t="shared" ref="M75:T75" si="60">D75/D71</f>
        <v>2.9313747520563713</v>
      </c>
      <c r="N75" s="56">
        <f t="shared" si="60"/>
        <v>2.7861507128309571</v>
      </c>
      <c r="O75" s="56">
        <f t="shared" si="60"/>
        <v>3.7642345002108812</v>
      </c>
      <c r="P75" s="56">
        <f t="shared" si="60"/>
        <v>0.96984924623115587</v>
      </c>
      <c r="Q75" s="56">
        <f t="shared" si="60"/>
        <v>1.1047619047619046</v>
      </c>
      <c r="R75" s="56">
        <f t="shared" si="60"/>
        <v>2.6318681318681318</v>
      </c>
      <c r="S75" s="56">
        <f t="shared" si="60"/>
        <v>10.074376417233559</v>
      </c>
      <c r="T75" s="88">
        <f t="shared" si="60"/>
        <v>1</v>
      </c>
    </row>
    <row r="76" spans="1:20" x14ac:dyDescent="0.2">
      <c r="A76" s="20"/>
      <c r="B76" s="21"/>
      <c r="C76" s="21"/>
      <c r="D76" s="21"/>
      <c r="E76" s="21"/>
      <c r="F76" s="21"/>
      <c r="G76" s="21"/>
      <c r="H76" s="21"/>
      <c r="I76" s="21"/>
      <c r="J76" s="21"/>
    </row>
    <row r="77" spans="1:20" x14ac:dyDescent="0.2">
      <c r="A77" s="78">
        <v>15</v>
      </c>
      <c r="B77" s="70" t="s">
        <v>7</v>
      </c>
      <c r="C77" s="71">
        <v>30.15</v>
      </c>
      <c r="D77" s="71">
        <v>7261.58</v>
      </c>
      <c r="E77" s="71">
        <v>5.72</v>
      </c>
      <c r="F77" s="71">
        <v>549.64</v>
      </c>
      <c r="G77" s="71">
        <v>3.36</v>
      </c>
      <c r="H77" s="71">
        <v>4.3600000000000003</v>
      </c>
      <c r="I77" s="71">
        <v>9.84</v>
      </c>
      <c r="J77" s="71">
        <v>171.68</v>
      </c>
      <c r="K77" s="72">
        <v>2.66</v>
      </c>
      <c r="L77" s="87">
        <f>C77/C77</f>
        <v>1</v>
      </c>
      <c r="M77" s="87">
        <f t="shared" ref="M77:T77" si="61">D77/D77</f>
        <v>1</v>
      </c>
      <c r="N77" s="87">
        <f t="shared" si="61"/>
        <v>1</v>
      </c>
      <c r="O77" s="87">
        <f t="shared" si="61"/>
        <v>1</v>
      </c>
      <c r="P77" s="87">
        <f t="shared" si="61"/>
        <v>1</v>
      </c>
      <c r="Q77" s="87">
        <f t="shared" si="61"/>
        <v>1</v>
      </c>
      <c r="R77" s="87">
        <f t="shared" si="61"/>
        <v>1</v>
      </c>
      <c r="S77" s="87">
        <f t="shared" si="61"/>
        <v>1</v>
      </c>
      <c r="T77" s="87">
        <f t="shared" si="61"/>
        <v>1</v>
      </c>
    </row>
    <row r="78" spans="1:20" x14ac:dyDescent="0.2">
      <c r="A78" s="78">
        <v>15</v>
      </c>
      <c r="B78" s="70" t="s">
        <v>104</v>
      </c>
      <c r="C78" s="71">
        <v>61.37</v>
      </c>
      <c r="D78" s="71">
        <v>12504.66</v>
      </c>
      <c r="E78" s="71">
        <v>14.21</v>
      </c>
      <c r="F78" s="71">
        <v>528.34</v>
      </c>
      <c r="G78" s="71">
        <v>18.29</v>
      </c>
      <c r="H78" s="71">
        <v>303.3</v>
      </c>
      <c r="I78" s="71">
        <v>105.77</v>
      </c>
      <c r="J78" s="71">
        <v>123.64</v>
      </c>
      <c r="K78" s="72">
        <v>2.87</v>
      </c>
      <c r="L78" s="87">
        <f>C78/C77</f>
        <v>2.0354892205638473</v>
      </c>
      <c r="M78" s="87">
        <f t="shared" ref="M78:T78" si="62">D78/D77</f>
        <v>1.7220301917764453</v>
      </c>
      <c r="N78" s="87">
        <f t="shared" si="62"/>
        <v>2.4842657342657346</v>
      </c>
      <c r="O78" s="87">
        <f t="shared" si="62"/>
        <v>0.96124736190961368</v>
      </c>
      <c r="P78" s="87">
        <f t="shared" si="62"/>
        <v>5.4434523809523805</v>
      </c>
      <c r="Q78" s="87">
        <f t="shared" si="62"/>
        <v>69.564220183486242</v>
      </c>
      <c r="R78" s="87">
        <f t="shared" si="62"/>
        <v>10.748983739837398</v>
      </c>
      <c r="S78" s="87">
        <f t="shared" si="62"/>
        <v>0.72017707362534944</v>
      </c>
      <c r="T78" s="87">
        <f t="shared" si="62"/>
        <v>1.0789473684210527</v>
      </c>
    </row>
    <row r="79" spans="1:20" x14ac:dyDescent="0.2">
      <c r="A79" s="78">
        <v>15</v>
      </c>
      <c r="B79" s="70" t="s">
        <v>105</v>
      </c>
      <c r="C79" s="71">
        <v>106.71</v>
      </c>
      <c r="D79" s="80">
        <v>13771.83</v>
      </c>
      <c r="E79" s="71">
        <v>51.39</v>
      </c>
      <c r="F79" s="71">
        <v>563.46</v>
      </c>
      <c r="G79" s="71">
        <v>16.16</v>
      </c>
      <c r="H79" s="71">
        <v>6.59</v>
      </c>
      <c r="I79" s="71">
        <v>12.95</v>
      </c>
      <c r="J79" s="71">
        <v>284.33999999999997</v>
      </c>
      <c r="K79" s="72">
        <v>3.67</v>
      </c>
      <c r="L79" s="87">
        <f>C79/C77</f>
        <v>3.5393034825870648</v>
      </c>
      <c r="M79" s="88">
        <f t="shared" ref="M79:T79" si="63">D79/D77</f>
        <v>1.8965335367784972</v>
      </c>
      <c r="N79" s="87">
        <f t="shared" si="63"/>
        <v>8.984265734265735</v>
      </c>
      <c r="O79" s="87">
        <f t="shared" si="63"/>
        <v>1.0251437304417437</v>
      </c>
      <c r="P79" s="87">
        <f t="shared" si="63"/>
        <v>4.8095238095238093</v>
      </c>
      <c r="Q79" s="87">
        <f t="shared" si="63"/>
        <v>1.5114678899082568</v>
      </c>
      <c r="R79" s="87">
        <f t="shared" si="63"/>
        <v>1.3160569105691056</v>
      </c>
      <c r="S79" s="87">
        <f t="shared" si="63"/>
        <v>1.656220876048462</v>
      </c>
      <c r="T79" s="87">
        <f t="shared" si="63"/>
        <v>1.3796992481203008</v>
      </c>
    </row>
    <row r="80" spans="1:20" x14ac:dyDescent="0.2">
      <c r="A80" s="78">
        <v>15</v>
      </c>
      <c r="B80" s="70" t="s">
        <v>9</v>
      </c>
      <c r="C80" s="71">
        <v>943.15</v>
      </c>
      <c r="D80" s="80">
        <v>13771.83</v>
      </c>
      <c r="E80" s="71">
        <v>247.94</v>
      </c>
      <c r="F80" s="71">
        <v>716.55</v>
      </c>
      <c r="G80" s="71">
        <v>13.23</v>
      </c>
      <c r="H80" s="71">
        <v>5.46</v>
      </c>
      <c r="I80" s="71">
        <v>46.55</v>
      </c>
      <c r="J80" s="71">
        <v>6260.34</v>
      </c>
      <c r="K80" s="72">
        <v>6.38</v>
      </c>
      <c r="L80" s="87">
        <f>C80/C77</f>
        <v>31.281923714759536</v>
      </c>
      <c r="M80" s="88">
        <f t="shared" ref="M80:T80" si="64">D80/D77</f>
        <v>1.8965335367784972</v>
      </c>
      <c r="N80" s="87">
        <f t="shared" si="64"/>
        <v>43.346153846153847</v>
      </c>
      <c r="O80" s="87">
        <f t="shared" si="64"/>
        <v>1.303671494068845</v>
      </c>
      <c r="P80" s="87">
        <f t="shared" si="64"/>
        <v>3.9375000000000004</v>
      </c>
      <c r="Q80" s="87">
        <f t="shared" si="64"/>
        <v>1.2522935779816513</v>
      </c>
      <c r="R80" s="87">
        <f t="shared" si="64"/>
        <v>4.7306910569105689</v>
      </c>
      <c r="S80" s="87">
        <f t="shared" si="64"/>
        <v>36.465167753960856</v>
      </c>
      <c r="T80" s="87">
        <f t="shared" si="64"/>
        <v>2.3984962406015038</v>
      </c>
    </row>
    <row r="81" spans="1:20" x14ac:dyDescent="0.2">
      <c r="A81" s="78">
        <v>15</v>
      </c>
      <c r="B81" s="70" t="s">
        <v>106</v>
      </c>
      <c r="C81" s="71">
        <v>52.2</v>
      </c>
      <c r="D81" s="80">
        <v>13771.83</v>
      </c>
      <c r="E81" s="71">
        <v>48.62</v>
      </c>
      <c r="F81" s="71">
        <v>544.75</v>
      </c>
      <c r="G81" s="71">
        <v>18.940000000000001</v>
      </c>
      <c r="H81" s="71">
        <v>26.18</v>
      </c>
      <c r="I81" s="71">
        <v>23.98</v>
      </c>
      <c r="J81" s="71">
        <v>233.83</v>
      </c>
      <c r="K81" s="72">
        <v>2.99</v>
      </c>
      <c r="L81" s="87">
        <f>C81/C77</f>
        <v>1.7313432835820897</v>
      </c>
      <c r="M81" s="88">
        <f t="shared" ref="M81:T81" si="65">D81/D77</f>
        <v>1.8965335367784972</v>
      </c>
      <c r="N81" s="87">
        <f t="shared" si="65"/>
        <v>8.5</v>
      </c>
      <c r="O81" s="87">
        <f t="shared" si="65"/>
        <v>0.99110326759333389</v>
      </c>
      <c r="P81" s="87">
        <f t="shared" si="65"/>
        <v>5.6369047619047628</v>
      </c>
      <c r="Q81" s="87">
        <f t="shared" si="65"/>
        <v>6.0045871559633026</v>
      </c>
      <c r="R81" s="87">
        <f t="shared" si="65"/>
        <v>2.4369918699186992</v>
      </c>
      <c r="S81" s="87">
        <f t="shared" si="65"/>
        <v>1.3620107176141658</v>
      </c>
      <c r="T81" s="87">
        <f t="shared" si="65"/>
        <v>1.1240601503759398</v>
      </c>
    </row>
    <row r="82" spans="1:20" x14ac:dyDescent="0.2">
      <c r="A82" s="78"/>
      <c r="B82" s="70"/>
      <c r="C82" s="71"/>
      <c r="D82" s="21"/>
      <c r="E82" s="71"/>
      <c r="F82" s="71"/>
      <c r="G82" s="71"/>
      <c r="H82" s="71"/>
      <c r="I82" s="71"/>
      <c r="J82" s="71"/>
      <c r="K82" s="72"/>
      <c r="L82" s="87"/>
      <c r="N82" s="87"/>
      <c r="O82" s="87"/>
      <c r="P82" s="87"/>
      <c r="Q82" s="87"/>
      <c r="R82" s="87"/>
      <c r="S82" s="87"/>
      <c r="T82" s="87"/>
    </row>
    <row r="83" spans="1:20" x14ac:dyDescent="0.2">
      <c r="A83" s="78">
        <v>16</v>
      </c>
      <c r="B83" s="70" t="s">
        <v>7</v>
      </c>
      <c r="C83" s="71">
        <v>97.6</v>
      </c>
      <c r="D83" s="73">
        <v>1096.6199999999999</v>
      </c>
      <c r="E83" s="71">
        <v>28.7</v>
      </c>
      <c r="F83" s="71">
        <v>147.35</v>
      </c>
      <c r="G83" s="71">
        <v>4.16</v>
      </c>
      <c r="H83" s="71">
        <v>2.88</v>
      </c>
      <c r="I83" s="71">
        <v>9.77</v>
      </c>
      <c r="J83" s="71">
        <v>434.36</v>
      </c>
      <c r="K83" s="72">
        <v>4.16</v>
      </c>
      <c r="L83" s="87">
        <f>C83/C83</f>
        <v>1</v>
      </c>
      <c r="M83" s="87">
        <f>D83/D83</f>
        <v>1</v>
      </c>
      <c r="N83" s="87">
        <f t="shared" ref="N83:T83" si="66">E83/E83</f>
        <v>1</v>
      </c>
      <c r="O83" s="87">
        <f t="shared" si="66"/>
        <v>1</v>
      </c>
      <c r="P83" s="87">
        <f t="shared" si="66"/>
        <v>1</v>
      </c>
      <c r="Q83" s="87">
        <f t="shared" si="66"/>
        <v>1</v>
      </c>
      <c r="R83" s="87">
        <f t="shared" si="66"/>
        <v>1</v>
      </c>
      <c r="S83" s="87">
        <f t="shared" si="66"/>
        <v>1</v>
      </c>
      <c r="T83" s="87">
        <f t="shared" si="66"/>
        <v>1</v>
      </c>
    </row>
    <row r="84" spans="1:20" x14ac:dyDescent="0.2">
      <c r="A84" s="78">
        <v>16</v>
      </c>
      <c r="B84" s="70" t="s">
        <v>104</v>
      </c>
      <c r="C84" s="71">
        <v>273.8</v>
      </c>
      <c r="D84" s="73">
        <v>2817.36</v>
      </c>
      <c r="E84" s="71">
        <v>93.62</v>
      </c>
      <c r="F84" s="71">
        <v>928.76</v>
      </c>
      <c r="G84" s="71">
        <v>443.94</v>
      </c>
      <c r="H84" s="71">
        <v>148.96</v>
      </c>
      <c r="I84" s="71">
        <v>226.31</v>
      </c>
      <c r="J84" s="71">
        <v>439.08</v>
      </c>
      <c r="K84" s="72">
        <v>9.5500000000000007</v>
      </c>
      <c r="L84" s="87">
        <f>C84/C83</f>
        <v>2.8053278688524594</v>
      </c>
      <c r="M84" s="87">
        <f>D84/D83</f>
        <v>2.5691306013021835</v>
      </c>
      <c r="N84" s="87">
        <f t="shared" ref="N84:T84" si="67">E84/E83</f>
        <v>3.2620209059233454</v>
      </c>
      <c r="O84" s="87">
        <f t="shared" si="67"/>
        <v>6.3030878859857484</v>
      </c>
      <c r="P84" s="87">
        <f t="shared" si="67"/>
        <v>106.71634615384615</v>
      </c>
      <c r="Q84" s="87">
        <f t="shared" si="67"/>
        <v>51.722222222222229</v>
      </c>
      <c r="R84" s="87">
        <f t="shared" si="67"/>
        <v>23.163766632548619</v>
      </c>
      <c r="S84" s="87">
        <f t="shared" si="67"/>
        <v>1.0108665622985542</v>
      </c>
      <c r="T84" s="87">
        <f t="shared" si="67"/>
        <v>2.2956730769230771</v>
      </c>
    </row>
    <row r="85" spans="1:20" x14ac:dyDescent="0.2">
      <c r="A85" s="78">
        <v>16</v>
      </c>
      <c r="B85" s="70" t="s">
        <v>105</v>
      </c>
      <c r="C85" s="71">
        <v>93.84</v>
      </c>
      <c r="D85" s="73">
        <v>284.77</v>
      </c>
      <c r="E85" s="71">
        <v>127.91</v>
      </c>
      <c r="F85" s="71">
        <v>368</v>
      </c>
      <c r="G85" s="71">
        <v>8.49</v>
      </c>
      <c r="H85" s="71">
        <v>4.13</v>
      </c>
      <c r="I85" s="71">
        <v>6.92</v>
      </c>
      <c r="J85" s="71">
        <v>684.59</v>
      </c>
      <c r="K85" s="72">
        <v>3.44</v>
      </c>
      <c r="L85" s="87">
        <f>C85/C83</f>
        <v>0.96147540983606572</v>
      </c>
      <c r="M85" s="87">
        <f>D85/D83</f>
        <v>0.25967974321095733</v>
      </c>
      <c r="N85" s="87">
        <f t="shared" ref="N85:T85" si="68">E85/E83</f>
        <v>4.4567944250871081</v>
      </c>
      <c r="O85" s="87">
        <f t="shared" si="68"/>
        <v>2.4974550390227352</v>
      </c>
      <c r="P85" s="87">
        <f t="shared" si="68"/>
        <v>2.0408653846153846</v>
      </c>
      <c r="Q85" s="87">
        <f t="shared" si="68"/>
        <v>1.4340277777777779</v>
      </c>
      <c r="R85" s="87">
        <f t="shared" si="68"/>
        <v>0.70829068577277388</v>
      </c>
      <c r="S85" s="87">
        <f t="shared" si="68"/>
        <v>1.5760889584676305</v>
      </c>
      <c r="T85" s="87">
        <f t="shared" si="68"/>
        <v>0.82692307692307687</v>
      </c>
    </row>
    <row r="86" spans="1:20" x14ac:dyDescent="0.2">
      <c r="A86" s="78">
        <v>16</v>
      </c>
      <c r="B86" s="70" t="s">
        <v>9</v>
      </c>
      <c r="C86" s="71">
        <v>520.84</v>
      </c>
      <c r="D86" s="73">
        <v>1548.36</v>
      </c>
      <c r="E86" s="71">
        <v>129.80000000000001</v>
      </c>
      <c r="F86" s="71">
        <v>161.33000000000001</v>
      </c>
      <c r="G86" s="71">
        <v>5.93</v>
      </c>
      <c r="H86" s="71">
        <v>2.31</v>
      </c>
      <c r="I86" s="71">
        <v>6.13</v>
      </c>
      <c r="J86" s="71">
        <v>1255.52</v>
      </c>
      <c r="K86" s="72">
        <v>3.1</v>
      </c>
      <c r="L86" s="87">
        <f>C86/C83</f>
        <v>5.3364754098360665</v>
      </c>
      <c r="M86" s="87">
        <f>D86/D83</f>
        <v>1.4119385019423318</v>
      </c>
      <c r="N86" s="87">
        <f t="shared" ref="N86:T86" si="69">E86/E83</f>
        <v>4.522648083623694</v>
      </c>
      <c r="O86" s="87">
        <f t="shared" si="69"/>
        <v>1.0948761452324398</v>
      </c>
      <c r="P86" s="87">
        <f t="shared" si="69"/>
        <v>1.4254807692307692</v>
      </c>
      <c r="Q86" s="87">
        <f t="shared" si="69"/>
        <v>0.80208333333333337</v>
      </c>
      <c r="R86" s="87">
        <f t="shared" si="69"/>
        <v>0.62743091095189352</v>
      </c>
      <c r="S86" s="87">
        <f t="shared" si="69"/>
        <v>2.8905055714154155</v>
      </c>
      <c r="T86" s="87">
        <f t="shared" si="69"/>
        <v>0.74519230769230771</v>
      </c>
    </row>
    <row r="87" spans="1:20" x14ac:dyDescent="0.2">
      <c r="A87" s="78">
        <v>16</v>
      </c>
      <c r="B87" s="70" t="s">
        <v>106</v>
      </c>
      <c r="C87" s="71">
        <v>89.93</v>
      </c>
      <c r="D87" s="73">
        <v>654.72</v>
      </c>
      <c r="E87" s="71">
        <v>65.75</v>
      </c>
      <c r="F87" s="71">
        <v>589.44000000000005</v>
      </c>
      <c r="G87" s="71">
        <v>11.58</v>
      </c>
      <c r="H87" s="71">
        <v>3.44</v>
      </c>
      <c r="I87" s="71">
        <v>13.12</v>
      </c>
      <c r="J87" s="71">
        <v>450.8</v>
      </c>
      <c r="K87" s="72">
        <v>8.07</v>
      </c>
      <c r="L87" s="87">
        <f>C87/C83</f>
        <v>0.92141393442622965</v>
      </c>
      <c r="M87" s="87">
        <f>D87/D83</f>
        <v>0.59703452426547032</v>
      </c>
      <c r="N87" s="87">
        <f t="shared" ref="N87:T87" si="70">E87/E83</f>
        <v>2.2909407665505226</v>
      </c>
      <c r="O87" s="87">
        <f t="shared" si="70"/>
        <v>4.0002714625042417</v>
      </c>
      <c r="P87" s="87">
        <f t="shared" si="70"/>
        <v>2.7836538461538463</v>
      </c>
      <c r="Q87" s="87">
        <f t="shared" si="70"/>
        <v>1.1944444444444444</v>
      </c>
      <c r="R87" s="87">
        <f t="shared" si="70"/>
        <v>1.3428863868986693</v>
      </c>
      <c r="S87" s="87">
        <f t="shared" si="70"/>
        <v>1.0378487890229302</v>
      </c>
      <c r="T87" s="87">
        <f t="shared" si="70"/>
        <v>1.9399038461538463</v>
      </c>
    </row>
    <row r="88" spans="1:20" x14ac:dyDescent="0.2">
      <c r="A88" s="78"/>
      <c r="B88" s="70"/>
      <c r="C88" s="71"/>
      <c r="D88" s="21"/>
      <c r="E88" s="71"/>
      <c r="F88" s="71"/>
      <c r="G88" s="71"/>
      <c r="H88" s="71"/>
      <c r="I88" s="71"/>
      <c r="J88" s="71"/>
      <c r="K88" s="72"/>
      <c r="L88" s="87"/>
      <c r="N88" s="87"/>
      <c r="O88" s="87"/>
      <c r="P88" s="87"/>
      <c r="Q88" s="87"/>
      <c r="R88" s="87"/>
      <c r="S88" s="87"/>
      <c r="T88" s="87"/>
    </row>
    <row r="89" spans="1:20" x14ac:dyDescent="0.2">
      <c r="A89" s="78">
        <v>17</v>
      </c>
      <c r="B89" s="70" t="s">
        <v>7</v>
      </c>
      <c r="C89" s="71">
        <v>118.23</v>
      </c>
      <c r="D89" s="73">
        <v>246.04</v>
      </c>
      <c r="E89" s="71">
        <v>37.89</v>
      </c>
      <c r="F89" s="71">
        <v>75.44</v>
      </c>
      <c r="G89" s="71">
        <v>2.29</v>
      </c>
      <c r="H89" s="71">
        <v>2.88</v>
      </c>
      <c r="I89" s="71">
        <v>4.0199999999999996</v>
      </c>
      <c r="J89" s="71">
        <v>385.74</v>
      </c>
      <c r="K89" s="72">
        <v>3.1</v>
      </c>
      <c r="L89" s="87">
        <f>C89/C89</f>
        <v>1</v>
      </c>
      <c r="M89" s="87">
        <f>D89/D89</f>
        <v>1</v>
      </c>
      <c r="N89" s="87">
        <f t="shared" ref="N89:T89" si="71">E89/E89</f>
        <v>1</v>
      </c>
      <c r="O89" s="87">
        <f t="shared" si="71"/>
        <v>1</v>
      </c>
      <c r="P89" s="87">
        <f t="shared" si="71"/>
        <v>1</v>
      </c>
      <c r="Q89" s="87">
        <f t="shared" si="71"/>
        <v>1</v>
      </c>
      <c r="R89" s="87">
        <f t="shared" si="71"/>
        <v>1</v>
      </c>
      <c r="S89" s="87">
        <f t="shared" si="71"/>
        <v>1</v>
      </c>
      <c r="T89" s="87">
        <f t="shared" si="71"/>
        <v>1</v>
      </c>
    </row>
    <row r="90" spans="1:20" x14ac:dyDescent="0.2">
      <c r="A90" s="78">
        <v>17</v>
      </c>
      <c r="B90" s="70" t="s">
        <v>104</v>
      </c>
      <c r="C90" s="71">
        <v>168.62</v>
      </c>
      <c r="D90" s="73">
        <v>484.2</v>
      </c>
      <c r="E90" s="71">
        <v>52.93</v>
      </c>
      <c r="F90" s="71">
        <v>601.76</v>
      </c>
      <c r="G90" s="71">
        <v>68.86</v>
      </c>
      <c r="H90" s="71">
        <v>243.68</v>
      </c>
      <c r="I90" s="71">
        <v>94.03</v>
      </c>
      <c r="J90" s="71">
        <v>309.27</v>
      </c>
      <c r="K90" s="72">
        <v>50.46</v>
      </c>
      <c r="L90" s="87">
        <f>C90/C89</f>
        <v>1.4262031633257211</v>
      </c>
      <c r="M90" s="87">
        <f>D90/D89</f>
        <v>1.9679726873679078</v>
      </c>
      <c r="N90" s="87">
        <f t="shared" ref="N90:T90" si="72">E90/E89</f>
        <v>1.3969385062021642</v>
      </c>
      <c r="O90" s="87">
        <f t="shared" si="72"/>
        <v>7.976670201484624</v>
      </c>
      <c r="P90" s="87">
        <f t="shared" si="72"/>
        <v>30.069868995633186</v>
      </c>
      <c r="Q90" s="87">
        <f t="shared" si="72"/>
        <v>84.611111111111114</v>
      </c>
      <c r="R90" s="87">
        <f t="shared" si="72"/>
        <v>23.390547263681594</v>
      </c>
      <c r="S90" s="87">
        <f t="shared" si="72"/>
        <v>0.80175766060040432</v>
      </c>
      <c r="T90" s="87">
        <f t="shared" si="72"/>
        <v>16.27741935483871</v>
      </c>
    </row>
    <row r="91" spans="1:20" x14ac:dyDescent="0.2">
      <c r="A91" s="78">
        <v>17</v>
      </c>
      <c r="B91" s="70" t="s">
        <v>105</v>
      </c>
      <c r="C91" s="71">
        <v>65.59</v>
      </c>
      <c r="D91" s="73">
        <v>543.66999999999996</v>
      </c>
      <c r="E91" s="71">
        <v>177.79</v>
      </c>
      <c r="F91" s="71">
        <v>185.68</v>
      </c>
      <c r="G91" s="71">
        <v>9.17</v>
      </c>
      <c r="H91" s="71">
        <v>5.71</v>
      </c>
      <c r="I91" s="71">
        <v>13.45</v>
      </c>
      <c r="J91" s="71">
        <v>697.46</v>
      </c>
      <c r="K91" s="72">
        <v>5.83</v>
      </c>
      <c r="L91" s="87">
        <f>C91/C89</f>
        <v>0.55476613380698636</v>
      </c>
      <c r="M91" s="87">
        <f>D91/D89</f>
        <v>2.2096813526255894</v>
      </c>
      <c r="N91" s="87">
        <f t="shared" ref="N91:T91" si="73">E91/E89</f>
        <v>4.6922670889416729</v>
      </c>
      <c r="O91" s="87">
        <f t="shared" si="73"/>
        <v>2.4612937433722166</v>
      </c>
      <c r="P91" s="87">
        <f t="shared" si="73"/>
        <v>4.0043668122270741</v>
      </c>
      <c r="Q91" s="87">
        <f t="shared" si="73"/>
        <v>1.9826388888888888</v>
      </c>
      <c r="R91" s="87">
        <f t="shared" si="73"/>
        <v>3.3457711442786073</v>
      </c>
      <c r="S91" s="87">
        <f t="shared" si="73"/>
        <v>1.8081090890236948</v>
      </c>
      <c r="T91" s="87">
        <f t="shared" si="73"/>
        <v>1.8806451612903226</v>
      </c>
    </row>
    <row r="92" spans="1:20" x14ac:dyDescent="0.2">
      <c r="A92" s="78">
        <v>17</v>
      </c>
      <c r="B92" s="70" t="s">
        <v>9</v>
      </c>
      <c r="C92" s="71">
        <v>1013.43</v>
      </c>
      <c r="D92" s="73">
        <v>1293.51</v>
      </c>
      <c r="E92" s="71">
        <v>568.75</v>
      </c>
      <c r="F92" s="71">
        <v>141.44999999999999</v>
      </c>
      <c r="G92" s="71">
        <v>10.210000000000001</v>
      </c>
      <c r="H92" s="71">
        <v>9.3000000000000007</v>
      </c>
      <c r="I92" s="71">
        <v>39.75</v>
      </c>
      <c r="J92" s="71">
        <v>2251.8200000000002</v>
      </c>
      <c r="K92" s="72">
        <v>7.5</v>
      </c>
      <c r="L92" s="87">
        <f>C92/C89</f>
        <v>8.5716823141334686</v>
      </c>
      <c r="M92" s="87">
        <f>D92/D89</f>
        <v>5.2573158835961635</v>
      </c>
      <c r="N92" s="87">
        <f t="shared" ref="N92:T92" si="74">E92/E89</f>
        <v>15.010556875164951</v>
      </c>
      <c r="O92" s="87">
        <f t="shared" si="74"/>
        <v>1.875</v>
      </c>
      <c r="P92" s="87">
        <f t="shared" si="74"/>
        <v>4.4585152838427948</v>
      </c>
      <c r="Q92" s="87">
        <f t="shared" si="74"/>
        <v>3.229166666666667</v>
      </c>
      <c r="R92" s="87">
        <f t="shared" si="74"/>
        <v>9.8880597014925389</v>
      </c>
      <c r="S92" s="87">
        <f t="shared" si="74"/>
        <v>5.8376626743402298</v>
      </c>
      <c r="T92" s="87">
        <f t="shared" si="74"/>
        <v>2.4193548387096775</v>
      </c>
    </row>
    <row r="93" spans="1:20" x14ac:dyDescent="0.2">
      <c r="A93" s="78">
        <v>17</v>
      </c>
      <c r="B93" s="70" t="s">
        <v>106</v>
      </c>
      <c r="C93" s="71">
        <v>56.94</v>
      </c>
      <c r="D93" s="73">
        <v>344.26</v>
      </c>
      <c r="E93" s="71">
        <v>54.57</v>
      </c>
      <c r="F93" s="71">
        <v>577.65</v>
      </c>
      <c r="G93" s="71">
        <v>13.65</v>
      </c>
      <c r="H93" s="71">
        <v>13.83</v>
      </c>
      <c r="I93" s="71">
        <v>36.15</v>
      </c>
      <c r="J93" s="71">
        <v>165.27</v>
      </c>
      <c r="K93" s="72">
        <v>11.98</v>
      </c>
      <c r="L93" s="87">
        <f>C93/C89</f>
        <v>0.48160365389495047</v>
      </c>
      <c r="M93" s="87">
        <f>D93/D89</f>
        <v>1.3992033815639733</v>
      </c>
      <c r="N93" s="87">
        <f t="shared" ref="N93:T93" si="75">E93/E89</f>
        <v>1.440221694378464</v>
      </c>
      <c r="O93" s="87">
        <f t="shared" si="75"/>
        <v>7.6570784729586423</v>
      </c>
      <c r="P93" s="87">
        <f t="shared" si="75"/>
        <v>5.9606986899563319</v>
      </c>
      <c r="Q93" s="87">
        <f t="shared" si="75"/>
        <v>4.8020833333333339</v>
      </c>
      <c r="R93" s="87">
        <f t="shared" si="75"/>
        <v>8.9925373134328357</v>
      </c>
      <c r="S93" s="87">
        <f t="shared" si="75"/>
        <v>0.42844921449681134</v>
      </c>
      <c r="T93" s="87">
        <f t="shared" si="75"/>
        <v>3.8645161290322583</v>
      </c>
    </row>
    <row r="94" spans="1:20" x14ac:dyDescent="0.2">
      <c r="A94" s="78"/>
      <c r="B94" s="70"/>
      <c r="C94" s="71"/>
      <c r="D94" s="21"/>
      <c r="E94" s="71"/>
      <c r="F94" s="71"/>
      <c r="G94" s="71"/>
      <c r="H94" s="71"/>
      <c r="I94" s="71"/>
      <c r="J94" s="71"/>
      <c r="K94" s="72"/>
      <c r="L94" s="87"/>
      <c r="N94" s="87"/>
      <c r="O94" s="87"/>
      <c r="P94" s="87"/>
      <c r="Q94" s="87"/>
      <c r="R94" s="87"/>
      <c r="S94" s="87"/>
      <c r="T94" s="87"/>
    </row>
    <row r="95" spans="1:20" x14ac:dyDescent="0.2">
      <c r="A95" s="78">
        <v>20</v>
      </c>
      <c r="B95" s="70" t="s">
        <v>7</v>
      </c>
      <c r="C95" s="71">
        <v>1.53</v>
      </c>
      <c r="D95" s="71">
        <v>3287.9</v>
      </c>
      <c r="E95" s="71">
        <v>4.0999999999999996</v>
      </c>
      <c r="F95" s="71">
        <v>15.79</v>
      </c>
      <c r="G95" s="71">
        <v>2.1800000000000002</v>
      </c>
      <c r="H95" s="71">
        <v>2.46</v>
      </c>
      <c r="I95" s="74">
        <v>1.92</v>
      </c>
      <c r="J95" s="71">
        <v>27.04</v>
      </c>
      <c r="K95" s="72">
        <v>2.2400000000000002</v>
      </c>
      <c r="L95" s="87">
        <f>C95/C95</f>
        <v>1</v>
      </c>
      <c r="M95" s="87">
        <f t="shared" ref="M95:T95" si="76">D95/D95</f>
        <v>1</v>
      </c>
      <c r="N95" s="87">
        <f t="shared" si="76"/>
        <v>1</v>
      </c>
      <c r="O95" s="87">
        <f t="shared" si="76"/>
        <v>1</v>
      </c>
      <c r="P95" s="87">
        <f t="shared" si="76"/>
        <v>1</v>
      </c>
      <c r="Q95" s="87">
        <f t="shared" si="76"/>
        <v>1</v>
      </c>
      <c r="R95" s="88">
        <f t="shared" si="76"/>
        <v>1</v>
      </c>
      <c r="S95" s="87">
        <f t="shared" si="76"/>
        <v>1</v>
      </c>
      <c r="T95" s="87">
        <f t="shared" si="76"/>
        <v>1</v>
      </c>
    </row>
    <row r="96" spans="1:20" x14ac:dyDescent="0.2">
      <c r="A96" s="78">
        <v>20</v>
      </c>
      <c r="B96" s="70" t="s">
        <v>104</v>
      </c>
      <c r="C96" s="71">
        <v>3.08</v>
      </c>
      <c r="D96" s="71">
        <v>1036.03</v>
      </c>
      <c r="E96" s="71">
        <v>46.74</v>
      </c>
      <c r="F96" s="71">
        <v>785.4</v>
      </c>
      <c r="G96" s="71">
        <v>8.59</v>
      </c>
      <c r="H96" s="71">
        <v>79.91</v>
      </c>
      <c r="I96" s="71">
        <v>16.23</v>
      </c>
      <c r="J96" s="71">
        <v>84.83</v>
      </c>
      <c r="K96" s="72">
        <v>16.07</v>
      </c>
      <c r="L96" s="87">
        <f>C96/C95</f>
        <v>2.0130718954248366</v>
      </c>
      <c r="M96" s="87">
        <f t="shared" ref="M96:T96" si="77">D96/D95</f>
        <v>0.31510386568934579</v>
      </c>
      <c r="N96" s="87">
        <f t="shared" si="77"/>
        <v>11.400000000000002</v>
      </c>
      <c r="O96" s="87">
        <f t="shared" si="77"/>
        <v>49.740341988600385</v>
      </c>
      <c r="P96" s="87">
        <f t="shared" si="77"/>
        <v>3.9403669724770638</v>
      </c>
      <c r="Q96" s="87">
        <f t="shared" si="77"/>
        <v>32.483739837398375</v>
      </c>
      <c r="R96" s="87">
        <f t="shared" si="77"/>
        <v>8.453125</v>
      </c>
      <c r="S96" s="87">
        <f t="shared" si="77"/>
        <v>3.1372041420118344</v>
      </c>
      <c r="T96" s="87">
        <f t="shared" si="77"/>
        <v>7.1741071428571423</v>
      </c>
    </row>
    <row r="97" spans="1:20" x14ac:dyDescent="0.2">
      <c r="A97" s="78">
        <v>20</v>
      </c>
      <c r="B97" s="70" t="s">
        <v>105</v>
      </c>
      <c r="C97" s="71">
        <v>5.24</v>
      </c>
      <c r="D97" s="71">
        <v>3354.1</v>
      </c>
      <c r="E97" s="71">
        <v>88.86</v>
      </c>
      <c r="F97" s="71">
        <v>83.13</v>
      </c>
      <c r="G97" s="71">
        <v>6.46</v>
      </c>
      <c r="H97" s="71">
        <v>4.66</v>
      </c>
      <c r="I97" s="71">
        <v>4.57</v>
      </c>
      <c r="J97" s="71">
        <v>73.319999999999993</v>
      </c>
      <c r="K97" s="72">
        <v>5.3</v>
      </c>
      <c r="L97" s="87">
        <f>C97/C95</f>
        <v>3.4248366013071898</v>
      </c>
      <c r="M97" s="87">
        <f t="shared" ref="M97:T97" si="78">D97/D95</f>
        <v>1.0201344323124182</v>
      </c>
      <c r="N97" s="87">
        <f t="shared" si="78"/>
        <v>21.673170731707319</v>
      </c>
      <c r="O97" s="87">
        <f t="shared" si="78"/>
        <v>5.2647245091830275</v>
      </c>
      <c r="P97" s="87">
        <f t="shared" si="78"/>
        <v>2.9633027522935778</v>
      </c>
      <c r="Q97" s="87">
        <f t="shared" si="78"/>
        <v>1.8943089430894309</v>
      </c>
      <c r="R97" s="87">
        <f t="shared" si="78"/>
        <v>2.3802083333333335</v>
      </c>
      <c r="S97" s="87">
        <f t="shared" si="78"/>
        <v>2.7115384615384612</v>
      </c>
      <c r="T97" s="87">
        <f t="shared" si="78"/>
        <v>2.3660714285714284</v>
      </c>
    </row>
    <row r="98" spans="1:20" x14ac:dyDescent="0.2">
      <c r="A98" s="78">
        <v>20</v>
      </c>
      <c r="B98" s="70" t="s">
        <v>9</v>
      </c>
      <c r="C98" s="71">
        <v>81.87</v>
      </c>
      <c r="D98" s="80">
        <v>13771.83</v>
      </c>
      <c r="E98" s="71">
        <v>168.63</v>
      </c>
      <c r="F98" s="71">
        <v>49.69</v>
      </c>
      <c r="G98" s="71">
        <v>5.82</v>
      </c>
      <c r="H98" s="71">
        <v>4.54</v>
      </c>
      <c r="I98" s="71">
        <v>5.03</v>
      </c>
      <c r="J98" s="71">
        <v>2624.52</v>
      </c>
      <c r="K98" s="72">
        <v>5.43</v>
      </c>
      <c r="L98" s="87">
        <f>C98/C95</f>
        <v>53.509803921568633</v>
      </c>
      <c r="M98" s="88">
        <f t="shared" ref="M98:T98" si="79">D98/D95</f>
        <v>4.1886401654551539</v>
      </c>
      <c r="N98" s="87">
        <f t="shared" si="79"/>
        <v>41.12926829268293</v>
      </c>
      <c r="O98" s="87">
        <f t="shared" si="79"/>
        <v>3.1469284357188094</v>
      </c>
      <c r="P98" s="87">
        <f t="shared" si="79"/>
        <v>2.6697247706422016</v>
      </c>
      <c r="Q98" s="87">
        <f t="shared" si="79"/>
        <v>1.8455284552845528</v>
      </c>
      <c r="R98" s="87">
        <f t="shared" si="79"/>
        <v>2.619791666666667</v>
      </c>
      <c r="S98" s="87">
        <f t="shared" si="79"/>
        <v>97.060650887573971</v>
      </c>
      <c r="T98" s="87">
        <f t="shared" si="79"/>
        <v>2.4241071428571423</v>
      </c>
    </row>
    <row r="99" spans="1:20" x14ac:dyDescent="0.2">
      <c r="A99" s="78">
        <v>20</v>
      </c>
      <c r="B99" s="70" t="s">
        <v>106</v>
      </c>
      <c r="C99" s="71">
        <v>3.44</v>
      </c>
      <c r="D99" s="80">
        <v>13771.83</v>
      </c>
      <c r="E99" s="71">
        <v>15.22</v>
      </c>
      <c r="F99" s="71">
        <v>395.6</v>
      </c>
      <c r="G99" s="71">
        <v>5.82</v>
      </c>
      <c r="H99" s="71">
        <v>5.27</v>
      </c>
      <c r="I99" s="71">
        <v>6.26</v>
      </c>
      <c r="J99" s="71">
        <v>501.58</v>
      </c>
      <c r="K99" s="72">
        <v>4.53</v>
      </c>
      <c r="L99" s="87">
        <f>C99/C95</f>
        <v>2.2483660130718954</v>
      </c>
      <c r="M99" s="88">
        <f t="shared" ref="M99:T99" si="80">D99/D95</f>
        <v>4.1886401654551539</v>
      </c>
      <c r="N99" s="87">
        <f t="shared" si="80"/>
        <v>3.7121951219512201</v>
      </c>
      <c r="O99" s="87">
        <f t="shared" si="80"/>
        <v>25.053831538948703</v>
      </c>
      <c r="P99" s="87">
        <f t="shared" si="80"/>
        <v>2.6697247706422016</v>
      </c>
      <c r="Q99" s="87">
        <f t="shared" si="80"/>
        <v>2.1422764227642275</v>
      </c>
      <c r="R99" s="87">
        <f t="shared" si="80"/>
        <v>3.2604166666666665</v>
      </c>
      <c r="S99" s="87">
        <f t="shared" si="80"/>
        <v>18.549556213017752</v>
      </c>
      <c r="T99" s="87">
        <f t="shared" si="80"/>
        <v>2.0223214285714284</v>
      </c>
    </row>
    <row r="100" spans="1:20" x14ac:dyDescent="0.2">
      <c r="A100" s="78"/>
      <c r="B100" s="70"/>
      <c r="C100" s="71"/>
      <c r="D100" s="71"/>
      <c r="E100" s="71"/>
      <c r="F100" s="71"/>
      <c r="G100" s="71"/>
      <c r="H100" s="71"/>
      <c r="I100" s="21"/>
      <c r="J100" s="71"/>
      <c r="K100" s="72"/>
      <c r="L100" s="87"/>
      <c r="M100" s="87"/>
      <c r="N100" s="87"/>
      <c r="O100" s="87"/>
      <c r="P100" s="87"/>
      <c r="Q100" s="87"/>
      <c r="S100" s="87"/>
      <c r="T100" s="87"/>
    </row>
    <row r="101" spans="1:20" x14ac:dyDescent="0.2">
      <c r="A101" s="78">
        <v>21</v>
      </c>
      <c r="B101" s="70" t="s">
        <v>7</v>
      </c>
      <c r="C101" s="71">
        <v>36.49</v>
      </c>
      <c r="D101" s="73">
        <v>99.45</v>
      </c>
      <c r="E101" s="71">
        <v>17.72</v>
      </c>
      <c r="F101" s="71">
        <v>33.08</v>
      </c>
      <c r="G101" s="71">
        <v>3.93</v>
      </c>
      <c r="H101" s="71">
        <v>4.1900000000000004</v>
      </c>
      <c r="I101" s="71">
        <v>7.32</v>
      </c>
      <c r="J101" s="71">
        <v>54.51</v>
      </c>
      <c r="K101" s="72">
        <v>3.21</v>
      </c>
      <c r="L101" s="87">
        <f>C101/C101</f>
        <v>1</v>
      </c>
      <c r="M101" s="87">
        <f>D101/D101</f>
        <v>1</v>
      </c>
      <c r="N101" s="87">
        <f t="shared" ref="N101:T101" si="81">E101/E101</f>
        <v>1</v>
      </c>
      <c r="O101" s="87">
        <f t="shared" si="81"/>
        <v>1</v>
      </c>
      <c r="P101" s="87">
        <f t="shared" si="81"/>
        <v>1</v>
      </c>
      <c r="Q101" s="87">
        <f t="shared" si="81"/>
        <v>1</v>
      </c>
      <c r="R101" s="87">
        <f t="shared" si="81"/>
        <v>1</v>
      </c>
      <c r="S101" s="87">
        <f t="shared" si="81"/>
        <v>1</v>
      </c>
      <c r="T101" s="87">
        <f t="shared" si="81"/>
        <v>1</v>
      </c>
    </row>
    <row r="102" spans="1:20" x14ac:dyDescent="0.2">
      <c r="A102" s="78">
        <v>21</v>
      </c>
      <c r="B102" s="70" t="s">
        <v>104</v>
      </c>
      <c r="C102" s="71">
        <v>95.28</v>
      </c>
      <c r="D102" s="73">
        <v>585.38</v>
      </c>
      <c r="E102" s="71">
        <v>80.2</v>
      </c>
      <c r="F102" s="71">
        <v>614.79999999999995</v>
      </c>
      <c r="G102" s="71">
        <v>49.44</v>
      </c>
      <c r="H102" s="71">
        <v>198.5</v>
      </c>
      <c r="I102" s="71">
        <v>166.94</v>
      </c>
      <c r="J102" s="71">
        <v>151.21</v>
      </c>
      <c r="K102" s="72">
        <v>7.07</v>
      </c>
      <c r="L102" s="87">
        <f>C102/C101</f>
        <v>2.611126335982461</v>
      </c>
      <c r="M102" s="87">
        <f>D102/D101</f>
        <v>5.8861739567621916</v>
      </c>
      <c r="N102" s="87">
        <f t="shared" ref="N102:T102" si="82">E102/E101</f>
        <v>4.5259593679458243</v>
      </c>
      <c r="O102" s="87">
        <f t="shared" si="82"/>
        <v>18.585247883917773</v>
      </c>
      <c r="P102" s="87">
        <f t="shared" si="82"/>
        <v>12.580152671755725</v>
      </c>
      <c r="Q102" s="87">
        <f t="shared" si="82"/>
        <v>47.374701670644384</v>
      </c>
      <c r="R102" s="87">
        <f t="shared" si="82"/>
        <v>22.806010928961747</v>
      </c>
      <c r="S102" s="87">
        <f t="shared" si="82"/>
        <v>2.7739864245092645</v>
      </c>
      <c r="T102" s="87">
        <f t="shared" si="82"/>
        <v>2.2024922118380061</v>
      </c>
    </row>
    <row r="103" spans="1:20" x14ac:dyDescent="0.2">
      <c r="A103" s="78">
        <v>21</v>
      </c>
      <c r="B103" s="70" t="s">
        <v>105</v>
      </c>
      <c r="C103" s="71">
        <v>420.99</v>
      </c>
      <c r="D103" s="73">
        <v>1370.29</v>
      </c>
      <c r="E103" s="71">
        <v>538.82000000000005</v>
      </c>
      <c r="F103" s="71">
        <v>505.89</v>
      </c>
      <c r="G103" s="71">
        <v>45.56</v>
      </c>
      <c r="H103" s="71">
        <v>5.46</v>
      </c>
      <c r="I103" s="71">
        <v>28.64</v>
      </c>
      <c r="J103" s="71">
        <v>408.41</v>
      </c>
      <c r="K103" s="72">
        <v>3.67</v>
      </c>
      <c r="L103" s="87">
        <f>C103/C101</f>
        <v>11.537133461222252</v>
      </c>
      <c r="M103" s="87">
        <f>D103/D101</f>
        <v>13.778682755153342</v>
      </c>
      <c r="N103" s="87">
        <f t="shared" ref="N103:T103" si="83">E103/E101</f>
        <v>30.407449209932285</v>
      </c>
      <c r="O103" s="87">
        <f t="shared" si="83"/>
        <v>15.29292623941959</v>
      </c>
      <c r="P103" s="87">
        <f t="shared" si="83"/>
        <v>11.592875318066158</v>
      </c>
      <c r="Q103" s="87">
        <f t="shared" si="83"/>
        <v>1.3031026252983293</v>
      </c>
      <c r="R103" s="87">
        <f t="shared" si="83"/>
        <v>3.9125683060109289</v>
      </c>
      <c r="S103" s="87">
        <f t="shared" si="83"/>
        <v>7.492386718033389</v>
      </c>
      <c r="T103" s="87">
        <f t="shared" si="83"/>
        <v>1.1433021806853583</v>
      </c>
    </row>
    <row r="104" spans="1:20" x14ac:dyDescent="0.2">
      <c r="A104" s="78">
        <v>21</v>
      </c>
      <c r="B104" s="70" t="s">
        <v>9</v>
      </c>
      <c r="C104" s="71">
        <v>2614.29</v>
      </c>
      <c r="D104" s="80">
        <v>11755.98</v>
      </c>
      <c r="E104" s="71">
        <v>1144.74</v>
      </c>
      <c r="F104" s="71">
        <v>272.16000000000003</v>
      </c>
      <c r="G104" s="71">
        <v>9.84</v>
      </c>
      <c r="H104" s="71">
        <v>4.78</v>
      </c>
      <c r="I104" s="71">
        <v>47.68</v>
      </c>
      <c r="J104" s="71">
        <v>2467.92</v>
      </c>
      <c r="K104" s="72">
        <v>3.21</v>
      </c>
      <c r="L104" s="87">
        <f>C104/C101</f>
        <v>71.644012058098099</v>
      </c>
      <c r="M104" s="87">
        <f>D104/D101</f>
        <v>118.20995475113122</v>
      </c>
      <c r="N104" s="87">
        <f t="shared" ref="N104:T104" si="84">E104/E101</f>
        <v>64.601580135440187</v>
      </c>
      <c r="O104" s="87">
        <f t="shared" si="84"/>
        <v>8.2273276904474013</v>
      </c>
      <c r="P104" s="87">
        <f t="shared" si="84"/>
        <v>2.5038167938931295</v>
      </c>
      <c r="Q104" s="87">
        <f t="shared" si="84"/>
        <v>1.1408114558472553</v>
      </c>
      <c r="R104" s="87">
        <f t="shared" si="84"/>
        <v>6.5136612021857925</v>
      </c>
      <c r="S104" s="87">
        <f t="shared" si="84"/>
        <v>45.274628508530547</v>
      </c>
      <c r="T104" s="87">
        <f t="shared" si="84"/>
        <v>1</v>
      </c>
    </row>
    <row r="105" spans="1:20" x14ac:dyDescent="0.2">
      <c r="A105" s="78">
        <v>21</v>
      </c>
      <c r="B105" s="70" t="s">
        <v>106</v>
      </c>
      <c r="C105" s="71">
        <v>152.1</v>
      </c>
      <c r="D105" s="73">
        <v>649.02</v>
      </c>
      <c r="E105" s="71">
        <v>114.3</v>
      </c>
      <c r="F105" s="71">
        <v>379.71</v>
      </c>
      <c r="G105" s="71">
        <v>7.6</v>
      </c>
      <c r="H105" s="71">
        <v>6.65</v>
      </c>
      <c r="I105" s="71">
        <v>17.95</v>
      </c>
      <c r="J105" s="71">
        <v>159.30000000000001</v>
      </c>
      <c r="K105" s="72">
        <v>3.1</v>
      </c>
      <c r="L105" s="87">
        <f>C105/C101</f>
        <v>4.1682652781583993</v>
      </c>
      <c r="M105" s="87">
        <f>D105/D101</f>
        <v>6.5260935143288084</v>
      </c>
      <c r="N105" s="87">
        <f t="shared" ref="N105:T105" si="85">E105/E101</f>
        <v>6.4503386004514676</v>
      </c>
      <c r="O105" s="87">
        <f t="shared" si="85"/>
        <v>11.478536880290205</v>
      </c>
      <c r="P105" s="87">
        <f t="shared" si="85"/>
        <v>1.9338422391857504</v>
      </c>
      <c r="Q105" s="87">
        <f t="shared" si="85"/>
        <v>1.5871121718377088</v>
      </c>
      <c r="R105" s="87">
        <f t="shared" si="85"/>
        <v>2.4521857923497268</v>
      </c>
      <c r="S105" s="87">
        <f t="shared" si="85"/>
        <v>2.9223995597138144</v>
      </c>
      <c r="T105" s="87">
        <f t="shared" si="85"/>
        <v>0.96573208722741433</v>
      </c>
    </row>
    <row r="106" spans="1:20" x14ac:dyDescent="0.2">
      <c r="A106" s="20"/>
      <c r="B106" s="21"/>
      <c r="C106" s="21"/>
      <c r="D106" s="21"/>
      <c r="E106" s="21"/>
      <c r="F106" s="21"/>
      <c r="G106" s="21"/>
      <c r="H106" s="21"/>
      <c r="I106" s="21"/>
      <c r="J106" s="21"/>
    </row>
    <row r="107" spans="1:20" x14ac:dyDescent="0.2">
      <c r="A107" s="20">
        <v>19</v>
      </c>
      <c r="B107" s="70" t="s">
        <v>7</v>
      </c>
      <c r="C107" s="71">
        <v>6.42</v>
      </c>
      <c r="D107" s="73">
        <v>3667.52</v>
      </c>
      <c r="E107" s="74">
        <v>1.0900000000000001</v>
      </c>
      <c r="F107" s="71">
        <v>290.74</v>
      </c>
      <c r="G107" s="71">
        <v>2.2799999999999998</v>
      </c>
      <c r="H107" s="74">
        <v>3.82</v>
      </c>
      <c r="I107" s="71">
        <v>7.38</v>
      </c>
      <c r="J107" s="71">
        <v>1153.8800000000001</v>
      </c>
      <c r="K107" s="75">
        <v>3.82</v>
      </c>
      <c r="L107" s="87">
        <f>C107/C107</f>
        <v>1</v>
      </c>
      <c r="M107" s="87">
        <f>D107/D107</f>
        <v>1</v>
      </c>
      <c r="N107" s="87">
        <f t="shared" ref="N107:T107" si="86">E107/E107</f>
        <v>1</v>
      </c>
      <c r="O107" s="87">
        <f t="shared" si="86"/>
        <v>1</v>
      </c>
      <c r="P107" s="87">
        <f t="shared" si="86"/>
        <v>1</v>
      </c>
      <c r="Q107" s="87">
        <f t="shared" si="86"/>
        <v>1</v>
      </c>
      <c r="R107" s="87">
        <f t="shared" si="86"/>
        <v>1</v>
      </c>
      <c r="S107" s="87">
        <f t="shared" si="86"/>
        <v>1</v>
      </c>
      <c r="T107" s="87">
        <f t="shared" si="86"/>
        <v>1</v>
      </c>
    </row>
    <row r="108" spans="1:20" x14ac:dyDescent="0.2">
      <c r="A108" s="20">
        <v>19</v>
      </c>
      <c r="B108" s="70" t="s">
        <v>104</v>
      </c>
      <c r="C108" s="71">
        <v>2.76</v>
      </c>
      <c r="D108" s="73">
        <v>1723.48</v>
      </c>
      <c r="E108" s="74">
        <v>1.0900000000000001</v>
      </c>
      <c r="F108" s="80">
        <v>2719.72</v>
      </c>
      <c r="G108" s="71">
        <v>96</v>
      </c>
      <c r="H108" s="71">
        <v>63.1</v>
      </c>
      <c r="I108" s="71">
        <v>147.16999999999999</v>
      </c>
      <c r="J108" s="71">
        <v>411.73</v>
      </c>
      <c r="K108" s="75">
        <v>3.82</v>
      </c>
      <c r="L108" s="87">
        <f>C108/C107</f>
        <v>0.42990654205607476</v>
      </c>
      <c r="M108" s="87">
        <f>D108/D107</f>
        <v>0.46993063432510251</v>
      </c>
      <c r="N108" s="87">
        <f t="shared" ref="N108:T108" si="87">E108/E107</f>
        <v>1</v>
      </c>
      <c r="O108" s="87">
        <f t="shared" si="87"/>
        <v>9.3544747884707977</v>
      </c>
      <c r="P108" s="87">
        <f t="shared" si="87"/>
        <v>42.10526315789474</v>
      </c>
      <c r="Q108" s="87">
        <f t="shared" si="87"/>
        <v>16.518324607329845</v>
      </c>
      <c r="R108" s="87">
        <f t="shared" si="87"/>
        <v>19.941734417344172</v>
      </c>
      <c r="S108" s="87">
        <f t="shared" si="87"/>
        <v>0.35682219988213676</v>
      </c>
      <c r="T108" s="87">
        <f t="shared" si="87"/>
        <v>1</v>
      </c>
    </row>
    <row r="109" spans="1:20" x14ac:dyDescent="0.2">
      <c r="A109" s="20">
        <v>19</v>
      </c>
      <c r="B109" s="70" t="s">
        <v>105</v>
      </c>
      <c r="C109" s="71">
        <v>53.95</v>
      </c>
      <c r="D109" s="80">
        <v>10593.9</v>
      </c>
      <c r="E109" s="71">
        <v>1.86</v>
      </c>
      <c r="F109" s="80">
        <v>2719.72</v>
      </c>
      <c r="G109" s="71">
        <v>21.74</v>
      </c>
      <c r="H109" s="74">
        <v>3.82</v>
      </c>
      <c r="I109" s="71">
        <v>1.79</v>
      </c>
      <c r="J109" s="71">
        <v>1260.1400000000001</v>
      </c>
      <c r="K109" s="75">
        <v>3.82</v>
      </c>
      <c r="L109" s="87">
        <f>C109/C107</f>
        <v>8.4034267912772584</v>
      </c>
      <c r="M109" s="87">
        <f>D109/D107</f>
        <v>2.8885732047814328</v>
      </c>
      <c r="N109" s="87">
        <f t="shared" ref="N109:T109" si="88">E109/E107</f>
        <v>1.7064220183486238</v>
      </c>
      <c r="O109" s="87">
        <f t="shared" si="88"/>
        <v>9.3544747884707977</v>
      </c>
      <c r="P109" s="87">
        <f t="shared" si="88"/>
        <v>9.5350877192982466</v>
      </c>
      <c r="Q109" s="87">
        <f t="shared" si="88"/>
        <v>1</v>
      </c>
      <c r="R109" s="87">
        <f t="shared" si="88"/>
        <v>0.24254742547425476</v>
      </c>
      <c r="S109" s="87">
        <f t="shared" si="88"/>
        <v>1.0920892987139044</v>
      </c>
      <c r="T109" s="87">
        <f t="shared" si="88"/>
        <v>1</v>
      </c>
    </row>
    <row r="110" spans="1:20" x14ac:dyDescent="0.2">
      <c r="A110" s="20">
        <v>19</v>
      </c>
      <c r="B110" s="70" t="s">
        <v>9</v>
      </c>
      <c r="C110" s="71">
        <v>43.56</v>
      </c>
      <c r="D110" s="80">
        <v>10593.9</v>
      </c>
      <c r="E110" s="71">
        <v>7.95</v>
      </c>
      <c r="F110" s="80">
        <v>2719.72</v>
      </c>
      <c r="G110" s="71">
        <v>2.11</v>
      </c>
      <c r="H110" s="74">
        <v>3.82</v>
      </c>
      <c r="I110" s="74">
        <v>1.55</v>
      </c>
      <c r="J110" s="71">
        <v>9160.6200000000008</v>
      </c>
      <c r="K110" s="75">
        <v>3.82</v>
      </c>
      <c r="L110" s="87">
        <f>C110/C107</f>
        <v>6.7850467289719631</v>
      </c>
      <c r="M110" s="87">
        <f>D110/D107</f>
        <v>2.8885732047814328</v>
      </c>
      <c r="N110" s="87">
        <f t="shared" ref="N110:T110" si="89">E110/E107</f>
        <v>7.2935779816513762</v>
      </c>
      <c r="O110" s="87">
        <f t="shared" si="89"/>
        <v>9.3544747884707977</v>
      </c>
      <c r="P110" s="87">
        <f t="shared" si="89"/>
        <v>0.92543859649122806</v>
      </c>
      <c r="Q110" s="87">
        <f t="shared" si="89"/>
        <v>1</v>
      </c>
      <c r="R110" s="87">
        <f t="shared" si="89"/>
        <v>0.21002710027100271</v>
      </c>
      <c r="S110" s="87">
        <f t="shared" si="89"/>
        <v>7.9389711235137099</v>
      </c>
      <c r="T110" s="87">
        <f t="shared" si="89"/>
        <v>1</v>
      </c>
    </row>
    <row r="111" spans="1:20" x14ac:dyDescent="0.2">
      <c r="A111" s="78"/>
      <c r="B111" s="70"/>
      <c r="C111" s="71"/>
      <c r="D111" s="21"/>
      <c r="E111" s="71"/>
      <c r="F111" s="71"/>
      <c r="G111" s="71"/>
      <c r="H111" s="71"/>
      <c r="I111" s="71"/>
      <c r="J111" s="71"/>
      <c r="K111" s="72"/>
      <c r="L111" s="87"/>
      <c r="M111" s="88"/>
      <c r="N111" s="87"/>
      <c r="O111" s="87"/>
      <c r="P111" s="87"/>
      <c r="Q111" s="87"/>
      <c r="R111" s="87"/>
      <c r="S111" s="87"/>
      <c r="T111" s="87"/>
    </row>
    <row r="112" spans="1:20" x14ac:dyDescent="0.2">
      <c r="A112" s="20">
        <v>18</v>
      </c>
      <c r="B112" s="70" t="s">
        <v>7</v>
      </c>
      <c r="C112" s="71">
        <v>33.799999999999997</v>
      </c>
      <c r="D112" s="83">
        <v>10873.98</v>
      </c>
      <c r="E112" s="71">
        <v>14.22</v>
      </c>
      <c r="F112" s="71">
        <v>45.11</v>
      </c>
      <c r="G112" s="71">
        <v>2.46</v>
      </c>
      <c r="H112" s="74">
        <v>1.75</v>
      </c>
      <c r="I112" s="71">
        <v>6.08</v>
      </c>
      <c r="J112" s="71">
        <v>91.89</v>
      </c>
      <c r="K112" s="72">
        <v>2.1800000000000002</v>
      </c>
      <c r="L112" s="87">
        <f>C112/C112</f>
        <v>1</v>
      </c>
      <c r="M112" s="87">
        <f>D112/D112</f>
        <v>1</v>
      </c>
      <c r="N112" s="87">
        <f t="shared" ref="N112:T112" si="90">E112/E112</f>
        <v>1</v>
      </c>
      <c r="O112" s="87">
        <f t="shared" si="90"/>
        <v>1</v>
      </c>
      <c r="P112" s="87">
        <f t="shared" si="90"/>
        <v>1</v>
      </c>
      <c r="Q112" s="87">
        <f t="shared" si="90"/>
        <v>1</v>
      </c>
      <c r="R112" s="88">
        <f t="shared" si="90"/>
        <v>1</v>
      </c>
      <c r="S112" s="87">
        <f t="shared" si="90"/>
        <v>1</v>
      </c>
      <c r="T112" s="87">
        <f t="shared" si="90"/>
        <v>1</v>
      </c>
    </row>
    <row r="113" spans="1:22" x14ac:dyDescent="0.2">
      <c r="A113" s="20">
        <v>18</v>
      </c>
      <c r="B113" s="70" t="s">
        <v>104</v>
      </c>
      <c r="C113" s="71">
        <v>65.75</v>
      </c>
      <c r="D113" s="71">
        <v>1683.61</v>
      </c>
      <c r="E113" s="71">
        <v>58.6</v>
      </c>
      <c r="F113" s="71">
        <v>2489.71</v>
      </c>
      <c r="G113" s="71">
        <v>35.880000000000003</v>
      </c>
      <c r="H113" s="71">
        <v>977.37</v>
      </c>
      <c r="I113" s="71">
        <v>215.94</v>
      </c>
      <c r="J113" s="71">
        <v>440.01</v>
      </c>
      <c r="K113" s="72">
        <v>3.41</v>
      </c>
      <c r="L113" s="87">
        <f>C113/C112</f>
        <v>1.9452662721893492</v>
      </c>
      <c r="M113" s="87">
        <f>D113/D112</f>
        <v>0.15482923455809189</v>
      </c>
      <c r="N113" s="87">
        <f t="shared" ref="N113:T113" si="91">E113/E112</f>
        <v>4.1209563994374117</v>
      </c>
      <c r="O113" s="87">
        <f t="shared" si="91"/>
        <v>55.191975171802262</v>
      </c>
      <c r="P113" s="87">
        <f t="shared" si="91"/>
        <v>14.585365853658537</v>
      </c>
      <c r="Q113" s="87">
        <f t="shared" si="91"/>
        <v>558.49714285714288</v>
      </c>
      <c r="R113" s="87">
        <f t="shared" si="91"/>
        <v>35.516447368421055</v>
      </c>
      <c r="S113" s="87">
        <f t="shared" si="91"/>
        <v>4.7884427032321248</v>
      </c>
      <c r="T113" s="87">
        <f t="shared" si="91"/>
        <v>1.5642201834862386</v>
      </c>
    </row>
    <row r="114" spans="1:22" x14ac:dyDescent="0.2">
      <c r="A114" s="20">
        <v>18</v>
      </c>
      <c r="B114" s="70" t="s">
        <v>105</v>
      </c>
      <c r="C114" s="71">
        <v>227.51</v>
      </c>
      <c r="D114" s="83">
        <v>10873.98</v>
      </c>
      <c r="E114" s="71">
        <v>264.41000000000003</v>
      </c>
      <c r="F114" s="71">
        <v>1694.76</v>
      </c>
      <c r="G114" s="71">
        <v>6.13</v>
      </c>
      <c r="H114" s="74">
        <v>1.75</v>
      </c>
      <c r="I114" s="71">
        <v>18.760000000000002</v>
      </c>
      <c r="J114" s="71">
        <v>301.77999999999997</v>
      </c>
      <c r="K114" s="72">
        <v>2.95</v>
      </c>
      <c r="L114" s="87">
        <f>C114/C112</f>
        <v>6.7310650887573971</v>
      </c>
      <c r="M114" s="87">
        <f>D114/D112</f>
        <v>1</v>
      </c>
      <c r="N114" s="87">
        <f t="shared" ref="N114:T114" si="92">E114/E112</f>
        <v>18.59423347398031</v>
      </c>
      <c r="O114" s="87">
        <f t="shared" si="92"/>
        <v>37.569496785635117</v>
      </c>
      <c r="P114" s="87">
        <f t="shared" si="92"/>
        <v>2.4918699186991868</v>
      </c>
      <c r="Q114" s="87">
        <f t="shared" si="92"/>
        <v>1</v>
      </c>
      <c r="R114" s="87">
        <f t="shared" si="92"/>
        <v>3.0855263157894739</v>
      </c>
      <c r="S114" s="87">
        <f t="shared" si="92"/>
        <v>3.2841440853194035</v>
      </c>
      <c r="T114" s="87">
        <f t="shared" si="92"/>
        <v>1.3532110091743119</v>
      </c>
    </row>
    <row r="115" spans="1:22" x14ac:dyDescent="0.2">
      <c r="A115" s="20">
        <v>18</v>
      </c>
      <c r="B115" s="70" t="s">
        <v>9</v>
      </c>
      <c r="C115" s="80">
        <v>10727.96</v>
      </c>
      <c r="D115" s="83">
        <v>10873.98</v>
      </c>
      <c r="E115" s="71">
        <v>1868.34</v>
      </c>
      <c r="F115" s="71">
        <v>470.08</v>
      </c>
      <c r="G115" s="71">
        <v>6.73</v>
      </c>
      <c r="H115" s="74">
        <v>1.75</v>
      </c>
      <c r="I115" s="71">
        <v>23.52</v>
      </c>
      <c r="J115" s="71">
        <v>5253.83</v>
      </c>
      <c r="K115" s="72">
        <v>2.2999999999999998</v>
      </c>
      <c r="L115" s="87">
        <f>C115/C112</f>
        <v>317.39526627218936</v>
      </c>
      <c r="M115" s="87">
        <f>D115/D112</f>
        <v>1</v>
      </c>
      <c r="N115" s="87">
        <f t="shared" ref="N115:T115" si="93">E115/E112</f>
        <v>131.38818565400842</v>
      </c>
      <c r="O115" s="87">
        <f t="shared" si="93"/>
        <v>10.420749279538905</v>
      </c>
      <c r="P115" s="87">
        <f t="shared" si="93"/>
        <v>2.7357723577235773</v>
      </c>
      <c r="Q115" s="87">
        <f t="shared" si="93"/>
        <v>1</v>
      </c>
      <c r="R115" s="87">
        <f t="shared" si="93"/>
        <v>3.8684210526315788</v>
      </c>
      <c r="S115" s="87">
        <f t="shared" si="93"/>
        <v>57.175209489607141</v>
      </c>
      <c r="T115" s="87">
        <f t="shared" si="93"/>
        <v>1.0550458715596329</v>
      </c>
    </row>
    <row r="117" spans="1:22" x14ac:dyDescent="0.2">
      <c r="B117" s="86" t="s">
        <v>109</v>
      </c>
    </row>
    <row r="118" spans="1:22" x14ac:dyDescent="0.2">
      <c r="B118" s="85" t="s">
        <v>110</v>
      </c>
    </row>
    <row r="119" spans="1:22" x14ac:dyDescent="0.2">
      <c r="B119" s="84" t="s">
        <v>111</v>
      </c>
    </row>
    <row r="121" spans="1:22" x14ac:dyDescent="0.2">
      <c r="A121" t="s">
        <v>1124</v>
      </c>
      <c r="K121"/>
      <c r="L121" s="10"/>
      <c r="U121" s="56"/>
    </row>
    <row r="122" spans="1:22" x14ac:dyDescent="0.2">
      <c r="D122" t="s">
        <v>1126</v>
      </c>
      <c r="K122"/>
      <c r="L122" s="10"/>
      <c r="U122" s="56"/>
    </row>
    <row r="123" spans="1:22" x14ac:dyDescent="0.2">
      <c r="A123" s="240" t="s">
        <v>1122</v>
      </c>
      <c r="B123" s="237" t="s">
        <v>1125</v>
      </c>
      <c r="C123" s="240" t="s">
        <v>1127</v>
      </c>
      <c r="D123" s="240" t="s">
        <v>7</v>
      </c>
      <c r="E123" s="240" t="s">
        <v>272</v>
      </c>
      <c r="F123" s="240" t="s">
        <v>274</v>
      </c>
      <c r="G123" s="240" t="s">
        <v>9</v>
      </c>
      <c r="H123" s="240" t="s">
        <v>106</v>
      </c>
      <c r="I123" s="90"/>
      <c r="J123" s="238"/>
      <c r="K123"/>
      <c r="L123"/>
      <c r="M123" s="10"/>
      <c r="U123" s="56"/>
      <c r="V123" s="56"/>
    </row>
    <row r="124" spans="1:22" s="18" customFormat="1" x14ac:dyDescent="0.2">
      <c r="A124" s="243" t="s">
        <v>132</v>
      </c>
      <c r="B124" s="242" t="s">
        <v>1131</v>
      </c>
      <c r="C124" s="254" t="s">
        <v>7</v>
      </c>
      <c r="D124" s="244"/>
      <c r="E124" s="242">
        <v>0.99580000000000002</v>
      </c>
      <c r="F124" s="242">
        <v>0.22869999999999999</v>
      </c>
      <c r="G124" s="242">
        <v>5.0000000000000001E-4</v>
      </c>
      <c r="H124" s="242">
        <v>0.61280000000000001</v>
      </c>
      <c r="I124" s="242"/>
      <c r="J124" s="241"/>
      <c r="M124" s="19"/>
      <c r="N124" s="245"/>
      <c r="O124" s="245"/>
      <c r="P124" s="245"/>
      <c r="Q124" s="245"/>
      <c r="R124" s="245"/>
      <c r="S124" s="245"/>
      <c r="T124" s="245"/>
      <c r="U124" s="245"/>
      <c r="V124" s="245"/>
    </row>
    <row r="125" spans="1:22" s="21" customFormat="1" x14ac:dyDescent="0.2">
      <c r="A125" s="247"/>
      <c r="B125" s="246"/>
      <c r="C125" s="255" t="s">
        <v>272</v>
      </c>
      <c r="D125" s="246">
        <v>0.99580000000000002</v>
      </c>
      <c r="E125" s="248"/>
      <c r="F125" s="246">
        <v>0.15590000000000001</v>
      </c>
      <c r="G125" s="246">
        <v>1.9E-3</v>
      </c>
      <c r="H125" s="246">
        <v>0.64159999999999995</v>
      </c>
      <c r="I125" s="246"/>
      <c r="J125" s="113"/>
      <c r="M125" s="10"/>
      <c r="N125" s="249"/>
      <c r="O125" s="249"/>
      <c r="P125" s="249"/>
      <c r="Q125" s="249"/>
      <c r="R125" s="249"/>
      <c r="S125" s="249"/>
      <c r="T125" s="249"/>
      <c r="U125" s="249"/>
      <c r="V125" s="249"/>
    </row>
    <row r="126" spans="1:22" s="21" customFormat="1" x14ac:dyDescent="0.2">
      <c r="A126" s="247"/>
      <c r="B126" s="246"/>
      <c r="C126" s="255" t="s">
        <v>274</v>
      </c>
      <c r="D126" s="246">
        <v>0.22869999999999999</v>
      </c>
      <c r="E126" s="246">
        <v>0.15590000000000001</v>
      </c>
      <c r="F126" s="248"/>
      <c r="G126" s="246">
        <v>1.8499999999999999E-2</v>
      </c>
      <c r="H126" s="246">
        <v>0.84719999999999995</v>
      </c>
      <c r="I126" s="246"/>
      <c r="J126" s="113"/>
      <c r="M126" s="10"/>
      <c r="N126" s="249"/>
      <c r="O126" s="249"/>
      <c r="P126" s="249"/>
      <c r="Q126" s="249"/>
      <c r="R126" s="249"/>
      <c r="S126" s="249"/>
      <c r="T126" s="249"/>
      <c r="U126" s="249"/>
      <c r="V126" s="249"/>
    </row>
    <row r="127" spans="1:22" s="21" customFormat="1" x14ac:dyDescent="0.2">
      <c r="A127" s="247"/>
      <c r="B127" s="246"/>
      <c r="C127" s="255" t="s">
        <v>9</v>
      </c>
      <c r="D127" s="246">
        <v>5.0000000000000001E-4</v>
      </c>
      <c r="E127" s="246">
        <v>1.9E-3</v>
      </c>
      <c r="F127" s="246">
        <v>1.8499999999999999E-2</v>
      </c>
      <c r="G127" s="248"/>
      <c r="H127" s="246">
        <v>6.4199999999999993E-2</v>
      </c>
      <c r="I127" s="246"/>
      <c r="J127" s="113"/>
      <c r="M127" s="10"/>
      <c r="N127" s="249"/>
      <c r="O127" s="249"/>
      <c r="P127" s="249"/>
      <c r="Q127" s="249"/>
      <c r="R127" s="249"/>
      <c r="S127" s="249"/>
      <c r="T127" s="249"/>
      <c r="U127" s="249"/>
      <c r="V127" s="249"/>
    </row>
    <row r="128" spans="1:22" s="26" customFormat="1" x14ac:dyDescent="0.2">
      <c r="A128" s="251"/>
      <c r="B128" s="250"/>
      <c r="C128" s="256" t="s">
        <v>106</v>
      </c>
      <c r="D128" s="250">
        <v>0.61280000000000001</v>
      </c>
      <c r="E128" s="250">
        <v>0.64159999999999995</v>
      </c>
      <c r="F128" s="250">
        <v>0.84719999999999995</v>
      </c>
      <c r="G128" s="250">
        <v>6.4199999999999993E-2</v>
      </c>
      <c r="H128" s="252"/>
      <c r="I128" s="250"/>
      <c r="J128" s="141"/>
      <c r="M128" s="11"/>
      <c r="N128" s="253"/>
      <c r="O128" s="253"/>
      <c r="P128" s="253"/>
      <c r="Q128" s="253"/>
      <c r="R128" s="253"/>
      <c r="S128" s="253"/>
      <c r="T128" s="253"/>
      <c r="U128" s="253"/>
      <c r="V128" s="253"/>
    </row>
    <row r="129" spans="1:22" x14ac:dyDescent="0.2">
      <c r="A129" s="240" t="s">
        <v>16</v>
      </c>
      <c r="B129" s="242" t="s">
        <v>1131</v>
      </c>
      <c r="C129" s="257" t="s">
        <v>7</v>
      </c>
      <c r="D129" s="239"/>
      <c r="E129" s="238">
        <v>4.1000000000000002E-2</v>
      </c>
      <c r="F129" s="238">
        <v>1E-4</v>
      </c>
      <c r="G129" s="238">
        <v>1E-4</v>
      </c>
      <c r="H129" s="238">
        <v>2.0899999999999998E-2</v>
      </c>
      <c r="I129" s="238"/>
      <c r="J129" s="90"/>
      <c r="K129"/>
      <c r="L129"/>
      <c r="M129" s="10"/>
      <c r="U129" s="56"/>
      <c r="V129" s="56"/>
    </row>
    <row r="130" spans="1:22" x14ac:dyDescent="0.2">
      <c r="A130" s="240"/>
      <c r="B130" s="238"/>
      <c r="C130" s="257" t="s">
        <v>272</v>
      </c>
      <c r="D130" s="238">
        <v>4.1000000000000002E-2</v>
      </c>
      <c r="E130" s="239"/>
      <c r="F130" s="238">
        <v>7.1000000000000004E-3</v>
      </c>
      <c r="G130" s="238">
        <v>1E-4</v>
      </c>
      <c r="H130" s="238">
        <v>0.98670000000000002</v>
      </c>
      <c r="I130" s="238"/>
      <c r="J130" s="90"/>
      <c r="K130"/>
      <c r="L130"/>
      <c r="M130" s="10"/>
      <c r="U130" s="56"/>
      <c r="V130" s="56"/>
    </row>
    <row r="131" spans="1:22" x14ac:dyDescent="0.2">
      <c r="A131" s="240"/>
      <c r="B131" s="238"/>
      <c r="C131" s="257" t="s">
        <v>274</v>
      </c>
      <c r="D131" s="238">
        <v>1E-4</v>
      </c>
      <c r="E131" s="238">
        <v>7.1000000000000004E-3</v>
      </c>
      <c r="F131" s="239"/>
      <c r="G131" s="238">
        <v>1E-4</v>
      </c>
      <c r="H131" s="238">
        <v>0.996</v>
      </c>
      <c r="I131" s="238"/>
      <c r="J131" s="90"/>
      <c r="K131"/>
      <c r="L131"/>
      <c r="M131" s="10"/>
      <c r="U131" s="56"/>
      <c r="V131" s="56"/>
    </row>
    <row r="132" spans="1:22" x14ac:dyDescent="0.2">
      <c r="A132" s="240"/>
      <c r="B132" s="238"/>
      <c r="C132" s="257" t="s">
        <v>9</v>
      </c>
      <c r="D132" s="238">
        <v>1E-4</v>
      </c>
      <c r="E132" s="238">
        <v>1E-4</v>
      </c>
      <c r="F132" s="238">
        <v>1E-4</v>
      </c>
      <c r="G132" s="239"/>
      <c r="H132" s="238">
        <v>1E-4</v>
      </c>
      <c r="I132" s="238"/>
      <c r="J132" s="90"/>
      <c r="K132"/>
      <c r="L132"/>
      <c r="M132" s="10"/>
      <c r="U132" s="56"/>
      <c r="V132" s="56"/>
    </row>
    <row r="133" spans="1:22" x14ac:dyDescent="0.2">
      <c r="A133" s="240"/>
      <c r="B133" s="238"/>
      <c r="C133" s="257" t="s">
        <v>106</v>
      </c>
      <c r="D133" s="238">
        <v>2.0899999999999998E-2</v>
      </c>
      <c r="E133" s="238">
        <v>0.98670000000000002</v>
      </c>
      <c r="F133" s="238">
        <v>0.996</v>
      </c>
      <c r="G133" s="238">
        <v>1E-4</v>
      </c>
      <c r="H133" s="239"/>
      <c r="I133" s="238"/>
      <c r="J133" s="90"/>
      <c r="K133"/>
      <c r="L133"/>
      <c r="M133" s="10"/>
      <c r="U133" s="56"/>
      <c r="V133" s="56"/>
    </row>
    <row r="134" spans="1:22" s="18" customFormat="1" x14ac:dyDescent="0.2">
      <c r="A134" s="243" t="s">
        <v>1123</v>
      </c>
      <c r="B134" s="242" t="s">
        <v>1131</v>
      </c>
      <c r="C134" s="254" t="s">
        <v>7</v>
      </c>
      <c r="D134" s="244"/>
      <c r="E134" s="238">
        <v>1E-4</v>
      </c>
      <c r="F134" s="238">
        <v>1E-4</v>
      </c>
      <c r="G134" s="242">
        <v>2.9999999999999997E-4</v>
      </c>
      <c r="H134" s="238">
        <v>1E-4</v>
      </c>
      <c r="I134" s="242"/>
      <c r="J134" s="241"/>
      <c r="M134" s="19"/>
      <c r="N134" s="245"/>
      <c r="O134" s="245"/>
      <c r="P134" s="245"/>
      <c r="Q134" s="245"/>
      <c r="R134" s="245"/>
      <c r="S134" s="245"/>
      <c r="T134" s="245"/>
      <c r="U134" s="245"/>
      <c r="V134" s="245"/>
    </row>
    <row r="135" spans="1:22" s="21" customFormat="1" x14ac:dyDescent="0.2">
      <c r="A135" s="247"/>
      <c r="B135" s="246"/>
      <c r="C135" s="255" t="s">
        <v>272</v>
      </c>
      <c r="D135" s="238">
        <v>1E-4</v>
      </c>
      <c r="E135" s="248"/>
      <c r="F135" s="246">
        <v>2.0000000000000001E-4</v>
      </c>
      <c r="G135" s="246">
        <v>6.9999999999999999E-4</v>
      </c>
      <c r="H135" s="246">
        <v>0.81169999999999998</v>
      </c>
      <c r="I135" s="246"/>
      <c r="J135" s="113"/>
      <c r="M135" s="10"/>
      <c r="N135" s="249"/>
      <c r="O135" s="249"/>
      <c r="P135" s="249"/>
      <c r="Q135" s="249"/>
      <c r="R135" s="249"/>
      <c r="S135" s="249"/>
      <c r="T135" s="249"/>
      <c r="U135" s="249"/>
      <c r="V135" s="249"/>
    </row>
    <row r="136" spans="1:22" s="21" customFormat="1" x14ac:dyDescent="0.2">
      <c r="A136" s="247"/>
      <c r="B136" s="246"/>
      <c r="C136" s="255" t="s">
        <v>274</v>
      </c>
      <c r="D136" s="238">
        <v>1E-4</v>
      </c>
      <c r="E136" s="246">
        <v>2.0000000000000001E-4</v>
      </c>
      <c r="F136" s="248"/>
      <c r="G136" s="246">
        <v>0.42259999999999998</v>
      </c>
      <c r="H136" s="246">
        <v>0.313</v>
      </c>
      <c r="I136" s="246"/>
      <c r="J136" s="113"/>
      <c r="M136" s="10"/>
      <c r="N136" s="249"/>
      <c r="O136" s="249"/>
      <c r="P136" s="249"/>
      <c r="Q136" s="249"/>
      <c r="R136" s="249"/>
      <c r="S136" s="249"/>
      <c r="T136" s="249"/>
      <c r="U136" s="249"/>
      <c r="V136" s="249"/>
    </row>
    <row r="137" spans="1:22" s="21" customFormat="1" x14ac:dyDescent="0.2">
      <c r="A137" s="247"/>
      <c r="B137" s="246"/>
      <c r="C137" s="255" t="s">
        <v>9</v>
      </c>
      <c r="D137" s="242">
        <v>2.9999999999999997E-4</v>
      </c>
      <c r="E137" s="246">
        <v>6.9999999999999999E-4</v>
      </c>
      <c r="F137" s="246">
        <v>0.42259999999999998</v>
      </c>
      <c r="G137" s="248"/>
      <c r="H137" s="246">
        <v>0.218</v>
      </c>
      <c r="I137" s="246"/>
      <c r="J137" s="113"/>
      <c r="M137" s="10"/>
      <c r="N137" s="249"/>
      <c r="O137" s="249"/>
      <c r="P137" s="249"/>
      <c r="Q137" s="249"/>
      <c r="R137" s="249"/>
      <c r="S137" s="249"/>
      <c r="T137" s="249"/>
      <c r="U137" s="249"/>
      <c r="V137" s="249"/>
    </row>
    <row r="138" spans="1:22" s="26" customFormat="1" x14ac:dyDescent="0.2">
      <c r="A138" s="251"/>
      <c r="B138" s="250"/>
      <c r="C138" s="256" t="s">
        <v>106</v>
      </c>
      <c r="D138" s="238">
        <v>1E-4</v>
      </c>
      <c r="E138" s="246">
        <v>0.81169999999999998</v>
      </c>
      <c r="F138" s="246">
        <v>0.313</v>
      </c>
      <c r="G138" s="246">
        <v>0.218</v>
      </c>
      <c r="H138" s="252"/>
      <c r="I138" s="250"/>
      <c r="J138" s="141"/>
      <c r="M138" s="11"/>
      <c r="N138" s="253"/>
      <c r="O138" s="253"/>
      <c r="P138" s="253"/>
      <c r="Q138" s="253"/>
      <c r="R138" s="253"/>
      <c r="S138" s="253"/>
      <c r="T138" s="253"/>
      <c r="U138" s="253"/>
      <c r="V138" s="253"/>
    </row>
    <row r="139" spans="1:22" x14ac:dyDescent="0.2">
      <c r="A139" s="240" t="s">
        <v>1128</v>
      </c>
      <c r="B139" s="242" t="s">
        <v>1131</v>
      </c>
      <c r="C139" s="257" t="s">
        <v>7</v>
      </c>
      <c r="D139" s="239"/>
      <c r="E139" s="238">
        <v>5.0000000000000001E-4</v>
      </c>
      <c r="F139" s="238">
        <v>6.8999999999999999E-3</v>
      </c>
      <c r="G139" s="238">
        <v>5.3900000000000003E-2</v>
      </c>
      <c r="H139" s="238">
        <v>0.1104</v>
      </c>
      <c r="I139" s="238"/>
      <c r="J139" s="90"/>
      <c r="K139"/>
      <c r="L139"/>
      <c r="M139" s="10"/>
      <c r="U139" s="56"/>
      <c r="V139" s="56"/>
    </row>
    <row r="140" spans="1:22" x14ac:dyDescent="0.2">
      <c r="A140" s="240"/>
      <c r="B140" s="238"/>
      <c r="C140" s="257" t="s">
        <v>272</v>
      </c>
      <c r="D140" s="238">
        <v>5.0000000000000001E-4</v>
      </c>
      <c r="E140" s="239"/>
      <c r="F140" s="238">
        <v>4.5400000000000003E-2</v>
      </c>
      <c r="G140" s="238">
        <v>1.2999999999999999E-2</v>
      </c>
      <c r="H140" s="238">
        <v>6.4999999999999997E-3</v>
      </c>
      <c r="I140" s="238"/>
      <c r="J140" s="90"/>
      <c r="K140"/>
      <c r="L140"/>
      <c r="M140" s="10"/>
      <c r="U140" s="56"/>
      <c r="V140" s="56"/>
    </row>
    <row r="141" spans="1:22" x14ac:dyDescent="0.2">
      <c r="A141" s="240"/>
      <c r="B141" s="238"/>
      <c r="C141" s="257" t="s">
        <v>274</v>
      </c>
      <c r="D141" s="238">
        <v>6.8999999999999999E-3</v>
      </c>
      <c r="E141" s="238">
        <v>4.5400000000000003E-2</v>
      </c>
      <c r="F141" s="239"/>
      <c r="G141" s="238">
        <v>0.33139999999999997</v>
      </c>
      <c r="H141" s="238">
        <v>0.4738</v>
      </c>
      <c r="I141" s="238"/>
      <c r="J141" s="90"/>
      <c r="K141"/>
      <c r="L141"/>
      <c r="M141" s="10"/>
      <c r="U141" s="56"/>
      <c r="V141" s="56"/>
    </row>
    <row r="142" spans="1:22" x14ac:dyDescent="0.2">
      <c r="A142" s="240"/>
      <c r="B142" s="238"/>
      <c r="C142" s="257" t="s">
        <v>9</v>
      </c>
      <c r="D142" s="238">
        <v>5.3900000000000003E-2</v>
      </c>
      <c r="E142" s="238">
        <v>1.2999999999999999E-2</v>
      </c>
      <c r="F142" s="238">
        <v>0.33139999999999997</v>
      </c>
      <c r="G142" s="239"/>
      <c r="H142" s="238">
        <v>0.96799999999999997</v>
      </c>
      <c r="I142" s="238"/>
      <c r="J142" s="90"/>
      <c r="K142"/>
      <c r="L142"/>
      <c r="M142" s="10"/>
      <c r="U142" s="56"/>
      <c r="V142" s="56"/>
    </row>
    <row r="143" spans="1:22" x14ac:dyDescent="0.2">
      <c r="A143" s="240"/>
      <c r="B143" s="238"/>
      <c r="C143" s="257" t="s">
        <v>106</v>
      </c>
      <c r="D143" s="238">
        <v>0.1104</v>
      </c>
      <c r="E143" s="238">
        <v>6.4999999999999997E-3</v>
      </c>
      <c r="F143" s="238">
        <v>0.4738</v>
      </c>
      <c r="G143" s="238">
        <v>0.96799999999999997</v>
      </c>
      <c r="H143" s="239"/>
      <c r="I143" s="238"/>
      <c r="J143" s="90"/>
      <c r="K143"/>
      <c r="L143"/>
      <c r="M143" s="10"/>
      <c r="U143" s="56"/>
      <c r="V143" s="56"/>
    </row>
    <row r="144" spans="1:22" s="18" customFormat="1" x14ac:dyDescent="0.2">
      <c r="A144" s="243" t="s">
        <v>1130</v>
      </c>
      <c r="B144" s="242" t="s">
        <v>1131</v>
      </c>
      <c r="C144" s="254" t="s">
        <v>7</v>
      </c>
      <c r="D144" s="244"/>
      <c r="E144" s="242" t="s">
        <v>1131</v>
      </c>
      <c r="F144" s="242">
        <v>0.82879999999999998</v>
      </c>
      <c r="G144" s="242">
        <v>0.96209999999999996</v>
      </c>
      <c r="H144" s="242">
        <v>0.11310000000000001</v>
      </c>
      <c r="I144" s="242"/>
      <c r="J144" s="241"/>
      <c r="M144" s="19"/>
      <c r="N144" s="245"/>
      <c r="O144" s="245"/>
      <c r="P144" s="245"/>
      <c r="Q144" s="245"/>
      <c r="R144" s="245"/>
      <c r="S144" s="245"/>
      <c r="T144" s="245"/>
      <c r="U144" s="245"/>
      <c r="V144" s="245"/>
    </row>
    <row r="145" spans="1:22" s="21" customFormat="1" x14ac:dyDescent="0.2">
      <c r="A145" s="247"/>
      <c r="B145" s="246"/>
      <c r="C145" s="255" t="s">
        <v>272</v>
      </c>
      <c r="D145" s="246" t="s">
        <v>1131</v>
      </c>
      <c r="E145" s="248"/>
      <c r="F145" s="242" t="s">
        <v>1131</v>
      </c>
      <c r="G145" s="246">
        <v>1E-4</v>
      </c>
      <c r="H145" s="246">
        <v>1E-4</v>
      </c>
      <c r="I145" s="246"/>
      <c r="J145" s="113"/>
      <c r="M145" s="10"/>
      <c r="N145" s="249"/>
      <c r="O145" s="249"/>
      <c r="P145" s="249"/>
      <c r="Q145" s="249"/>
      <c r="R145" s="249"/>
      <c r="S145" s="249"/>
      <c r="T145" s="249"/>
      <c r="U145" s="249"/>
      <c r="V145" s="249"/>
    </row>
    <row r="146" spans="1:22" s="21" customFormat="1" x14ac:dyDescent="0.2">
      <c r="A146" s="247"/>
      <c r="B146" s="246"/>
      <c r="C146" s="255" t="s">
        <v>274</v>
      </c>
      <c r="D146" s="246">
        <v>0.82879999999999998</v>
      </c>
      <c r="E146" s="242" t="s">
        <v>1131</v>
      </c>
      <c r="F146" s="248"/>
      <c r="G146" s="246">
        <v>0.99139999999999995</v>
      </c>
      <c r="H146" s="246">
        <v>7.6399999999999996E-2</v>
      </c>
      <c r="I146" s="246"/>
      <c r="J146" s="113"/>
      <c r="M146" s="10"/>
      <c r="N146" s="249"/>
      <c r="O146" s="249"/>
      <c r="P146" s="249"/>
      <c r="Q146" s="249"/>
      <c r="R146" s="249"/>
      <c r="S146" s="249"/>
      <c r="T146" s="249"/>
      <c r="U146" s="249"/>
      <c r="V146" s="249"/>
    </row>
    <row r="147" spans="1:22" s="21" customFormat="1" x14ac:dyDescent="0.2">
      <c r="A147" s="247"/>
      <c r="B147" s="246"/>
      <c r="C147" s="255" t="s">
        <v>9</v>
      </c>
      <c r="D147" s="246">
        <v>0.96209999999999996</v>
      </c>
      <c r="E147" s="246">
        <v>1E-4</v>
      </c>
      <c r="F147" s="246">
        <v>0.99139999999999995</v>
      </c>
      <c r="G147" s="248"/>
      <c r="H147" s="246">
        <v>0.21110000000000001</v>
      </c>
      <c r="I147" s="246"/>
      <c r="J147" s="113"/>
      <c r="M147" s="10"/>
      <c r="N147" s="249"/>
      <c r="O147" s="249"/>
      <c r="P147" s="249"/>
      <c r="Q147" s="249"/>
      <c r="R147" s="249"/>
      <c r="S147" s="249"/>
      <c r="T147" s="249"/>
      <c r="U147" s="249"/>
      <c r="V147" s="249"/>
    </row>
    <row r="148" spans="1:22" s="26" customFormat="1" x14ac:dyDescent="0.2">
      <c r="A148" s="251"/>
      <c r="B148" s="250"/>
      <c r="C148" s="256" t="s">
        <v>106</v>
      </c>
      <c r="D148" s="246">
        <v>0.11310000000000001</v>
      </c>
      <c r="E148" s="246">
        <v>1E-4</v>
      </c>
      <c r="F148" s="246">
        <v>7.6399999999999996E-2</v>
      </c>
      <c r="G148" s="246">
        <v>0.21110000000000001</v>
      </c>
      <c r="H148" s="248"/>
      <c r="I148" s="250"/>
      <c r="J148" s="141"/>
      <c r="M148" s="11"/>
      <c r="N148" s="253"/>
      <c r="O148" s="253"/>
      <c r="P148" s="253"/>
      <c r="Q148" s="253"/>
      <c r="R148" s="253"/>
      <c r="S148" s="253"/>
      <c r="T148" s="253"/>
      <c r="U148" s="253"/>
      <c r="V148" s="253"/>
    </row>
    <row r="149" spans="1:22" x14ac:dyDescent="0.2">
      <c r="A149" s="240" t="s">
        <v>1132</v>
      </c>
      <c r="B149" s="242" t="s">
        <v>1131</v>
      </c>
      <c r="C149" s="257" t="s">
        <v>7</v>
      </c>
      <c r="D149" s="239"/>
      <c r="E149" s="242">
        <v>1.6999999999999999E-3</v>
      </c>
      <c r="F149" s="242">
        <v>0.97609999999999997</v>
      </c>
      <c r="G149" s="242">
        <v>0.50870000000000004</v>
      </c>
      <c r="H149" s="242">
        <v>0.15229999999999999</v>
      </c>
      <c r="I149" s="238"/>
      <c r="J149" s="90"/>
      <c r="K149"/>
      <c r="L149"/>
      <c r="M149" s="10"/>
      <c r="U149" s="56"/>
      <c r="V149" s="56"/>
    </row>
    <row r="150" spans="1:22" x14ac:dyDescent="0.2">
      <c r="A150" s="240"/>
      <c r="B150" s="238"/>
      <c r="C150" s="257" t="s">
        <v>272</v>
      </c>
      <c r="D150" s="238">
        <v>1.6999999999999999E-3</v>
      </c>
      <c r="E150" s="239"/>
      <c r="F150" s="238">
        <v>5.0000000000000001E-4</v>
      </c>
      <c r="G150" s="238">
        <v>3.6700000000000003E-2</v>
      </c>
      <c r="H150" s="238">
        <v>8.6E-3</v>
      </c>
      <c r="I150" s="238"/>
      <c r="J150" s="90"/>
      <c r="K150"/>
      <c r="L150"/>
      <c r="M150" s="10"/>
      <c r="U150" s="56"/>
      <c r="V150" s="56"/>
    </row>
    <row r="151" spans="1:22" x14ac:dyDescent="0.2">
      <c r="A151" s="240"/>
      <c r="B151" s="238"/>
      <c r="C151" s="257" t="s">
        <v>274</v>
      </c>
      <c r="D151" s="238">
        <v>0.97609999999999997</v>
      </c>
      <c r="E151" s="238">
        <v>5.0000000000000001E-4</v>
      </c>
      <c r="F151" s="239"/>
      <c r="G151" s="238">
        <v>0.2011</v>
      </c>
      <c r="H151" s="238">
        <v>2.1299999999999999E-2</v>
      </c>
      <c r="I151" s="238"/>
      <c r="J151" s="90"/>
      <c r="K151"/>
      <c r="L151"/>
      <c r="M151" s="10"/>
      <c r="U151" s="56"/>
      <c r="V151" s="56"/>
    </row>
    <row r="152" spans="1:22" x14ac:dyDescent="0.2">
      <c r="A152" s="240"/>
      <c r="B152" s="238"/>
      <c r="C152" s="257" t="s">
        <v>9</v>
      </c>
      <c r="D152" s="238">
        <v>0.50870000000000004</v>
      </c>
      <c r="E152" s="238">
        <v>3.6700000000000003E-2</v>
      </c>
      <c r="F152" s="238">
        <v>0.2011</v>
      </c>
      <c r="G152" s="239"/>
      <c r="H152" s="238">
        <v>0.95540000000000003</v>
      </c>
      <c r="I152" s="238"/>
      <c r="J152" s="90"/>
      <c r="K152"/>
      <c r="L152"/>
      <c r="M152" s="10"/>
      <c r="U152" s="56"/>
      <c r="V152" s="56"/>
    </row>
    <row r="153" spans="1:22" x14ac:dyDescent="0.2">
      <c r="A153" s="240"/>
      <c r="B153" s="238"/>
      <c r="C153" s="257" t="s">
        <v>106</v>
      </c>
      <c r="D153" s="238">
        <v>0.15229999999999999</v>
      </c>
      <c r="E153" s="238">
        <v>8.6E-3</v>
      </c>
      <c r="F153" s="238">
        <v>2.1299999999999999E-2</v>
      </c>
      <c r="G153" s="238">
        <v>0.95540000000000003</v>
      </c>
      <c r="H153" s="239"/>
      <c r="I153" s="238"/>
      <c r="J153" s="90"/>
      <c r="K153"/>
      <c r="L153"/>
      <c r="M153" s="10"/>
      <c r="U153" s="56"/>
      <c r="V153" s="56"/>
    </row>
    <row r="154" spans="1:22" s="18" customFormat="1" x14ac:dyDescent="0.2">
      <c r="A154" s="243" t="s">
        <v>10</v>
      </c>
      <c r="B154" s="242" t="s">
        <v>1131</v>
      </c>
      <c r="C154" s="254" t="s">
        <v>7</v>
      </c>
      <c r="D154" s="244"/>
      <c r="E154" s="242">
        <v>0.19089999999999999</v>
      </c>
      <c r="F154" s="242">
        <v>1E-3</v>
      </c>
      <c r="G154" s="242" t="s">
        <v>1131</v>
      </c>
      <c r="H154" s="242">
        <v>0.28839999999999999</v>
      </c>
      <c r="I154" s="242"/>
      <c r="J154" s="241"/>
      <c r="M154" s="19"/>
      <c r="N154" s="245"/>
      <c r="O154" s="245"/>
      <c r="P154" s="245"/>
      <c r="Q154" s="245"/>
      <c r="R154" s="245"/>
      <c r="S154" s="245"/>
      <c r="T154" s="245"/>
      <c r="U154" s="245"/>
      <c r="V154" s="245"/>
    </row>
    <row r="155" spans="1:22" s="21" customFormat="1" x14ac:dyDescent="0.2">
      <c r="A155" s="247"/>
      <c r="B155" s="246"/>
      <c r="C155" s="255" t="s">
        <v>272</v>
      </c>
      <c r="D155" s="246">
        <v>0.19089999999999999</v>
      </c>
      <c r="E155" s="248"/>
      <c r="F155" s="246">
        <v>0.1865</v>
      </c>
      <c r="G155" s="246" t="s">
        <v>1131</v>
      </c>
      <c r="H155" s="246" t="s">
        <v>1133</v>
      </c>
      <c r="I155" s="246"/>
      <c r="J155" s="113"/>
      <c r="M155" s="10"/>
      <c r="N155" s="249"/>
      <c r="O155" s="249"/>
      <c r="P155" s="249"/>
      <c r="Q155" s="249"/>
      <c r="R155" s="249"/>
      <c r="S155" s="249"/>
      <c r="T155" s="249"/>
      <c r="U155" s="249"/>
      <c r="V155" s="249"/>
    </row>
    <row r="156" spans="1:22" s="21" customFormat="1" x14ac:dyDescent="0.2">
      <c r="A156" s="247"/>
      <c r="B156" s="246"/>
      <c r="C156" s="255" t="s">
        <v>274</v>
      </c>
      <c r="D156" s="246">
        <v>1E-3</v>
      </c>
      <c r="E156" s="246">
        <v>0.1865</v>
      </c>
      <c r="F156" s="248"/>
      <c r="G156" s="246" t="s">
        <v>1131</v>
      </c>
      <c r="H156" s="246">
        <v>0.34</v>
      </c>
      <c r="I156" s="246"/>
      <c r="J156" s="113"/>
      <c r="M156" s="10"/>
      <c r="N156" s="249"/>
      <c r="O156" s="249"/>
      <c r="P156" s="249"/>
      <c r="Q156" s="249"/>
      <c r="R156" s="249"/>
      <c r="S156" s="249"/>
      <c r="T156" s="249"/>
      <c r="U156" s="249"/>
      <c r="V156" s="249"/>
    </row>
    <row r="157" spans="1:22" s="21" customFormat="1" x14ac:dyDescent="0.2">
      <c r="A157" s="247"/>
      <c r="B157" s="246"/>
      <c r="C157" s="255" t="s">
        <v>9</v>
      </c>
      <c r="D157" s="246" t="s">
        <v>1131</v>
      </c>
      <c r="E157" s="246" t="s">
        <v>1131</v>
      </c>
      <c r="F157" s="246" t="s">
        <v>1131</v>
      </c>
      <c r="G157" s="248"/>
      <c r="H157" s="246" t="s">
        <v>1131</v>
      </c>
      <c r="I157" s="246"/>
      <c r="J157" s="113"/>
      <c r="M157" s="10"/>
      <c r="N157" s="249"/>
      <c r="O157" s="249"/>
      <c r="P157" s="249"/>
      <c r="Q157" s="249"/>
      <c r="R157" s="249"/>
      <c r="S157" s="249"/>
      <c r="T157" s="249"/>
      <c r="U157" s="249"/>
      <c r="V157" s="249"/>
    </row>
    <row r="158" spans="1:22" s="26" customFormat="1" x14ac:dyDescent="0.2">
      <c r="A158" s="251"/>
      <c r="B158" s="250"/>
      <c r="C158" s="256" t="s">
        <v>106</v>
      </c>
      <c r="D158" s="246">
        <v>0.28839999999999999</v>
      </c>
      <c r="E158" s="246" t="s">
        <v>1133</v>
      </c>
      <c r="F158" s="246">
        <v>0.34</v>
      </c>
      <c r="G158" s="246" t="s">
        <v>1131</v>
      </c>
      <c r="H158" s="248"/>
      <c r="I158" s="250"/>
      <c r="J158" s="141"/>
      <c r="M158" s="11"/>
      <c r="N158" s="253"/>
      <c r="O158" s="253"/>
      <c r="P158" s="253"/>
      <c r="Q158" s="253"/>
      <c r="R158" s="253"/>
      <c r="S158" s="253"/>
      <c r="T158" s="253"/>
      <c r="U158" s="253"/>
      <c r="V158" s="253"/>
    </row>
    <row r="159" spans="1:22" x14ac:dyDescent="0.2">
      <c r="A159" s="240" t="s">
        <v>1129</v>
      </c>
      <c r="B159" s="242" t="s">
        <v>1131</v>
      </c>
      <c r="C159" s="257" t="s">
        <v>7</v>
      </c>
      <c r="D159" s="244"/>
      <c r="E159" s="242">
        <v>0.40810000000000002</v>
      </c>
      <c r="F159" s="242">
        <v>2.7000000000000001E-3</v>
      </c>
      <c r="G159" s="242" t="s">
        <v>1131</v>
      </c>
      <c r="H159" s="242">
        <v>0.34039999999999998</v>
      </c>
      <c r="I159" s="90"/>
      <c r="J159" s="90"/>
      <c r="K159"/>
      <c r="L159" s="10"/>
      <c r="U159" s="56"/>
    </row>
    <row r="160" spans="1:22" x14ac:dyDescent="0.2">
      <c r="A160" s="238"/>
      <c r="B160" s="238"/>
      <c r="C160" s="257" t="s">
        <v>272</v>
      </c>
      <c r="D160" s="246">
        <v>0.40810000000000002</v>
      </c>
      <c r="E160" s="239"/>
      <c r="F160" s="238">
        <v>0.25650000000000001</v>
      </c>
      <c r="G160" s="246" t="s">
        <v>1131</v>
      </c>
      <c r="H160" s="246" t="s">
        <v>1133</v>
      </c>
      <c r="I160" s="238"/>
      <c r="J160" s="90"/>
      <c r="K160"/>
      <c r="L160"/>
      <c r="M160" s="10"/>
      <c r="U160" s="56"/>
      <c r="V160" s="56"/>
    </row>
    <row r="161" spans="1:22" x14ac:dyDescent="0.2">
      <c r="A161" s="238"/>
      <c r="B161" s="238"/>
      <c r="C161" s="257" t="s">
        <v>274</v>
      </c>
      <c r="D161" s="246">
        <v>2.7000000000000001E-3</v>
      </c>
      <c r="E161" s="238">
        <v>0.25650000000000001</v>
      </c>
      <c r="F161" s="239"/>
      <c r="G161" s="246" t="s">
        <v>1131</v>
      </c>
      <c r="H161" s="238">
        <v>0.15709999999999999</v>
      </c>
      <c r="I161" s="238"/>
      <c r="J161" s="90"/>
      <c r="K161"/>
      <c r="L161"/>
      <c r="M161" s="10"/>
      <c r="U161" s="56"/>
      <c r="V161" s="56"/>
    </row>
    <row r="162" spans="1:22" x14ac:dyDescent="0.2">
      <c r="A162" s="238"/>
      <c r="B162" s="238"/>
      <c r="C162" s="257" t="s">
        <v>9</v>
      </c>
      <c r="D162" s="246" t="s">
        <v>1131</v>
      </c>
      <c r="E162" s="246" t="s">
        <v>1131</v>
      </c>
      <c r="F162" s="246" t="s">
        <v>1131</v>
      </c>
      <c r="G162" s="239"/>
      <c r="H162" s="246" t="s">
        <v>1131</v>
      </c>
      <c r="I162" s="238"/>
      <c r="J162" s="90"/>
      <c r="K162"/>
      <c r="L162"/>
      <c r="M162" s="10"/>
      <c r="U162" s="56"/>
      <c r="V162" s="56"/>
    </row>
    <row r="163" spans="1:22" x14ac:dyDescent="0.2">
      <c r="A163" s="238"/>
      <c r="B163" s="238"/>
      <c r="C163" s="257" t="s">
        <v>106</v>
      </c>
      <c r="D163" s="246">
        <v>0.34039999999999998</v>
      </c>
      <c r="E163" s="246" t="s">
        <v>1133</v>
      </c>
      <c r="F163" s="238">
        <v>0.15709999999999999</v>
      </c>
      <c r="G163" s="246" t="s">
        <v>1131</v>
      </c>
      <c r="H163" s="239"/>
      <c r="I163" s="238"/>
      <c r="J163" s="90"/>
      <c r="K163"/>
      <c r="L163"/>
      <c r="M163" s="10"/>
      <c r="U163" s="56"/>
      <c r="V163" s="56"/>
    </row>
    <row r="164" spans="1:22" x14ac:dyDescent="0.2">
      <c r="A164" s="235"/>
    </row>
    <row r="165" spans="1:22" x14ac:dyDescent="0.2">
      <c r="A165" s="235"/>
    </row>
    <row r="166" spans="1:22" x14ac:dyDescent="0.2">
      <c r="A166" s="235"/>
    </row>
    <row r="167" spans="1:22" x14ac:dyDescent="0.2">
      <c r="A167" s="235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53DDCF-2E12-A344-9186-6A2D7EFB4435}">
  <sheetPr codeName="Sheet4"/>
  <dimension ref="A1:AZ46"/>
  <sheetViews>
    <sheetView workbookViewId="0"/>
  </sheetViews>
  <sheetFormatPr baseColWidth="10" defaultRowHeight="16" x14ac:dyDescent="0.2"/>
  <cols>
    <col min="2" max="2" width="15.6640625" customWidth="1"/>
  </cols>
  <sheetData>
    <row r="1" spans="1:52" x14ac:dyDescent="0.2">
      <c r="A1" t="s">
        <v>147</v>
      </c>
    </row>
    <row r="2" spans="1:52" x14ac:dyDescent="0.2">
      <c r="A2">
        <v>102816</v>
      </c>
      <c r="B2" s="63" t="s">
        <v>113</v>
      </c>
      <c r="C2" s="63" t="s">
        <v>114</v>
      </c>
      <c r="E2">
        <v>72417</v>
      </c>
      <c r="F2" s="63" t="s">
        <v>115</v>
      </c>
      <c r="G2" s="63" t="s">
        <v>116</v>
      </c>
      <c r="I2">
        <v>21018</v>
      </c>
      <c r="J2" s="63" t="s">
        <v>115</v>
      </c>
      <c r="K2" s="63" t="s">
        <v>117</v>
      </c>
      <c r="M2">
        <v>71217</v>
      </c>
      <c r="N2" t="s">
        <v>118</v>
      </c>
      <c r="O2" t="s">
        <v>116</v>
      </c>
      <c r="Q2">
        <v>9117</v>
      </c>
      <c r="R2" t="s">
        <v>119</v>
      </c>
      <c r="S2" t="s">
        <v>120</v>
      </c>
      <c r="U2">
        <v>41918</v>
      </c>
      <c r="V2" t="s">
        <v>115</v>
      </c>
      <c r="W2" t="s">
        <v>117</v>
      </c>
      <c r="Y2">
        <v>61918</v>
      </c>
      <c r="Z2" t="s">
        <v>118</v>
      </c>
      <c r="AA2" t="s">
        <v>121</v>
      </c>
      <c r="AC2" t="s">
        <v>122</v>
      </c>
      <c r="AD2" t="s">
        <v>123</v>
      </c>
      <c r="AE2" t="s">
        <v>124</v>
      </c>
      <c r="AG2" s="63" t="s">
        <v>122</v>
      </c>
      <c r="AH2" t="s">
        <v>125</v>
      </c>
      <c r="AI2" t="s">
        <v>126</v>
      </c>
      <c r="AK2" t="s">
        <v>122</v>
      </c>
      <c r="AL2" t="s">
        <v>127</v>
      </c>
      <c r="AM2" t="s">
        <v>128</v>
      </c>
    </row>
    <row r="3" spans="1:52" x14ac:dyDescent="0.2">
      <c r="A3" s="63" t="s">
        <v>129</v>
      </c>
      <c r="B3" s="64">
        <v>9.92</v>
      </c>
      <c r="C3" s="64">
        <v>12.38</v>
      </c>
      <c r="E3" s="63" t="s">
        <v>17</v>
      </c>
      <c r="F3">
        <v>42.86</v>
      </c>
      <c r="G3">
        <v>34.4</v>
      </c>
      <c r="I3" s="63" t="s">
        <v>17</v>
      </c>
      <c r="J3">
        <v>3.7</v>
      </c>
      <c r="K3" s="89">
        <v>1.61</v>
      </c>
      <c r="M3" t="s">
        <v>17</v>
      </c>
      <c r="N3">
        <v>105.78</v>
      </c>
      <c r="O3">
        <v>104.63</v>
      </c>
      <c r="Q3" t="s">
        <v>17</v>
      </c>
      <c r="R3">
        <v>91.97</v>
      </c>
      <c r="S3">
        <v>129.24</v>
      </c>
      <c r="U3" s="90" t="s">
        <v>17</v>
      </c>
      <c r="V3" s="89" t="s">
        <v>130</v>
      </c>
      <c r="W3" s="89" t="s">
        <v>130</v>
      </c>
      <c r="X3" s="90"/>
      <c r="Y3" t="s">
        <v>131</v>
      </c>
      <c r="Z3" s="64">
        <v>76.59</v>
      </c>
      <c r="AA3" s="64">
        <v>74.19</v>
      </c>
      <c r="AC3" s="63" t="s">
        <v>17</v>
      </c>
      <c r="AD3" s="64">
        <v>110.49</v>
      </c>
      <c r="AE3" s="64">
        <v>64.56</v>
      </c>
      <c r="AG3" s="63" t="s">
        <v>17</v>
      </c>
      <c r="AH3" s="64">
        <v>16.329999999999998</v>
      </c>
      <c r="AI3" s="66">
        <v>2.04</v>
      </c>
      <c r="AK3" s="63" t="s">
        <v>17</v>
      </c>
      <c r="AL3" s="66">
        <v>2.04</v>
      </c>
      <c r="AM3" s="66">
        <v>2.04</v>
      </c>
    </row>
    <row r="4" spans="1:52" x14ac:dyDescent="0.2">
      <c r="A4" s="63" t="s">
        <v>132</v>
      </c>
      <c r="B4" s="64">
        <v>22363.59</v>
      </c>
      <c r="C4">
        <v>31665.01</v>
      </c>
      <c r="E4" s="63" t="s">
        <v>15</v>
      </c>
      <c r="F4" s="65">
        <v>40.42</v>
      </c>
      <c r="G4" s="65">
        <v>95.11</v>
      </c>
      <c r="I4" s="91" t="s">
        <v>15</v>
      </c>
      <c r="J4" s="90">
        <v>1158.6300000000001</v>
      </c>
      <c r="K4" s="90">
        <v>848.85</v>
      </c>
      <c r="L4" s="90"/>
      <c r="M4" s="90" t="s">
        <v>15</v>
      </c>
      <c r="N4" s="92">
        <v>118.57</v>
      </c>
      <c r="O4" s="92">
        <v>91.63</v>
      </c>
      <c r="P4" s="90"/>
      <c r="Q4" s="90" t="s">
        <v>15</v>
      </c>
      <c r="R4" s="90">
        <v>5281.39</v>
      </c>
      <c r="S4" s="90">
        <v>5024.67</v>
      </c>
      <c r="T4" s="90"/>
      <c r="U4" s="90" t="s">
        <v>15</v>
      </c>
      <c r="V4" s="90">
        <v>4037.25</v>
      </c>
      <c r="W4" s="90">
        <v>3084.83</v>
      </c>
      <c r="X4" s="90"/>
      <c r="Y4" s="90" t="s">
        <v>15</v>
      </c>
      <c r="Z4" s="94">
        <v>881.58</v>
      </c>
      <c r="AA4" s="94">
        <v>773.16</v>
      </c>
      <c r="AB4" s="90"/>
      <c r="AC4" s="91" t="s">
        <v>15</v>
      </c>
      <c r="AD4" s="92">
        <v>4326.59</v>
      </c>
      <c r="AE4" s="93">
        <v>11755.98</v>
      </c>
      <c r="AF4" s="90"/>
      <c r="AG4" s="91" t="s">
        <v>15</v>
      </c>
      <c r="AH4" s="94">
        <v>809.28</v>
      </c>
      <c r="AI4" s="94">
        <v>273.02999999999997</v>
      </c>
      <c r="AJ4" s="90"/>
      <c r="AK4" s="91" t="s">
        <v>15</v>
      </c>
      <c r="AL4" s="99">
        <v>5157.45</v>
      </c>
      <c r="AM4" s="93">
        <v>12927.37</v>
      </c>
      <c r="AN4" s="90"/>
      <c r="AO4" s="90"/>
      <c r="AP4" s="90"/>
      <c r="AQ4" s="90"/>
      <c r="AR4" s="90"/>
      <c r="AS4" s="90"/>
      <c r="AT4" s="90"/>
      <c r="AU4" s="90"/>
      <c r="AV4" s="90"/>
      <c r="AW4" s="90"/>
      <c r="AX4" s="90"/>
      <c r="AY4" s="90"/>
      <c r="AZ4" s="90"/>
    </row>
    <row r="5" spans="1:52" x14ac:dyDescent="0.2">
      <c r="A5" s="63" t="s">
        <v>13</v>
      </c>
      <c r="B5" s="64">
        <v>2.99</v>
      </c>
      <c r="C5" s="64">
        <v>4.29</v>
      </c>
      <c r="E5" s="63" t="s">
        <v>98</v>
      </c>
      <c r="F5">
        <v>50.12</v>
      </c>
      <c r="G5">
        <v>27.38</v>
      </c>
      <c r="I5" s="91" t="s">
        <v>16</v>
      </c>
      <c r="J5" s="90">
        <v>2.4300000000000002</v>
      </c>
      <c r="K5" s="89">
        <v>1.66</v>
      </c>
      <c r="L5" s="90"/>
      <c r="M5" s="90" t="s">
        <v>98</v>
      </c>
      <c r="N5" s="90">
        <v>16.920000000000002</v>
      </c>
      <c r="O5" s="90">
        <v>23.2</v>
      </c>
      <c r="P5" s="90"/>
      <c r="Q5" s="90" t="s">
        <v>98</v>
      </c>
      <c r="R5" s="90">
        <v>571.71</v>
      </c>
      <c r="S5" s="90">
        <v>426.36</v>
      </c>
      <c r="T5" s="90"/>
      <c r="U5" s="90" t="s">
        <v>98</v>
      </c>
      <c r="V5" s="89" t="s">
        <v>133</v>
      </c>
      <c r="W5" s="89" t="s">
        <v>133</v>
      </c>
      <c r="X5" s="90"/>
      <c r="Y5" s="90" t="s">
        <v>16</v>
      </c>
      <c r="Z5" s="95">
        <v>1100.04</v>
      </c>
      <c r="AA5" s="95">
        <v>956.12</v>
      </c>
      <c r="AB5" s="90"/>
      <c r="AC5" s="91" t="s">
        <v>98</v>
      </c>
      <c r="AD5" s="95">
        <v>51.29</v>
      </c>
      <c r="AE5" s="95">
        <v>22.73</v>
      </c>
      <c r="AF5" s="90"/>
      <c r="AG5" s="91" t="s">
        <v>98</v>
      </c>
      <c r="AH5" s="95">
        <v>74.849999999999994</v>
      </c>
      <c r="AI5" s="95">
        <v>19.7</v>
      </c>
      <c r="AJ5" s="90"/>
      <c r="AK5" s="91" t="s">
        <v>98</v>
      </c>
      <c r="AL5" s="96">
        <v>2.06</v>
      </c>
      <c r="AM5" s="96">
        <v>2.06</v>
      </c>
      <c r="AN5" s="90"/>
      <c r="AO5" s="90"/>
      <c r="AP5" s="90"/>
      <c r="AQ5" s="90"/>
      <c r="AR5" s="90"/>
      <c r="AS5" s="90"/>
      <c r="AT5" s="90"/>
      <c r="AU5" s="90"/>
      <c r="AV5" s="90"/>
      <c r="AW5" s="90"/>
      <c r="AX5" s="90"/>
      <c r="AY5" s="90"/>
      <c r="AZ5" s="90"/>
    </row>
    <row r="6" spans="1:52" x14ac:dyDescent="0.2">
      <c r="A6" s="63" t="s">
        <v>99</v>
      </c>
      <c r="B6" s="64">
        <v>5.57</v>
      </c>
      <c r="C6" s="64">
        <v>2051</v>
      </c>
      <c r="E6" s="63" t="s">
        <v>99</v>
      </c>
      <c r="F6" s="65" t="s">
        <v>134</v>
      </c>
      <c r="G6" s="65">
        <v>14.56</v>
      </c>
      <c r="I6" s="91" t="s">
        <v>99</v>
      </c>
      <c r="J6" s="90">
        <v>7.43</v>
      </c>
      <c r="K6" s="90">
        <v>1099.3</v>
      </c>
      <c r="L6" s="90"/>
      <c r="M6" s="90" t="s">
        <v>99</v>
      </c>
      <c r="N6" s="90">
        <v>1360.76</v>
      </c>
      <c r="O6" s="90">
        <v>1553.52</v>
      </c>
      <c r="P6" s="90"/>
      <c r="Q6" s="90" t="s">
        <v>99</v>
      </c>
      <c r="R6" s="90">
        <v>144.88999999999999</v>
      </c>
      <c r="S6" s="90">
        <v>925.31</v>
      </c>
      <c r="T6" s="90"/>
      <c r="U6" s="90" t="s">
        <v>99</v>
      </c>
      <c r="V6" s="90">
        <v>10.17</v>
      </c>
      <c r="W6" s="90">
        <v>1092.24</v>
      </c>
      <c r="X6" s="90"/>
      <c r="Y6" s="90" t="s">
        <v>99</v>
      </c>
      <c r="Z6" s="95">
        <v>8.1199999999999992</v>
      </c>
      <c r="AA6" s="95">
        <v>27.37</v>
      </c>
      <c r="AB6" s="90"/>
      <c r="AC6" s="91" t="s">
        <v>99</v>
      </c>
      <c r="AD6" s="95">
        <v>594.19000000000005</v>
      </c>
      <c r="AE6" s="95">
        <v>2699.75</v>
      </c>
      <c r="AF6" s="90"/>
      <c r="AG6" s="91" t="s">
        <v>99</v>
      </c>
      <c r="AH6" s="96">
        <v>2.08</v>
      </c>
      <c r="AI6" s="95">
        <v>533.20000000000005</v>
      </c>
      <c r="AJ6" s="90"/>
      <c r="AK6" s="91" t="s">
        <v>99</v>
      </c>
      <c r="AL6" s="95">
        <v>395.35</v>
      </c>
      <c r="AM6" s="95">
        <v>844.51</v>
      </c>
      <c r="AN6" s="90"/>
      <c r="AO6" s="90"/>
      <c r="AP6" s="90"/>
      <c r="AQ6" s="90"/>
      <c r="AR6" s="90"/>
      <c r="AS6" s="90"/>
      <c r="AT6" s="90"/>
      <c r="AU6" s="90"/>
      <c r="AV6" s="90"/>
      <c r="AW6" s="90"/>
      <c r="AX6" s="90"/>
      <c r="AY6" s="90"/>
      <c r="AZ6" s="90"/>
    </row>
    <row r="7" spans="1:52" x14ac:dyDescent="0.2">
      <c r="A7" s="63" t="s">
        <v>135</v>
      </c>
      <c r="B7">
        <v>2.2400000000000002</v>
      </c>
      <c r="C7" s="64">
        <v>13.49</v>
      </c>
      <c r="E7" s="63" t="s">
        <v>100</v>
      </c>
      <c r="F7">
        <v>1730.09</v>
      </c>
      <c r="G7">
        <v>1989.05</v>
      </c>
      <c r="I7" s="91" t="s">
        <v>100</v>
      </c>
      <c r="J7" s="90">
        <v>7.54</v>
      </c>
      <c r="K7" s="90">
        <v>9.19</v>
      </c>
      <c r="L7" s="90"/>
      <c r="M7" s="90" t="s">
        <v>100</v>
      </c>
      <c r="N7" s="90">
        <v>12.18</v>
      </c>
      <c r="O7" s="90">
        <v>38.22</v>
      </c>
      <c r="P7" s="90"/>
      <c r="Q7" s="90" t="s">
        <v>100</v>
      </c>
      <c r="R7" s="90">
        <v>220.04</v>
      </c>
      <c r="S7" s="90">
        <v>598.1</v>
      </c>
      <c r="T7" s="90"/>
      <c r="U7" s="90" t="s">
        <v>100</v>
      </c>
      <c r="V7" s="89" t="s">
        <v>136</v>
      </c>
      <c r="W7" s="89" t="s">
        <v>136</v>
      </c>
      <c r="X7" s="90"/>
      <c r="Y7" s="90" t="s">
        <v>137</v>
      </c>
      <c r="Z7" s="95">
        <v>10.27</v>
      </c>
      <c r="AA7" s="95">
        <v>11.48</v>
      </c>
      <c r="AB7" s="90"/>
      <c r="AC7" s="91" t="s">
        <v>100</v>
      </c>
      <c r="AD7" s="95">
        <v>5.44</v>
      </c>
      <c r="AE7" s="95">
        <v>68.930000000000007</v>
      </c>
      <c r="AF7" s="90"/>
      <c r="AG7" s="91" t="s">
        <v>100</v>
      </c>
      <c r="AH7" s="95">
        <v>12.8</v>
      </c>
      <c r="AI7" s="95">
        <v>127.63</v>
      </c>
      <c r="AJ7" s="90"/>
      <c r="AK7" s="91" t="s">
        <v>100</v>
      </c>
      <c r="AL7" s="96">
        <v>2.16</v>
      </c>
      <c r="AM7" s="96">
        <v>2.16</v>
      </c>
      <c r="AN7" s="90"/>
      <c r="AO7" s="90"/>
      <c r="AP7" s="90"/>
      <c r="AQ7" s="90"/>
      <c r="AR7" s="90"/>
      <c r="AS7" s="90"/>
      <c r="AT7" s="90"/>
      <c r="AU7" s="90"/>
      <c r="AV7" s="90"/>
      <c r="AW7" s="90"/>
      <c r="AX7" s="90"/>
      <c r="AY7" s="90"/>
      <c r="AZ7" s="90"/>
    </row>
    <row r="8" spans="1:52" x14ac:dyDescent="0.2">
      <c r="A8" s="63" t="s">
        <v>138</v>
      </c>
      <c r="B8" s="64">
        <v>5.84</v>
      </c>
      <c r="C8" s="64">
        <v>12.59</v>
      </c>
      <c r="E8" s="63" t="s">
        <v>139</v>
      </c>
      <c r="F8">
        <v>22.85</v>
      </c>
      <c r="G8">
        <v>45.7</v>
      </c>
      <c r="I8" s="91" t="s">
        <v>101</v>
      </c>
      <c r="J8" s="89">
        <v>2.0099999999999998</v>
      </c>
      <c r="K8" s="89">
        <v>2.0099999999999998</v>
      </c>
      <c r="L8" s="90"/>
      <c r="M8" s="90" t="s">
        <v>139</v>
      </c>
      <c r="N8" s="90">
        <v>8.7799999999999994</v>
      </c>
      <c r="O8" s="90">
        <v>26.79</v>
      </c>
      <c r="P8" s="90"/>
      <c r="Q8" s="90" t="s">
        <v>139</v>
      </c>
      <c r="R8" s="90">
        <v>87.36</v>
      </c>
      <c r="S8" s="90">
        <v>70.33</v>
      </c>
      <c r="T8" s="90"/>
      <c r="U8" s="90" t="s">
        <v>139</v>
      </c>
      <c r="V8" s="89" t="s">
        <v>140</v>
      </c>
      <c r="W8" s="89" t="s">
        <v>140</v>
      </c>
      <c r="X8" s="90"/>
      <c r="Y8" s="90" t="s">
        <v>101</v>
      </c>
      <c r="Z8" s="97">
        <v>2.09</v>
      </c>
      <c r="AA8" s="97">
        <v>2.09</v>
      </c>
      <c r="AB8" s="90"/>
      <c r="AC8" s="91" t="s">
        <v>101</v>
      </c>
      <c r="AD8" s="89">
        <v>1.75</v>
      </c>
      <c r="AE8" s="95">
        <v>34.090000000000003</v>
      </c>
      <c r="AF8" s="90"/>
      <c r="AG8" s="91" t="s">
        <v>101</v>
      </c>
      <c r="AH8" s="96">
        <v>1.36</v>
      </c>
      <c r="AI8" s="95">
        <v>10.8</v>
      </c>
      <c r="AJ8" s="90"/>
      <c r="AK8" s="91" t="s">
        <v>101</v>
      </c>
      <c r="AL8" s="96">
        <v>1.36</v>
      </c>
      <c r="AM8" s="95">
        <v>2.67</v>
      </c>
      <c r="AN8" s="90"/>
      <c r="AO8" s="90"/>
      <c r="AP8" s="90"/>
      <c r="AQ8" s="90"/>
      <c r="AR8" s="90"/>
      <c r="AS8" s="90"/>
      <c r="AT8" s="90"/>
      <c r="AU8" s="90"/>
      <c r="AV8" s="90"/>
      <c r="AW8" s="90"/>
      <c r="AX8" s="90"/>
      <c r="AY8" s="90"/>
      <c r="AZ8" s="90"/>
    </row>
    <row r="9" spans="1:52" x14ac:dyDescent="0.2">
      <c r="A9" s="63" t="s">
        <v>12</v>
      </c>
      <c r="B9" s="64">
        <v>7.27</v>
      </c>
      <c r="C9" s="64">
        <v>12.39</v>
      </c>
      <c r="E9" s="63" t="s">
        <v>102</v>
      </c>
      <c r="F9">
        <v>70.7</v>
      </c>
      <c r="G9">
        <v>169.37</v>
      </c>
      <c r="I9" s="91" t="s">
        <v>102</v>
      </c>
      <c r="J9" s="90">
        <v>2.81</v>
      </c>
      <c r="K9" s="89">
        <v>1.38</v>
      </c>
      <c r="L9" s="90"/>
      <c r="M9" s="90" t="s">
        <v>102</v>
      </c>
      <c r="N9" s="90">
        <v>33.869999999999997</v>
      </c>
      <c r="O9" s="90">
        <v>45.62</v>
      </c>
      <c r="P9" s="90"/>
      <c r="Q9" s="90" t="s">
        <v>102</v>
      </c>
      <c r="R9" s="90">
        <v>36.57</v>
      </c>
      <c r="S9" s="90">
        <v>31.79</v>
      </c>
      <c r="T9" s="90"/>
      <c r="U9" s="90" t="s">
        <v>102</v>
      </c>
      <c r="V9" s="89" t="s">
        <v>141</v>
      </c>
      <c r="W9" s="89" t="s">
        <v>141</v>
      </c>
      <c r="X9" s="90"/>
      <c r="Y9" s="90" t="s">
        <v>102</v>
      </c>
      <c r="Z9" s="95">
        <v>16.39</v>
      </c>
      <c r="AA9" s="95">
        <v>13.3</v>
      </c>
      <c r="AB9" s="90"/>
      <c r="AC9" s="91" t="s">
        <v>102</v>
      </c>
      <c r="AD9" s="89">
        <v>3.7</v>
      </c>
      <c r="AE9" s="95">
        <v>36.49</v>
      </c>
      <c r="AF9" s="90"/>
      <c r="AG9" s="91" t="s">
        <v>102</v>
      </c>
      <c r="AH9" s="95">
        <v>0.86</v>
      </c>
      <c r="AI9" s="95">
        <v>44.14</v>
      </c>
      <c r="AJ9" s="90"/>
      <c r="AK9" s="91" t="s">
        <v>102</v>
      </c>
      <c r="AL9" s="97">
        <v>0.39</v>
      </c>
      <c r="AM9" s="95">
        <v>0.71</v>
      </c>
      <c r="AN9" s="90"/>
      <c r="AO9" s="90"/>
      <c r="AP9" s="90"/>
      <c r="AQ9" s="90"/>
      <c r="AR9" s="90"/>
      <c r="AS9" s="90"/>
      <c r="AT9" s="90"/>
      <c r="AU9" s="90"/>
      <c r="AV9" s="90"/>
      <c r="AW9" s="90"/>
      <c r="AX9" s="90"/>
      <c r="AY9" s="90"/>
      <c r="AZ9" s="90"/>
    </row>
    <row r="10" spans="1:52" x14ac:dyDescent="0.2">
      <c r="A10" s="63" t="s">
        <v>10</v>
      </c>
      <c r="B10" s="64">
        <v>53.08</v>
      </c>
      <c r="C10" s="64">
        <v>27.5</v>
      </c>
      <c r="E10" s="63" t="s">
        <v>10</v>
      </c>
      <c r="F10">
        <v>313.98</v>
      </c>
      <c r="G10">
        <v>218.32</v>
      </c>
      <c r="I10" s="91" t="s">
        <v>10</v>
      </c>
      <c r="J10" s="90">
        <v>3.42</v>
      </c>
      <c r="K10" s="90">
        <v>2.83</v>
      </c>
      <c r="L10" s="90"/>
      <c r="M10" s="90" t="s">
        <v>10</v>
      </c>
      <c r="N10" s="90">
        <v>17.53</v>
      </c>
      <c r="O10" s="90">
        <v>28.47</v>
      </c>
      <c r="P10" s="90"/>
      <c r="Q10" s="90" t="s">
        <v>10</v>
      </c>
      <c r="R10" s="90">
        <v>77.38</v>
      </c>
      <c r="S10" s="90">
        <v>55.76</v>
      </c>
      <c r="T10" s="90"/>
      <c r="U10" s="90" t="s">
        <v>10</v>
      </c>
      <c r="V10" s="89" t="s">
        <v>142</v>
      </c>
      <c r="W10" s="89" t="s">
        <v>142</v>
      </c>
      <c r="X10" s="90"/>
      <c r="Y10" s="90" t="s">
        <v>10</v>
      </c>
      <c r="Z10" s="95">
        <v>84.33</v>
      </c>
      <c r="AA10" s="95">
        <v>123.72</v>
      </c>
      <c r="AB10" s="90"/>
      <c r="AC10" s="91" t="s">
        <v>10</v>
      </c>
      <c r="AD10" s="95">
        <v>751.91</v>
      </c>
      <c r="AE10" s="95">
        <v>338.72</v>
      </c>
      <c r="AF10" s="90"/>
      <c r="AG10" s="91" t="s">
        <v>10</v>
      </c>
      <c r="AH10" s="95">
        <v>439.71</v>
      </c>
      <c r="AI10" s="95">
        <v>182.99</v>
      </c>
      <c r="AJ10" s="90"/>
      <c r="AK10" s="91" t="s">
        <v>10</v>
      </c>
      <c r="AL10" s="95">
        <v>92.58</v>
      </c>
      <c r="AM10" s="95">
        <v>201.04</v>
      </c>
      <c r="AN10" s="90"/>
      <c r="AO10" s="90"/>
      <c r="AP10" s="90"/>
      <c r="AQ10" s="90"/>
      <c r="AR10" s="90"/>
      <c r="AS10" s="90"/>
      <c r="AT10" s="90"/>
      <c r="AU10" s="90"/>
      <c r="AV10" s="90"/>
      <c r="AW10" s="90"/>
      <c r="AX10" s="90"/>
      <c r="AY10" s="90"/>
      <c r="AZ10" s="90"/>
    </row>
    <row r="11" spans="1:52" x14ac:dyDescent="0.2">
      <c r="A11" s="63" t="s">
        <v>143</v>
      </c>
      <c r="B11">
        <v>1.74</v>
      </c>
      <c r="C11" s="64">
        <v>16.96</v>
      </c>
      <c r="E11" s="63" t="s">
        <v>103</v>
      </c>
      <c r="F11">
        <v>27.19</v>
      </c>
      <c r="G11">
        <v>59.37</v>
      </c>
      <c r="I11" s="91" t="s">
        <v>103</v>
      </c>
      <c r="J11" s="90">
        <v>3.05</v>
      </c>
      <c r="K11" s="90">
        <v>1.51</v>
      </c>
      <c r="L11" s="90"/>
      <c r="M11" s="90" t="s">
        <v>103</v>
      </c>
      <c r="N11" s="90">
        <v>62.16</v>
      </c>
      <c r="O11" s="90">
        <v>77.52</v>
      </c>
      <c r="P11" s="90"/>
      <c r="Q11" s="90" t="s">
        <v>103</v>
      </c>
      <c r="R11" s="97">
        <v>9.11</v>
      </c>
      <c r="S11" s="97">
        <v>9.11</v>
      </c>
      <c r="T11" s="90"/>
      <c r="U11" s="90" t="s">
        <v>103</v>
      </c>
      <c r="V11" s="97" t="s">
        <v>144</v>
      </c>
      <c r="W11" s="97" t="s">
        <v>144</v>
      </c>
      <c r="X11" s="90"/>
      <c r="Y11" s="90" t="s">
        <v>103</v>
      </c>
      <c r="Z11" s="97" t="s">
        <v>145</v>
      </c>
      <c r="AA11" s="97" t="s">
        <v>145</v>
      </c>
      <c r="AB11" s="90"/>
      <c r="AC11" s="91" t="s">
        <v>103</v>
      </c>
      <c r="AD11" s="95">
        <v>1.4</v>
      </c>
      <c r="AE11" s="95">
        <v>13.65</v>
      </c>
      <c r="AF11" s="90"/>
      <c r="AG11" s="91" t="s">
        <v>103</v>
      </c>
      <c r="AH11" s="96">
        <v>2.17</v>
      </c>
      <c r="AI11" s="96">
        <v>2.17</v>
      </c>
      <c r="AJ11" s="90"/>
      <c r="AK11" s="91" t="s">
        <v>103</v>
      </c>
      <c r="AL11" s="96">
        <v>2.17</v>
      </c>
      <c r="AM11" s="95">
        <v>6.91</v>
      </c>
      <c r="AN11" s="90"/>
      <c r="AO11" s="90"/>
      <c r="AP11" s="90"/>
      <c r="AQ11" s="90"/>
      <c r="AR11" s="90"/>
      <c r="AS11" s="90"/>
      <c r="AT11" s="90"/>
      <c r="AU11" s="90"/>
      <c r="AV11" s="90"/>
      <c r="AW11" s="90"/>
      <c r="AX11" s="90"/>
      <c r="AY11" s="90"/>
      <c r="AZ11" s="90"/>
    </row>
    <row r="12" spans="1:52" x14ac:dyDescent="0.2">
      <c r="I12" s="90"/>
      <c r="J12" s="90"/>
      <c r="K12" s="90"/>
      <c r="L12" s="90"/>
      <c r="M12" s="90"/>
      <c r="N12" s="90"/>
      <c r="O12" s="90"/>
      <c r="P12" s="90"/>
      <c r="Q12" s="90"/>
      <c r="R12" s="90"/>
      <c r="S12" s="90"/>
      <c r="T12" s="90"/>
      <c r="U12" s="90"/>
      <c r="V12" s="90"/>
      <c r="W12" s="90"/>
      <c r="X12" s="90"/>
      <c r="Y12" s="90"/>
      <c r="Z12" s="90"/>
      <c r="AA12" s="90"/>
      <c r="AB12" s="90"/>
      <c r="AC12" s="90"/>
      <c r="AD12" s="90"/>
      <c r="AE12" s="90"/>
      <c r="AF12" s="90"/>
      <c r="AG12" s="90"/>
      <c r="AH12" s="90" t="s">
        <v>125</v>
      </c>
      <c r="AI12" s="90" t="s">
        <v>126</v>
      </c>
      <c r="AJ12" s="90"/>
      <c r="AK12" s="90"/>
      <c r="AL12" s="90"/>
      <c r="AM12" s="90"/>
      <c r="AN12" s="90"/>
      <c r="AO12" s="90"/>
      <c r="AP12" s="90"/>
      <c r="AQ12" s="90"/>
      <c r="AR12" s="90"/>
      <c r="AS12" s="90"/>
      <c r="AT12" s="90"/>
      <c r="AU12" s="90"/>
      <c r="AV12" s="90"/>
      <c r="AW12" s="90"/>
      <c r="AX12" s="90"/>
      <c r="AY12" s="90"/>
      <c r="AZ12" s="90"/>
    </row>
    <row r="13" spans="1:52" x14ac:dyDescent="0.2">
      <c r="I13" s="90"/>
      <c r="J13" s="90"/>
      <c r="K13" s="90"/>
      <c r="L13" s="90"/>
      <c r="M13" s="90"/>
      <c r="N13" s="90"/>
      <c r="O13" s="90"/>
      <c r="P13" s="90"/>
      <c r="Q13" s="90"/>
      <c r="R13" s="90"/>
      <c r="S13" s="90"/>
      <c r="T13" s="90"/>
      <c r="U13" s="90"/>
      <c r="V13" s="90"/>
      <c r="W13" s="90"/>
      <c r="X13" s="90"/>
      <c r="Y13" s="90"/>
      <c r="Z13" s="90"/>
      <c r="AA13" s="90"/>
      <c r="AB13" s="90"/>
      <c r="AC13" s="90"/>
      <c r="AD13" s="90" t="s">
        <v>123</v>
      </c>
      <c r="AE13" s="90" t="s">
        <v>124</v>
      </c>
      <c r="AF13" s="90"/>
      <c r="AG13" s="90"/>
      <c r="AH13" s="90" t="s">
        <v>146</v>
      </c>
      <c r="AI13" s="90"/>
      <c r="AJ13" s="90"/>
      <c r="AK13" s="90"/>
      <c r="AL13" s="90" t="s">
        <v>146</v>
      </c>
      <c r="AM13" s="90"/>
      <c r="AN13" s="90"/>
      <c r="AO13" s="90"/>
      <c r="AP13" s="90"/>
      <c r="AQ13" s="90"/>
      <c r="AR13" s="90"/>
      <c r="AS13" s="90"/>
      <c r="AT13" s="90"/>
      <c r="AU13" s="90"/>
      <c r="AV13" s="90"/>
      <c r="AW13" s="90"/>
      <c r="AX13" s="90"/>
      <c r="AY13" s="90"/>
      <c r="AZ13" s="90"/>
    </row>
    <row r="14" spans="1:52" x14ac:dyDescent="0.2">
      <c r="B14" s="63" t="s">
        <v>113</v>
      </c>
      <c r="C14" s="63" t="s">
        <v>114</v>
      </c>
      <c r="F14" s="63" t="s">
        <v>113</v>
      </c>
      <c r="G14" s="63" t="s">
        <v>114</v>
      </c>
      <c r="I14" s="90"/>
      <c r="J14" s="91" t="s">
        <v>113</v>
      </c>
      <c r="K14" s="91" t="s">
        <v>114</v>
      </c>
      <c r="L14" s="90"/>
      <c r="M14" s="90"/>
      <c r="N14" s="91" t="s">
        <v>113</v>
      </c>
      <c r="O14" s="91" t="s">
        <v>114</v>
      </c>
      <c r="P14" s="90"/>
      <c r="Q14" s="98"/>
      <c r="R14" s="91" t="s">
        <v>113</v>
      </c>
      <c r="S14" s="91" t="s">
        <v>114</v>
      </c>
      <c r="T14" s="90"/>
      <c r="U14" s="90"/>
      <c r="V14" s="91" t="s">
        <v>113</v>
      </c>
      <c r="W14" s="91" t="s">
        <v>114</v>
      </c>
      <c r="X14" s="90"/>
      <c r="Y14" s="90"/>
      <c r="Z14" s="91" t="s">
        <v>113</v>
      </c>
      <c r="AA14" s="91" t="s">
        <v>114</v>
      </c>
      <c r="AB14" s="90"/>
      <c r="AC14" s="90"/>
      <c r="AD14" s="91" t="s">
        <v>113</v>
      </c>
      <c r="AE14" s="91" t="s">
        <v>114</v>
      </c>
      <c r="AF14" s="90"/>
      <c r="AG14" s="90"/>
      <c r="AH14" s="91" t="s">
        <v>7</v>
      </c>
      <c r="AI14" s="91" t="s">
        <v>104</v>
      </c>
      <c r="AJ14" s="91"/>
      <c r="AK14" s="90"/>
      <c r="AL14" s="91" t="s">
        <v>7</v>
      </c>
      <c r="AM14" s="91" t="s">
        <v>104</v>
      </c>
      <c r="AN14" s="90"/>
      <c r="AO14" s="90"/>
      <c r="AP14" s="90"/>
      <c r="AQ14" s="90"/>
      <c r="AR14" s="90"/>
      <c r="AS14" s="90"/>
      <c r="AT14" s="90"/>
      <c r="AU14" s="90"/>
      <c r="AV14" s="90"/>
      <c r="AW14" s="90"/>
      <c r="AX14" s="90"/>
      <c r="AY14" s="90"/>
      <c r="AZ14" s="90"/>
    </row>
    <row r="15" spans="1:52" x14ac:dyDescent="0.2">
      <c r="A15" s="63" t="s">
        <v>129</v>
      </c>
      <c r="B15">
        <f>B3/9.92</f>
        <v>1</v>
      </c>
      <c r="C15">
        <f>C3/9.92</f>
        <v>1.247983870967742</v>
      </c>
      <c r="F15">
        <f>F3/42.86</f>
        <v>1</v>
      </c>
      <c r="G15">
        <f>G3/42.86</f>
        <v>0.80261315912272513</v>
      </c>
      <c r="I15" s="90"/>
      <c r="J15" s="90">
        <f>J3/3.7</f>
        <v>1</v>
      </c>
      <c r="K15" s="90">
        <f>K3/3.7</f>
        <v>0.43513513513513513</v>
      </c>
      <c r="L15" s="90"/>
      <c r="M15" s="90"/>
      <c r="N15" s="90">
        <f>N3/105.78</f>
        <v>1</v>
      </c>
      <c r="O15" s="90">
        <f>O3/105.78</f>
        <v>0.98912837965588951</v>
      </c>
      <c r="P15" s="90"/>
      <c r="Q15" s="90"/>
      <c r="R15" s="90">
        <f>R3/91.97</f>
        <v>1</v>
      </c>
      <c r="S15" s="90">
        <f>S3/91.97</f>
        <v>1.4052408394041536</v>
      </c>
      <c r="T15" s="90"/>
      <c r="U15" s="90"/>
      <c r="V15" s="90">
        <v>1</v>
      </c>
      <c r="W15" s="90">
        <v>1</v>
      </c>
      <c r="X15" s="90"/>
      <c r="Y15" s="90"/>
      <c r="Z15" s="90">
        <f>Z3/76.59</f>
        <v>1</v>
      </c>
      <c r="AA15" s="90">
        <f>AA3/76.59</f>
        <v>0.96866431649040341</v>
      </c>
      <c r="AB15" s="90"/>
      <c r="AC15" s="90"/>
      <c r="AD15" s="90">
        <f>AD3/AD3</f>
        <v>1</v>
      </c>
      <c r="AE15" s="90">
        <f>AE3/AD3</f>
        <v>0.58430627206082009</v>
      </c>
      <c r="AF15" s="90"/>
      <c r="AG15" s="90"/>
      <c r="AH15" s="90">
        <f>AH3/AH3</f>
        <v>1</v>
      </c>
      <c r="AI15" s="90">
        <f>AI3/AH3</f>
        <v>0.12492345376607472</v>
      </c>
      <c r="AJ15" s="90"/>
      <c r="AK15" s="90"/>
      <c r="AL15" s="90">
        <f>AL3/AL3</f>
        <v>1</v>
      </c>
      <c r="AM15" s="90">
        <f>AM3/AL3</f>
        <v>1</v>
      </c>
      <c r="AN15" s="90"/>
      <c r="AO15" s="90"/>
      <c r="AP15" s="90"/>
      <c r="AQ15" s="90"/>
      <c r="AR15" s="90"/>
      <c r="AS15" s="90"/>
      <c r="AT15" s="90"/>
      <c r="AU15" s="90"/>
      <c r="AV15" s="90"/>
      <c r="AW15" s="90"/>
      <c r="AX15" s="90"/>
      <c r="AY15" s="90"/>
      <c r="AZ15" s="90"/>
    </row>
    <row r="16" spans="1:52" x14ac:dyDescent="0.2">
      <c r="A16" s="63" t="s">
        <v>132</v>
      </c>
      <c r="B16">
        <f>B4/22363.59</f>
        <v>1</v>
      </c>
      <c r="C16">
        <f>C4/22363.59</f>
        <v>1.4159180167406038</v>
      </c>
      <c r="F16">
        <f>F4/F4</f>
        <v>1</v>
      </c>
      <c r="G16">
        <f>G4/F4</f>
        <v>2.3530430479960414</v>
      </c>
      <c r="I16" s="90"/>
      <c r="J16" s="90">
        <f>J4/1158.63</f>
        <v>1</v>
      </c>
      <c r="K16" s="90">
        <f>K4/1158.63</f>
        <v>0.73263250563165117</v>
      </c>
      <c r="L16" s="90"/>
      <c r="M16" s="90"/>
      <c r="N16" s="90">
        <f>N4/N4</f>
        <v>1</v>
      </c>
      <c r="O16" s="90">
        <f>O4/N4</f>
        <v>0.77279244328244923</v>
      </c>
      <c r="P16" s="90"/>
      <c r="Q16" s="90"/>
      <c r="R16" s="90">
        <f>R4/5281.39</f>
        <v>1</v>
      </c>
      <c r="S16" s="90">
        <f>S4/5281.39</f>
        <v>0.95139158441243687</v>
      </c>
      <c r="T16" s="90"/>
      <c r="U16" s="90"/>
      <c r="V16" s="90">
        <f>V4/4037.25</f>
        <v>1</v>
      </c>
      <c r="W16" s="90">
        <f>W4/4037.25</f>
        <v>0.76409189423493717</v>
      </c>
      <c r="X16" s="90"/>
      <c r="Y16" s="90"/>
      <c r="Z16" s="90">
        <f>Z4/Z4</f>
        <v>1</v>
      </c>
      <c r="AA16" s="90">
        <f>AA4/Z4</f>
        <v>0.87701626624923423</v>
      </c>
      <c r="AB16" s="90"/>
      <c r="AC16" s="90"/>
      <c r="AD16" s="90">
        <f>AD4/AD4</f>
        <v>1</v>
      </c>
      <c r="AE16" s="90">
        <f>AE4/AD4</f>
        <v>2.7171467599194745</v>
      </c>
      <c r="AF16" s="90"/>
      <c r="AG16" s="90"/>
      <c r="AH16" s="90">
        <f>AH4/AH4</f>
        <v>1</v>
      </c>
      <c r="AI16" s="90">
        <f>AI4/AH4</f>
        <v>0.3373739620403321</v>
      </c>
      <c r="AJ16" s="90"/>
      <c r="AK16" s="90"/>
      <c r="AL16" s="90">
        <f>AL4/AL4</f>
        <v>1</v>
      </c>
      <c r="AM16" s="90">
        <f>AM4/AL4</f>
        <v>2.5065429621227548</v>
      </c>
      <c r="AN16" s="90"/>
      <c r="AO16" s="90"/>
      <c r="AP16" s="90"/>
      <c r="AQ16" s="90"/>
      <c r="AR16" s="90"/>
      <c r="AS16" s="90"/>
      <c r="AT16" s="90"/>
      <c r="AU16" s="90"/>
      <c r="AV16" s="90"/>
      <c r="AW16" s="90"/>
      <c r="AX16" s="90"/>
      <c r="AY16" s="90"/>
      <c r="AZ16" s="90"/>
    </row>
    <row r="17" spans="1:52" x14ac:dyDescent="0.2">
      <c r="A17" s="63" t="s">
        <v>13</v>
      </c>
      <c r="B17">
        <f>B5/2.99</f>
        <v>1</v>
      </c>
      <c r="C17">
        <f>C5/2.99</f>
        <v>1.4347826086956521</v>
      </c>
      <c r="F17">
        <f>F5/50.12</f>
        <v>1</v>
      </c>
      <c r="G17">
        <f>G5/50.12</f>
        <v>0.54628890662410212</v>
      </c>
      <c r="I17" s="90"/>
      <c r="J17" s="90">
        <f>J5/2.43</f>
        <v>1</v>
      </c>
      <c r="K17" s="90">
        <f>K5/2.43</f>
        <v>0.68312757201646079</v>
      </c>
      <c r="L17" s="90"/>
      <c r="M17" s="90"/>
      <c r="N17" s="90">
        <f>N5/16.92</f>
        <v>1</v>
      </c>
      <c r="O17" s="90">
        <f>O5/16.92</f>
        <v>1.3711583924349879</v>
      </c>
      <c r="P17" s="90"/>
      <c r="Q17" s="90"/>
      <c r="R17" s="90">
        <f>R5/571.71</f>
        <v>1</v>
      </c>
      <c r="S17" s="90">
        <f>S5/571.71</f>
        <v>0.74576271186440679</v>
      </c>
      <c r="T17" s="90"/>
      <c r="U17" s="90"/>
      <c r="V17" s="90">
        <v>1</v>
      </c>
      <c r="W17" s="90">
        <v>1</v>
      </c>
      <c r="X17" s="90"/>
      <c r="Y17" s="90"/>
      <c r="Z17" s="90">
        <f>Z5/1100.04</f>
        <v>1</v>
      </c>
      <c r="AA17" s="90">
        <f>AA5/1100.04</f>
        <v>0.86916839387658629</v>
      </c>
      <c r="AB17" s="90"/>
      <c r="AC17" s="90"/>
      <c r="AD17" s="90">
        <f t="shared" ref="AD17:AD23" si="0">AD5/AD5</f>
        <v>1</v>
      </c>
      <c r="AE17" s="90">
        <f t="shared" ref="AE17:AE23" si="1">AE5/AD5</f>
        <v>0.44316630922207062</v>
      </c>
      <c r="AF17" s="90"/>
      <c r="AG17" s="90"/>
      <c r="AH17" s="90">
        <f t="shared" ref="AH17:AH23" si="2">AH5/AH5</f>
        <v>1</v>
      </c>
      <c r="AI17" s="90">
        <f t="shared" ref="AI17:AI23" si="3">AI5/AH5</f>
        <v>0.26319305277221111</v>
      </c>
      <c r="AJ17" s="90"/>
      <c r="AK17" s="90"/>
      <c r="AL17" s="90">
        <f t="shared" ref="AL17:AL23" si="4">AL5/AL5</f>
        <v>1</v>
      </c>
      <c r="AM17" s="90">
        <f t="shared" ref="AM17:AM23" si="5">AM5/AL5</f>
        <v>1</v>
      </c>
      <c r="AN17" s="90"/>
      <c r="AO17" s="90"/>
      <c r="AP17" s="90"/>
      <c r="AQ17" s="90"/>
      <c r="AR17" s="90"/>
      <c r="AS17" s="90"/>
      <c r="AT17" s="90"/>
      <c r="AU17" s="90"/>
      <c r="AV17" s="90"/>
      <c r="AW17" s="90"/>
      <c r="AX17" s="90"/>
      <c r="AY17" s="90"/>
      <c r="AZ17" s="90"/>
    </row>
    <row r="18" spans="1:52" x14ac:dyDescent="0.2">
      <c r="A18" s="63" t="s">
        <v>99</v>
      </c>
      <c r="B18">
        <f>B6/5.57</f>
        <v>1</v>
      </c>
      <c r="C18">
        <f>C6/5.57</f>
        <v>368.22262118491921</v>
      </c>
      <c r="F18">
        <v>1</v>
      </c>
      <c r="G18">
        <f>G6/2.03</f>
        <v>7.1724137931034493</v>
      </c>
      <c r="I18" s="90"/>
      <c r="J18" s="90">
        <f>J6/7.43</f>
        <v>1</v>
      </c>
      <c r="K18" s="90">
        <f>K6/7.43</f>
        <v>147.95423956931359</v>
      </c>
      <c r="L18" s="90"/>
      <c r="M18" s="90"/>
      <c r="N18" s="90">
        <f>N6/1360.76</f>
        <v>1</v>
      </c>
      <c r="O18" s="90">
        <f>O6/1360.76</f>
        <v>1.1416561333372528</v>
      </c>
      <c r="P18" s="90"/>
      <c r="Q18" s="90"/>
      <c r="R18" s="90">
        <f>R6/144.89</f>
        <v>1</v>
      </c>
      <c r="S18" s="90">
        <f>S6/144.89</f>
        <v>6.3862930498999244</v>
      </c>
      <c r="T18" s="90"/>
      <c r="U18" s="90"/>
      <c r="V18" s="90">
        <f>V6/10.17</f>
        <v>1</v>
      </c>
      <c r="W18" s="90">
        <f>W6/10.17</f>
        <v>107.39823008849558</v>
      </c>
      <c r="X18" s="90"/>
      <c r="Y18" s="90"/>
      <c r="Z18" s="90">
        <f>Z6/8.12</f>
        <v>1</v>
      </c>
      <c r="AA18" s="90">
        <f>AA6/8.12</f>
        <v>3.3706896551724141</v>
      </c>
      <c r="AB18" s="90"/>
      <c r="AC18" s="90"/>
      <c r="AD18" s="90">
        <f t="shared" si="0"/>
        <v>1</v>
      </c>
      <c r="AE18" s="90">
        <f t="shared" si="1"/>
        <v>4.5435803362560794</v>
      </c>
      <c r="AF18" s="90"/>
      <c r="AG18" s="90"/>
      <c r="AH18" s="90">
        <f t="shared" si="2"/>
        <v>1</v>
      </c>
      <c r="AI18" s="90">
        <f t="shared" si="3"/>
        <v>256.34615384615387</v>
      </c>
      <c r="AJ18" s="90"/>
      <c r="AK18" s="90"/>
      <c r="AL18" s="90">
        <f t="shared" si="4"/>
        <v>1</v>
      </c>
      <c r="AM18" s="90">
        <f t="shared" si="5"/>
        <v>2.1361072467433919</v>
      </c>
      <c r="AN18" s="90"/>
      <c r="AO18" s="90"/>
      <c r="AP18" s="90"/>
      <c r="AQ18" s="90"/>
      <c r="AR18" s="90"/>
      <c r="AS18" s="90"/>
      <c r="AT18" s="90"/>
      <c r="AU18" s="90"/>
      <c r="AV18" s="90"/>
      <c r="AW18" s="90"/>
      <c r="AX18" s="90"/>
      <c r="AY18" s="90"/>
      <c r="AZ18" s="90"/>
    </row>
    <row r="19" spans="1:52" x14ac:dyDescent="0.2">
      <c r="A19" s="63" t="s">
        <v>135</v>
      </c>
      <c r="B19">
        <f>B7/2.24</f>
        <v>1</v>
      </c>
      <c r="C19">
        <f>C7/2.24</f>
        <v>6.0223214285714279</v>
      </c>
      <c r="F19">
        <f>F7/1730.09</f>
        <v>1</v>
      </c>
      <c r="G19">
        <f>G7/1730.09</f>
        <v>1.1496800744469942</v>
      </c>
      <c r="I19" s="90"/>
      <c r="J19" s="90">
        <f>J7/7.54</f>
        <v>1</v>
      </c>
      <c r="K19" s="90">
        <f>K7/7.54</f>
        <v>1.2188328912466844</v>
      </c>
      <c r="L19" s="90"/>
      <c r="M19" s="90"/>
      <c r="N19" s="90">
        <f>N7/12.18</f>
        <v>1</v>
      </c>
      <c r="O19" s="90">
        <f>O7/12.18</f>
        <v>3.1379310344827585</v>
      </c>
      <c r="P19" s="90"/>
      <c r="Q19" s="90"/>
      <c r="R19" s="90">
        <f>R7/220.04</f>
        <v>1</v>
      </c>
      <c r="S19" s="90">
        <f>S7/220.04</f>
        <v>2.7181421559716417</v>
      </c>
      <c r="T19" s="90"/>
      <c r="U19" s="90"/>
      <c r="V19" s="90">
        <v>1</v>
      </c>
      <c r="W19" s="90">
        <v>1</v>
      </c>
      <c r="X19" s="90"/>
      <c r="Y19" s="90"/>
      <c r="Z19" s="90">
        <f>Z7/10.27</f>
        <v>1</v>
      </c>
      <c r="AA19" s="90">
        <f>AA7/10.27</f>
        <v>1.1178188899707888</v>
      </c>
      <c r="AB19" s="90"/>
      <c r="AC19" s="90"/>
      <c r="AD19" s="90">
        <f t="shared" si="0"/>
        <v>1</v>
      </c>
      <c r="AE19" s="90">
        <f t="shared" si="1"/>
        <v>12.670955882352942</v>
      </c>
      <c r="AF19" s="90"/>
      <c r="AG19" s="90"/>
      <c r="AH19" s="90">
        <f t="shared" si="2"/>
        <v>1</v>
      </c>
      <c r="AI19" s="90">
        <f t="shared" si="3"/>
        <v>9.9710937499999996</v>
      </c>
      <c r="AJ19" s="90"/>
      <c r="AK19" s="90"/>
      <c r="AL19" s="90">
        <f t="shared" si="4"/>
        <v>1</v>
      </c>
      <c r="AM19" s="90">
        <f t="shared" si="5"/>
        <v>1</v>
      </c>
      <c r="AN19" s="90"/>
      <c r="AO19" s="90"/>
      <c r="AP19" s="90"/>
      <c r="AQ19" s="90"/>
      <c r="AR19" s="90"/>
      <c r="AS19" s="90"/>
      <c r="AT19" s="90"/>
      <c r="AU19" s="90"/>
      <c r="AV19" s="90"/>
      <c r="AW19" s="90"/>
      <c r="AX19" s="90"/>
      <c r="AY19" s="90"/>
      <c r="AZ19" s="90"/>
    </row>
    <row r="20" spans="1:52" x14ac:dyDescent="0.2">
      <c r="A20" s="63" t="s">
        <v>138</v>
      </c>
      <c r="B20">
        <f>B8/5.84</f>
        <v>1</v>
      </c>
      <c r="C20">
        <f>C8/5.84</f>
        <v>2.1558219178082192</v>
      </c>
      <c r="F20">
        <f>F8/22.85</f>
        <v>1</v>
      </c>
      <c r="G20">
        <f>G8/22.85</f>
        <v>2</v>
      </c>
      <c r="I20" s="90"/>
      <c r="J20" s="90">
        <f t="shared" ref="J20:K20" si="6">J8/2.01</f>
        <v>1</v>
      </c>
      <c r="K20" s="90">
        <f t="shared" si="6"/>
        <v>1</v>
      </c>
      <c r="L20" s="90"/>
      <c r="M20" s="90"/>
      <c r="N20" s="90">
        <f>N8/8.78</f>
        <v>1</v>
      </c>
      <c r="O20" s="90">
        <f>O8/8.78</f>
        <v>3.0512528473804101</v>
      </c>
      <c r="P20" s="90"/>
      <c r="Q20" s="90"/>
      <c r="R20" s="90">
        <f>R8/87.36</f>
        <v>1</v>
      </c>
      <c r="S20" s="90">
        <f>S8/87.36</f>
        <v>0.80505952380952384</v>
      </c>
      <c r="T20" s="90"/>
      <c r="U20" s="90"/>
      <c r="V20" s="90">
        <v>1</v>
      </c>
      <c r="W20" s="90">
        <v>1</v>
      </c>
      <c r="X20" s="90"/>
      <c r="Y20" s="90"/>
      <c r="Z20" s="90">
        <f>Z8/2.09</f>
        <v>1</v>
      </c>
      <c r="AA20" s="90">
        <f>AA8/2.09</f>
        <v>1</v>
      </c>
      <c r="AB20" s="90"/>
      <c r="AC20" s="90"/>
      <c r="AD20" s="90">
        <f t="shared" si="0"/>
        <v>1</v>
      </c>
      <c r="AE20" s="90">
        <f t="shared" si="1"/>
        <v>19.48</v>
      </c>
      <c r="AF20" s="90"/>
      <c r="AG20" s="90"/>
      <c r="AH20" s="90">
        <f t="shared" si="2"/>
        <v>1</v>
      </c>
      <c r="AI20" s="90">
        <f t="shared" si="3"/>
        <v>7.9411764705882355</v>
      </c>
      <c r="AJ20" s="90"/>
      <c r="AK20" s="90"/>
      <c r="AL20" s="90">
        <f t="shared" si="4"/>
        <v>1</v>
      </c>
      <c r="AM20" s="90">
        <f t="shared" si="5"/>
        <v>1.963235294117647</v>
      </c>
      <c r="AN20" s="90"/>
      <c r="AO20" s="90"/>
      <c r="AP20" s="90"/>
      <c r="AQ20" s="90"/>
      <c r="AR20" s="90"/>
      <c r="AS20" s="90"/>
      <c r="AT20" s="90"/>
      <c r="AU20" s="90"/>
      <c r="AV20" s="90"/>
      <c r="AW20" s="90"/>
      <c r="AX20" s="90"/>
      <c r="AY20" s="90"/>
      <c r="AZ20" s="90"/>
    </row>
    <row r="21" spans="1:52" x14ac:dyDescent="0.2">
      <c r="A21" s="63" t="s">
        <v>12</v>
      </c>
      <c r="B21">
        <f>B9/7.27</f>
        <v>1</v>
      </c>
      <c r="C21">
        <f>C9/7.27</f>
        <v>1.7042640990371392</v>
      </c>
      <c r="F21">
        <f>F9/70.7</f>
        <v>1</v>
      </c>
      <c r="G21">
        <f>G9/70.7</f>
        <v>2.3956152758132956</v>
      </c>
      <c r="I21" s="90"/>
      <c r="J21" s="90">
        <f>J9/2.81</f>
        <v>1</v>
      </c>
      <c r="K21" s="90">
        <f>K9/2.81</f>
        <v>0.49110320284697506</v>
      </c>
      <c r="L21" s="90"/>
      <c r="M21" s="90"/>
      <c r="N21" s="90">
        <f>N9/33.87</f>
        <v>1</v>
      </c>
      <c r="O21" s="90">
        <f>O9/33.87</f>
        <v>1.3469146737525834</v>
      </c>
      <c r="P21" s="90"/>
      <c r="Q21" s="90"/>
      <c r="R21" s="90">
        <f>R9/36.57</f>
        <v>1</v>
      </c>
      <c r="S21" s="90">
        <f>S9/36.57</f>
        <v>0.86929176920973472</v>
      </c>
      <c r="T21" s="90"/>
      <c r="U21" s="90"/>
      <c r="V21" s="90">
        <v>1</v>
      </c>
      <c r="W21" s="90">
        <v>1</v>
      </c>
      <c r="X21" s="90"/>
      <c r="Y21" s="90"/>
      <c r="Z21" s="90">
        <f>Z9/16.39</f>
        <v>1</v>
      </c>
      <c r="AA21" s="90">
        <f>AA9/16.39</f>
        <v>0.81147040878584509</v>
      </c>
      <c r="AB21" s="90"/>
      <c r="AC21" s="90"/>
      <c r="AD21" s="90">
        <f t="shared" si="0"/>
        <v>1</v>
      </c>
      <c r="AE21" s="90">
        <f t="shared" si="1"/>
        <v>9.8621621621621625</v>
      </c>
      <c r="AF21" s="90"/>
      <c r="AG21" s="90"/>
      <c r="AH21" s="90">
        <f t="shared" si="2"/>
        <v>1</v>
      </c>
      <c r="AI21" s="90">
        <f t="shared" si="3"/>
        <v>51.325581395348841</v>
      </c>
      <c r="AJ21" s="90"/>
      <c r="AK21" s="90"/>
      <c r="AL21" s="90">
        <f t="shared" si="4"/>
        <v>1</v>
      </c>
      <c r="AM21" s="90">
        <f t="shared" si="5"/>
        <v>1.8205128205128203</v>
      </c>
      <c r="AN21" s="90"/>
      <c r="AO21" s="90"/>
      <c r="AP21" s="90"/>
      <c r="AQ21" s="90"/>
      <c r="AR21" s="90"/>
      <c r="AS21" s="90"/>
      <c r="AT21" s="90"/>
      <c r="AU21" s="90"/>
      <c r="AV21" s="90"/>
      <c r="AW21" s="90"/>
      <c r="AX21" s="90"/>
      <c r="AY21" s="90"/>
      <c r="AZ21" s="90"/>
    </row>
    <row r="22" spans="1:52" x14ac:dyDescent="0.2">
      <c r="A22" s="63" t="s">
        <v>10</v>
      </c>
      <c r="B22">
        <f>B10/53.08</f>
        <v>1</v>
      </c>
      <c r="C22">
        <f>C10/53.08</f>
        <v>0.51808590806330068</v>
      </c>
      <c r="F22">
        <f>F10/313.98</f>
        <v>1</v>
      </c>
      <c r="G22">
        <f>G10/313.98</f>
        <v>0.69533091279699333</v>
      </c>
      <c r="I22" s="90"/>
      <c r="J22" s="90">
        <f>J10/3.42</f>
        <v>1</v>
      </c>
      <c r="K22" s="90">
        <f>K10/3.42</f>
        <v>0.82748538011695916</v>
      </c>
      <c r="L22" s="90"/>
      <c r="M22" s="90"/>
      <c r="N22" s="90">
        <f>N10/17.53</f>
        <v>1</v>
      </c>
      <c r="O22" s="90">
        <f>O10/17.53</f>
        <v>1.6240730176839702</v>
      </c>
      <c r="P22" s="90"/>
      <c r="Q22" s="90"/>
      <c r="R22" s="90">
        <f>R10/77.38</f>
        <v>1</v>
      </c>
      <c r="S22" s="90">
        <f>S10/77.38</f>
        <v>0.72059963814939265</v>
      </c>
      <c r="T22" s="90"/>
      <c r="U22" s="90"/>
      <c r="V22" s="90">
        <v>1</v>
      </c>
      <c r="W22" s="90">
        <v>1</v>
      </c>
      <c r="X22" s="90"/>
      <c r="Y22" s="90"/>
      <c r="Z22" s="90">
        <f>Z10/84.33</f>
        <v>1</v>
      </c>
      <c r="AA22" s="90">
        <f>AA10/84.33</f>
        <v>1.4670935610103166</v>
      </c>
      <c r="AB22" s="90"/>
      <c r="AC22" s="90"/>
      <c r="AD22" s="90">
        <f t="shared" si="0"/>
        <v>1</v>
      </c>
      <c r="AE22" s="90">
        <f t="shared" si="1"/>
        <v>0.4504794456783392</v>
      </c>
      <c r="AF22" s="90"/>
      <c r="AG22" s="90"/>
      <c r="AH22" s="90">
        <f t="shared" si="2"/>
        <v>1</v>
      </c>
      <c r="AI22" s="90">
        <f t="shared" si="3"/>
        <v>0.41616065133838215</v>
      </c>
      <c r="AJ22" s="90"/>
      <c r="AK22" s="90"/>
      <c r="AL22" s="90">
        <f t="shared" si="4"/>
        <v>1</v>
      </c>
      <c r="AM22" s="90">
        <f t="shared" si="5"/>
        <v>2.1715273277165692</v>
      </c>
      <c r="AN22" s="90"/>
      <c r="AO22" s="90"/>
      <c r="AP22" s="90"/>
      <c r="AQ22" s="90"/>
      <c r="AR22" s="90"/>
      <c r="AS22" s="90"/>
      <c r="AT22" s="90"/>
      <c r="AU22" s="90"/>
      <c r="AV22" s="90"/>
      <c r="AW22" s="90"/>
      <c r="AX22" s="90"/>
      <c r="AY22" s="90"/>
      <c r="AZ22" s="90"/>
    </row>
    <row r="23" spans="1:52" x14ac:dyDescent="0.2">
      <c r="A23" s="63" t="s">
        <v>143</v>
      </c>
      <c r="B23">
        <f>B11/1.74</f>
        <v>1</v>
      </c>
      <c r="C23">
        <f>C11/1.74</f>
        <v>9.7471264367816097</v>
      </c>
      <c r="F23">
        <f>F11/27.19</f>
        <v>1</v>
      </c>
      <c r="G23">
        <f>G11/27.19</f>
        <v>2.1835233541743286</v>
      </c>
      <c r="I23" s="90"/>
      <c r="J23" s="90">
        <f>J11/3.05</f>
        <v>1</v>
      </c>
      <c r="K23" s="90">
        <f>K11/3.05</f>
        <v>0.49508196721311476</v>
      </c>
      <c r="L23" s="90"/>
      <c r="M23" s="90"/>
      <c r="N23" s="90">
        <f>N11/62.16</f>
        <v>1</v>
      </c>
      <c r="O23" s="90">
        <f>O11/62.16</f>
        <v>1.2471042471042471</v>
      </c>
      <c r="P23" s="90"/>
      <c r="Q23" s="90"/>
      <c r="R23" s="90">
        <f>R11/9.11</f>
        <v>1</v>
      </c>
      <c r="S23" s="90">
        <f>S11/9.11</f>
        <v>1</v>
      </c>
      <c r="T23" s="90"/>
      <c r="U23" s="90"/>
      <c r="V23" s="90">
        <v>1</v>
      </c>
      <c r="W23" s="90">
        <v>1</v>
      </c>
      <c r="X23" s="90"/>
      <c r="Y23" s="90"/>
      <c r="Z23" s="90">
        <v>1</v>
      </c>
      <c r="AA23" s="90">
        <v>1</v>
      </c>
      <c r="AB23" s="90"/>
      <c r="AC23" s="90"/>
      <c r="AD23" s="90">
        <f t="shared" si="0"/>
        <v>1</v>
      </c>
      <c r="AE23" s="90">
        <f t="shared" si="1"/>
        <v>9.75</v>
      </c>
      <c r="AF23" s="90"/>
      <c r="AG23" s="90"/>
      <c r="AH23" s="90">
        <f t="shared" si="2"/>
        <v>1</v>
      </c>
      <c r="AI23" s="90">
        <f t="shared" si="3"/>
        <v>1</v>
      </c>
      <c r="AJ23" s="90"/>
      <c r="AK23" s="90"/>
      <c r="AL23" s="90">
        <f t="shared" si="4"/>
        <v>1</v>
      </c>
      <c r="AM23" s="90">
        <f t="shared" si="5"/>
        <v>3.1843317972350231</v>
      </c>
      <c r="AN23" s="90"/>
      <c r="AO23" s="90"/>
      <c r="AP23" s="90"/>
      <c r="AQ23" s="90"/>
      <c r="AR23" s="90"/>
      <c r="AS23" s="90"/>
      <c r="AT23" s="90"/>
      <c r="AU23" s="90"/>
      <c r="AV23" s="90"/>
      <c r="AW23" s="90"/>
      <c r="AX23" s="90"/>
      <c r="AY23" s="90"/>
      <c r="AZ23" s="90"/>
    </row>
    <row r="24" spans="1:52" x14ac:dyDescent="0.2">
      <c r="I24" s="90"/>
      <c r="J24" s="90"/>
      <c r="K24" s="90"/>
      <c r="L24" s="90"/>
      <c r="M24" s="90"/>
      <c r="N24" s="90"/>
      <c r="O24" s="90"/>
      <c r="P24" s="90"/>
      <c r="Q24" s="90"/>
      <c r="R24" s="90"/>
      <c r="S24" s="90"/>
      <c r="T24" s="90"/>
      <c r="U24" s="90"/>
      <c r="V24" s="90"/>
      <c r="W24" s="90"/>
      <c r="X24" s="90"/>
      <c r="Y24" s="90"/>
      <c r="Z24" s="90"/>
      <c r="AA24" s="90"/>
      <c r="AB24" s="90"/>
      <c r="AC24" s="90"/>
      <c r="AD24" s="90"/>
      <c r="AE24" s="90"/>
      <c r="AF24" s="90"/>
      <c r="AG24" s="90"/>
      <c r="AH24" s="90"/>
      <c r="AI24" s="90"/>
      <c r="AJ24" s="90"/>
      <c r="AK24" s="90"/>
      <c r="AL24" s="90"/>
      <c r="AM24" s="90"/>
      <c r="AN24" s="90"/>
      <c r="AO24" s="90"/>
      <c r="AP24" s="90"/>
      <c r="AQ24" s="90"/>
      <c r="AR24" s="90"/>
      <c r="AS24" s="90"/>
      <c r="AT24" s="90"/>
      <c r="AU24" s="90"/>
      <c r="AV24" s="90"/>
      <c r="AW24" s="90"/>
      <c r="AX24" s="90"/>
      <c r="AY24" s="90"/>
      <c r="AZ24" s="90"/>
    </row>
    <row r="25" spans="1:52" x14ac:dyDescent="0.2">
      <c r="B25" s="86" t="s">
        <v>109</v>
      </c>
      <c r="I25" s="90"/>
      <c r="J25" s="90"/>
      <c r="K25" s="90"/>
      <c r="L25" s="90"/>
      <c r="M25" s="90"/>
      <c r="N25" s="90"/>
      <c r="O25" s="90"/>
      <c r="P25" s="90"/>
      <c r="Q25" s="90"/>
      <c r="R25" s="90"/>
      <c r="S25" s="90"/>
      <c r="T25" s="90"/>
      <c r="U25" s="90"/>
      <c r="V25" s="90"/>
      <c r="W25" s="90"/>
      <c r="X25" s="90"/>
      <c r="Y25" s="90"/>
      <c r="Z25" s="90"/>
      <c r="AA25" s="90"/>
      <c r="AB25" s="90"/>
      <c r="AC25" s="90"/>
      <c r="AD25" s="90"/>
      <c r="AE25" s="90"/>
      <c r="AF25" s="90"/>
      <c r="AG25" s="90"/>
      <c r="AH25" s="90"/>
      <c r="AI25" s="90"/>
      <c r="AJ25" s="90"/>
      <c r="AK25" s="90"/>
      <c r="AL25" s="90"/>
      <c r="AM25" s="90"/>
      <c r="AN25" s="90"/>
      <c r="AO25" s="90"/>
      <c r="AP25" s="90"/>
      <c r="AQ25" s="90"/>
      <c r="AR25" s="90"/>
      <c r="AS25" s="90"/>
      <c r="AT25" s="90"/>
      <c r="AU25" s="90"/>
      <c r="AV25" s="90"/>
      <c r="AW25" s="90"/>
      <c r="AX25" s="90"/>
      <c r="AY25" s="90"/>
      <c r="AZ25" s="90"/>
    </row>
    <row r="26" spans="1:52" x14ac:dyDescent="0.2">
      <c r="B26" s="85" t="s">
        <v>110</v>
      </c>
      <c r="I26" s="90"/>
      <c r="J26" s="90"/>
      <c r="K26" s="90"/>
      <c r="L26" s="90"/>
      <c r="M26" s="90"/>
      <c r="N26" s="90"/>
      <c r="O26" s="90"/>
      <c r="P26" s="90"/>
      <c r="Q26" s="90"/>
      <c r="R26" s="90"/>
      <c r="S26" s="90"/>
      <c r="T26" s="90"/>
      <c r="U26" s="90"/>
      <c r="V26" s="90"/>
      <c r="W26" s="90"/>
      <c r="X26" s="90"/>
      <c r="Y26" s="90"/>
      <c r="Z26" s="90"/>
      <c r="AA26" s="90"/>
      <c r="AB26" s="90"/>
      <c r="AC26" s="90"/>
      <c r="AD26" s="90"/>
      <c r="AE26" s="90"/>
      <c r="AF26" s="90"/>
      <c r="AG26" s="90"/>
      <c r="AH26" s="90"/>
      <c r="AI26" s="90"/>
      <c r="AJ26" s="90"/>
      <c r="AK26" s="90"/>
      <c r="AL26" s="90"/>
      <c r="AM26" s="90"/>
      <c r="AN26" s="90"/>
      <c r="AO26" s="90"/>
      <c r="AP26" s="90"/>
      <c r="AQ26" s="90"/>
      <c r="AR26" s="90"/>
      <c r="AS26" s="90"/>
      <c r="AT26" s="90"/>
      <c r="AU26" s="90"/>
      <c r="AV26" s="90"/>
      <c r="AW26" s="90"/>
      <c r="AX26" s="90"/>
      <c r="AY26" s="90"/>
      <c r="AZ26" s="90"/>
    </row>
    <row r="27" spans="1:52" x14ac:dyDescent="0.2">
      <c r="B27" s="84" t="s">
        <v>111</v>
      </c>
      <c r="I27" s="90"/>
      <c r="J27" s="90"/>
      <c r="K27" s="90"/>
      <c r="L27" s="90"/>
      <c r="M27" s="90"/>
      <c r="N27" s="90"/>
      <c r="O27" s="90"/>
      <c r="P27" s="90"/>
      <c r="Q27" s="90"/>
      <c r="R27" s="90"/>
      <c r="S27" s="90"/>
      <c r="T27" s="90"/>
      <c r="U27" s="90"/>
      <c r="V27" s="90"/>
      <c r="W27" s="90"/>
      <c r="X27" s="90"/>
      <c r="Y27" s="90"/>
      <c r="Z27" s="90"/>
      <c r="AA27" s="90"/>
      <c r="AB27" s="90"/>
      <c r="AC27" s="90"/>
      <c r="AD27" s="90"/>
      <c r="AE27" s="90"/>
      <c r="AF27" s="90"/>
      <c r="AG27" s="90"/>
      <c r="AH27" s="90"/>
      <c r="AI27" s="90"/>
      <c r="AJ27" s="90"/>
      <c r="AK27" s="90"/>
      <c r="AL27" s="90"/>
      <c r="AM27" s="90"/>
      <c r="AN27" s="90"/>
      <c r="AO27" s="90"/>
      <c r="AP27" s="90"/>
      <c r="AQ27" s="90"/>
      <c r="AR27" s="90"/>
      <c r="AS27" s="90"/>
      <c r="AT27" s="90"/>
      <c r="AU27" s="90"/>
      <c r="AV27" s="90"/>
      <c r="AW27" s="90"/>
      <c r="AX27" s="90"/>
      <c r="AY27" s="90"/>
      <c r="AZ27" s="90"/>
    </row>
    <row r="28" spans="1:52" x14ac:dyDescent="0.2">
      <c r="I28" s="90"/>
      <c r="J28" s="90"/>
      <c r="K28" s="90"/>
      <c r="L28" s="90"/>
      <c r="M28" s="90"/>
      <c r="N28" s="90"/>
      <c r="O28" s="90"/>
      <c r="P28" s="90"/>
      <c r="Q28" s="90"/>
      <c r="R28" s="90"/>
      <c r="S28" s="90"/>
      <c r="T28" s="90"/>
      <c r="U28" s="90"/>
      <c r="V28" s="90"/>
      <c r="W28" s="90"/>
      <c r="X28" s="90"/>
      <c r="Y28" s="90"/>
      <c r="Z28" s="90"/>
      <c r="AA28" s="90"/>
      <c r="AB28" s="90"/>
      <c r="AC28" s="90"/>
      <c r="AD28" s="90"/>
      <c r="AE28" s="90"/>
      <c r="AF28" s="90"/>
      <c r="AG28" s="90"/>
      <c r="AH28" s="90"/>
      <c r="AI28" s="90"/>
      <c r="AJ28" s="90"/>
      <c r="AK28" s="90"/>
      <c r="AL28" s="90"/>
      <c r="AM28" s="90"/>
      <c r="AN28" s="90"/>
      <c r="AO28" s="90"/>
      <c r="AP28" s="90"/>
      <c r="AQ28" s="90"/>
      <c r="AR28" s="90"/>
      <c r="AS28" s="90"/>
      <c r="AT28" s="90"/>
      <c r="AU28" s="90"/>
      <c r="AV28" s="90"/>
      <c r="AW28" s="90"/>
      <c r="AX28" s="90"/>
      <c r="AY28" s="90"/>
      <c r="AZ28" s="90"/>
    </row>
    <row r="29" spans="1:52" x14ac:dyDescent="0.2">
      <c r="A29" t="s">
        <v>148</v>
      </c>
      <c r="I29" s="90"/>
      <c r="J29" s="90"/>
      <c r="K29" s="90"/>
      <c r="L29" s="90"/>
      <c r="M29" s="90"/>
      <c r="N29" s="90"/>
      <c r="O29" s="90"/>
      <c r="P29" s="90"/>
      <c r="Q29" s="90"/>
      <c r="R29" s="90"/>
      <c r="S29" s="90"/>
      <c r="T29" s="90"/>
      <c r="U29" s="90"/>
      <c r="V29" s="90"/>
      <c r="W29" s="90"/>
      <c r="X29" s="90"/>
      <c r="Y29" s="90"/>
      <c r="Z29" s="90"/>
      <c r="AA29" s="90"/>
      <c r="AB29" s="90"/>
      <c r="AC29" s="90"/>
      <c r="AD29" s="90"/>
      <c r="AE29" s="90"/>
      <c r="AF29" s="90"/>
      <c r="AG29" s="90"/>
      <c r="AH29" s="90"/>
      <c r="AI29" s="90"/>
      <c r="AJ29" s="90"/>
      <c r="AK29" s="90"/>
      <c r="AL29" s="90"/>
      <c r="AM29" s="90"/>
      <c r="AN29" s="90"/>
      <c r="AO29" s="90"/>
      <c r="AP29" s="90"/>
      <c r="AQ29" s="90"/>
      <c r="AR29" s="90"/>
      <c r="AS29" s="90"/>
      <c r="AT29" s="90"/>
      <c r="AU29" s="90"/>
      <c r="AV29" s="90"/>
      <c r="AW29" s="90"/>
      <c r="AX29" s="90"/>
      <c r="AY29" s="90"/>
      <c r="AZ29" s="90"/>
    </row>
    <row r="30" spans="1:52" x14ac:dyDescent="0.2">
      <c r="A30" s="100"/>
      <c r="B30" s="100"/>
      <c r="C30" s="100" t="s">
        <v>108</v>
      </c>
      <c r="D30" s="100"/>
      <c r="E30" s="100"/>
      <c r="F30" s="100"/>
      <c r="G30" s="100"/>
      <c r="H30" s="100"/>
      <c r="I30" s="100"/>
      <c r="J30" s="100"/>
      <c r="K30" s="101"/>
      <c r="L30" s="100" t="s">
        <v>149</v>
      </c>
      <c r="M30" s="100"/>
      <c r="N30" s="100"/>
      <c r="O30" s="100"/>
      <c r="P30" s="100"/>
      <c r="Q30" s="100"/>
      <c r="R30" s="100"/>
      <c r="S30" s="100"/>
      <c r="T30" s="100"/>
      <c r="U30" s="90"/>
      <c r="V30" s="90"/>
      <c r="W30" s="90"/>
      <c r="X30" s="90"/>
      <c r="Y30" s="90"/>
      <c r="Z30" s="90"/>
      <c r="AA30" s="90"/>
      <c r="AB30" s="90"/>
      <c r="AC30" s="90"/>
      <c r="AD30" s="90"/>
      <c r="AE30" s="90"/>
      <c r="AF30" s="90"/>
      <c r="AG30" s="90"/>
      <c r="AH30" s="90"/>
      <c r="AI30" s="90"/>
      <c r="AJ30" s="90"/>
      <c r="AK30" s="90"/>
      <c r="AL30" s="90"/>
      <c r="AM30" s="90"/>
      <c r="AN30" s="90"/>
      <c r="AO30" s="90"/>
      <c r="AP30" s="90"/>
      <c r="AQ30" s="90"/>
      <c r="AR30" s="90"/>
      <c r="AS30" s="90"/>
      <c r="AT30" s="90"/>
      <c r="AU30" s="90"/>
      <c r="AV30" s="90"/>
      <c r="AW30" s="90"/>
      <c r="AX30" s="90"/>
      <c r="AY30" s="90"/>
      <c r="AZ30" s="90"/>
    </row>
    <row r="31" spans="1:52" x14ac:dyDescent="0.2">
      <c r="A31" s="100"/>
      <c r="B31" s="100"/>
      <c r="C31" s="102" t="s">
        <v>17</v>
      </c>
      <c r="D31" s="102" t="s">
        <v>15</v>
      </c>
      <c r="E31" s="102" t="s">
        <v>98</v>
      </c>
      <c r="F31" s="102" t="s">
        <v>99</v>
      </c>
      <c r="G31" s="102" t="s">
        <v>100</v>
      </c>
      <c r="H31" s="102" t="s">
        <v>150</v>
      </c>
      <c r="I31" s="102" t="s">
        <v>101</v>
      </c>
      <c r="J31" s="102" t="s">
        <v>102</v>
      </c>
      <c r="K31" s="103" t="s">
        <v>10</v>
      </c>
      <c r="L31" s="102" t="s">
        <v>17</v>
      </c>
      <c r="M31" s="102" t="s">
        <v>15</v>
      </c>
      <c r="N31" s="102" t="s">
        <v>98</v>
      </c>
      <c r="O31" s="102" t="s">
        <v>99</v>
      </c>
      <c r="P31" s="102" t="s">
        <v>100</v>
      </c>
      <c r="Q31" s="102" t="s">
        <v>150</v>
      </c>
      <c r="R31" s="102" t="s">
        <v>101</v>
      </c>
      <c r="S31" s="102" t="s">
        <v>102</v>
      </c>
      <c r="T31" s="102" t="s">
        <v>10</v>
      </c>
      <c r="U31" s="90"/>
      <c r="V31" s="90"/>
      <c r="W31" s="90"/>
      <c r="X31" s="90"/>
      <c r="Y31" s="90"/>
      <c r="Z31" s="90"/>
      <c r="AA31" s="90"/>
      <c r="AB31" s="90"/>
      <c r="AC31" s="90"/>
      <c r="AD31" s="90"/>
      <c r="AE31" s="90"/>
      <c r="AF31" s="90"/>
      <c r="AG31" s="90"/>
      <c r="AH31" s="90"/>
      <c r="AI31" s="90"/>
      <c r="AJ31" s="90"/>
      <c r="AK31" s="90"/>
      <c r="AL31" s="90"/>
      <c r="AM31" s="90"/>
      <c r="AN31" s="90"/>
      <c r="AO31" s="90"/>
      <c r="AP31" s="90"/>
      <c r="AQ31" s="90"/>
      <c r="AR31" s="90"/>
      <c r="AS31" s="90"/>
      <c r="AT31" s="90"/>
      <c r="AU31" s="90"/>
      <c r="AV31" s="90"/>
      <c r="AW31" s="90"/>
      <c r="AX31" s="90"/>
      <c r="AY31" s="90"/>
      <c r="AZ31" s="90"/>
    </row>
    <row r="32" spans="1:52" x14ac:dyDescent="0.2">
      <c r="A32" s="100" t="s">
        <v>151</v>
      </c>
      <c r="B32" s="100" t="s">
        <v>20</v>
      </c>
      <c r="C32" s="100">
        <v>5.66</v>
      </c>
      <c r="D32" s="104">
        <v>392.63</v>
      </c>
      <c r="E32" s="100">
        <v>4.4400000000000004</v>
      </c>
      <c r="F32" s="100">
        <v>165.86</v>
      </c>
      <c r="G32" s="100">
        <v>15.35</v>
      </c>
      <c r="H32" s="100">
        <v>6219</v>
      </c>
      <c r="I32" s="105">
        <v>1.99</v>
      </c>
      <c r="J32" s="105">
        <v>2.31</v>
      </c>
      <c r="K32" s="101">
        <v>508.54</v>
      </c>
      <c r="L32" s="100">
        <v>1</v>
      </c>
      <c r="M32" s="100">
        <v>1</v>
      </c>
      <c r="N32" s="100">
        <v>1</v>
      </c>
      <c r="O32" s="100">
        <v>1</v>
      </c>
      <c r="P32" s="100">
        <v>1</v>
      </c>
      <c r="Q32" s="100">
        <v>1</v>
      </c>
      <c r="R32" s="100">
        <v>1</v>
      </c>
      <c r="S32" s="100">
        <v>1</v>
      </c>
      <c r="T32" s="100">
        <v>1</v>
      </c>
      <c r="U32" s="90"/>
      <c r="V32" s="90"/>
      <c r="W32" s="90"/>
      <c r="X32" s="90"/>
      <c r="Y32" s="90"/>
      <c r="Z32" s="90"/>
      <c r="AA32" s="90"/>
      <c r="AB32" s="90"/>
      <c r="AC32" s="90"/>
      <c r="AD32" s="90"/>
      <c r="AE32" s="90"/>
      <c r="AF32" s="90"/>
      <c r="AG32" s="90"/>
      <c r="AH32" s="90"/>
      <c r="AI32" s="90"/>
      <c r="AJ32" s="90"/>
      <c r="AK32" s="90"/>
      <c r="AL32" s="90"/>
      <c r="AM32" s="90"/>
      <c r="AN32" s="90"/>
      <c r="AO32" s="90"/>
      <c r="AP32" s="90"/>
      <c r="AQ32" s="90"/>
      <c r="AR32" s="90"/>
      <c r="AS32" s="90"/>
      <c r="AT32" s="90"/>
      <c r="AU32" s="90"/>
      <c r="AV32" s="90"/>
      <c r="AW32" s="90"/>
      <c r="AX32" s="90"/>
      <c r="AY32" s="90"/>
      <c r="AZ32" s="90"/>
    </row>
    <row r="33" spans="1:52" x14ac:dyDescent="0.2">
      <c r="A33" s="100" t="s">
        <v>151</v>
      </c>
      <c r="B33" s="100" t="s">
        <v>104</v>
      </c>
      <c r="C33" s="100">
        <v>7.03</v>
      </c>
      <c r="D33" s="104">
        <v>423.73</v>
      </c>
      <c r="E33" s="100">
        <v>5.84</v>
      </c>
      <c r="F33" s="100">
        <v>677.44</v>
      </c>
      <c r="G33" s="100">
        <v>25.58</v>
      </c>
      <c r="H33" s="82">
        <v>10233</v>
      </c>
      <c r="I33" s="100">
        <v>5.99</v>
      </c>
      <c r="J33" s="100">
        <v>15.61</v>
      </c>
      <c r="K33" s="101">
        <v>196.73</v>
      </c>
      <c r="L33" s="100">
        <v>1.24204947</v>
      </c>
      <c r="M33" s="100">
        <v>1.0792094299999999</v>
      </c>
      <c r="N33" s="100">
        <v>1.3153153200000001</v>
      </c>
      <c r="O33" s="100">
        <v>4.0844085400000001</v>
      </c>
      <c r="P33" s="100">
        <v>1.6664495100000001</v>
      </c>
      <c r="Q33" s="100">
        <v>1.64544139</v>
      </c>
      <c r="R33" s="100">
        <v>3.0100502499999999</v>
      </c>
      <c r="S33" s="100">
        <v>6.7575757599999999</v>
      </c>
      <c r="T33" s="100">
        <v>0.38685256000000001</v>
      </c>
      <c r="U33" s="90"/>
      <c r="V33" s="90"/>
      <c r="W33" s="90"/>
      <c r="X33" s="90"/>
      <c r="Y33" s="90"/>
      <c r="Z33" s="90"/>
      <c r="AA33" s="90"/>
      <c r="AB33" s="90"/>
      <c r="AC33" s="90"/>
      <c r="AD33" s="90"/>
      <c r="AE33" s="90"/>
      <c r="AF33" s="90"/>
      <c r="AG33" s="90"/>
      <c r="AH33" s="90"/>
      <c r="AI33" s="90"/>
      <c r="AJ33" s="90"/>
      <c r="AK33" s="90"/>
      <c r="AL33" s="90"/>
      <c r="AM33" s="90"/>
      <c r="AN33" s="90"/>
      <c r="AO33" s="90"/>
      <c r="AP33" s="90"/>
      <c r="AQ33" s="90"/>
      <c r="AR33" s="90"/>
      <c r="AS33" s="90"/>
      <c r="AT33" s="90"/>
      <c r="AU33" s="90"/>
      <c r="AV33" s="90"/>
      <c r="AW33" s="90"/>
      <c r="AX33" s="90"/>
      <c r="AY33" s="90"/>
      <c r="AZ33" s="90"/>
    </row>
    <row r="34" spans="1:52" x14ac:dyDescent="0.2">
      <c r="A34" s="100" t="s">
        <v>152</v>
      </c>
      <c r="B34" s="100" t="s">
        <v>20</v>
      </c>
      <c r="C34" s="106">
        <v>7.25</v>
      </c>
      <c r="D34" s="107">
        <v>4354.57</v>
      </c>
      <c r="E34" s="106">
        <v>5.13</v>
      </c>
      <c r="F34" s="106">
        <v>101.07</v>
      </c>
      <c r="G34" s="106">
        <v>2.0699999999999998</v>
      </c>
      <c r="H34" s="106">
        <v>4260.34</v>
      </c>
      <c r="I34" s="105">
        <v>3.82</v>
      </c>
      <c r="J34" s="105">
        <v>1.55</v>
      </c>
      <c r="K34" s="108">
        <v>111.7</v>
      </c>
      <c r="L34" s="100">
        <v>1</v>
      </c>
      <c r="M34" s="100">
        <v>1</v>
      </c>
      <c r="N34" s="100">
        <v>1</v>
      </c>
      <c r="O34" s="100">
        <v>1</v>
      </c>
      <c r="P34" s="100">
        <v>1</v>
      </c>
      <c r="Q34" s="100">
        <v>1</v>
      </c>
      <c r="R34" s="100">
        <v>1</v>
      </c>
      <c r="S34" s="100">
        <v>1</v>
      </c>
      <c r="T34" s="100">
        <v>1</v>
      </c>
      <c r="U34" s="90"/>
      <c r="V34" s="90"/>
      <c r="W34" s="90"/>
      <c r="X34" s="90"/>
      <c r="Y34" s="90"/>
      <c r="Z34" s="90"/>
      <c r="AA34" s="90"/>
      <c r="AB34" s="90"/>
      <c r="AC34" s="90"/>
      <c r="AD34" s="90"/>
      <c r="AE34" s="90"/>
      <c r="AF34" s="90"/>
      <c r="AG34" s="90"/>
      <c r="AH34" s="90"/>
      <c r="AI34" s="90"/>
      <c r="AJ34" s="90"/>
      <c r="AK34" s="90"/>
      <c r="AL34" s="90"/>
      <c r="AM34" s="90"/>
      <c r="AN34" s="90"/>
      <c r="AO34" s="90"/>
      <c r="AP34" s="90"/>
      <c r="AQ34" s="90"/>
      <c r="AR34" s="90"/>
      <c r="AS34" s="90"/>
      <c r="AT34" s="90"/>
      <c r="AU34" s="90"/>
      <c r="AV34" s="90"/>
      <c r="AW34" s="90"/>
      <c r="AX34" s="90"/>
      <c r="AY34" s="90"/>
      <c r="AZ34" s="90"/>
    </row>
    <row r="35" spans="1:52" x14ac:dyDescent="0.2">
      <c r="A35" s="100" t="s">
        <v>152</v>
      </c>
      <c r="B35" s="100" t="s">
        <v>104</v>
      </c>
      <c r="C35" s="106">
        <v>16.34</v>
      </c>
      <c r="D35" s="82">
        <v>10604.85</v>
      </c>
      <c r="E35" s="106">
        <v>8.08</v>
      </c>
      <c r="F35" s="106">
        <v>135.58000000000001</v>
      </c>
      <c r="G35" s="106">
        <v>2.5299999999999998</v>
      </c>
      <c r="H35" s="106">
        <v>3304.04</v>
      </c>
      <c r="I35" s="105">
        <v>3.82</v>
      </c>
      <c r="J35" s="105">
        <v>1.55</v>
      </c>
      <c r="K35" s="108">
        <v>128.22</v>
      </c>
      <c r="L35" s="100">
        <v>2.2537931000000002</v>
      </c>
      <c r="M35" s="100">
        <v>2.4353380499999999</v>
      </c>
      <c r="N35" s="100">
        <v>1.57504873</v>
      </c>
      <c r="O35" s="100">
        <v>1.3414465200000001</v>
      </c>
      <c r="P35" s="100">
        <v>1.2222222199999999</v>
      </c>
      <c r="Q35" s="100">
        <v>0.77553435000000004</v>
      </c>
      <c r="R35" s="100">
        <v>1</v>
      </c>
      <c r="S35" s="100">
        <v>1</v>
      </c>
      <c r="T35" s="100">
        <v>1.14789615</v>
      </c>
      <c r="U35" s="90"/>
      <c r="V35" s="90"/>
      <c r="W35" s="90"/>
      <c r="X35" s="90"/>
      <c r="Y35" s="90"/>
      <c r="Z35" s="90"/>
      <c r="AA35" s="90"/>
      <c r="AB35" s="90"/>
      <c r="AC35" s="90"/>
      <c r="AD35" s="90"/>
      <c r="AE35" s="90"/>
      <c r="AF35" s="90"/>
      <c r="AG35" s="90"/>
      <c r="AH35" s="90"/>
      <c r="AI35" s="90"/>
      <c r="AJ35" s="90"/>
      <c r="AK35" s="90"/>
      <c r="AL35" s="90"/>
      <c r="AM35" s="90"/>
      <c r="AN35" s="90"/>
      <c r="AO35" s="90"/>
      <c r="AP35" s="90"/>
      <c r="AQ35" s="90"/>
      <c r="AR35" s="90"/>
      <c r="AS35" s="90"/>
      <c r="AT35" s="90"/>
      <c r="AU35" s="90"/>
      <c r="AV35" s="90"/>
      <c r="AW35" s="90"/>
      <c r="AX35" s="90"/>
      <c r="AY35" s="90"/>
      <c r="AZ35" s="90"/>
    </row>
    <row r="36" spans="1:52" x14ac:dyDescent="0.2">
      <c r="A36" s="109" t="s">
        <v>153</v>
      </c>
      <c r="B36" s="109" t="s">
        <v>7</v>
      </c>
      <c r="C36" s="106">
        <v>57.63</v>
      </c>
      <c r="D36" s="104">
        <v>229.86</v>
      </c>
      <c r="E36" s="106">
        <v>229.86</v>
      </c>
      <c r="F36" s="106">
        <v>12.48</v>
      </c>
      <c r="G36" s="100">
        <v>2.02</v>
      </c>
      <c r="H36" s="105">
        <v>1.87</v>
      </c>
      <c r="I36" s="106">
        <v>117.7</v>
      </c>
      <c r="J36" s="100">
        <v>2.35</v>
      </c>
      <c r="K36" s="108">
        <v>63.3</v>
      </c>
      <c r="L36" s="100">
        <v>1</v>
      </c>
      <c r="M36" s="100">
        <v>1</v>
      </c>
      <c r="N36" s="100">
        <v>1</v>
      </c>
      <c r="O36" s="100">
        <v>1</v>
      </c>
      <c r="P36" s="100">
        <v>1</v>
      </c>
      <c r="Q36" s="100">
        <v>1</v>
      </c>
      <c r="R36" s="100">
        <v>1</v>
      </c>
      <c r="S36" s="100">
        <v>1</v>
      </c>
      <c r="T36" s="100">
        <v>1</v>
      </c>
      <c r="U36" s="90"/>
      <c r="V36" s="90"/>
      <c r="W36" s="90"/>
      <c r="X36" s="90"/>
      <c r="Y36" s="90"/>
      <c r="Z36" s="90"/>
      <c r="AA36" s="90"/>
      <c r="AB36" s="90"/>
      <c r="AC36" s="90"/>
      <c r="AD36" s="90"/>
      <c r="AE36" s="90"/>
      <c r="AF36" s="90"/>
      <c r="AG36" s="90"/>
      <c r="AH36" s="90"/>
      <c r="AI36" s="90"/>
      <c r="AJ36" s="90"/>
      <c r="AK36" s="90"/>
      <c r="AL36" s="90"/>
      <c r="AM36" s="90"/>
      <c r="AN36" s="90"/>
      <c r="AO36" s="90"/>
      <c r="AP36" s="90"/>
      <c r="AQ36" s="90"/>
      <c r="AR36" s="90"/>
      <c r="AS36" s="90"/>
      <c r="AT36" s="90"/>
      <c r="AU36" s="90"/>
      <c r="AV36" s="90"/>
      <c r="AW36" s="90"/>
      <c r="AX36" s="90"/>
      <c r="AY36" s="90"/>
      <c r="AZ36" s="90"/>
    </row>
    <row r="37" spans="1:52" x14ac:dyDescent="0.2">
      <c r="A37" s="109" t="s">
        <v>153</v>
      </c>
      <c r="B37" s="109" t="s">
        <v>104</v>
      </c>
      <c r="C37" s="106">
        <v>102.03</v>
      </c>
      <c r="D37" s="104">
        <v>195.84</v>
      </c>
      <c r="E37" s="106">
        <v>195.84</v>
      </c>
      <c r="F37" s="106">
        <v>49.34</v>
      </c>
      <c r="G37" s="100">
        <v>2.02</v>
      </c>
      <c r="H37" s="105">
        <v>1.87</v>
      </c>
      <c r="I37" s="106">
        <v>88.52</v>
      </c>
      <c r="J37" s="100">
        <v>2.35</v>
      </c>
      <c r="K37" s="108">
        <v>118.86</v>
      </c>
      <c r="L37" s="100">
        <v>1.77043207</v>
      </c>
      <c r="M37" s="100">
        <v>0.85199687000000002</v>
      </c>
      <c r="N37" s="100">
        <v>0.85199687000000002</v>
      </c>
      <c r="O37" s="100">
        <v>3.9535256400000001</v>
      </c>
      <c r="P37" s="100">
        <v>1</v>
      </c>
      <c r="Q37" s="100">
        <v>1</v>
      </c>
      <c r="R37" s="100">
        <v>0.75208156000000004</v>
      </c>
      <c r="S37" s="100">
        <v>1</v>
      </c>
      <c r="T37" s="100">
        <v>1.87772512</v>
      </c>
    </row>
    <row r="38" spans="1:52" x14ac:dyDescent="0.2">
      <c r="A38" s="109" t="s">
        <v>154</v>
      </c>
      <c r="B38" s="109" t="s">
        <v>7</v>
      </c>
      <c r="C38" s="100">
        <v>2.04</v>
      </c>
      <c r="D38" s="106">
        <v>1858.97</v>
      </c>
      <c r="E38" s="100">
        <v>2.0499999999999998</v>
      </c>
      <c r="F38" s="106">
        <v>163.66999999999999</v>
      </c>
      <c r="G38" s="100">
        <v>2.02</v>
      </c>
      <c r="H38" s="105">
        <v>1.87</v>
      </c>
      <c r="I38" s="100">
        <v>1.96</v>
      </c>
      <c r="J38" s="100">
        <v>2.35</v>
      </c>
      <c r="K38" s="108">
        <v>14.37</v>
      </c>
      <c r="L38" s="100">
        <v>1</v>
      </c>
      <c r="M38" s="100">
        <v>1</v>
      </c>
      <c r="N38" s="100">
        <v>1</v>
      </c>
      <c r="O38" s="100">
        <v>1</v>
      </c>
      <c r="P38" s="100">
        <v>1</v>
      </c>
      <c r="Q38" s="100">
        <v>1</v>
      </c>
      <c r="R38" s="100">
        <v>1</v>
      </c>
      <c r="S38" s="100">
        <v>1</v>
      </c>
      <c r="T38" s="100">
        <v>1</v>
      </c>
    </row>
    <row r="39" spans="1:52" x14ac:dyDescent="0.2">
      <c r="A39" s="109" t="s">
        <v>154</v>
      </c>
      <c r="B39" s="109" t="s">
        <v>104</v>
      </c>
      <c r="C39" s="100">
        <v>2.04</v>
      </c>
      <c r="D39" s="106">
        <v>2832.61</v>
      </c>
      <c r="E39" s="100">
        <v>2.0499999999999998</v>
      </c>
      <c r="F39" s="106">
        <v>642.26</v>
      </c>
      <c r="G39" s="100">
        <v>2.02</v>
      </c>
      <c r="H39" s="105">
        <v>1.87</v>
      </c>
      <c r="I39" s="100">
        <v>1.96</v>
      </c>
      <c r="J39" s="106">
        <v>4.16</v>
      </c>
      <c r="K39" s="108">
        <v>19.62</v>
      </c>
      <c r="L39" s="100">
        <v>1</v>
      </c>
      <c r="M39" s="100">
        <v>1.5237524</v>
      </c>
      <c r="N39" s="100">
        <v>1</v>
      </c>
      <c r="O39" s="100">
        <v>3.9241155999999999</v>
      </c>
      <c r="P39" s="100">
        <v>1</v>
      </c>
      <c r="Q39" s="100">
        <v>1</v>
      </c>
      <c r="R39" s="100">
        <v>1</v>
      </c>
      <c r="S39" s="100">
        <v>1.7702127700000001</v>
      </c>
      <c r="T39" s="100">
        <v>1.3653444699999999</v>
      </c>
    </row>
    <row r="42" spans="1:52" x14ac:dyDescent="0.2">
      <c r="A42" s="109"/>
      <c r="B42" s="109"/>
      <c r="L42" s="102"/>
      <c r="M42" s="102"/>
      <c r="N42" s="102"/>
      <c r="O42" s="102"/>
      <c r="P42" s="102"/>
      <c r="Q42" s="102"/>
      <c r="R42" s="102"/>
      <c r="S42" s="102"/>
      <c r="T42" s="102"/>
    </row>
    <row r="43" spans="1:52" x14ac:dyDescent="0.2">
      <c r="B43" s="109"/>
      <c r="L43" s="100"/>
      <c r="M43" s="100"/>
      <c r="N43" s="100"/>
      <c r="O43" s="100"/>
      <c r="P43" s="100"/>
      <c r="Q43" s="100"/>
      <c r="R43" s="100"/>
      <c r="S43" s="100"/>
      <c r="T43" s="100"/>
    </row>
    <row r="44" spans="1:52" x14ac:dyDescent="0.2">
      <c r="B44" s="109"/>
      <c r="L44" s="100"/>
      <c r="M44" s="100"/>
      <c r="N44" s="100"/>
      <c r="O44" s="100"/>
      <c r="P44" s="100"/>
      <c r="Q44" s="100"/>
      <c r="R44" s="100"/>
      <c r="S44" s="100"/>
      <c r="T44" s="100"/>
    </row>
    <row r="45" spans="1:52" x14ac:dyDescent="0.2">
      <c r="L45" s="100"/>
      <c r="M45" s="100"/>
      <c r="N45" s="100"/>
      <c r="O45" s="100"/>
      <c r="P45" s="100"/>
      <c r="Q45" s="100"/>
      <c r="R45" s="100"/>
      <c r="S45" s="100"/>
      <c r="T45" s="100"/>
    </row>
    <row r="46" spans="1:52" x14ac:dyDescent="0.2">
      <c r="L46" s="100"/>
      <c r="M46" s="100"/>
      <c r="N46" s="100"/>
      <c r="O46" s="100"/>
      <c r="P46" s="100"/>
      <c r="Q46" s="100"/>
      <c r="R46" s="100"/>
      <c r="S46" s="100"/>
      <c r="T46" s="100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8D0A32-B632-6B44-A6BB-3D56CF06D8F5}">
  <sheetPr codeName="Sheet5"/>
  <dimension ref="A1:P421"/>
  <sheetViews>
    <sheetView zoomScale="45" zoomScaleNormal="45" workbookViewId="0">
      <selection activeCell="G73" sqref="G73"/>
    </sheetView>
  </sheetViews>
  <sheetFormatPr baseColWidth="10" defaultRowHeight="16" x14ac:dyDescent="0.2"/>
  <cols>
    <col min="1" max="1" width="22.5" customWidth="1"/>
    <col min="6" max="6" width="10.83203125" style="10"/>
    <col min="10" max="10" width="10.83203125" style="10"/>
  </cols>
  <sheetData>
    <row r="1" spans="1:14" x14ac:dyDescent="0.2">
      <c r="A1" t="s">
        <v>1205</v>
      </c>
      <c r="F1" s="21"/>
    </row>
    <row r="2" spans="1:14" x14ac:dyDescent="0.2">
      <c r="A2" s="17"/>
      <c r="B2" s="18"/>
      <c r="C2" s="299" t="s">
        <v>424</v>
      </c>
      <c r="D2" s="299"/>
      <c r="E2" s="299"/>
      <c r="F2" s="299"/>
      <c r="G2" s="133" t="s">
        <v>425</v>
      </c>
      <c r="H2" s="18"/>
      <c r="I2" s="18"/>
      <c r="J2" s="19"/>
      <c r="K2" s="133" t="s">
        <v>426</v>
      </c>
      <c r="L2" s="18"/>
      <c r="M2" s="18"/>
      <c r="N2" s="19"/>
    </row>
    <row r="3" spans="1:14" x14ac:dyDescent="0.2">
      <c r="A3" s="20" t="s">
        <v>155</v>
      </c>
      <c r="B3" s="43" t="s">
        <v>384</v>
      </c>
      <c r="C3" s="43" t="s">
        <v>423</v>
      </c>
      <c r="D3" s="43" t="s">
        <v>386</v>
      </c>
      <c r="E3" s="43" t="s">
        <v>387</v>
      </c>
      <c r="F3" s="111" t="s">
        <v>388</v>
      </c>
      <c r="G3" s="43" t="s">
        <v>385</v>
      </c>
      <c r="H3" s="43" t="s">
        <v>386</v>
      </c>
      <c r="I3" s="43" t="s">
        <v>387</v>
      </c>
      <c r="J3" s="111" t="s">
        <v>388</v>
      </c>
      <c r="K3" s="43" t="s">
        <v>385</v>
      </c>
      <c r="L3" s="43" t="s">
        <v>386</v>
      </c>
      <c r="M3" s="43" t="s">
        <v>387</v>
      </c>
      <c r="N3" s="111" t="s">
        <v>388</v>
      </c>
    </row>
    <row r="4" spans="1:14" x14ac:dyDescent="0.2">
      <c r="A4" s="20" t="s">
        <v>159</v>
      </c>
      <c r="B4" s="21">
        <v>13106</v>
      </c>
      <c r="C4" s="21">
        <v>83.5</v>
      </c>
      <c r="D4" s="21">
        <v>687</v>
      </c>
      <c r="E4" s="21">
        <v>858</v>
      </c>
      <c r="F4" s="10">
        <v>2114</v>
      </c>
      <c r="G4" s="21"/>
      <c r="H4" s="21"/>
      <c r="I4" s="21"/>
      <c r="K4" s="21"/>
      <c r="L4" s="21"/>
      <c r="M4" s="21"/>
      <c r="N4" s="10"/>
    </row>
    <row r="5" spans="1:14" x14ac:dyDescent="0.2">
      <c r="A5" s="20" t="s">
        <v>160</v>
      </c>
      <c r="B5" s="21">
        <v>6967</v>
      </c>
      <c r="C5" s="21">
        <v>274</v>
      </c>
      <c r="D5" s="21">
        <v>1174</v>
      </c>
      <c r="E5" s="21">
        <v>929</v>
      </c>
      <c r="F5" s="10">
        <v>60119</v>
      </c>
      <c r="G5" s="21">
        <f>C5-C4</f>
        <v>190.5</v>
      </c>
      <c r="H5" s="21">
        <f>D5-D4</f>
        <v>487</v>
      </c>
      <c r="I5" s="21">
        <f>E5-E4</f>
        <v>71</v>
      </c>
      <c r="J5" s="10">
        <f>F5-F4</f>
        <v>58005</v>
      </c>
      <c r="K5" s="21">
        <f>G5-G$5</f>
        <v>0</v>
      </c>
      <c r="L5" s="21">
        <f>H5-H$5</f>
        <v>0</v>
      </c>
      <c r="M5" s="21">
        <f>I5-I$5</f>
        <v>0</v>
      </c>
      <c r="N5" s="10">
        <f>J5-J$5</f>
        <v>0</v>
      </c>
    </row>
    <row r="6" spans="1:14" x14ac:dyDescent="0.2">
      <c r="A6" s="20" t="s">
        <v>161</v>
      </c>
      <c r="B6" s="21">
        <v>13625</v>
      </c>
      <c r="C6" s="21">
        <v>104</v>
      </c>
      <c r="D6" s="21">
        <v>682</v>
      </c>
      <c r="E6" s="21">
        <v>1163</v>
      </c>
      <c r="F6" s="10">
        <v>1834</v>
      </c>
      <c r="G6" s="21"/>
      <c r="H6" s="21"/>
      <c r="I6" s="21"/>
      <c r="K6" s="21"/>
      <c r="L6" s="21"/>
      <c r="M6" s="21"/>
      <c r="N6" s="10"/>
    </row>
    <row r="7" spans="1:14" x14ac:dyDescent="0.2">
      <c r="A7" s="20" t="s">
        <v>162</v>
      </c>
      <c r="B7" s="21">
        <v>4757</v>
      </c>
      <c r="C7" s="21">
        <v>236</v>
      </c>
      <c r="D7" s="21">
        <v>1188</v>
      </c>
      <c r="E7" s="21">
        <v>1910</v>
      </c>
      <c r="F7" s="10">
        <v>54638</v>
      </c>
      <c r="G7" s="21">
        <f>C7-C6</f>
        <v>132</v>
      </c>
      <c r="H7" s="21">
        <f>D7-D6</f>
        <v>506</v>
      </c>
      <c r="I7" s="21">
        <f>E7-E6</f>
        <v>747</v>
      </c>
      <c r="J7" s="10">
        <f>F7-F6</f>
        <v>52804</v>
      </c>
      <c r="K7" s="21">
        <f>G7-G$5</f>
        <v>-58.5</v>
      </c>
      <c r="L7" s="21">
        <f>H7-H$5</f>
        <v>19</v>
      </c>
      <c r="M7" s="21">
        <f>I7-I$5</f>
        <v>676</v>
      </c>
      <c r="N7" s="10">
        <f>J7-J$5</f>
        <v>-5201</v>
      </c>
    </row>
    <row r="8" spans="1:14" x14ac:dyDescent="0.2">
      <c r="A8" s="20" t="s">
        <v>389</v>
      </c>
      <c r="B8" s="21">
        <v>5563</v>
      </c>
      <c r="C8" s="21">
        <v>103</v>
      </c>
      <c r="D8" s="21">
        <v>663</v>
      </c>
      <c r="E8" s="21">
        <v>901</v>
      </c>
      <c r="F8" s="10">
        <v>2008</v>
      </c>
      <c r="G8" s="21"/>
      <c r="H8" s="21"/>
      <c r="I8" s="21"/>
      <c r="K8" s="21"/>
      <c r="L8" s="21"/>
      <c r="M8" s="21"/>
      <c r="N8" s="10"/>
    </row>
    <row r="9" spans="1:14" x14ac:dyDescent="0.2">
      <c r="A9" s="20" t="s">
        <v>390</v>
      </c>
      <c r="B9" s="21">
        <v>6012</v>
      </c>
      <c r="C9" s="21">
        <v>259</v>
      </c>
      <c r="D9" s="21">
        <v>1381</v>
      </c>
      <c r="E9" s="21">
        <v>1856</v>
      </c>
      <c r="F9" s="10">
        <v>72170</v>
      </c>
      <c r="G9" s="21">
        <f>C9-C8</f>
        <v>156</v>
      </c>
      <c r="H9" s="21">
        <f>D9-D8</f>
        <v>718</v>
      </c>
      <c r="I9" s="21">
        <f>E9-E8</f>
        <v>955</v>
      </c>
      <c r="J9" s="10">
        <f>F9-F8</f>
        <v>70162</v>
      </c>
      <c r="K9" s="21">
        <f>G9-G$5</f>
        <v>-34.5</v>
      </c>
      <c r="L9" s="21">
        <f>H9-H$5</f>
        <v>231</v>
      </c>
      <c r="M9" s="21">
        <f>I9-I$5</f>
        <v>884</v>
      </c>
      <c r="N9" s="10">
        <f>J9-J$5</f>
        <v>12157</v>
      </c>
    </row>
    <row r="10" spans="1:14" x14ac:dyDescent="0.2">
      <c r="A10" s="20" t="s">
        <v>391</v>
      </c>
      <c r="B10" s="21">
        <v>4239</v>
      </c>
      <c r="C10" s="21">
        <v>102</v>
      </c>
      <c r="D10" s="21">
        <v>681</v>
      </c>
      <c r="E10" s="21">
        <v>1121</v>
      </c>
      <c r="F10" s="10">
        <v>2344</v>
      </c>
      <c r="G10" s="21"/>
      <c r="H10" s="21"/>
      <c r="I10" s="21"/>
      <c r="K10" s="21"/>
      <c r="L10" s="21"/>
      <c r="M10" s="21"/>
      <c r="N10" s="10"/>
    </row>
    <row r="11" spans="1:14" x14ac:dyDescent="0.2">
      <c r="A11" s="20" t="s">
        <v>392</v>
      </c>
      <c r="B11" s="21">
        <v>594</v>
      </c>
      <c r="C11" s="21">
        <v>333</v>
      </c>
      <c r="D11" s="21">
        <v>1183</v>
      </c>
      <c r="E11" s="21">
        <v>5370</v>
      </c>
      <c r="F11" s="10">
        <v>65179</v>
      </c>
      <c r="G11" s="21">
        <f>C11-C10</f>
        <v>231</v>
      </c>
      <c r="H11" s="21">
        <f>D11-D10</f>
        <v>502</v>
      </c>
      <c r="I11" s="21">
        <f>E11-E10</f>
        <v>4249</v>
      </c>
      <c r="J11" s="10">
        <f>F11-F10</f>
        <v>62835</v>
      </c>
      <c r="K11" s="21">
        <f>G11-G$5</f>
        <v>40.5</v>
      </c>
      <c r="L11" s="21">
        <f>H11-H$5</f>
        <v>15</v>
      </c>
      <c r="M11" s="21">
        <f>I11-I$5</f>
        <v>4178</v>
      </c>
      <c r="N11" s="10">
        <f>J11-J$5</f>
        <v>4830</v>
      </c>
    </row>
    <row r="12" spans="1:14" x14ac:dyDescent="0.2">
      <c r="A12" s="20" t="s">
        <v>393</v>
      </c>
      <c r="B12" s="21">
        <v>3464</v>
      </c>
      <c r="C12" s="21">
        <v>99</v>
      </c>
      <c r="D12" s="21">
        <v>596</v>
      </c>
      <c r="E12" s="21">
        <v>1220</v>
      </c>
      <c r="F12" s="10">
        <v>1739</v>
      </c>
      <c r="G12" s="21"/>
      <c r="H12" s="21"/>
      <c r="I12" s="21"/>
      <c r="K12" s="21"/>
      <c r="L12" s="21"/>
      <c r="M12" s="21"/>
      <c r="N12" s="10"/>
    </row>
    <row r="13" spans="1:14" x14ac:dyDescent="0.2">
      <c r="A13" s="20" t="s">
        <v>394</v>
      </c>
      <c r="B13" s="21">
        <v>2020</v>
      </c>
      <c r="C13" s="21">
        <v>230</v>
      </c>
      <c r="D13" s="21">
        <v>1467</v>
      </c>
      <c r="E13" s="21">
        <v>2634</v>
      </c>
      <c r="F13" s="10">
        <v>77096</v>
      </c>
      <c r="G13" s="21">
        <f>C13-C12</f>
        <v>131</v>
      </c>
      <c r="H13" s="21">
        <f>D13-D12</f>
        <v>871</v>
      </c>
      <c r="I13" s="21">
        <f>E13-E12</f>
        <v>1414</v>
      </c>
      <c r="J13" s="10">
        <f>F13-F12</f>
        <v>75357</v>
      </c>
      <c r="K13" s="21">
        <f>G13-G$5</f>
        <v>-59.5</v>
      </c>
      <c r="L13" s="21">
        <f>H13-H$5</f>
        <v>384</v>
      </c>
      <c r="M13" s="21">
        <f>I13-I$5</f>
        <v>1343</v>
      </c>
      <c r="N13" s="10">
        <f>J13-J$5</f>
        <v>17352</v>
      </c>
    </row>
    <row r="14" spans="1:14" x14ac:dyDescent="0.2">
      <c r="A14" s="20"/>
      <c r="B14" s="21"/>
      <c r="C14" s="21"/>
      <c r="D14" s="21"/>
      <c r="E14" s="21"/>
      <c r="G14" s="21"/>
      <c r="H14" s="21"/>
      <c r="I14" s="21"/>
      <c r="K14" s="21"/>
      <c r="L14" s="21"/>
      <c r="M14" s="21"/>
      <c r="N14" s="10"/>
    </row>
    <row r="15" spans="1:14" x14ac:dyDescent="0.2">
      <c r="A15" s="20" t="s">
        <v>163</v>
      </c>
      <c r="B15" s="21">
        <v>750</v>
      </c>
      <c r="C15" s="21">
        <v>129</v>
      </c>
      <c r="D15" s="21">
        <v>579</v>
      </c>
      <c r="E15" s="21">
        <v>-80.900000000000006</v>
      </c>
      <c r="F15" s="10">
        <v>5198</v>
      </c>
      <c r="G15" s="21"/>
      <c r="H15" s="21"/>
      <c r="I15" s="21"/>
      <c r="K15" s="21"/>
      <c r="L15" s="21"/>
      <c r="M15" s="21"/>
      <c r="N15" s="10"/>
    </row>
    <row r="16" spans="1:14" x14ac:dyDescent="0.2">
      <c r="A16" s="20" t="s">
        <v>164</v>
      </c>
      <c r="B16" s="21">
        <v>1656</v>
      </c>
      <c r="C16" s="21">
        <v>213</v>
      </c>
      <c r="D16" s="21">
        <v>1209</v>
      </c>
      <c r="E16" s="21">
        <v>1846</v>
      </c>
      <c r="F16" s="10">
        <v>17929</v>
      </c>
      <c r="G16" s="21">
        <f>C16-C15</f>
        <v>84</v>
      </c>
      <c r="H16" s="21">
        <f>D16-D15</f>
        <v>630</v>
      </c>
      <c r="I16" s="21">
        <f>E16-E15</f>
        <v>1926.9</v>
      </c>
      <c r="J16" s="10">
        <f>F16-F15</f>
        <v>12731</v>
      </c>
      <c r="K16" s="21">
        <f>G16-G$16</f>
        <v>0</v>
      </c>
      <c r="L16" s="21">
        <f>H16-H$16</f>
        <v>0</v>
      </c>
      <c r="M16" s="21">
        <f>I16-I$16</f>
        <v>0</v>
      </c>
      <c r="N16" s="10">
        <f>J16-J$16</f>
        <v>0</v>
      </c>
    </row>
    <row r="17" spans="1:14" x14ac:dyDescent="0.2">
      <c r="A17" s="20" t="s">
        <v>165</v>
      </c>
      <c r="B17" s="21">
        <v>3298</v>
      </c>
      <c r="C17" s="21">
        <v>148</v>
      </c>
      <c r="D17" s="21">
        <v>717</v>
      </c>
      <c r="E17" s="21">
        <v>-1448</v>
      </c>
      <c r="F17" s="10">
        <v>6993</v>
      </c>
      <c r="G17" s="21"/>
      <c r="H17" s="21"/>
      <c r="I17" s="21"/>
      <c r="K17" s="21"/>
      <c r="L17" s="21"/>
      <c r="M17" s="21"/>
      <c r="N17" s="10"/>
    </row>
    <row r="18" spans="1:14" x14ac:dyDescent="0.2">
      <c r="A18" s="20" t="s">
        <v>166</v>
      </c>
      <c r="B18" s="21">
        <v>7046</v>
      </c>
      <c r="C18" s="21">
        <v>451</v>
      </c>
      <c r="D18" s="21">
        <v>1123</v>
      </c>
      <c r="E18" s="21">
        <v>826</v>
      </c>
      <c r="F18" s="10">
        <v>25474</v>
      </c>
      <c r="G18" s="21">
        <f>C18-C17</f>
        <v>303</v>
      </c>
      <c r="H18" s="21">
        <f>D18-D17</f>
        <v>406</v>
      </c>
      <c r="I18" s="21">
        <f>E18-E17</f>
        <v>2274</v>
      </c>
      <c r="J18" s="10">
        <f>F18-F17</f>
        <v>18481</v>
      </c>
      <c r="K18" s="21">
        <f>G18-G$16</f>
        <v>219</v>
      </c>
      <c r="L18" s="21">
        <f>H18-H$16</f>
        <v>-224</v>
      </c>
      <c r="M18" s="21">
        <f>I18-I$16</f>
        <v>347.09999999999991</v>
      </c>
      <c r="N18" s="10">
        <f>J18-J$16</f>
        <v>5750</v>
      </c>
    </row>
    <row r="19" spans="1:14" x14ac:dyDescent="0.2">
      <c r="A19" s="20" t="s">
        <v>395</v>
      </c>
      <c r="B19" s="21">
        <v>986</v>
      </c>
      <c r="C19" s="21">
        <v>219</v>
      </c>
      <c r="D19" s="21">
        <v>647</v>
      </c>
      <c r="E19" s="21">
        <v>-1322</v>
      </c>
      <c r="F19" s="10">
        <v>5818</v>
      </c>
      <c r="G19" s="21"/>
      <c r="H19" s="21"/>
      <c r="I19" s="21"/>
      <c r="K19" s="21"/>
      <c r="L19" s="21"/>
      <c r="M19" s="21"/>
      <c r="N19" s="10"/>
    </row>
    <row r="20" spans="1:14" x14ac:dyDescent="0.2">
      <c r="A20" s="20" t="s">
        <v>396</v>
      </c>
      <c r="B20" s="21">
        <v>952</v>
      </c>
      <c r="C20" s="21">
        <v>451</v>
      </c>
      <c r="D20" s="21">
        <v>976</v>
      </c>
      <c r="E20" s="21">
        <v>713</v>
      </c>
      <c r="F20" s="10">
        <v>33874</v>
      </c>
      <c r="G20" s="21">
        <f>C20-C19</f>
        <v>232</v>
      </c>
      <c r="H20" s="21">
        <f>D20-D19</f>
        <v>329</v>
      </c>
      <c r="I20" s="21">
        <f>E20-E19</f>
        <v>2035</v>
      </c>
      <c r="J20" s="10">
        <f>F20-F19</f>
        <v>28056</v>
      </c>
      <c r="K20" s="21">
        <f>G20-G$16</f>
        <v>148</v>
      </c>
      <c r="L20" s="21">
        <f>H20-H$16</f>
        <v>-301</v>
      </c>
      <c r="M20" s="21">
        <f>I20-I$16</f>
        <v>108.09999999999991</v>
      </c>
      <c r="N20" s="10">
        <f>J20-J$16</f>
        <v>15325</v>
      </c>
    </row>
    <row r="21" spans="1:14" x14ac:dyDescent="0.2">
      <c r="A21" s="20" t="s">
        <v>397</v>
      </c>
      <c r="B21" s="21">
        <v>1681</v>
      </c>
      <c r="C21" s="21">
        <v>328</v>
      </c>
      <c r="D21" s="21">
        <v>732</v>
      </c>
      <c r="E21" s="21">
        <v>-1636</v>
      </c>
      <c r="F21" s="10">
        <v>7501</v>
      </c>
      <c r="G21" s="21"/>
      <c r="H21" s="21"/>
      <c r="I21" s="21"/>
      <c r="K21" s="21"/>
      <c r="L21" s="21"/>
      <c r="M21" s="21"/>
      <c r="N21" s="10"/>
    </row>
    <row r="22" spans="1:14" x14ac:dyDescent="0.2">
      <c r="A22" s="20" t="s">
        <v>398</v>
      </c>
      <c r="B22" s="21">
        <v>1978</v>
      </c>
      <c r="C22" s="21">
        <v>570</v>
      </c>
      <c r="D22" s="21">
        <v>1266</v>
      </c>
      <c r="E22" s="21">
        <v>760</v>
      </c>
      <c r="F22" s="10">
        <v>44091</v>
      </c>
      <c r="G22" s="21">
        <f>C22-C21</f>
        <v>242</v>
      </c>
      <c r="H22" s="21">
        <f>D22-D21</f>
        <v>534</v>
      </c>
      <c r="I22" s="21">
        <f>E22-E21</f>
        <v>2396</v>
      </c>
      <c r="J22" s="10">
        <f>F22-F21</f>
        <v>36590</v>
      </c>
      <c r="K22" s="21">
        <f>G22-G$16</f>
        <v>158</v>
      </c>
      <c r="L22" s="21">
        <f>H22-H$16</f>
        <v>-96</v>
      </c>
      <c r="M22" s="21">
        <f>I22-I$16</f>
        <v>469.09999999999991</v>
      </c>
      <c r="N22" s="10">
        <f>J22-J$16</f>
        <v>23859</v>
      </c>
    </row>
    <row r="23" spans="1:14" x14ac:dyDescent="0.2">
      <c r="A23" s="20" t="s">
        <v>399</v>
      </c>
      <c r="B23" s="21">
        <v>2148</v>
      </c>
      <c r="C23" s="21">
        <v>240</v>
      </c>
      <c r="D23" s="21">
        <v>796</v>
      </c>
      <c r="E23" s="21">
        <v>-1636</v>
      </c>
      <c r="F23" s="10">
        <v>7771</v>
      </c>
      <c r="G23" s="21"/>
      <c r="H23" s="21"/>
      <c r="I23" s="21"/>
      <c r="K23" s="21"/>
      <c r="L23" s="21"/>
      <c r="M23" s="21"/>
      <c r="N23" s="10"/>
    </row>
    <row r="24" spans="1:14" x14ac:dyDescent="0.2">
      <c r="A24" s="20" t="s">
        <v>400</v>
      </c>
      <c r="B24" s="21">
        <v>2400</v>
      </c>
      <c r="C24" s="21">
        <v>522</v>
      </c>
      <c r="D24" s="21">
        <v>1392</v>
      </c>
      <c r="E24" s="21">
        <v>1049</v>
      </c>
      <c r="F24" s="10">
        <v>43056</v>
      </c>
      <c r="G24" s="21">
        <f>C24-C23</f>
        <v>282</v>
      </c>
      <c r="H24" s="21">
        <f>D24-D23</f>
        <v>596</v>
      </c>
      <c r="I24" s="21">
        <f>E24-E23</f>
        <v>2685</v>
      </c>
      <c r="J24" s="10">
        <f>F24-F23</f>
        <v>35285</v>
      </c>
      <c r="K24" s="21">
        <f>G24-G$16</f>
        <v>198</v>
      </c>
      <c r="L24" s="21">
        <f>H24-H$16</f>
        <v>-34</v>
      </c>
      <c r="M24" s="21">
        <f>I24-I$16</f>
        <v>758.09999999999991</v>
      </c>
      <c r="N24" s="10">
        <f>J24-J$16</f>
        <v>22554</v>
      </c>
    </row>
    <row r="25" spans="1:14" x14ac:dyDescent="0.2">
      <c r="A25" s="20"/>
      <c r="B25" s="21"/>
      <c r="C25" s="21"/>
      <c r="D25" s="21"/>
      <c r="E25" s="21"/>
      <c r="G25" s="21"/>
      <c r="H25" s="21"/>
      <c r="I25" s="21"/>
      <c r="K25" s="21"/>
      <c r="L25" s="21"/>
      <c r="M25" s="21"/>
      <c r="N25" s="10"/>
    </row>
    <row r="26" spans="1:14" x14ac:dyDescent="0.2">
      <c r="A26" s="20" t="s">
        <v>167</v>
      </c>
      <c r="B26" s="21">
        <v>5663</v>
      </c>
      <c r="C26" s="21">
        <v>638</v>
      </c>
      <c r="D26" s="21">
        <v>750</v>
      </c>
      <c r="E26" s="21">
        <v>-998</v>
      </c>
      <c r="F26" s="10">
        <v>2666</v>
      </c>
      <c r="G26" s="21"/>
      <c r="H26" s="21"/>
      <c r="I26" s="21"/>
      <c r="K26" s="21"/>
      <c r="L26" s="21"/>
      <c r="M26" s="21"/>
      <c r="N26" s="10"/>
    </row>
    <row r="27" spans="1:14" x14ac:dyDescent="0.2">
      <c r="A27" s="20" t="s">
        <v>168</v>
      </c>
      <c r="B27" s="21">
        <v>12602</v>
      </c>
      <c r="C27" s="21">
        <v>699</v>
      </c>
      <c r="D27" s="21">
        <v>1237</v>
      </c>
      <c r="E27" s="21">
        <v>-289</v>
      </c>
      <c r="F27" s="10">
        <v>59227</v>
      </c>
      <c r="G27" s="21">
        <f>C27-C26</f>
        <v>61</v>
      </c>
      <c r="H27" s="21">
        <f>D27-D26</f>
        <v>487</v>
      </c>
      <c r="I27" s="21">
        <f>E27-E26</f>
        <v>709</v>
      </c>
      <c r="J27" s="10">
        <f>F27-F26</f>
        <v>56561</v>
      </c>
      <c r="K27" s="21">
        <f>G27-G$27</f>
        <v>0</v>
      </c>
      <c r="L27" s="21">
        <f>H27-H$27</f>
        <v>0</v>
      </c>
      <c r="M27" s="21">
        <f>I27-I$27</f>
        <v>0</v>
      </c>
      <c r="N27" s="10">
        <f>J27-J$27</f>
        <v>0</v>
      </c>
    </row>
    <row r="28" spans="1:14" x14ac:dyDescent="0.2">
      <c r="A28" s="20" t="s">
        <v>169</v>
      </c>
      <c r="B28" s="21">
        <v>3204</v>
      </c>
      <c r="C28" s="21">
        <v>730</v>
      </c>
      <c r="D28" s="21">
        <v>798</v>
      </c>
      <c r="E28" s="21">
        <v>-374</v>
      </c>
      <c r="F28" s="10">
        <v>2764</v>
      </c>
      <c r="G28" s="21"/>
      <c r="H28" s="21"/>
      <c r="I28" s="21"/>
      <c r="K28" s="21"/>
      <c r="L28" s="21"/>
      <c r="M28" s="21"/>
      <c r="N28" s="10"/>
    </row>
    <row r="29" spans="1:14" x14ac:dyDescent="0.2">
      <c r="A29" s="20" t="s">
        <v>170</v>
      </c>
      <c r="B29" s="21">
        <v>7174</v>
      </c>
      <c r="C29" s="21">
        <v>673</v>
      </c>
      <c r="D29" s="21">
        <v>1320</v>
      </c>
      <c r="E29" s="21">
        <v>1825</v>
      </c>
      <c r="F29" s="10">
        <v>59940</v>
      </c>
      <c r="G29" s="21">
        <f>C29-C28</f>
        <v>-57</v>
      </c>
      <c r="H29" s="21">
        <f>D29-D28</f>
        <v>522</v>
      </c>
      <c r="I29" s="21">
        <f>E29-E28</f>
        <v>2199</v>
      </c>
      <c r="J29" s="10">
        <f>F29-F28</f>
        <v>57176</v>
      </c>
      <c r="K29" s="21">
        <f>G29-G$27</f>
        <v>-118</v>
      </c>
      <c r="L29" s="21">
        <f>H29-H$27</f>
        <v>35</v>
      </c>
      <c r="M29" s="21">
        <f>I29-I$27</f>
        <v>1490</v>
      </c>
      <c r="N29" s="10">
        <f>J29-J$27</f>
        <v>615</v>
      </c>
    </row>
    <row r="30" spans="1:14" x14ac:dyDescent="0.2">
      <c r="A30" s="20" t="s">
        <v>401</v>
      </c>
      <c r="B30" s="21">
        <v>460</v>
      </c>
      <c r="C30" s="21">
        <v>194</v>
      </c>
      <c r="D30" s="21">
        <v>1168</v>
      </c>
      <c r="E30" s="21">
        <v>1161</v>
      </c>
      <c r="F30" s="10">
        <v>3206</v>
      </c>
      <c r="G30" s="21"/>
      <c r="H30" s="21"/>
      <c r="I30" s="21"/>
      <c r="K30" s="21"/>
      <c r="L30" s="21"/>
      <c r="M30" s="21"/>
      <c r="N30" s="10"/>
    </row>
    <row r="31" spans="1:14" x14ac:dyDescent="0.2">
      <c r="A31" s="20" t="s">
        <v>402</v>
      </c>
      <c r="B31" s="21">
        <v>2247</v>
      </c>
      <c r="C31" s="21">
        <v>499</v>
      </c>
      <c r="D31" s="21">
        <v>1646</v>
      </c>
      <c r="E31" s="21">
        <v>6267</v>
      </c>
      <c r="F31" s="10">
        <v>60661</v>
      </c>
      <c r="G31" s="21">
        <f>C31-C30</f>
        <v>305</v>
      </c>
      <c r="H31" s="21">
        <f>D31-D30</f>
        <v>478</v>
      </c>
      <c r="I31" s="21">
        <f>E31-E30</f>
        <v>5106</v>
      </c>
      <c r="J31" s="10">
        <f>F31-F30</f>
        <v>57455</v>
      </c>
      <c r="K31" s="21">
        <f>G31-G$27</f>
        <v>244</v>
      </c>
      <c r="L31" s="21">
        <f>H31-H$27</f>
        <v>-9</v>
      </c>
      <c r="M31" s="21">
        <f>I31-I$27</f>
        <v>4397</v>
      </c>
      <c r="N31" s="10">
        <f>J31-J$27</f>
        <v>894</v>
      </c>
    </row>
    <row r="32" spans="1:14" x14ac:dyDescent="0.2">
      <c r="A32" s="20" t="s">
        <v>403</v>
      </c>
      <c r="B32" s="21">
        <v>1945</v>
      </c>
      <c r="C32" s="21">
        <v>655</v>
      </c>
      <c r="D32" s="21">
        <v>1152</v>
      </c>
      <c r="E32" s="21">
        <v>464</v>
      </c>
      <c r="F32" s="10">
        <v>4114</v>
      </c>
      <c r="G32" s="21"/>
      <c r="H32" s="21"/>
      <c r="I32" s="21"/>
      <c r="K32" s="21"/>
      <c r="L32" s="21"/>
      <c r="M32" s="21"/>
      <c r="N32" s="10"/>
    </row>
    <row r="33" spans="1:14" x14ac:dyDescent="0.2">
      <c r="A33" s="20" t="s">
        <v>404</v>
      </c>
      <c r="B33" s="21">
        <v>6190</v>
      </c>
      <c r="C33" s="21">
        <v>694</v>
      </c>
      <c r="D33" s="21">
        <v>1394</v>
      </c>
      <c r="E33" s="21">
        <v>4041</v>
      </c>
      <c r="F33" s="10">
        <v>55129</v>
      </c>
      <c r="G33" s="21">
        <f>C33-C32</f>
        <v>39</v>
      </c>
      <c r="H33" s="21">
        <f>D33-D32</f>
        <v>242</v>
      </c>
      <c r="I33" s="21">
        <f>E33-E32</f>
        <v>3577</v>
      </c>
      <c r="J33" s="10">
        <f>F33-F32</f>
        <v>51015</v>
      </c>
      <c r="K33" s="21">
        <f>G33-G$27</f>
        <v>-22</v>
      </c>
      <c r="L33" s="21">
        <f>H33-H$27</f>
        <v>-245</v>
      </c>
      <c r="M33" s="21">
        <f>I33-I$27</f>
        <v>2868</v>
      </c>
      <c r="N33" s="10">
        <f>J33-J$27</f>
        <v>-5546</v>
      </c>
    </row>
    <row r="34" spans="1:14" x14ac:dyDescent="0.2">
      <c r="A34" s="20" t="s">
        <v>405</v>
      </c>
      <c r="B34" s="21">
        <v>3393</v>
      </c>
      <c r="C34" s="21">
        <v>537</v>
      </c>
      <c r="D34" s="21">
        <v>727</v>
      </c>
      <c r="E34" s="21">
        <v>1432</v>
      </c>
      <c r="F34" s="10">
        <v>2400</v>
      </c>
      <c r="G34" s="21"/>
      <c r="H34" s="21"/>
      <c r="I34" s="21"/>
      <c r="K34" s="21"/>
      <c r="L34" s="21"/>
      <c r="M34" s="21"/>
      <c r="N34" s="10"/>
    </row>
    <row r="35" spans="1:14" x14ac:dyDescent="0.2">
      <c r="A35" s="20" t="s">
        <v>406</v>
      </c>
      <c r="B35" s="21">
        <v>10092</v>
      </c>
      <c r="C35" s="21">
        <v>786</v>
      </c>
      <c r="D35" s="21">
        <v>1492</v>
      </c>
      <c r="E35" s="21">
        <v>2614</v>
      </c>
      <c r="F35" s="10">
        <v>78262</v>
      </c>
      <c r="G35" s="21">
        <f>C35-C34</f>
        <v>249</v>
      </c>
      <c r="H35" s="21">
        <f>D35-D34</f>
        <v>765</v>
      </c>
      <c r="I35" s="21">
        <f>E35-E34</f>
        <v>1182</v>
      </c>
      <c r="J35" s="10">
        <f>F35-F34</f>
        <v>75862</v>
      </c>
      <c r="K35" s="21">
        <f>G35-G$27</f>
        <v>188</v>
      </c>
      <c r="L35" s="21">
        <f>H35-H$27</f>
        <v>278</v>
      </c>
      <c r="M35" s="21">
        <f>I35-I$27</f>
        <v>473</v>
      </c>
      <c r="N35" s="10">
        <f>J35-J$27</f>
        <v>19301</v>
      </c>
    </row>
    <row r="36" spans="1:14" x14ac:dyDescent="0.2">
      <c r="A36" s="20"/>
      <c r="B36" s="21"/>
      <c r="C36" s="21"/>
      <c r="D36" s="21"/>
      <c r="E36" s="21"/>
      <c r="G36" s="21"/>
      <c r="H36" s="21"/>
      <c r="I36" s="21"/>
      <c r="K36" s="21"/>
      <c r="L36" s="21"/>
      <c r="M36" s="21"/>
      <c r="N36" s="10"/>
    </row>
    <row r="37" spans="1:14" x14ac:dyDescent="0.2">
      <c r="A37" s="20" t="s">
        <v>171</v>
      </c>
      <c r="B37" s="21">
        <v>1763</v>
      </c>
      <c r="C37" s="21">
        <v>66.8</v>
      </c>
      <c r="D37" s="21">
        <v>990</v>
      </c>
      <c r="E37" s="21">
        <v>2076</v>
      </c>
      <c r="F37" s="10">
        <v>-483</v>
      </c>
      <c r="G37" s="21"/>
      <c r="H37" s="21"/>
      <c r="I37" s="21"/>
      <c r="K37" s="21"/>
      <c r="L37" s="21"/>
      <c r="M37" s="21"/>
      <c r="N37" s="10"/>
    </row>
    <row r="38" spans="1:14" x14ac:dyDescent="0.2">
      <c r="A38" s="20" t="s">
        <v>172</v>
      </c>
      <c r="B38" s="21">
        <v>2395</v>
      </c>
      <c r="C38" s="21">
        <v>233</v>
      </c>
      <c r="D38" s="21">
        <v>1384</v>
      </c>
      <c r="E38" s="21">
        <v>3716</v>
      </c>
      <c r="F38" s="10">
        <v>18085</v>
      </c>
      <c r="G38" s="21">
        <f>C38-C37</f>
        <v>166.2</v>
      </c>
      <c r="H38" s="21">
        <f>D38-D37</f>
        <v>394</v>
      </c>
      <c r="I38" s="21">
        <f>E38-E37</f>
        <v>1640</v>
      </c>
      <c r="J38" s="10">
        <f>F38-F37</f>
        <v>18568</v>
      </c>
      <c r="K38" s="21">
        <f>G38-G$38</f>
        <v>0</v>
      </c>
      <c r="L38" s="21">
        <f>H38-H$38</f>
        <v>0</v>
      </c>
      <c r="M38" s="21">
        <f>I38-I$38</f>
        <v>0</v>
      </c>
      <c r="N38" s="10">
        <f>J38-J$38</f>
        <v>0</v>
      </c>
    </row>
    <row r="39" spans="1:14" x14ac:dyDescent="0.2">
      <c r="A39" s="20" t="s">
        <v>173</v>
      </c>
      <c r="B39" s="21">
        <v>2647</v>
      </c>
      <c r="C39" s="21">
        <v>91.2</v>
      </c>
      <c r="D39" s="21">
        <v>2132</v>
      </c>
      <c r="E39" s="21">
        <v>4472</v>
      </c>
      <c r="F39" s="10">
        <v>-1000</v>
      </c>
      <c r="G39" s="21"/>
      <c r="H39" s="21"/>
      <c r="I39" s="21"/>
      <c r="K39" s="21"/>
      <c r="L39" s="21"/>
      <c r="M39" s="21"/>
      <c r="N39" s="10"/>
    </row>
    <row r="40" spans="1:14" x14ac:dyDescent="0.2">
      <c r="A40" s="20" t="s">
        <v>174</v>
      </c>
      <c r="B40" s="21">
        <v>2662</v>
      </c>
      <c r="C40" s="21">
        <v>294</v>
      </c>
      <c r="D40" s="21">
        <v>2414</v>
      </c>
      <c r="E40" s="21">
        <v>7080</v>
      </c>
      <c r="F40" s="10">
        <v>13472</v>
      </c>
      <c r="G40" s="21">
        <f>C40-C39</f>
        <v>202.8</v>
      </c>
      <c r="H40" s="21">
        <f>D40-D39</f>
        <v>282</v>
      </c>
      <c r="I40" s="21">
        <f>E40-E39</f>
        <v>2608</v>
      </c>
      <c r="J40" s="10">
        <f>F40-F39</f>
        <v>14472</v>
      </c>
      <c r="K40" s="21">
        <f>G40-G$38</f>
        <v>36.600000000000023</v>
      </c>
      <c r="L40" s="21">
        <f>H40-H$38</f>
        <v>-112</v>
      </c>
      <c r="M40" s="21">
        <f>I40-I$38</f>
        <v>968</v>
      </c>
      <c r="N40" s="10">
        <f>J40-J$38</f>
        <v>-4096</v>
      </c>
    </row>
    <row r="41" spans="1:14" x14ac:dyDescent="0.2">
      <c r="A41" s="20" t="s">
        <v>407</v>
      </c>
      <c r="B41" s="21">
        <v>2556</v>
      </c>
      <c r="C41" s="21">
        <v>80.900000000000006</v>
      </c>
      <c r="D41" s="21">
        <v>1407</v>
      </c>
      <c r="E41" s="21">
        <v>3163</v>
      </c>
      <c r="F41" s="10">
        <v>-652</v>
      </c>
      <c r="G41" s="21"/>
      <c r="H41" s="21"/>
      <c r="I41" s="21"/>
      <c r="K41" s="21"/>
      <c r="L41" s="21"/>
      <c r="M41" s="21"/>
      <c r="N41" s="10"/>
    </row>
    <row r="42" spans="1:14" x14ac:dyDescent="0.2">
      <c r="A42" s="20" t="s">
        <v>408</v>
      </c>
      <c r="B42" s="21">
        <v>2516</v>
      </c>
      <c r="C42" s="21">
        <v>230</v>
      </c>
      <c r="D42" s="21">
        <v>1567</v>
      </c>
      <c r="E42" s="21">
        <v>5136</v>
      </c>
      <c r="F42" s="10">
        <v>21326</v>
      </c>
      <c r="G42" s="21">
        <f>C42-C41</f>
        <v>149.1</v>
      </c>
      <c r="H42" s="21">
        <f>D42-D41</f>
        <v>160</v>
      </c>
      <c r="I42" s="21">
        <f>E42-E41</f>
        <v>1973</v>
      </c>
      <c r="J42" s="10">
        <f>F42-F41</f>
        <v>21978</v>
      </c>
      <c r="K42" s="21">
        <f>G42-G$38</f>
        <v>-17.099999999999994</v>
      </c>
      <c r="L42" s="21">
        <f>H42-H$38</f>
        <v>-234</v>
      </c>
      <c r="M42" s="21">
        <f>I42-I$38</f>
        <v>333</v>
      </c>
      <c r="N42" s="10">
        <f>J42-J$38</f>
        <v>3410</v>
      </c>
    </row>
    <row r="43" spans="1:14" x14ac:dyDescent="0.2">
      <c r="A43" s="20" t="s">
        <v>409</v>
      </c>
      <c r="B43" s="21">
        <v>2147</v>
      </c>
      <c r="C43" s="21">
        <v>118</v>
      </c>
      <c r="D43" s="21">
        <v>1987</v>
      </c>
      <c r="E43" s="21">
        <v>4108</v>
      </c>
      <c r="F43" s="10">
        <v>-834</v>
      </c>
      <c r="G43" s="21"/>
      <c r="H43" s="21"/>
      <c r="I43" s="21"/>
      <c r="K43" s="21"/>
      <c r="L43" s="21"/>
      <c r="M43" s="21"/>
      <c r="N43" s="10"/>
    </row>
    <row r="44" spans="1:14" x14ac:dyDescent="0.2">
      <c r="A44" s="20" t="s">
        <v>410</v>
      </c>
      <c r="B44" s="21">
        <v>1808</v>
      </c>
      <c r="C44" s="21">
        <v>192</v>
      </c>
      <c r="D44" s="21">
        <v>1994</v>
      </c>
      <c r="E44" s="21">
        <v>7142</v>
      </c>
      <c r="F44" s="10">
        <v>11124</v>
      </c>
      <c r="G44" s="21">
        <f>C44-C43</f>
        <v>74</v>
      </c>
      <c r="H44" s="21">
        <f>D44-D43</f>
        <v>7</v>
      </c>
      <c r="I44" s="21">
        <f>E44-E43</f>
        <v>3034</v>
      </c>
      <c r="J44" s="10">
        <f>F44-F43</f>
        <v>11958</v>
      </c>
      <c r="K44" s="21">
        <f>G44-G$38</f>
        <v>-92.199999999999989</v>
      </c>
      <c r="L44" s="21">
        <f>H44-H$38</f>
        <v>-387</v>
      </c>
      <c r="M44" s="21">
        <f>I44-I$38</f>
        <v>1394</v>
      </c>
      <c r="N44" s="10">
        <f>J44-J$38</f>
        <v>-6610</v>
      </c>
    </row>
    <row r="45" spans="1:14" x14ac:dyDescent="0.2">
      <c r="A45" s="20"/>
      <c r="B45" s="21"/>
      <c r="C45" s="21"/>
      <c r="D45" s="21"/>
      <c r="E45" s="21"/>
      <c r="G45" s="21"/>
      <c r="H45" s="21"/>
      <c r="I45" s="21"/>
      <c r="K45" s="21"/>
      <c r="L45" s="21"/>
      <c r="M45" s="21"/>
      <c r="N45" s="10"/>
    </row>
    <row r="46" spans="1:14" x14ac:dyDescent="0.2">
      <c r="A46" s="20" t="s">
        <v>175</v>
      </c>
      <c r="B46" s="21">
        <v>1281</v>
      </c>
      <c r="C46" s="21">
        <v>60.4</v>
      </c>
      <c r="D46" s="21">
        <v>3120</v>
      </c>
      <c r="E46" s="21">
        <v>4380</v>
      </c>
      <c r="F46" s="10">
        <v>-547</v>
      </c>
      <c r="G46" s="21"/>
      <c r="H46" s="21"/>
      <c r="I46" s="21"/>
      <c r="K46" s="21"/>
      <c r="L46" s="21"/>
      <c r="M46" s="21"/>
      <c r="N46" s="10"/>
    </row>
    <row r="47" spans="1:14" x14ac:dyDescent="0.2">
      <c r="A47" s="20" t="s">
        <v>176</v>
      </c>
      <c r="B47" s="21">
        <v>1958</v>
      </c>
      <c r="C47" s="21">
        <v>192</v>
      </c>
      <c r="D47" s="21">
        <v>3266</v>
      </c>
      <c r="E47" s="21">
        <v>4955</v>
      </c>
      <c r="F47" s="10">
        <v>18994</v>
      </c>
      <c r="G47" s="21">
        <f>C47-C46</f>
        <v>131.6</v>
      </c>
      <c r="H47" s="21">
        <f>D47-D46</f>
        <v>146</v>
      </c>
      <c r="I47" s="21">
        <f>E47-E46</f>
        <v>575</v>
      </c>
      <c r="J47" s="10">
        <f>F47-F46</f>
        <v>19541</v>
      </c>
      <c r="K47" s="21">
        <f>G47-G$47</f>
        <v>0</v>
      </c>
      <c r="L47" s="21">
        <f>H47-H$47</f>
        <v>0</v>
      </c>
      <c r="M47" s="21">
        <f>I47-I$47</f>
        <v>0</v>
      </c>
      <c r="N47" s="10">
        <f>J47-J$47</f>
        <v>0</v>
      </c>
    </row>
    <row r="48" spans="1:14" x14ac:dyDescent="0.2">
      <c r="A48" s="20" t="s">
        <v>177</v>
      </c>
      <c r="B48" s="21">
        <v>1763</v>
      </c>
      <c r="C48" s="21">
        <v>56.5</v>
      </c>
      <c r="D48" s="21">
        <v>2865</v>
      </c>
      <c r="E48" s="21">
        <v>4380</v>
      </c>
      <c r="F48" s="10">
        <v>-504</v>
      </c>
      <c r="G48" s="21"/>
      <c r="H48" s="21"/>
      <c r="I48" s="21"/>
      <c r="K48" s="21"/>
      <c r="L48" s="21"/>
      <c r="M48" s="21"/>
      <c r="N48" s="10"/>
    </row>
    <row r="49" spans="1:14" x14ac:dyDescent="0.2">
      <c r="A49" s="20" t="s">
        <v>178</v>
      </c>
      <c r="B49" s="21">
        <v>2346</v>
      </c>
      <c r="C49" s="21">
        <v>306</v>
      </c>
      <c r="D49" s="21">
        <v>3701</v>
      </c>
      <c r="E49" s="21">
        <v>5887</v>
      </c>
      <c r="F49" s="10">
        <v>16782</v>
      </c>
      <c r="G49" s="21">
        <f>C49-C48</f>
        <v>249.5</v>
      </c>
      <c r="H49" s="21">
        <f>D49-D48</f>
        <v>836</v>
      </c>
      <c r="I49" s="21">
        <f>E49-E48</f>
        <v>1507</v>
      </c>
      <c r="J49" s="10">
        <f>F49-F48</f>
        <v>17286</v>
      </c>
      <c r="K49" s="21">
        <f>G49-G$47</f>
        <v>117.9</v>
      </c>
      <c r="L49" s="21">
        <f>H49-H$47</f>
        <v>690</v>
      </c>
      <c r="M49" s="21">
        <f>I49-I$47</f>
        <v>932</v>
      </c>
      <c r="N49" s="10">
        <f>J49-J$47</f>
        <v>-2255</v>
      </c>
    </row>
    <row r="50" spans="1:14" x14ac:dyDescent="0.2">
      <c r="A50" s="20" t="s">
        <v>411</v>
      </c>
      <c r="B50" s="21">
        <v>2559</v>
      </c>
      <c r="C50" s="21">
        <v>75.8</v>
      </c>
      <c r="D50" s="21">
        <v>4016</v>
      </c>
      <c r="E50" s="21">
        <v>5652</v>
      </c>
      <c r="F50" s="10">
        <v>-695</v>
      </c>
      <c r="G50" s="21"/>
      <c r="H50" s="21"/>
      <c r="I50" s="21"/>
      <c r="K50" s="21"/>
      <c r="L50" s="21"/>
      <c r="M50" s="21"/>
      <c r="N50" s="10"/>
    </row>
    <row r="51" spans="1:14" x14ac:dyDescent="0.2">
      <c r="A51" s="20" t="s">
        <v>412</v>
      </c>
      <c r="B51" s="21">
        <v>2970</v>
      </c>
      <c r="C51" s="21">
        <v>291</v>
      </c>
      <c r="D51" s="21">
        <v>5039</v>
      </c>
      <c r="E51" s="21">
        <v>6703</v>
      </c>
      <c r="F51" s="10">
        <v>27169</v>
      </c>
      <c r="G51" s="21">
        <f>C51-C50</f>
        <v>215.2</v>
      </c>
      <c r="H51" s="21">
        <f>D51-D50</f>
        <v>1023</v>
      </c>
      <c r="I51" s="21">
        <f>E51-E50</f>
        <v>1051</v>
      </c>
      <c r="J51" s="10">
        <f>F51-F50</f>
        <v>27864</v>
      </c>
      <c r="K51" s="21">
        <f>G51-G$47</f>
        <v>83.6</v>
      </c>
      <c r="L51" s="21">
        <f>H51-H$47</f>
        <v>877</v>
      </c>
      <c r="M51" s="21">
        <f>I51-I$47</f>
        <v>476</v>
      </c>
      <c r="N51" s="10">
        <f>J51-J$47</f>
        <v>8323</v>
      </c>
    </row>
    <row r="52" spans="1:14" x14ac:dyDescent="0.2">
      <c r="A52" s="20" t="s">
        <v>413</v>
      </c>
      <c r="B52" s="21">
        <v>903</v>
      </c>
      <c r="C52" s="21">
        <v>75.8</v>
      </c>
      <c r="D52" s="21">
        <v>4662</v>
      </c>
      <c r="E52" s="21">
        <v>5862</v>
      </c>
      <c r="F52" s="10">
        <v>-612</v>
      </c>
      <c r="G52" s="21"/>
      <c r="H52" s="21"/>
      <c r="I52" s="21"/>
      <c r="K52" s="21"/>
      <c r="L52" s="21"/>
      <c r="M52" s="21"/>
      <c r="N52" s="10"/>
    </row>
    <row r="53" spans="1:14" x14ac:dyDescent="0.2">
      <c r="A53" s="20" t="s">
        <v>414</v>
      </c>
      <c r="B53" s="21">
        <v>1233</v>
      </c>
      <c r="C53" s="21">
        <v>314</v>
      </c>
      <c r="D53" s="21">
        <v>4585</v>
      </c>
      <c r="E53" s="21">
        <v>6160</v>
      </c>
      <c r="F53" s="10">
        <v>18400</v>
      </c>
      <c r="G53" s="21">
        <f>C53-C52</f>
        <v>238.2</v>
      </c>
      <c r="H53" s="21">
        <f>D53-D52</f>
        <v>-77</v>
      </c>
      <c r="I53" s="21">
        <f>E53-E52</f>
        <v>298</v>
      </c>
      <c r="J53" s="10">
        <f>F53-F52</f>
        <v>19012</v>
      </c>
      <c r="K53" s="21">
        <f>G53-G$47</f>
        <v>106.6</v>
      </c>
      <c r="L53" s="21">
        <f>H53-H$47</f>
        <v>-223</v>
      </c>
      <c r="M53" s="21">
        <f>I53-I$47</f>
        <v>-277</v>
      </c>
      <c r="N53" s="10">
        <f>J53-J$47</f>
        <v>-529</v>
      </c>
    </row>
    <row r="54" spans="1:14" x14ac:dyDescent="0.2">
      <c r="A54" s="20"/>
      <c r="B54" s="21"/>
      <c r="C54" s="21"/>
      <c r="D54" s="21"/>
      <c r="E54" s="21"/>
      <c r="G54" s="21"/>
      <c r="H54" s="21"/>
      <c r="I54" s="21"/>
      <c r="K54" s="21"/>
      <c r="L54" s="21"/>
      <c r="M54" s="21"/>
      <c r="N54" s="10"/>
    </row>
    <row r="55" spans="1:14" x14ac:dyDescent="0.2">
      <c r="A55" s="20" t="s">
        <v>179</v>
      </c>
      <c r="B55" s="21">
        <v>31608</v>
      </c>
      <c r="C55" s="21">
        <v>177</v>
      </c>
      <c r="D55" s="21">
        <v>844</v>
      </c>
      <c r="E55" s="21">
        <v>-1332</v>
      </c>
      <c r="F55" s="10">
        <v>14598</v>
      </c>
      <c r="G55" s="21"/>
      <c r="H55" s="21"/>
      <c r="I55" s="21"/>
      <c r="K55" s="21"/>
      <c r="L55" s="21"/>
      <c r="M55" s="21"/>
      <c r="N55" s="10"/>
    </row>
    <row r="56" spans="1:14" x14ac:dyDescent="0.2">
      <c r="A56" s="20" t="s">
        <v>180</v>
      </c>
      <c r="B56" s="21">
        <v>43582</v>
      </c>
      <c r="C56" s="21">
        <v>630</v>
      </c>
      <c r="D56" s="21">
        <v>1819</v>
      </c>
      <c r="E56" s="21">
        <v>4721</v>
      </c>
      <c r="F56" s="10">
        <v>154627</v>
      </c>
      <c r="G56" s="21">
        <f>C56-C55</f>
        <v>453</v>
      </c>
      <c r="H56" s="21">
        <f>D56-D55</f>
        <v>975</v>
      </c>
      <c r="I56" s="21">
        <f>E56-E55</f>
        <v>6053</v>
      </c>
      <c r="J56" s="10">
        <f>F56-F55</f>
        <v>140029</v>
      </c>
      <c r="K56" s="21">
        <f>G56-G$56</f>
        <v>0</v>
      </c>
      <c r="L56" s="21">
        <f>H56-H$56</f>
        <v>0</v>
      </c>
      <c r="M56" s="21">
        <f>I56-I$56</f>
        <v>0</v>
      </c>
      <c r="N56" s="10">
        <f>J56-J$56</f>
        <v>0</v>
      </c>
    </row>
    <row r="57" spans="1:14" x14ac:dyDescent="0.2">
      <c r="A57" s="20" t="s">
        <v>181</v>
      </c>
      <c r="B57" s="21">
        <v>26591</v>
      </c>
      <c r="C57" s="21">
        <v>204</v>
      </c>
      <c r="D57" s="21">
        <v>865</v>
      </c>
      <c r="E57" s="21">
        <v>-1147</v>
      </c>
      <c r="F57" s="10">
        <v>14410</v>
      </c>
      <c r="G57" s="21"/>
      <c r="H57" s="21"/>
      <c r="I57" s="21"/>
      <c r="K57" s="21"/>
      <c r="L57" s="21"/>
      <c r="M57" s="21"/>
      <c r="N57" s="10"/>
    </row>
    <row r="58" spans="1:14" x14ac:dyDescent="0.2">
      <c r="A58" s="20" t="s">
        <v>182</v>
      </c>
      <c r="B58" s="21">
        <v>42658</v>
      </c>
      <c r="C58" s="21">
        <v>875</v>
      </c>
      <c r="D58" s="21">
        <v>1884</v>
      </c>
      <c r="E58" s="21">
        <v>8716</v>
      </c>
      <c r="F58" s="10">
        <v>175926</v>
      </c>
      <c r="G58" s="21">
        <f>C58-C57</f>
        <v>671</v>
      </c>
      <c r="H58" s="21">
        <f>D58-D57</f>
        <v>1019</v>
      </c>
      <c r="I58" s="21">
        <f>E58-E57</f>
        <v>9863</v>
      </c>
      <c r="J58" s="10">
        <f>F58-F57</f>
        <v>161516</v>
      </c>
      <c r="K58" s="21">
        <f>G58-G$56</f>
        <v>218</v>
      </c>
      <c r="L58" s="21">
        <f>H58-H$56</f>
        <v>44</v>
      </c>
      <c r="M58" s="21">
        <f>I58-I$56</f>
        <v>3810</v>
      </c>
      <c r="N58" s="10">
        <f>J58-J$56</f>
        <v>21487</v>
      </c>
    </row>
    <row r="59" spans="1:14" x14ac:dyDescent="0.2">
      <c r="A59" s="20" t="s">
        <v>417</v>
      </c>
      <c r="B59" s="21">
        <v>24710</v>
      </c>
      <c r="C59" s="21">
        <v>213</v>
      </c>
      <c r="D59" s="21">
        <v>906</v>
      </c>
      <c r="E59" s="21">
        <v>-1636</v>
      </c>
      <c r="F59" s="10">
        <v>20220</v>
      </c>
      <c r="G59" s="21"/>
      <c r="H59" s="21"/>
      <c r="I59" s="21"/>
      <c r="K59" s="21"/>
      <c r="L59" s="21"/>
      <c r="M59" s="21"/>
      <c r="N59" s="10"/>
    </row>
    <row r="60" spans="1:14" x14ac:dyDescent="0.2">
      <c r="A60" s="20" t="s">
        <v>418</v>
      </c>
      <c r="B60" s="21">
        <v>28057</v>
      </c>
      <c r="C60" s="21">
        <v>646</v>
      </c>
      <c r="D60" s="21">
        <v>1841</v>
      </c>
      <c r="E60" s="21">
        <v>6762</v>
      </c>
      <c r="F60" s="10">
        <v>144376</v>
      </c>
      <c r="G60" s="21">
        <f>C60-C59</f>
        <v>433</v>
      </c>
      <c r="H60" s="21">
        <f>D60-D59</f>
        <v>935</v>
      </c>
      <c r="I60" s="21">
        <f>E60-E59</f>
        <v>8398</v>
      </c>
      <c r="J60" s="10">
        <f>F60-F59</f>
        <v>124156</v>
      </c>
      <c r="K60" s="21">
        <f>G60-G$56</f>
        <v>-20</v>
      </c>
      <c r="L60" s="21">
        <f>H60-H$56</f>
        <v>-40</v>
      </c>
      <c r="M60" s="21">
        <f>I60-I$56</f>
        <v>2345</v>
      </c>
      <c r="N60" s="10">
        <f>J60-J$56</f>
        <v>-15873</v>
      </c>
    </row>
    <row r="61" spans="1:14" x14ac:dyDescent="0.2">
      <c r="A61" s="20" t="s">
        <v>419</v>
      </c>
      <c r="B61" s="21">
        <v>8938</v>
      </c>
      <c r="C61" s="21">
        <v>243</v>
      </c>
      <c r="D61" s="21">
        <v>1194</v>
      </c>
      <c r="E61" s="21">
        <v>-1636</v>
      </c>
      <c r="F61" s="10">
        <v>21313</v>
      </c>
      <c r="G61" s="21"/>
      <c r="H61" s="21"/>
      <c r="I61" s="21"/>
      <c r="K61" s="21"/>
      <c r="L61" s="21"/>
      <c r="M61" s="21"/>
      <c r="N61" s="10"/>
    </row>
    <row r="62" spans="1:14" x14ac:dyDescent="0.2">
      <c r="A62" s="20" t="s">
        <v>420</v>
      </c>
      <c r="B62" s="21">
        <v>11535</v>
      </c>
      <c r="C62" s="21">
        <v>775</v>
      </c>
      <c r="D62" s="21">
        <v>2070</v>
      </c>
      <c r="E62" s="21">
        <v>11248</v>
      </c>
      <c r="F62" s="10">
        <v>157194</v>
      </c>
      <c r="G62" s="21">
        <f>C62-C61</f>
        <v>532</v>
      </c>
      <c r="H62" s="21">
        <f>D62-D61</f>
        <v>876</v>
      </c>
      <c r="I62" s="21">
        <f>E62-E61</f>
        <v>12884</v>
      </c>
      <c r="J62" s="10">
        <f>F62-F61</f>
        <v>135881</v>
      </c>
      <c r="K62" s="21">
        <f>G62-G$56</f>
        <v>79</v>
      </c>
      <c r="L62" s="21">
        <f>H62-H$56</f>
        <v>-99</v>
      </c>
      <c r="M62" s="21">
        <f>I62-I$56</f>
        <v>6831</v>
      </c>
      <c r="N62" s="10">
        <f>J62-J$56</f>
        <v>-4148</v>
      </c>
    </row>
    <row r="63" spans="1:14" x14ac:dyDescent="0.2">
      <c r="A63" s="20" t="s">
        <v>421</v>
      </c>
      <c r="B63" s="21">
        <v>16550</v>
      </c>
      <c r="C63" s="21">
        <v>194</v>
      </c>
      <c r="D63" s="21">
        <v>884</v>
      </c>
      <c r="E63" s="21">
        <v>-1220</v>
      </c>
      <c r="F63" s="10">
        <v>17102</v>
      </c>
      <c r="G63" s="21"/>
      <c r="H63" s="21"/>
      <c r="I63" s="21"/>
      <c r="K63" s="21"/>
      <c r="L63" s="21"/>
      <c r="M63" s="21"/>
      <c r="N63" s="10"/>
    </row>
    <row r="64" spans="1:14" x14ac:dyDescent="0.2">
      <c r="A64" s="28" t="s">
        <v>422</v>
      </c>
      <c r="B64" s="26">
        <v>18006</v>
      </c>
      <c r="C64" s="26">
        <v>603</v>
      </c>
      <c r="D64" s="26">
        <v>1959</v>
      </c>
      <c r="E64" s="26">
        <v>5925</v>
      </c>
      <c r="F64" s="11">
        <v>162013</v>
      </c>
      <c r="G64" s="26">
        <f>C64-C63</f>
        <v>409</v>
      </c>
      <c r="H64" s="26">
        <f>D64-D63</f>
        <v>1075</v>
      </c>
      <c r="I64" s="26">
        <f>E64-E63</f>
        <v>7145</v>
      </c>
      <c r="J64" s="11">
        <f>F64-F63</f>
        <v>144911</v>
      </c>
      <c r="K64" s="26">
        <f>G64-G$56</f>
        <v>-44</v>
      </c>
      <c r="L64" s="26">
        <f>H64-H$56</f>
        <v>100</v>
      </c>
      <c r="M64" s="26">
        <f>I64-I$56</f>
        <v>1092</v>
      </c>
      <c r="N64" s="11">
        <f>J64-J$56</f>
        <v>4882</v>
      </c>
    </row>
    <row r="65" spans="1:16" x14ac:dyDescent="0.2">
      <c r="A65" s="21"/>
      <c r="B65" s="21"/>
      <c r="C65" s="21"/>
      <c r="D65" s="21"/>
      <c r="E65" s="21"/>
      <c r="F65" s="21"/>
      <c r="G65" s="21"/>
      <c r="H65" s="21"/>
      <c r="I65" s="21"/>
      <c r="J65" s="21"/>
      <c r="K65" s="21"/>
      <c r="L65" s="21"/>
      <c r="M65" s="21"/>
      <c r="N65" s="21"/>
      <c r="O65" s="21"/>
      <c r="P65" s="21"/>
    </row>
    <row r="66" spans="1:16" x14ac:dyDescent="0.2">
      <c r="A66" s="21"/>
      <c r="B66" s="21"/>
      <c r="C66" s="21"/>
      <c r="D66" s="21"/>
      <c r="E66" s="21"/>
      <c r="F66" s="21"/>
      <c r="G66" s="21"/>
      <c r="H66" s="21"/>
      <c r="I66" s="21"/>
      <c r="J66" s="21"/>
      <c r="K66" s="21"/>
      <c r="L66" s="21"/>
      <c r="M66" s="21"/>
      <c r="N66" s="21"/>
      <c r="O66" s="21"/>
      <c r="P66" s="21"/>
    </row>
    <row r="67" spans="1:16" x14ac:dyDescent="0.2">
      <c r="A67" s="21" t="s">
        <v>427</v>
      </c>
      <c r="B67" s="21"/>
      <c r="C67" s="21"/>
      <c r="D67" s="21"/>
      <c r="E67" s="21"/>
      <c r="F67" s="21"/>
      <c r="G67" s="21"/>
      <c r="H67" s="301" t="s">
        <v>430</v>
      </c>
      <c r="I67" s="299"/>
      <c r="J67" s="299"/>
      <c r="K67" s="299"/>
      <c r="L67" s="299" t="s">
        <v>426</v>
      </c>
      <c r="M67" s="299"/>
      <c r="N67" s="299"/>
      <c r="O67" s="300"/>
      <c r="P67" s="21"/>
    </row>
    <row r="68" spans="1:16" x14ac:dyDescent="0.2">
      <c r="A68" s="38"/>
      <c r="B68" s="17"/>
      <c r="C68" s="299" t="s">
        <v>424</v>
      </c>
      <c r="D68" s="300"/>
      <c r="E68" s="17"/>
      <c r="F68" s="299" t="s">
        <v>424</v>
      </c>
      <c r="G68" s="300"/>
      <c r="H68" s="110" t="s">
        <v>1206</v>
      </c>
      <c r="I68" s="18"/>
      <c r="J68" s="133" t="s">
        <v>1207</v>
      </c>
      <c r="K68" s="19"/>
      <c r="L68" s="110" t="s">
        <v>1206</v>
      </c>
      <c r="M68" s="18"/>
      <c r="N68" s="133" t="s">
        <v>1207</v>
      </c>
      <c r="O68" s="19"/>
    </row>
    <row r="69" spans="1:16" x14ac:dyDescent="0.2">
      <c r="A69" s="40" t="s">
        <v>155</v>
      </c>
      <c r="B69" s="51" t="s">
        <v>229</v>
      </c>
      <c r="C69" s="43" t="s">
        <v>387</v>
      </c>
      <c r="D69" s="111" t="s">
        <v>388</v>
      </c>
      <c r="E69" s="51" t="s">
        <v>428</v>
      </c>
      <c r="F69" s="43" t="s">
        <v>387</v>
      </c>
      <c r="G69" s="111" t="s">
        <v>388</v>
      </c>
      <c r="H69" s="51" t="s">
        <v>387</v>
      </c>
      <c r="I69" s="43" t="s">
        <v>388</v>
      </c>
      <c r="J69" s="43" t="s">
        <v>387</v>
      </c>
      <c r="K69" s="111" t="s">
        <v>388</v>
      </c>
      <c r="L69" s="51" t="s">
        <v>387</v>
      </c>
      <c r="M69" s="43" t="s">
        <v>388</v>
      </c>
      <c r="N69" s="43" t="s">
        <v>387</v>
      </c>
      <c r="O69" s="111" t="s">
        <v>388</v>
      </c>
    </row>
    <row r="70" spans="1:16" x14ac:dyDescent="0.2">
      <c r="A70" s="40" t="s">
        <v>159</v>
      </c>
      <c r="B70" s="20">
        <v>45596</v>
      </c>
      <c r="C70" s="21">
        <v>494</v>
      </c>
      <c r="D70" s="10">
        <v>237</v>
      </c>
      <c r="E70" s="20">
        <v>5968</v>
      </c>
      <c r="F70" s="21">
        <v>1195</v>
      </c>
      <c r="G70" s="10">
        <v>608</v>
      </c>
      <c r="H70" s="20"/>
      <c r="I70" s="21"/>
      <c r="J70" s="21"/>
      <c r="K70" s="10"/>
      <c r="L70" s="20"/>
      <c r="M70" s="21"/>
      <c r="N70" s="21"/>
      <c r="O70" s="10"/>
    </row>
    <row r="71" spans="1:16" x14ac:dyDescent="0.2">
      <c r="A71" s="40" t="s">
        <v>160</v>
      </c>
      <c r="B71" s="20">
        <v>44288</v>
      </c>
      <c r="C71" s="21">
        <v>720</v>
      </c>
      <c r="D71" s="10">
        <v>1500</v>
      </c>
      <c r="E71" s="20">
        <v>23318</v>
      </c>
      <c r="F71" s="21">
        <v>3708</v>
      </c>
      <c r="G71" s="10">
        <v>54965</v>
      </c>
      <c r="H71" s="20">
        <v>226</v>
      </c>
      <c r="I71" s="21">
        <v>1263</v>
      </c>
      <c r="J71" s="21">
        <v>2513</v>
      </c>
      <c r="K71" s="10">
        <v>54357</v>
      </c>
      <c r="L71" s="20">
        <v>0</v>
      </c>
      <c r="M71" s="21">
        <v>0</v>
      </c>
      <c r="N71" s="21">
        <v>0</v>
      </c>
      <c r="O71" s="10">
        <v>0</v>
      </c>
    </row>
    <row r="72" spans="1:16" x14ac:dyDescent="0.2">
      <c r="A72" s="40" t="s">
        <v>161</v>
      </c>
      <c r="B72" s="20">
        <v>45650</v>
      </c>
      <c r="C72" s="21">
        <v>417</v>
      </c>
      <c r="D72" s="10">
        <v>179</v>
      </c>
      <c r="E72" s="20">
        <v>7952</v>
      </c>
      <c r="F72" s="21">
        <v>1099</v>
      </c>
      <c r="G72" s="10">
        <v>561</v>
      </c>
      <c r="H72" s="20"/>
      <c r="I72" s="21"/>
      <c r="J72" s="21"/>
      <c r="K72" s="10"/>
      <c r="L72" s="20"/>
      <c r="M72" s="21"/>
      <c r="N72" s="21"/>
      <c r="O72" s="10"/>
    </row>
    <row r="73" spans="1:16" x14ac:dyDescent="0.2">
      <c r="A73" s="40" t="s">
        <v>162</v>
      </c>
      <c r="B73" s="20">
        <v>45283</v>
      </c>
      <c r="C73" s="21">
        <v>535</v>
      </c>
      <c r="D73" s="10">
        <v>834</v>
      </c>
      <c r="E73" s="20">
        <v>15031</v>
      </c>
      <c r="F73" s="21">
        <v>2558</v>
      </c>
      <c r="G73" s="10">
        <v>25032</v>
      </c>
      <c r="H73" s="20">
        <v>118</v>
      </c>
      <c r="I73" s="21">
        <v>655</v>
      </c>
      <c r="J73" s="21">
        <v>1459</v>
      </c>
      <c r="K73" s="10">
        <v>24471</v>
      </c>
      <c r="L73" s="20">
        <v>-108</v>
      </c>
      <c r="M73" s="21">
        <v>-608</v>
      </c>
      <c r="N73" s="21">
        <v>-1054</v>
      </c>
      <c r="O73" s="10">
        <v>-29886</v>
      </c>
    </row>
    <row r="74" spans="1:16" x14ac:dyDescent="0.2">
      <c r="A74" s="40" t="s">
        <v>389</v>
      </c>
      <c r="B74" s="20">
        <v>39457</v>
      </c>
      <c r="C74" s="21">
        <v>461</v>
      </c>
      <c r="D74" s="10">
        <v>321</v>
      </c>
      <c r="E74" s="20">
        <v>2496</v>
      </c>
      <c r="F74" s="21">
        <v>1141</v>
      </c>
      <c r="G74" s="10">
        <v>606</v>
      </c>
      <c r="H74" s="20"/>
      <c r="I74" s="21"/>
      <c r="J74" s="21"/>
      <c r="K74" s="10"/>
      <c r="L74" s="20"/>
      <c r="M74" s="21"/>
      <c r="N74" s="21"/>
      <c r="O74" s="10"/>
    </row>
    <row r="75" spans="1:16" x14ac:dyDescent="0.2">
      <c r="A75" s="40" t="s">
        <v>390</v>
      </c>
      <c r="B75" s="20">
        <v>48992</v>
      </c>
      <c r="C75" s="21">
        <v>752</v>
      </c>
      <c r="D75" s="10">
        <v>1539</v>
      </c>
      <c r="E75" s="20">
        <v>7812</v>
      </c>
      <c r="F75" s="21">
        <v>3221</v>
      </c>
      <c r="G75" s="10">
        <v>49369</v>
      </c>
      <c r="H75" s="20">
        <v>291</v>
      </c>
      <c r="I75" s="21">
        <v>1218</v>
      </c>
      <c r="J75" s="21">
        <v>2080</v>
      </c>
      <c r="K75" s="10">
        <v>48763</v>
      </c>
      <c r="L75" s="20">
        <v>65</v>
      </c>
      <c r="M75" s="21">
        <v>-45</v>
      </c>
      <c r="N75" s="21">
        <v>-433</v>
      </c>
      <c r="O75" s="10">
        <v>-5594</v>
      </c>
    </row>
    <row r="76" spans="1:16" x14ac:dyDescent="0.2">
      <c r="A76" s="40" t="s">
        <v>391</v>
      </c>
      <c r="B76" s="20">
        <v>27437</v>
      </c>
      <c r="C76" s="21">
        <v>494</v>
      </c>
      <c r="D76" s="10">
        <v>256</v>
      </c>
      <c r="E76" s="20">
        <v>2267</v>
      </c>
      <c r="F76" s="21">
        <v>1004</v>
      </c>
      <c r="G76" s="10">
        <v>576</v>
      </c>
      <c r="H76" s="20"/>
      <c r="I76" s="21"/>
      <c r="J76" s="21"/>
      <c r="K76" s="10"/>
      <c r="L76" s="20"/>
      <c r="M76" s="21"/>
      <c r="N76" s="21"/>
      <c r="O76" s="10"/>
    </row>
    <row r="77" spans="1:16" x14ac:dyDescent="0.2">
      <c r="A77" s="40" t="s">
        <v>392</v>
      </c>
      <c r="B77" s="20">
        <v>29511</v>
      </c>
      <c r="C77" s="21">
        <v>732</v>
      </c>
      <c r="D77" s="10">
        <v>1999</v>
      </c>
      <c r="E77" s="20">
        <v>6417</v>
      </c>
      <c r="F77" s="21">
        <v>2461</v>
      </c>
      <c r="G77" s="10">
        <v>52090</v>
      </c>
      <c r="H77" s="20">
        <v>238</v>
      </c>
      <c r="I77" s="21">
        <v>1743</v>
      </c>
      <c r="J77" s="21">
        <v>1457</v>
      </c>
      <c r="K77" s="10">
        <v>51514</v>
      </c>
      <c r="L77" s="20">
        <v>12</v>
      </c>
      <c r="M77" s="21">
        <v>480</v>
      </c>
      <c r="N77" s="21">
        <v>-1056</v>
      </c>
      <c r="O77" s="10">
        <v>-2843</v>
      </c>
    </row>
    <row r="78" spans="1:16" x14ac:dyDescent="0.2">
      <c r="A78" s="40" t="s">
        <v>393</v>
      </c>
      <c r="B78" s="20">
        <v>24727</v>
      </c>
      <c r="C78" s="21">
        <v>438</v>
      </c>
      <c r="D78" s="10">
        <v>197</v>
      </c>
      <c r="E78" s="20">
        <v>1813</v>
      </c>
      <c r="F78" s="21">
        <v>1038</v>
      </c>
      <c r="G78" s="10">
        <v>527</v>
      </c>
      <c r="H78" s="20"/>
      <c r="I78" s="21"/>
      <c r="J78" s="21"/>
      <c r="K78" s="10"/>
      <c r="L78" s="20"/>
      <c r="M78" s="21"/>
      <c r="N78" s="21"/>
      <c r="O78" s="10"/>
    </row>
    <row r="79" spans="1:16" x14ac:dyDescent="0.2">
      <c r="A79" s="40" t="s">
        <v>394</v>
      </c>
      <c r="B79" s="20">
        <v>24299</v>
      </c>
      <c r="C79" s="21">
        <v>649</v>
      </c>
      <c r="D79" s="10">
        <v>1293</v>
      </c>
      <c r="E79" s="20">
        <v>3400</v>
      </c>
      <c r="F79" s="21">
        <v>2414</v>
      </c>
      <c r="G79" s="10">
        <v>30376</v>
      </c>
      <c r="H79" s="20">
        <v>211</v>
      </c>
      <c r="I79" s="21">
        <v>1096</v>
      </c>
      <c r="J79" s="21">
        <v>1376</v>
      </c>
      <c r="K79" s="10">
        <v>29849</v>
      </c>
      <c r="L79" s="20">
        <v>-15</v>
      </c>
      <c r="M79" s="21">
        <v>-167</v>
      </c>
      <c r="N79" s="21">
        <v>-1137</v>
      </c>
      <c r="O79" s="10">
        <v>-24508</v>
      </c>
    </row>
    <row r="80" spans="1:16" x14ac:dyDescent="0.2">
      <c r="A80" s="40"/>
      <c r="B80" s="20"/>
      <c r="C80" s="21"/>
      <c r="D80" s="10"/>
      <c r="E80" s="20"/>
      <c r="F80" s="21"/>
      <c r="G80" s="10"/>
      <c r="H80" s="20"/>
      <c r="I80" s="21"/>
      <c r="J80" s="21"/>
      <c r="K80" s="10"/>
      <c r="L80" s="20"/>
      <c r="M80" s="21"/>
      <c r="N80" s="21"/>
      <c r="O80" s="10"/>
    </row>
    <row r="81" spans="1:15" x14ac:dyDescent="0.2">
      <c r="A81" s="40" t="s">
        <v>163</v>
      </c>
      <c r="B81" s="20">
        <v>35818</v>
      </c>
      <c r="C81" s="21">
        <v>187</v>
      </c>
      <c r="D81" s="10">
        <v>257</v>
      </c>
      <c r="E81" s="20">
        <v>7478</v>
      </c>
      <c r="F81" s="21">
        <v>376</v>
      </c>
      <c r="G81" s="10">
        <v>2406</v>
      </c>
      <c r="H81" s="20"/>
      <c r="I81" s="21"/>
      <c r="J81" s="21"/>
      <c r="K81" s="10"/>
      <c r="L81" s="20"/>
      <c r="M81" s="21"/>
      <c r="N81" s="21"/>
      <c r="O81" s="10"/>
    </row>
    <row r="82" spans="1:15" x14ac:dyDescent="0.2">
      <c r="A82" s="40" t="s">
        <v>164</v>
      </c>
      <c r="B82" s="20">
        <v>89178</v>
      </c>
      <c r="C82" s="21">
        <v>250</v>
      </c>
      <c r="D82" s="10">
        <v>363</v>
      </c>
      <c r="E82" s="20">
        <v>16186</v>
      </c>
      <c r="F82" s="21">
        <v>2095</v>
      </c>
      <c r="G82" s="10">
        <v>5117</v>
      </c>
      <c r="H82" s="20">
        <v>63</v>
      </c>
      <c r="I82" s="21">
        <v>106</v>
      </c>
      <c r="J82" s="21">
        <v>1719</v>
      </c>
      <c r="K82" s="10">
        <v>2711</v>
      </c>
      <c r="L82" s="20">
        <v>0</v>
      </c>
      <c r="M82" s="21">
        <v>0</v>
      </c>
      <c r="N82" s="21">
        <v>0</v>
      </c>
      <c r="O82" s="10">
        <v>0</v>
      </c>
    </row>
    <row r="83" spans="1:15" x14ac:dyDescent="0.2">
      <c r="A83" s="40" t="s">
        <v>165</v>
      </c>
      <c r="B83" s="20">
        <v>58152</v>
      </c>
      <c r="C83" s="21">
        <v>194</v>
      </c>
      <c r="D83" s="10">
        <v>216</v>
      </c>
      <c r="E83" s="20">
        <v>7951</v>
      </c>
      <c r="F83" s="21">
        <v>73.2</v>
      </c>
      <c r="G83" s="10">
        <v>3833</v>
      </c>
      <c r="H83" s="20"/>
      <c r="I83" s="21"/>
      <c r="J83" s="21"/>
      <c r="K83" s="10"/>
      <c r="L83" s="20"/>
      <c r="M83" s="21"/>
      <c r="N83" s="21"/>
      <c r="O83" s="10"/>
    </row>
    <row r="84" spans="1:15" x14ac:dyDescent="0.2">
      <c r="A84" s="40" t="s">
        <v>166</v>
      </c>
      <c r="B84" s="20">
        <v>159234</v>
      </c>
      <c r="C84" s="21">
        <v>281</v>
      </c>
      <c r="D84" s="10">
        <v>330</v>
      </c>
      <c r="E84" s="20">
        <v>9935</v>
      </c>
      <c r="F84" s="21">
        <v>2270</v>
      </c>
      <c r="G84" s="10">
        <v>4698</v>
      </c>
      <c r="H84" s="20">
        <v>87</v>
      </c>
      <c r="I84" s="21">
        <v>114</v>
      </c>
      <c r="J84" s="21">
        <v>2196.8000000000002</v>
      </c>
      <c r="K84" s="10">
        <v>865</v>
      </c>
      <c r="L84" s="20">
        <v>24</v>
      </c>
      <c r="M84" s="21">
        <v>8</v>
      </c>
      <c r="N84" s="21">
        <v>477.80000000000018</v>
      </c>
      <c r="O84" s="10">
        <v>-1846</v>
      </c>
    </row>
    <row r="85" spans="1:15" x14ac:dyDescent="0.2">
      <c r="A85" s="40" t="s">
        <v>395</v>
      </c>
      <c r="B85" s="20">
        <v>78260</v>
      </c>
      <c r="C85" s="21">
        <v>86.1</v>
      </c>
      <c r="D85" s="10">
        <v>85.5</v>
      </c>
      <c r="E85" s="20">
        <v>3784</v>
      </c>
      <c r="F85" s="21">
        <v>527</v>
      </c>
      <c r="G85" s="10">
        <v>2114</v>
      </c>
      <c r="H85" s="20"/>
      <c r="I85" s="21"/>
      <c r="J85" s="21"/>
      <c r="K85" s="10"/>
      <c r="L85" s="20"/>
      <c r="M85" s="21"/>
      <c r="N85" s="21"/>
      <c r="O85" s="10"/>
    </row>
    <row r="86" spans="1:15" x14ac:dyDescent="0.2">
      <c r="A86" s="40" t="s">
        <v>396</v>
      </c>
      <c r="B86" s="20">
        <v>83682</v>
      </c>
      <c r="C86" s="21">
        <v>146</v>
      </c>
      <c r="D86" s="10">
        <v>157</v>
      </c>
      <c r="E86" s="20">
        <v>3082</v>
      </c>
      <c r="F86" s="21">
        <v>2328</v>
      </c>
      <c r="G86" s="10">
        <v>5238</v>
      </c>
      <c r="H86" s="20">
        <v>59.900000000000006</v>
      </c>
      <c r="I86" s="21">
        <v>71.5</v>
      </c>
      <c r="J86" s="21">
        <v>1801</v>
      </c>
      <c r="K86" s="10">
        <v>3124</v>
      </c>
      <c r="L86" s="20">
        <v>-3.0999999999999943</v>
      </c>
      <c r="M86" s="21">
        <v>-34.5</v>
      </c>
      <c r="N86" s="21">
        <v>82</v>
      </c>
      <c r="O86" s="10">
        <v>413</v>
      </c>
    </row>
    <row r="87" spans="1:15" x14ac:dyDescent="0.2">
      <c r="A87" s="40" t="s">
        <v>397</v>
      </c>
      <c r="B87" s="20">
        <v>96105</v>
      </c>
      <c r="C87" s="21">
        <v>97.7</v>
      </c>
      <c r="D87" s="10">
        <v>101</v>
      </c>
      <c r="E87" s="20">
        <v>4478</v>
      </c>
      <c r="F87" s="21">
        <v>474</v>
      </c>
      <c r="G87" s="10">
        <v>2317</v>
      </c>
      <c r="H87" s="20"/>
      <c r="I87" s="21"/>
      <c r="J87" s="21"/>
      <c r="K87" s="10"/>
      <c r="L87" s="20"/>
      <c r="M87" s="21"/>
      <c r="N87" s="21"/>
      <c r="O87" s="10"/>
    </row>
    <row r="88" spans="1:15" x14ac:dyDescent="0.2">
      <c r="A88" s="40" t="s">
        <v>398</v>
      </c>
      <c r="B88" s="20">
        <v>83183</v>
      </c>
      <c r="C88" s="21">
        <v>170</v>
      </c>
      <c r="D88" s="10">
        <v>190</v>
      </c>
      <c r="E88" s="20">
        <v>4075</v>
      </c>
      <c r="F88" s="21">
        <v>1667</v>
      </c>
      <c r="G88" s="10">
        <v>5198</v>
      </c>
      <c r="H88" s="20">
        <v>72.3</v>
      </c>
      <c r="I88" s="21">
        <v>89</v>
      </c>
      <c r="J88" s="21">
        <v>1193</v>
      </c>
      <c r="K88" s="10">
        <v>2881</v>
      </c>
      <c r="L88" s="20">
        <v>9.2999999999999972</v>
      </c>
      <c r="M88" s="21">
        <v>-17</v>
      </c>
      <c r="N88" s="21">
        <v>-526</v>
      </c>
      <c r="O88" s="10">
        <v>170</v>
      </c>
    </row>
    <row r="89" spans="1:15" x14ac:dyDescent="0.2">
      <c r="A89" s="40" t="s">
        <v>399</v>
      </c>
      <c r="B89" s="20">
        <v>162106</v>
      </c>
      <c r="C89" s="21">
        <v>91.2</v>
      </c>
      <c r="D89" s="10">
        <v>73</v>
      </c>
      <c r="E89" s="20">
        <v>7160</v>
      </c>
      <c r="F89" s="21">
        <v>429</v>
      </c>
      <c r="G89" s="10">
        <v>2051</v>
      </c>
      <c r="H89" s="20"/>
      <c r="I89" s="21"/>
      <c r="J89" s="21"/>
      <c r="K89" s="10"/>
      <c r="L89" s="20"/>
      <c r="M89" s="21"/>
      <c r="N89" s="21"/>
      <c r="O89" s="10"/>
    </row>
    <row r="90" spans="1:15" x14ac:dyDescent="0.2">
      <c r="A90" s="40" t="s">
        <v>400</v>
      </c>
      <c r="B90" s="20">
        <v>185673</v>
      </c>
      <c r="C90" s="21">
        <v>112</v>
      </c>
      <c r="D90" s="10">
        <v>104</v>
      </c>
      <c r="E90" s="20">
        <v>6545</v>
      </c>
      <c r="F90" s="21">
        <v>1239</v>
      </c>
      <c r="G90" s="10">
        <v>3098</v>
      </c>
      <c r="H90" s="20">
        <v>20.799999999999997</v>
      </c>
      <c r="I90" s="21">
        <v>31</v>
      </c>
      <c r="J90" s="21">
        <v>810</v>
      </c>
      <c r="K90" s="10">
        <v>1047</v>
      </c>
      <c r="L90" s="20">
        <v>-42.2</v>
      </c>
      <c r="M90" s="21">
        <v>-75</v>
      </c>
      <c r="N90" s="21">
        <v>-909</v>
      </c>
      <c r="O90" s="10">
        <v>-1664</v>
      </c>
    </row>
    <row r="91" spans="1:15" x14ac:dyDescent="0.2">
      <c r="A91" s="40"/>
      <c r="B91" s="20"/>
      <c r="C91" s="21"/>
      <c r="D91" s="10"/>
      <c r="E91" s="20"/>
      <c r="F91" s="21"/>
      <c r="G91" s="10"/>
      <c r="H91" s="20"/>
      <c r="I91" s="21"/>
      <c r="J91" s="21"/>
      <c r="K91" s="10"/>
      <c r="L91" s="20"/>
      <c r="M91" s="21"/>
      <c r="N91" s="21"/>
      <c r="O91" s="10"/>
    </row>
    <row r="92" spans="1:15" x14ac:dyDescent="0.2">
      <c r="A92" s="40" t="s">
        <v>167</v>
      </c>
      <c r="B92" s="20">
        <v>110609</v>
      </c>
      <c r="C92" s="21">
        <v>34.700000000000003</v>
      </c>
      <c r="D92" s="10">
        <v>51.2</v>
      </c>
      <c r="E92" s="20">
        <v>637</v>
      </c>
      <c r="F92" s="21">
        <v>535</v>
      </c>
      <c r="G92" s="10">
        <v>281</v>
      </c>
      <c r="H92" s="20"/>
      <c r="I92" s="21"/>
      <c r="J92" s="21"/>
      <c r="K92" s="10"/>
      <c r="L92" s="20"/>
      <c r="M92" s="21"/>
      <c r="N92" s="21"/>
      <c r="O92" s="10"/>
    </row>
    <row r="93" spans="1:15" x14ac:dyDescent="0.2">
      <c r="A93" s="40" t="s">
        <v>168</v>
      </c>
      <c r="B93" s="20">
        <v>156962</v>
      </c>
      <c r="C93" s="21">
        <v>93.8</v>
      </c>
      <c r="D93" s="10">
        <v>-202</v>
      </c>
      <c r="E93" s="20">
        <v>2498</v>
      </c>
      <c r="F93" s="21">
        <v>2244</v>
      </c>
      <c r="G93" s="10">
        <v>6134</v>
      </c>
      <c r="H93" s="20">
        <v>59.099999999999994</v>
      </c>
      <c r="I93" s="21">
        <v>-253.2</v>
      </c>
      <c r="J93" s="21">
        <v>1709</v>
      </c>
      <c r="K93" s="10">
        <v>5853</v>
      </c>
      <c r="L93" s="20">
        <v>0</v>
      </c>
      <c r="M93" s="21">
        <v>0</v>
      </c>
      <c r="N93" s="21">
        <v>0</v>
      </c>
      <c r="O93" s="10">
        <v>0</v>
      </c>
    </row>
    <row r="94" spans="1:15" x14ac:dyDescent="0.2">
      <c r="A94" s="40" t="s">
        <v>169</v>
      </c>
      <c r="B94" s="20">
        <v>177924</v>
      </c>
      <c r="C94" s="21">
        <v>-23.1</v>
      </c>
      <c r="D94" s="10">
        <v>-10.9</v>
      </c>
      <c r="E94" s="20">
        <v>926</v>
      </c>
      <c r="F94" s="21">
        <v>433</v>
      </c>
      <c r="G94" s="10">
        <v>198</v>
      </c>
      <c r="H94" s="20"/>
      <c r="I94" s="21"/>
      <c r="J94" s="21"/>
      <c r="K94" s="10"/>
      <c r="L94" s="20"/>
      <c r="M94" s="21"/>
      <c r="N94" s="21"/>
      <c r="O94" s="10"/>
    </row>
    <row r="95" spans="1:15" x14ac:dyDescent="0.2">
      <c r="A95" s="40" t="s">
        <v>170</v>
      </c>
      <c r="B95" s="20">
        <v>175910</v>
      </c>
      <c r="C95" s="21">
        <v>-43.6</v>
      </c>
      <c r="D95" s="10">
        <v>-547</v>
      </c>
      <c r="E95" s="20">
        <v>2683</v>
      </c>
      <c r="F95" s="21">
        <v>982</v>
      </c>
      <c r="G95" s="10">
        <v>2401</v>
      </c>
      <c r="H95" s="20">
        <v>-20.5</v>
      </c>
      <c r="I95" s="21">
        <v>-536.1</v>
      </c>
      <c r="J95" s="21">
        <v>549</v>
      </c>
      <c r="K95" s="10">
        <v>2203</v>
      </c>
      <c r="L95" s="20">
        <v>-79.599999999999994</v>
      </c>
      <c r="M95" s="21">
        <v>-282.90000000000003</v>
      </c>
      <c r="N95" s="21">
        <v>-1160</v>
      </c>
      <c r="O95" s="10">
        <v>-3650</v>
      </c>
    </row>
    <row r="96" spans="1:15" x14ac:dyDescent="0.2">
      <c r="A96" s="40" t="s">
        <v>401</v>
      </c>
      <c r="B96" s="20">
        <v>149320</v>
      </c>
      <c r="C96" s="21">
        <v>-64.2</v>
      </c>
      <c r="D96" s="10">
        <v>0</v>
      </c>
      <c r="E96" s="20">
        <v>446</v>
      </c>
      <c r="F96" s="21">
        <v>2328</v>
      </c>
      <c r="G96" s="10">
        <v>1469</v>
      </c>
      <c r="H96" s="20"/>
      <c r="I96" s="21"/>
      <c r="J96" s="21"/>
      <c r="K96" s="10"/>
      <c r="L96" s="20"/>
      <c r="M96" s="21"/>
      <c r="N96" s="21"/>
      <c r="O96" s="10"/>
    </row>
    <row r="97" spans="1:15" x14ac:dyDescent="0.2">
      <c r="A97" s="40" t="s">
        <v>402</v>
      </c>
      <c r="B97" s="20">
        <v>171186</v>
      </c>
      <c r="C97" s="21">
        <v>-27</v>
      </c>
      <c r="D97" s="10">
        <v>-529</v>
      </c>
      <c r="E97" s="20">
        <v>2119</v>
      </c>
      <c r="F97" s="21">
        <v>5787</v>
      </c>
      <c r="G97" s="10">
        <v>16734</v>
      </c>
      <c r="H97" s="20">
        <v>37.200000000000003</v>
      </c>
      <c r="I97" s="21">
        <v>-529</v>
      </c>
      <c r="J97" s="21">
        <v>3459</v>
      </c>
      <c r="K97" s="10">
        <v>15265</v>
      </c>
      <c r="L97" s="20">
        <v>-21.899999999999991</v>
      </c>
      <c r="M97" s="21">
        <v>-275.8</v>
      </c>
      <c r="N97" s="21">
        <v>1750</v>
      </c>
      <c r="O97" s="10">
        <v>9412</v>
      </c>
    </row>
    <row r="98" spans="1:15" x14ac:dyDescent="0.2">
      <c r="A98" s="40" t="s">
        <v>403</v>
      </c>
      <c r="B98" s="20">
        <v>154252</v>
      </c>
      <c r="C98" s="21">
        <v>-108</v>
      </c>
      <c r="D98" s="10">
        <v>-26.4</v>
      </c>
      <c r="E98" s="20">
        <v>659</v>
      </c>
      <c r="F98" s="21">
        <v>996</v>
      </c>
      <c r="G98" s="10">
        <v>747</v>
      </c>
      <c r="H98" s="20"/>
      <c r="I98" s="21"/>
      <c r="J98" s="21"/>
      <c r="K98" s="10"/>
      <c r="L98" s="20"/>
      <c r="M98" s="21"/>
      <c r="N98" s="21"/>
      <c r="O98" s="10"/>
    </row>
    <row r="99" spans="1:15" x14ac:dyDescent="0.2">
      <c r="A99" s="40" t="s">
        <v>404</v>
      </c>
      <c r="B99" s="20">
        <v>214928</v>
      </c>
      <c r="C99" s="21">
        <v>-140</v>
      </c>
      <c r="D99" s="10">
        <v>-938</v>
      </c>
      <c r="E99" s="20">
        <v>3740</v>
      </c>
      <c r="F99" s="21">
        <v>6896</v>
      </c>
      <c r="G99" s="10">
        <v>18190</v>
      </c>
      <c r="H99" s="20">
        <v>-32</v>
      </c>
      <c r="I99" s="21">
        <v>-911.6</v>
      </c>
      <c r="J99" s="21">
        <v>5900</v>
      </c>
      <c r="K99" s="10">
        <v>17443</v>
      </c>
      <c r="L99" s="20">
        <v>-91.1</v>
      </c>
      <c r="M99" s="21">
        <v>-658.40000000000009</v>
      </c>
      <c r="N99" s="21">
        <v>4191</v>
      </c>
      <c r="O99" s="10">
        <v>11590</v>
      </c>
    </row>
    <row r="100" spans="1:15" x14ac:dyDescent="0.2">
      <c r="A100" s="40" t="s">
        <v>405</v>
      </c>
      <c r="B100" s="20">
        <v>159402</v>
      </c>
      <c r="C100" s="21">
        <v>42.4</v>
      </c>
      <c r="D100" s="10">
        <v>9.91</v>
      </c>
      <c r="E100" s="20">
        <v>687</v>
      </c>
      <c r="F100" s="21">
        <v>484</v>
      </c>
      <c r="G100" s="10">
        <v>406</v>
      </c>
      <c r="H100" s="20"/>
      <c r="I100" s="21"/>
      <c r="J100" s="21"/>
      <c r="K100" s="10"/>
      <c r="L100" s="20"/>
      <c r="M100" s="21"/>
      <c r="N100" s="21"/>
      <c r="O100" s="10"/>
    </row>
    <row r="101" spans="1:15" x14ac:dyDescent="0.2">
      <c r="A101" s="40" t="s">
        <v>406</v>
      </c>
      <c r="B101" s="20">
        <v>201608</v>
      </c>
      <c r="C101" s="21">
        <v>-88.7</v>
      </c>
      <c r="D101" s="10">
        <v>-797</v>
      </c>
      <c r="E101" s="20">
        <v>2510</v>
      </c>
      <c r="F101" s="21">
        <v>1509</v>
      </c>
      <c r="G101" s="10">
        <v>3776</v>
      </c>
      <c r="H101" s="20">
        <v>-131.1</v>
      </c>
      <c r="I101" s="21">
        <v>-806.91</v>
      </c>
      <c r="J101" s="21">
        <v>1025</v>
      </c>
      <c r="K101" s="10">
        <v>3370</v>
      </c>
      <c r="L101" s="20">
        <v>-190.2</v>
      </c>
      <c r="M101" s="21">
        <v>-553.71</v>
      </c>
      <c r="N101" s="21">
        <v>-684</v>
      </c>
      <c r="O101" s="10">
        <v>-2483</v>
      </c>
    </row>
    <row r="102" spans="1:15" x14ac:dyDescent="0.2">
      <c r="A102" s="40"/>
      <c r="B102" s="20"/>
      <c r="C102" s="21"/>
      <c r="D102" s="10"/>
      <c r="E102" s="20"/>
      <c r="F102" s="21"/>
      <c r="G102" s="10"/>
      <c r="H102" s="20"/>
      <c r="I102" s="21"/>
      <c r="J102" s="21"/>
      <c r="K102" s="10"/>
      <c r="L102" s="20"/>
      <c r="M102" s="21"/>
      <c r="N102" s="21"/>
      <c r="O102" s="10"/>
    </row>
    <row r="103" spans="1:15" x14ac:dyDescent="0.2">
      <c r="A103" s="40" t="s">
        <v>171</v>
      </c>
      <c r="B103" s="20">
        <v>668000</v>
      </c>
      <c r="C103" s="21">
        <v>416</v>
      </c>
      <c r="D103" s="10">
        <v>-103</v>
      </c>
      <c r="E103" s="20">
        <v>1694</v>
      </c>
      <c r="F103" s="21">
        <v>3634</v>
      </c>
      <c r="G103" s="10">
        <v>-327</v>
      </c>
      <c r="H103" s="20"/>
      <c r="I103" s="21"/>
      <c r="J103" s="21"/>
      <c r="K103" s="10"/>
      <c r="L103" s="20"/>
      <c r="M103" s="21"/>
      <c r="N103" s="21"/>
      <c r="O103" s="10"/>
    </row>
    <row r="104" spans="1:15" x14ac:dyDescent="0.2">
      <c r="A104" s="40" t="s">
        <v>172</v>
      </c>
      <c r="B104" s="20">
        <v>806000</v>
      </c>
      <c r="C104" s="21">
        <v>608</v>
      </c>
      <c r="D104" s="10">
        <v>-51.2</v>
      </c>
      <c r="E104" s="20">
        <v>1652</v>
      </c>
      <c r="F104" s="21">
        <v>6186</v>
      </c>
      <c r="G104" s="10">
        <v>-281</v>
      </c>
      <c r="H104" s="20">
        <v>192</v>
      </c>
      <c r="I104" s="21">
        <v>51.8</v>
      </c>
      <c r="J104" s="21">
        <v>2552</v>
      </c>
      <c r="K104" s="10">
        <v>46</v>
      </c>
      <c r="L104" s="20">
        <v>0</v>
      </c>
      <c r="M104" s="21">
        <v>0</v>
      </c>
      <c r="N104" s="21">
        <v>0</v>
      </c>
      <c r="O104" s="10">
        <v>0</v>
      </c>
    </row>
    <row r="105" spans="1:15" x14ac:dyDescent="0.2">
      <c r="A105" s="40" t="s">
        <v>173</v>
      </c>
      <c r="B105" s="20">
        <v>856000</v>
      </c>
      <c r="C105" s="21">
        <v>544</v>
      </c>
      <c r="D105" s="10">
        <v>-137</v>
      </c>
      <c r="E105" s="20">
        <v>818</v>
      </c>
      <c r="F105" s="21">
        <v>4986</v>
      </c>
      <c r="G105" s="10">
        <v>-527</v>
      </c>
      <c r="H105" s="20"/>
      <c r="I105" s="21"/>
      <c r="J105" s="21"/>
      <c r="K105" s="10"/>
      <c r="L105" s="20"/>
      <c r="M105" s="21"/>
      <c r="N105" s="21"/>
      <c r="O105" s="10"/>
    </row>
    <row r="106" spans="1:15" x14ac:dyDescent="0.2">
      <c r="A106" s="40" t="s">
        <v>174</v>
      </c>
      <c r="B106" s="20">
        <v>914000</v>
      </c>
      <c r="C106" s="21">
        <v>653</v>
      </c>
      <c r="D106" s="10">
        <v>-62.1</v>
      </c>
      <c r="E106" s="20">
        <v>658</v>
      </c>
      <c r="F106" s="21">
        <v>6674</v>
      </c>
      <c r="G106" s="10">
        <v>-538</v>
      </c>
      <c r="H106" s="20">
        <v>109</v>
      </c>
      <c r="I106" s="21">
        <v>74.900000000000006</v>
      </c>
      <c r="J106" s="21">
        <v>1688</v>
      </c>
      <c r="K106" s="10">
        <v>-11</v>
      </c>
      <c r="L106" s="20">
        <v>-83</v>
      </c>
      <c r="M106" s="21">
        <v>23.100000000000009</v>
      </c>
      <c r="N106" s="21">
        <v>-864</v>
      </c>
      <c r="O106" s="10">
        <v>-57</v>
      </c>
    </row>
    <row r="107" spans="1:15" x14ac:dyDescent="0.2">
      <c r="A107" s="40" t="s">
        <v>407</v>
      </c>
      <c r="B107" s="20">
        <v>777000</v>
      </c>
      <c r="C107" s="21">
        <v>510</v>
      </c>
      <c r="D107" s="10">
        <v>-114</v>
      </c>
      <c r="E107" s="20">
        <v>2459</v>
      </c>
      <c r="F107" s="21">
        <v>3792</v>
      </c>
      <c r="G107" s="10">
        <v>-350</v>
      </c>
      <c r="H107" s="20"/>
      <c r="I107" s="21"/>
      <c r="J107" s="21"/>
      <c r="K107" s="10"/>
      <c r="L107" s="20"/>
      <c r="M107" s="21"/>
      <c r="N107" s="21"/>
      <c r="O107" s="10"/>
    </row>
    <row r="108" spans="1:15" x14ac:dyDescent="0.2">
      <c r="A108" s="40" t="s">
        <v>408</v>
      </c>
      <c r="B108" s="20">
        <v>852000</v>
      </c>
      <c r="C108" s="21">
        <v>600</v>
      </c>
      <c r="D108" s="10">
        <v>-21.7</v>
      </c>
      <c r="E108" s="20">
        <v>2011</v>
      </c>
      <c r="F108" s="21">
        <v>6488</v>
      </c>
      <c r="G108" s="10">
        <v>-135</v>
      </c>
      <c r="H108" s="20">
        <v>90</v>
      </c>
      <c r="I108" s="21">
        <v>92.3</v>
      </c>
      <c r="J108" s="21">
        <v>2696</v>
      </c>
      <c r="K108" s="10">
        <v>215</v>
      </c>
      <c r="L108" s="20">
        <v>-102</v>
      </c>
      <c r="M108" s="21">
        <v>40.5</v>
      </c>
      <c r="N108" s="21">
        <v>144</v>
      </c>
      <c r="O108" s="10">
        <v>169</v>
      </c>
    </row>
    <row r="109" spans="1:15" x14ac:dyDescent="0.2">
      <c r="A109" s="40" t="s">
        <v>409</v>
      </c>
      <c r="B109" s="20">
        <v>844000</v>
      </c>
      <c r="C109" s="21">
        <v>504</v>
      </c>
      <c r="D109" s="10">
        <v>-124</v>
      </c>
      <c r="E109" s="20">
        <v>1530</v>
      </c>
      <c r="F109" s="21">
        <v>4652</v>
      </c>
      <c r="G109" s="10">
        <v>-484</v>
      </c>
      <c r="H109" s="20"/>
      <c r="I109" s="21"/>
      <c r="J109" s="21"/>
      <c r="K109" s="10"/>
      <c r="L109" s="20"/>
      <c r="M109" s="21"/>
      <c r="N109" s="21"/>
      <c r="O109" s="10"/>
    </row>
    <row r="110" spans="1:15" x14ac:dyDescent="0.2">
      <c r="A110" s="40" t="s">
        <v>410</v>
      </c>
      <c r="B110" s="20">
        <v>829000</v>
      </c>
      <c r="C110" s="21">
        <v>613</v>
      </c>
      <c r="D110" s="10">
        <v>-32.6</v>
      </c>
      <c r="E110" s="20">
        <v>1102</v>
      </c>
      <c r="F110" s="21">
        <v>6559</v>
      </c>
      <c r="G110" s="10">
        <v>-312</v>
      </c>
      <c r="H110" s="20">
        <v>109</v>
      </c>
      <c r="I110" s="21">
        <v>91.4</v>
      </c>
      <c r="J110" s="21">
        <v>1907</v>
      </c>
      <c r="K110" s="10">
        <v>172</v>
      </c>
      <c r="L110" s="20">
        <v>-83</v>
      </c>
      <c r="M110" s="21">
        <v>39.600000000000009</v>
      </c>
      <c r="N110" s="21">
        <v>-645</v>
      </c>
      <c r="O110" s="10">
        <v>126</v>
      </c>
    </row>
    <row r="111" spans="1:15" x14ac:dyDescent="0.2">
      <c r="A111" s="40"/>
      <c r="B111" s="20"/>
      <c r="C111" s="21"/>
      <c r="D111" s="10"/>
      <c r="E111" s="20"/>
      <c r="F111" s="21"/>
      <c r="G111" s="10"/>
      <c r="H111" s="20"/>
      <c r="I111" s="21"/>
      <c r="J111" s="21"/>
      <c r="K111" s="10"/>
      <c r="L111" s="20"/>
      <c r="M111" s="21"/>
      <c r="N111" s="21"/>
      <c r="O111" s="10"/>
    </row>
    <row r="112" spans="1:15" x14ac:dyDescent="0.2">
      <c r="A112" s="40" t="s">
        <v>175</v>
      </c>
      <c r="B112" s="20">
        <v>598000</v>
      </c>
      <c r="C112" s="21">
        <v>594</v>
      </c>
      <c r="D112" s="10">
        <v>-181</v>
      </c>
      <c r="E112" s="20">
        <v>940</v>
      </c>
      <c r="F112" s="21">
        <v>2091</v>
      </c>
      <c r="G112" s="10">
        <v>-392</v>
      </c>
      <c r="H112" s="20"/>
      <c r="I112" s="21"/>
      <c r="J112" s="21"/>
      <c r="K112" s="10"/>
      <c r="L112" s="20"/>
      <c r="M112" s="21"/>
      <c r="N112" s="21"/>
      <c r="O112" s="10"/>
    </row>
    <row r="113" spans="1:15" x14ac:dyDescent="0.2">
      <c r="A113" s="40" t="s">
        <v>176</v>
      </c>
      <c r="B113" s="20">
        <v>616000</v>
      </c>
      <c r="C113" s="21">
        <v>483</v>
      </c>
      <c r="D113" s="10">
        <v>-143</v>
      </c>
      <c r="E113" s="20">
        <v>1250</v>
      </c>
      <c r="F113" s="21">
        <v>2568</v>
      </c>
      <c r="G113" s="10">
        <v>-14</v>
      </c>
      <c r="H113" s="20">
        <v>-111</v>
      </c>
      <c r="I113" s="21">
        <v>38</v>
      </c>
      <c r="J113" s="21">
        <v>477</v>
      </c>
      <c r="K113" s="10">
        <v>378</v>
      </c>
      <c r="L113" s="20">
        <v>0</v>
      </c>
      <c r="M113" s="21">
        <v>0</v>
      </c>
      <c r="N113" s="21">
        <v>0</v>
      </c>
      <c r="O113" s="10">
        <v>0</v>
      </c>
    </row>
    <row r="114" spans="1:15" x14ac:dyDescent="0.2">
      <c r="A114" s="40" t="s">
        <v>177</v>
      </c>
      <c r="B114" s="20">
        <v>422000</v>
      </c>
      <c r="C114" s="21">
        <v>-149</v>
      </c>
      <c r="D114" s="10">
        <v>-88.6</v>
      </c>
      <c r="E114" s="20">
        <v>975</v>
      </c>
      <c r="F114" s="21">
        <v>1379</v>
      </c>
      <c r="G114" s="10">
        <v>-306</v>
      </c>
      <c r="H114" s="20"/>
      <c r="I114" s="21"/>
      <c r="J114" s="21"/>
      <c r="K114" s="10"/>
      <c r="L114" s="20"/>
      <c r="M114" s="21"/>
      <c r="N114" s="21"/>
      <c r="O114" s="10"/>
    </row>
    <row r="115" spans="1:15" x14ac:dyDescent="0.2">
      <c r="A115" s="40" t="s">
        <v>178</v>
      </c>
      <c r="B115" s="20">
        <v>411000</v>
      </c>
      <c r="C115" s="21">
        <v>-519</v>
      </c>
      <c r="D115" s="10">
        <v>-281</v>
      </c>
      <c r="E115" s="20">
        <v>1226</v>
      </c>
      <c r="F115" s="21">
        <v>1028</v>
      </c>
      <c r="G115" s="10">
        <v>146</v>
      </c>
      <c r="H115" s="20">
        <v>-370</v>
      </c>
      <c r="I115" s="21">
        <v>-192.4</v>
      </c>
      <c r="J115" s="21">
        <v>-351</v>
      </c>
      <c r="K115" s="10">
        <v>452</v>
      </c>
      <c r="L115" s="20">
        <v>-259</v>
      </c>
      <c r="M115" s="21">
        <v>-230.4</v>
      </c>
      <c r="N115" s="21">
        <v>-828</v>
      </c>
      <c r="O115" s="10">
        <v>74</v>
      </c>
    </row>
    <row r="116" spans="1:15" x14ac:dyDescent="0.2">
      <c r="A116" s="40" t="s">
        <v>411</v>
      </c>
      <c r="B116" s="20">
        <v>676000</v>
      </c>
      <c r="C116" s="21">
        <v>728</v>
      </c>
      <c r="D116" s="10">
        <v>-206</v>
      </c>
      <c r="E116" s="20">
        <v>1179</v>
      </c>
      <c r="F116" s="21">
        <v>2249</v>
      </c>
      <c r="G116" s="10">
        <v>-438</v>
      </c>
      <c r="H116" s="20"/>
      <c r="I116" s="21"/>
      <c r="J116" s="21"/>
      <c r="K116" s="10"/>
      <c r="L116" s="20"/>
      <c r="M116" s="21"/>
      <c r="N116" s="21"/>
      <c r="O116" s="10"/>
    </row>
    <row r="117" spans="1:15" x14ac:dyDescent="0.2">
      <c r="A117" s="40" t="s">
        <v>412</v>
      </c>
      <c r="B117" s="20">
        <v>603000</v>
      </c>
      <c r="C117" s="21">
        <v>658</v>
      </c>
      <c r="D117" s="10">
        <v>-172</v>
      </c>
      <c r="E117" s="20">
        <v>1089</v>
      </c>
      <c r="F117" s="21">
        <v>2319</v>
      </c>
      <c r="G117" s="10">
        <v>-96.4</v>
      </c>
      <c r="H117" s="20">
        <v>-70</v>
      </c>
      <c r="I117" s="21">
        <v>34</v>
      </c>
      <c r="J117" s="21">
        <v>70</v>
      </c>
      <c r="K117" s="10">
        <v>341.6</v>
      </c>
      <c r="L117" s="20">
        <v>41</v>
      </c>
      <c r="M117" s="21">
        <v>-4</v>
      </c>
      <c r="N117" s="21">
        <v>-407</v>
      </c>
      <c r="O117" s="10">
        <v>-36.399999999999977</v>
      </c>
    </row>
    <row r="118" spans="1:15" x14ac:dyDescent="0.2">
      <c r="A118" s="40" t="s">
        <v>413</v>
      </c>
      <c r="B118" s="20">
        <v>575000</v>
      </c>
      <c r="C118" s="21">
        <v>639</v>
      </c>
      <c r="D118" s="10">
        <v>-187</v>
      </c>
      <c r="E118" s="20">
        <v>883</v>
      </c>
      <c r="F118" s="21">
        <v>2629</v>
      </c>
      <c r="G118" s="10">
        <v>-400</v>
      </c>
      <c r="H118" s="20"/>
      <c r="I118" s="21"/>
      <c r="J118" s="21"/>
      <c r="K118" s="10"/>
      <c r="L118" s="20"/>
      <c r="M118" s="21"/>
      <c r="N118" s="21"/>
      <c r="O118" s="10"/>
    </row>
    <row r="119" spans="1:15" x14ac:dyDescent="0.2">
      <c r="A119" s="40" t="s">
        <v>414</v>
      </c>
      <c r="B119" s="20">
        <v>717000</v>
      </c>
      <c r="C119" s="21">
        <v>628</v>
      </c>
      <c r="D119" s="10">
        <v>-110</v>
      </c>
      <c r="E119" s="20">
        <v>1098</v>
      </c>
      <c r="F119" s="21">
        <v>3120</v>
      </c>
      <c r="G119" s="10">
        <v>-94.8</v>
      </c>
      <c r="H119" s="20">
        <v>-11</v>
      </c>
      <c r="I119" s="21">
        <v>77</v>
      </c>
      <c r="J119" s="21">
        <v>491</v>
      </c>
      <c r="K119" s="10">
        <v>305.2</v>
      </c>
      <c r="L119" s="20">
        <v>100</v>
      </c>
      <c r="M119" s="21">
        <v>39</v>
      </c>
      <c r="N119" s="21">
        <v>14</v>
      </c>
      <c r="O119" s="10">
        <v>-72.800000000000011</v>
      </c>
    </row>
    <row r="120" spans="1:15" x14ac:dyDescent="0.2">
      <c r="A120" s="40" t="s">
        <v>415</v>
      </c>
      <c r="B120" s="20">
        <v>316064</v>
      </c>
      <c r="C120" s="21">
        <v>328</v>
      </c>
      <c r="D120" s="10">
        <v>-159</v>
      </c>
      <c r="E120" s="20">
        <v>564</v>
      </c>
      <c r="F120" s="21">
        <v>2060</v>
      </c>
      <c r="G120" s="10">
        <v>-400</v>
      </c>
      <c r="H120" s="20"/>
      <c r="I120" s="21"/>
      <c r="J120" s="21"/>
      <c r="K120" s="10"/>
      <c r="L120" s="20"/>
      <c r="M120" s="21"/>
      <c r="N120" s="21"/>
      <c r="O120" s="10"/>
    </row>
    <row r="121" spans="1:15" x14ac:dyDescent="0.2">
      <c r="A121" s="40" t="s">
        <v>416</v>
      </c>
      <c r="B121" s="20">
        <v>465000</v>
      </c>
      <c r="C121" s="21">
        <v>211</v>
      </c>
      <c r="D121" s="10">
        <v>-217</v>
      </c>
      <c r="E121" s="20">
        <v>1222</v>
      </c>
      <c r="F121" s="21">
        <v>2573</v>
      </c>
      <c r="G121" s="10">
        <v>103</v>
      </c>
      <c r="H121" s="20">
        <v>-117</v>
      </c>
      <c r="I121" s="21">
        <v>-58</v>
      </c>
      <c r="J121" s="21">
        <v>513</v>
      </c>
      <c r="K121" s="10">
        <v>503</v>
      </c>
      <c r="L121" s="20">
        <v>-6</v>
      </c>
      <c r="M121" s="21">
        <v>-96</v>
      </c>
      <c r="N121" s="21">
        <v>36</v>
      </c>
      <c r="O121" s="10">
        <v>125</v>
      </c>
    </row>
    <row r="122" spans="1:15" x14ac:dyDescent="0.2">
      <c r="A122" s="40"/>
      <c r="B122" s="20"/>
      <c r="C122" s="21"/>
      <c r="D122" s="10"/>
      <c r="E122" s="20"/>
      <c r="F122" s="21"/>
      <c r="G122" s="10"/>
      <c r="H122" s="20"/>
      <c r="I122" s="21"/>
      <c r="J122" s="21"/>
      <c r="K122" s="10"/>
      <c r="L122" s="20"/>
      <c r="M122" s="21"/>
      <c r="N122" s="21"/>
      <c r="O122" s="10"/>
    </row>
    <row r="123" spans="1:15" x14ac:dyDescent="0.2">
      <c r="A123" s="40" t="s">
        <v>179</v>
      </c>
      <c r="B123" s="20">
        <v>28581</v>
      </c>
      <c r="C123" s="21">
        <v>412</v>
      </c>
      <c r="D123" s="10">
        <v>215</v>
      </c>
      <c r="E123" s="20">
        <v>995</v>
      </c>
      <c r="F123" s="21">
        <v>937</v>
      </c>
      <c r="G123" s="10">
        <v>856</v>
      </c>
      <c r="H123" s="20"/>
      <c r="I123" s="21"/>
      <c r="J123" s="21"/>
      <c r="K123" s="10"/>
      <c r="L123" s="20"/>
      <c r="M123" s="21"/>
      <c r="N123" s="21"/>
      <c r="O123" s="10"/>
    </row>
    <row r="124" spans="1:15" x14ac:dyDescent="0.2">
      <c r="A124" s="40" t="s">
        <v>180</v>
      </c>
      <c r="B124" s="20">
        <v>35305</v>
      </c>
      <c r="C124" s="21">
        <v>363</v>
      </c>
      <c r="D124" s="10">
        <v>284</v>
      </c>
      <c r="E124" s="20">
        <v>1610</v>
      </c>
      <c r="F124" s="21">
        <v>2419</v>
      </c>
      <c r="G124" s="10">
        <v>13067</v>
      </c>
      <c r="H124" s="20">
        <v>-49</v>
      </c>
      <c r="I124" s="21">
        <v>69</v>
      </c>
      <c r="J124" s="21">
        <v>1482</v>
      </c>
      <c r="K124" s="10">
        <v>12211</v>
      </c>
      <c r="L124" s="20">
        <v>0</v>
      </c>
      <c r="M124" s="21">
        <v>0</v>
      </c>
      <c r="N124" s="21">
        <v>0</v>
      </c>
      <c r="O124" s="10">
        <v>0</v>
      </c>
    </row>
    <row r="125" spans="1:15" x14ac:dyDescent="0.2">
      <c r="A125" s="134" t="s">
        <v>181</v>
      </c>
      <c r="B125" s="20">
        <v>21884</v>
      </c>
      <c r="C125" s="21">
        <v>335</v>
      </c>
      <c r="D125" s="10">
        <v>125</v>
      </c>
      <c r="E125" s="20">
        <v>1305</v>
      </c>
      <c r="F125" s="21">
        <v>980</v>
      </c>
      <c r="G125" s="10">
        <v>984</v>
      </c>
      <c r="H125" s="20"/>
      <c r="I125" s="21"/>
      <c r="J125" s="21"/>
      <c r="K125" s="10"/>
      <c r="L125" s="20"/>
      <c r="M125" s="21"/>
      <c r="N125" s="21"/>
      <c r="O125" s="10"/>
    </row>
    <row r="126" spans="1:15" x14ac:dyDescent="0.2">
      <c r="A126" s="40" t="s">
        <v>182</v>
      </c>
      <c r="B126" s="20">
        <v>38008</v>
      </c>
      <c r="C126" s="21">
        <v>-61.6</v>
      </c>
      <c r="D126" s="10">
        <v>-605</v>
      </c>
      <c r="E126" s="20">
        <v>2576</v>
      </c>
      <c r="F126" s="21">
        <v>2072</v>
      </c>
      <c r="G126" s="10">
        <v>6915</v>
      </c>
      <c r="H126" s="20">
        <v>-396.6</v>
      </c>
      <c r="I126" s="21">
        <v>-730</v>
      </c>
      <c r="J126" s="21">
        <v>1092</v>
      </c>
      <c r="K126" s="10">
        <v>5931</v>
      </c>
      <c r="L126" s="20">
        <v>-347.6</v>
      </c>
      <c r="M126" s="21">
        <v>-799</v>
      </c>
      <c r="N126" s="21">
        <v>-390</v>
      </c>
      <c r="O126" s="10">
        <v>-6280</v>
      </c>
    </row>
    <row r="127" spans="1:15" x14ac:dyDescent="0.2">
      <c r="A127" s="40" t="s">
        <v>417</v>
      </c>
      <c r="B127" s="20">
        <v>16511</v>
      </c>
      <c r="C127" s="21">
        <v>409</v>
      </c>
      <c r="D127" s="10">
        <v>236</v>
      </c>
      <c r="E127" s="20">
        <v>657</v>
      </c>
      <c r="F127" s="21">
        <v>884</v>
      </c>
      <c r="G127" s="10">
        <v>919</v>
      </c>
      <c r="H127" s="20"/>
      <c r="I127" s="21"/>
      <c r="J127" s="21"/>
      <c r="K127" s="10"/>
      <c r="L127" s="20"/>
      <c r="M127" s="21"/>
      <c r="N127" s="21"/>
      <c r="O127" s="10"/>
    </row>
    <row r="128" spans="1:15" x14ac:dyDescent="0.2">
      <c r="A128" s="40" t="s">
        <v>418</v>
      </c>
      <c r="B128" s="20">
        <v>21303</v>
      </c>
      <c r="C128" s="21">
        <v>413</v>
      </c>
      <c r="D128" s="10">
        <v>538</v>
      </c>
      <c r="E128" s="20">
        <v>1162</v>
      </c>
      <c r="F128" s="21">
        <v>2755</v>
      </c>
      <c r="G128" s="10">
        <v>21089</v>
      </c>
      <c r="H128" s="20">
        <v>4</v>
      </c>
      <c r="I128" s="21">
        <v>302</v>
      </c>
      <c r="J128" s="21">
        <v>1871</v>
      </c>
      <c r="K128" s="10">
        <v>20170</v>
      </c>
      <c r="L128" s="20">
        <v>53</v>
      </c>
      <c r="M128" s="21">
        <v>233</v>
      </c>
      <c r="N128" s="21">
        <v>389</v>
      </c>
      <c r="O128" s="10">
        <v>7959</v>
      </c>
    </row>
    <row r="129" spans="1:15" x14ac:dyDescent="0.2">
      <c r="A129" s="40" t="s">
        <v>419</v>
      </c>
      <c r="B129" s="20">
        <v>15567</v>
      </c>
      <c r="C129" s="21">
        <v>380</v>
      </c>
      <c r="D129" s="10">
        <v>194</v>
      </c>
      <c r="E129" s="20">
        <v>393</v>
      </c>
      <c r="F129" s="21">
        <v>1097</v>
      </c>
      <c r="G129" s="10">
        <v>1022</v>
      </c>
      <c r="H129" s="20"/>
      <c r="I129" s="21"/>
      <c r="J129" s="21"/>
      <c r="K129" s="10"/>
      <c r="L129" s="20"/>
      <c r="M129" s="21"/>
      <c r="N129" s="21"/>
      <c r="O129" s="10"/>
    </row>
    <row r="130" spans="1:15" x14ac:dyDescent="0.2">
      <c r="A130" s="40" t="s">
        <v>420</v>
      </c>
      <c r="B130" s="20">
        <v>29065</v>
      </c>
      <c r="C130" s="21">
        <v>277</v>
      </c>
      <c r="D130" s="10">
        <v>236</v>
      </c>
      <c r="E130" s="20">
        <v>1067</v>
      </c>
      <c r="F130" s="21">
        <v>2969</v>
      </c>
      <c r="G130" s="10">
        <v>13828</v>
      </c>
      <c r="H130" s="20">
        <v>-103</v>
      </c>
      <c r="I130" s="21">
        <v>42</v>
      </c>
      <c r="J130" s="21">
        <v>1872</v>
      </c>
      <c r="K130" s="10">
        <v>12806</v>
      </c>
      <c r="L130" s="20">
        <v>-54</v>
      </c>
      <c r="M130" s="21">
        <v>-27</v>
      </c>
      <c r="N130" s="21">
        <v>390</v>
      </c>
      <c r="O130" s="10">
        <v>595</v>
      </c>
    </row>
    <row r="131" spans="1:15" x14ac:dyDescent="0.2">
      <c r="A131" s="40" t="s">
        <v>421</v>
      </c>
      <c r="B131" s="20">
        <v>16215</v>
      </c>
      <c r="C131" s="21">
        <v>365</v>
      </c>
      <c r="D131" s="10">
        <v>214</v>
      </c>
      <c r="E131" s="20">
        <v>665</v>
      </c>
      <c r="F131" s="21">
        <v>860</v>
      </c>
      <c r="G131" s="10">
        <v>922</v>
      </c>
      <c r="H131" s="20"/>
      <c r="I131" s="21"/>
      <c r="J131" s="21"/>
      <c r="K131" s="10"/>
      <c r="L131" s="20"/>
      <c r="M131" s="21"/>
      <c r="N131" s="21"/>
      <c r="O131" s="10"/>
    </row>
    <row r="132" spans="1:15" x14ac:dyDescent="0.2">
      <c r="A132" s="39" t="s">
        <v>422</v>
      </c>
      <c r="B132" s="28">
        <v>18390</v>
      </c>
      <c r="C132" s="26">
        <v>273</v>
      </c>
      <c r="D132" s="11">
        <v>188</v>
      </c>
      <c r="E132" s="28">
        <v>1022</v>
      </c>
      <c r="F132" s="26">
        <v>2519</v>
      </c>
      <c r="G132" s="11">
        <v>15533</v>
      </c>
      <c r="H132" s="28">
        <v>-92</v>
      </c>
      <c r="I132" s="26">
        <v>-26</v>
      </c>
      <c r="J132" s="26">
        <v>1659</v>
      </c>
      <c r="K132" s="11">
        <v>14611</v>
      </c>
      <c r="L132" s="28">
        <v>-43</v>
      </c>
      <c r="M132" s="26">
        <v>-95</v>
      </c>
      <c r="N132" s="26">
        <v>177</v>
      </c>
      <c r="O132" s="11">
        <v>2400</v>
      </c>
    </row>
    <row r="133" spans="1:15" s="21" customFormat="1" x14ac:dyDescent="0.2"/>
    <row r="134" spans="1:15" s="21" customFormat="1" x14ac:dyDescent="0.2"/>
    <row r="135" spans="1:15" s="21" customFormat="1" x14ac:dyDescent="0.2"/>
    <row r="136" spans="1:15" s="21" customFormat="1" x14ac:dyDescent="0.2"/>
    <row r="137" spans="1:15" s="21" customFormat="1" x14ac:dyDescent="0.2"/>
    <row r="138" spans="1:15" s="21" customFormat="1" x14ac:dyDescent="0.2"/>
    <row r="139" spans="1:15" s="21" customFormat="1" x14ac:dyDescent="0.2"/>
    <row r="140" spans="1:15" s="21" customFormat="1" x14ac:dyDescent="0.2"/>
    <row r="141" spans="1:15" s="21" customFormat="1" x14ac:dyDescent="0.2"/>
    <row r="142" spans="1:15" s="21" customFormat="1" x14ac:dyDescent="0.2"/>
    <row r="143" spans="1:15" s="21" customFormat="1" x14ac:dyDescent="0.2"/>
    <row r="144" spans="1:15" s="21" customFormat="1" x14ac:dyDescent="0.2"/>
    <row r="145" s="21" customFormat="1" x14ac:dyDescent="0.2"/>
    <row r="146" s="21" customFormat="1" x14ac:dyDescent="0.2"/>
    <row r="147" s="21" customFormat="1" x14ac:dyDescent="0.2"/>
    <row r="148" s="21" customFormat="1" x14ac:dyDescent="0.2"/>
    <row r="149" s="21" customFormat="1" x14ac:dyDescent="0.2"/>
    <row r="150" s="21" customFormat="1" x14ac:dyDescent="0.2"/>
    <row r="151" s="21" customFormat="1" x14ac:dyDescent="0.2"/>
    <row r="152" s="21" customFormat="1" x14ac:dyDescent="0.2"/>
    <row r="153" s="21" customFormat="1" x14ac:dyDescent="0.2"/>
    <row r="154" s="21" customFormat="1" x14ac:dyDescent="0.2"/>
    <row r="155" s="21" customFormat="1" x14ac:dyDescent="0.2"/>
    <row r="156" s="21" customFormat="1" x14ac:dyDescent="0.2"/>
    <row r="157" s="21" customFormat="1" x14ac:dyDescent="0.2"/>
    <row r="158" s="21" customFormat="1" x14ac:dyDescent="0.2"/>
    <row r="159" s="21" customFormat="1" x14ac:dyDescent="0.2"/>
    <row r="160" s="21" customFormat="1" x14ac:dyDescent="0.2"/>
    <row r="161" s="21" customFormat="1" x14ac:dyDescent="0.2"/>
    <row r="162" s="21" customFormat="1" x14ac:dyDescent="0.2"/>
    <row r="163" s="21" customFormat="1" x14ac:dyDescent="0.2"/>
    <row r="164" s="21" customFormat="1" x14ac:dyDescent="0.2"/>
    <row r="165" s="21" customFormat="1" x14ac:dyDescent="0.2"/>
    <row r="166" s="21" customFormat="1" x14ac:dyDescent="0.2"/>
    <row r="167" s="21" customFormat="1" x14ac:dyDescent="0.2"/>
    <row r="168" s="21" customFormat="1" x14ac:dyDescent="0.2"/>
    <row r="169" s="21" customFormat="1" x14ac:dyDescent="0.2"/>
    <row r="170" s="21" customFormat="1" x14ac:dyDescent="0.2"/>
    <row r="171" s="21" customFormat="1" x14ac:dyDescent="0.2"/>
    <row r="172" s="21" customFormat="1" x14ac:dyDescent="0.2"/>
    <row r="173" s="21" customFormat="1" x14ac:dyDescent="0.2"/>
    <row r="174" s="21" customFormat="1" x14ac:dyDescent="0.2"/>
    <row r="175" s="21" customFormat="1" x14ac:dyDescent="0.2"/>
    <row r="176" s="21" customFormat="1" x14ac:dyDescent="0.2"/>
    <row r="177" s="21" customFormat="1" x14ac:dyDescent="0.2"/>
    <row r="178" s="21" customFormat="1" x14ac:dyDescent="0.2"/>
    <row r="179" s="21" customFormat="1" x14ac:dyDescent="0.2"/>
    <row r="180" s="21" customFormat="1" x14ac:dyDescent="0.2"/>
    <row r="181" s="21" customFormat="1" x14ac:dyDescent="0.2"/>
    <row r="182" s="21" customFormat="1" x14ac:dyDescent="0.2"/>
    <row r="183" s="21" customFormat="1" x14ac:dyDescent="0.2"/>
    <row r="184" s="21" customFormat="1" x14ac:dyDescent="0.2"/>
    <row r="185" s="21" customFormat="1" x14ac:dyDescent="0.2"/>
    <row r="186" s="21" customFormat="1" x14ac:dyDescent="0.2"/>
    <row r="187" s="21" customFormat="1" x14ac:dyDescent="0.2"/>
    <row r="188" s="21" customFormat="1" x14ac:dyDescent="0.2"/>
    <row r="189" s="21" customFormat="1" x14ac:dyDescent="0.2"/>
    <row r="190" s="21" customFormat="1" x14ac:dyDescent="0.2"/>
    <row r="191" s="21" customFormat="1" x14ac:dyDescent="0.2"/>
    <row r="192" s="21" customFormat="1" x14ac:dyDescent="0.2"/>
    <row r="193" s="21" customFormat="1" x14ac:dyDescent="0.2"/>
    <row r="194" s="21" customFormat="1" x14ac:dyDescent="0.2"/>
    <row r="195" s="21" customFormat="1" x14ac:dyDescent="0.2"/>
    <row r="196" s="21" customFormat="1" x14ac:dyDescent="0.2"/>
    <row r="197" s="21" customFormat="1" x14ac:dyDescent="0.2"/>
    <row r="198" s="21" customFormat="1" x14ac:dyDescent="0.2"/>
    <row r="199" s="21" customFormat="1" x14ac:dyDescent="0.2"/>
    <row r="200" s="21" customFormat="1" x14ac:dyDescent="0.2"/>
    <row r="201" s="21" customFormat="1" x14ac:dyDescent="0.2"/>
    <row r="202" s="21" customFormat="1" x14ac:dyDescent="0.2"/>
    <row r="203" s="21" customFormat="1" x14ac:dyDescent="0.2"/>
    <row r="204" s="21" customFormat="1" x14ac:dyDescent="0.2"/>
    <row r="205" s="21" customFormat="1" x14ac:dyDescent="0.2"/>
    <row r="206" s="21" customFormat="1" x14ac:dyDescent="0.2"/>
    <row r="207" s="21" customFormat="1" x14ac:dyDescent="0.2"/>
    <row r="208" s="21" customFormat="1" x14ac:dyDescent="0.2"/>
    <row r="209" s="21" customFormat="1" x14ac:dyDescent="0.2"/>
    <row r="210" s="21" customFormat="1" x14ac:dyDescent="0.2"/>
    <row r="211" s="21" customFormat="1" x14ac:dyDescent="0.2"/>
    <row r="212" s="21" customFormat="1" x14ac:dyDescent="0.2"/>
    <row r="213" s="21" customFormat="1" x14ac:dyDescent="0.2"/>
    <row r="214" s="21" customFormat="1" x14ac:dyDescent="0.2"/>
    <row r="215" s="21" customFormat="1" x14ac:dyDescent="0.2"/>
    <row r="216" s="21" customFormat="1" x14ac:dyDescent="0.2"/>
    <row r="217" s="21" customFormat="1" x14ac:dyDescent="0.2"/>
    <row r="218" s="21" customFormat="1" x14ac:dyDescent="0.2"/>
    <row r="219" s="21" customFormat="1" x14ac:dyDescent="0.2"/>
    <row r="220" s="21" customFormat="1" x14ac:dyDescent="0.2"/>
    <row r="221" s="21" customFormat="1" x14ac:dyDescent="0.2"/>
    <row r="222" s="21" customFormat="1" x14ac:dyDescent="0.2"/>
    <row r="223" s="21" customFormat="1" x14ac:dyDescent="0.2"/>
    <row r="224" s="21" customFormat="1" x14ac:dyDescent="0.2"/>
    <row r="225" s="21" customFormat="1" x14ac:dyDescent="0.2"/>
    <row r="226" s="21" customFormat="1" x14ac:dyDescent="0.2"/>
    <row r="227" s="21" customFormat="1" x14ac:dyDescent="0.2"/>
    <row r="228" s="21" customFormat="1" x14ac:dyDescent="0.2"/>
    <row r="229" s="21" customFormat="1" x14ac:dyDescent="0.2"/>
    <row r="230" s="21" customFormat="1" x14ac:dyDescent="0.2"/>
    <row r="231" s="21" customFormat="1" x14ac:dyDescent="0.2"/>
    <row r="232" s="21" customFormat="1" x14ac:dyDescent="0.2"/>
    <row r="233" s="21" customFormat="1" x14ac:dyDescent="0.2"/>
    <row r="234" s="21" customFormat="1" x14ac:dyDescent="0.2"/>
    <row r="235" s="21" customFormat="1" x14ac:dyDescent="0.2"/>
    <row r="236" s="21" customFormat="1" x14ac:dyDescent="0.2"/>
    <row r="237" s="21" customFormat="1" x14ac:dyDescent="0.2"/>
    <row r="238" s="21" customFormat="1" x14ac:dyDescent="0.2"/>
    <row r="239" s="21" customFormat="1" x14ac:dyDescent="0.2"/>
    <row r="240" s="21" customFormat="1" x14ac:dyDescent="0.2"/>
    <row r="241" s="21" customFormat="1" x14ac:dyDescent="0.2"/>
    <row r="242" s="21" customFormat="1" x14ac:dyDescent="0.2"/>
    <row r="243" s="21" customFormat="1" x14ac:dyDescent="0.2"/>
    <row r="244" s="21" customFormat="1" x14ac:dyDescent="0.2"/>
    <row r="245" s="21" customFormat="1" x14ac:dyDescent="0.2"/>
    <row r="246" s="21" customFormat="1" x14ac:dyDescent="0.2"/>
    <row r="247" s="21" customFormat="1" x14ac:dyDescent="0.2"/>
    <row r="248" s="21" customFormat="1" x14ac:dyDescent="0.2"/>
    <row r="249" s="21" customFormat="1" x14ac:dyDescent="0.2"/>
    <row r="250" s="21" customFormat="1" x14ac:dyDescent="0.2"/>
    <row r="251" s="21" customFormat="1" x14ac:dyDescent="0.2"/>
    <row r="252" s="21" customFormat="1" x14ac:dyDescent="0.2"/>
    <row r="253" s="21" customFormat="1" x14ac:dyDescent="0.2"/>
    <row r="254" s="21" customFormat="1" x14ac:dyDescent="0.2"/>
    <row r="255" s="21" customFormat="1" x14ac:dyDescent="0.2"/>
    <row r="256" s="21" customFormat="1" x14ac:dyDescent="0.2"/>
    <row r="257" s="21" customFormat="1" x14ac:dyDescent="0.2"/>
    <row r="258" s="21" customFormat="1" x14ac:dyDescent="0.2"/>
    <row r="259" s="21" customFormat="1" x14ac:dyDescent="0.2"/>
    <row r="260" s="21" customFormat="1" x14ac:dyDescent="0.2"/>
    <row r="261" s="21" customFormat="1" x14ac:dyDescent="0.2"/>
    <row r="262" s="21" customFormat="1" x14ac:dyDescent="0.2"/>
    <row r="263" s="21" customFormat="1" x14ac:dyDescent="0.2"/>
    <row r="264" s="21" customFormat="1" x14ac:dyDescent="0.2"/>
    <row r="265" s="21" customFormat="1" x14ac:dyDescent="0.2"/>
    <row r="266" s="21" customFormat="1" x14ac:dyDescent="0.2"/>
    <row r="267" s="21" customFormat="1" x14ac:dyDescent="0.2"/>
    <row r="268" s="21" customFormat="1" x14ac:dyDescent="0.2"/>
    <row r="269" s="21" customFormat="1" x14ac:dyDescent="0.2"/>
    <row r="270" s="21" customFormat="1" x14ac:dyDescent="0.2"/>
    <row r="271" s="21" customFormat="1" x14ac:dyDescent="0.2"/>
    <row r="272" s="21" customFormat="1" x14ac:dyDescent="0.2"/>
    <row r="273" s="21" customFormat="1" x14ac:dyDescent="0.2"/>
    <row r="274" s="21" customFormat="1" x14ac:dyDescent="0.2"/>
    <row r="275" s="21" customFormat="1" x14ac:dyDescent="0.2"/>
    <row r="276" s="21" customFormat="1" x14ac:dyDescent="0.2"/>
    <row r="277" s="21" customFormat="1" x14ac:dyDescent="0.2"/>
    <row r="278" s="21" customFormat="1" x14ac:dyDescent="0.2"/>
    <row r="279" s="21" customFormat="1" x14ac:dyDescent="0.2"/>
    <row r="280" s="21" customFormat="1" x14ac:dyDescent="0.2"/>
    <row r="281" s="21" customFormat="1" x14ac:dyDescent="0.2"/>
    <row r="282" s="21" customFormat="1" x14ac:dyDescent="0.2"/>
    <row r="283" s="21" customFormat="1" x14ac:dyDescent="0.2"/>
    <row r="284" s="21" customFormat="1" x14ac:dyDescent="0.2"/>
    <row r="285" s="21" customFormat="1" x14ac:dyDescent="0.2"/>
    <row r="286" s="21" customFormat="1" x14ac:dyDescent="0.2"/>
    <row r="287" s="21" customFormat="1" x14ac:dyDescent="0.2"/>
    <row r="288" s="21" customFormat="1" x14ac:dyDescent="0.2"/>
    <row r="289" s="21" customFormat="1" x14ac:dyDescent="0.2"/>
    <row r="290" s="21" customFormat="1" x14ac:dyDescent="0.2"/>
    <row r="291" s="21" customFormat="1" x14ac:dyDescent="0.2"/>
    <row r="292" s="21" customFormat="1" x14ac:dyDescent="0.2"/>
    <row r="293" s="21" customFormat="1" x14ac:dyDescent="0.2"/>
    <row r="294" s="21" customFormat="1" x14ac:dyDescent="0.2"/>
    <row r="295" s="21" customFormat="1" x14ac:dyDescent="0.2"/>
    <row r="296" s="21" customFormat="1" x14ac:dyDescent="0.2"/>
    <row r="297" s="21" customFormat="1" x14ac:dyDescent="0.2"/>
    <row r="298" s="21" customFormat="1" x14ac:dyDescent="0.2"/>
    <row r="299" s="21" customFormat="1" x14ac:dyDescent="0.2"/>
    <row r="300" s="21" customFormat="1" x14ac:dyDescent="0.2"/>
    <row r="301" s="21" customFormat="1" x14ac:dyDescent="0.2"/>
    <row r="302" s="21" customFormat="1" x14ac:dyDescent="0.2"/>
    <row r="303" s="21" customFormat="1" x14ac:dyDescent="0.2"/>
    <row r="304" s="21" customFormat="1" x14ac:dyDescent="0.2"/>
    <row r="305" s="21" customFormat="1" x14ac:dyDescent="0.2"/>
    <row r="306" s="21" customFormat="1" x14ac:dyDescent="0.2"/>
    <row r="307" s="21" customFormat="1" x14ac:dyDescent="0.2"/>
    <row r="308" s="21" customFormat="1" x14ac:dyDescent="0.2"/>
    <row r="309" s="21" customFormat="1" x14ac:dyDescent="0.2"/>
    <row r="310" s="21" customFormat="1" x14ac:dyDescent="0.2"/>
    <row r="311" s="21" customFormat="1" x14ac:dyDescent="0.2"/>
    <row r="312" s="21" customFormat="1" x14ac:dyDescent="0.2"/>
    <row r="313" s="21" customFormat="1" x14ac:dyDescent="0.2"/>
    <row r="314" s="21" customFormat="1" x14ac:dyDescent="0.2"/>
    <row r="315" s="21" customFormat="1" x14ac:dyDescent="0.2"/>
    <row r="316" s="21" customFormat="1" x14ac:dyDescent="0.2"/>
    <row r="317" s="21" customFormat="1" x14ac:dyDescent="0.2"/>
    <row r="318" s="21" customFormat="1" x14ac:dyDescent="0.2"/>
    <row r="319" s="21" customFormat="1" x14ac:dyDescent="0.2"/>
    <row r="320" s="21" customFormat="1" x14ac:dyDescent="0.2"/>
    <row r="321" s="21" customFormat="1" x14ac:dyDescent="0.2"/>
    <row r="322" s="21" customFormat="1" x14ac:dyDescent="0.2"/>
    <row r="323" s="21" customFormat="1" x14ac:dyDescent="0.2"/>
    <row r="324" s="21" customFormat="1" x14ac:dyDescent="0.2"/>
    <row r="325" s="21" customFormat="1" x14ac:dyDescent="0.2"/>
    <row r="326" s="21" customFormat="1" x14ac:dyDescent="0.2"/>
    <row r="327" s="21" customFormat="1" x14ac:dyDescent="0.2"/>
    <row r="328" s="21" customFormat="1" x14ac:dyDescent="0.2"/>
    <row r="329" s="21" customFormat="1" x14ac:dyDescent="0.2"/>
    <row r="330" s="21" customFormat="1" x14ac:dyDescent="0.2"/>
    <row r="331" s="21" customFormat="1" x14ac:dyDescent="0.2"/>
    <row r="332" s="21" customFormat="1" x14ac:dyDescent="0.2"/>
    <row r="333" s="21" customFormat="1" x14ac:dyDescent="0.2"/>
    <row r="334" s="21" customFormat="1" x14ac:dyDescent="0.2"/>
    <row r="335" s="21" customFormat="1" x14ac:dyDescent="0.2"/>
    <row r="336" s="21" customFormat="1" x14ac:dyDescent="0.2"/>
    <row r="337" s="21" customFormat="1" x14ac:dyDescent="0.2"/>
    <row r="338" s="21" customFormat="1" x14ac:dyDescent="0.2"/>
    <row r="339" s="21" customFormat="1" x14ac:dyDescent="0.2"/>
    <row r="340" s="21" customFormat="1" x14ac:dyDescent="0.2"/>
    <row r="341" s="21" customFormat="1" x14ac:dyDescent="0.2"/>
    <row r="342" s="21" customFormat="1" x14ac:dyDescent="0.2"/>
    <row r="343" s="21" customFormat="1" x14ac:dyDescent="0.2"/>
    <row r="344" s="21" customFormat="1" x14ac:dyDescent="0.2"/>
    <row r="345" s="21" customFormat="1" x14ac:dyDescent="0.2"/>
    <row r="346" s="21" customFormat="1" x14ac:dyDescent="0.2"/>
    <row r="347" s="21" customFormat="1" x14ac:dyDescent="0.2"/>
    <row r="348" s="21" customFormat="1" x14ac:dyDescent="0.2"/>
    <row r="349" s="21" customFormat="1" x14ac:dyDescent="0.2"/>
    <row r="350" s="21" customFormat="1" x14ac:dyDescent="0.2"/>
    <row r="351" s="21" customFormat="1" x14ac:dyDescent="0.2"/>
    <row r="352" s="21" customFormat="1" x14ac:dyDescent="0.2"/>
    <row r="353" s="21" customFormat="1" x14ac:dyDescent="0.2"/>
    <row r="354" s="21" customFormat="1" x14ac:dyDescent="0.2"/>
    <row r="355" s="21" customFormat="1" x14ac:dyDescent="0.2"/>
    <row r="356" s="21" customFormat="1" x14ac:dyDescent="0.2"/>
    <row r="357" s="21" customFormat="1" x14ac:dyDescent="0.2"/>
    <row r="358" s="21" customFormat="1" x14ac:dyDescent="0.2"/>
    <row r="359" s="21" customFormat="1" x14ac:dyDescent="0.2"/>
    <row r="360" s="21" customFormat="1" x14ac:dyDescent="0.2"/>
    <row r="361" s="21" customFormat="1" x14ac:dyDescent="0.2"/>
    <row r="362" s="21" customFormat="1" x14ac:dyDescent="0.2"/>
    <row r="363" s="21" customFormat="1" x14ac:dyDescent="0.2"/>
    <row r="364" s="21" customFormat="1" x14ac:dyDescent="0.2"/>
    <row r="365" s="21" customFormat="1" x14ac:dyDescent="0.2"/>
    <row r="366" s="21" customFormat="1" x14ac:dyDescent="0.2"/>
    <row r="367" s="21" customFormat="1" x14ac:dyDescent="0.2"/>
    <row r="368" s="21" customFormat="1" x14ac:dyDescent="0.2"/>
    <row r="369" s="21" customFormat="1" x14ac:dyDescent="0.2"/>
    <row r="370" s="21" customFormat="1" x14ac:dyDescent="0.2"/>
    <row r="371" s="21" customFormat="1" x14ac:dyDescent="0.2"/>
    <row r="372" s="21" customFormat="1" x14ac:dyDescent="0.2"/>
    <row r="373" s="21" customFormat="1" x14ac:dyDescent="0.2"/>
    <row r="374" s="21" customFormat="1" x14ac:dyDescent="0.2"/>
    <row r="375" s="21" customFormat="1" x14ac:dyDescent="0.2"/>
    <row r="376" s="21" customFormat="1" x14ac:dyDescent="0.2"/>
    <row r="377" s="21" customFormat="1" x14ac:dyDescent="0.2"/>
    <row r="378" s="21" customFormat="1" x14ac:dyDescent="0.2"/>
    <row r="379" s="21" customFormat="1" x14ac:dyDescent="0.2"/>
    <row r="380" s="21" customFormat="1" x14ac:dyDescent="0.2"/>
    <row r="381" s="21" customFormat="1" x14ac:dyDescent="0.2"/>
    <row r="382" s="21" customFormat="1" x14ac:dyDescent="0.2"/>
    <row r="383" s="21" customFormat="1" x14ac:dyDescent="0.2"/>
    <row r="384" s="21" customFormat="1" x14ac:dyDescent="0.2"/>
    <row r="385" s="21" customFormat="1" x14ac:dyDescent="0.2"/>
    <row r="386" s="21" customFormat="1" x14ac:dyDescent="0.2"/>
    <row r="387" s="21" customFormat="1" x14ac:dyDescent="0.2"/>
    <row r="388" s="21" customFormat="1" x14ac:dyDescent="0.2"/>
    <row r="389" s="21" customFormat="1" x14ac:dyDescent="0.2"/>
    <row r="390" s="21" customFormat="1" x14ac:dyDescent="0.2"/>
    <row r="391" s="21" customFormat="1" x14ac:dyDescent="0.2"/>
    <row r="392" s="21" customFormat="1" x14ac:dyDescent="0.2"/>
    <row r="393" s="21" customFormat="1" x14ac:dyDescent="0.2"/>
    <row r="394" s="21" customFormat="1" x14ac:dyDescent="0.2"/>
    <row r="395" s="21" customFormat="1" x14ac:dyDescent="0.2"/>
    <row r="396" s="21" customFormat="1" x14ac:dyDescent="0.2"/>
    <row r="397" s="21" customFormat="1" x14ac:dyDescent="0.2"/>
    <row r="398" s="21" customFormat="1" x14ac:dyDescent="0.2"/>
    <row r="399" s="21" customFormat="1" x14ac:dyDescent="0.2"/>
    <row r="400" s="21" customFormat="1" x14ac:dyDescent="0.2"/>
    <row r="401" s="21" customFormat="1" x14ac:dyDescent="0.2"/>
    <row r="402" s="21" customFormat="1" x14ac:dyDescent="0.2"/>
    <row r="403" s="21" customFormat="1" x14ac:dyDescent="0.2"/>
    <row r="404" s="21" customFormat="1" x14ac:dyDescent="0.2"/>
    <row r="405" s="21" customFormat="1" x14ac:dyDescent="0.2"/>
    <row r="406" s="21" customFormat="1" x14ac:dyDescent="0.2"/>
    <row r="407" s="21" customFormat="1" x14ac:dyDescent="0.2"/>
    <row r="408" s="21" customFormat="1" x14ac:dyDescent="0.2"/>
    <row r="409" s="21" customFormat="1" x14ac:dyDescent="0.2"/>
    <row r="410" s="21" customFormat="1" x14ac:dyDescent="0.2"/>
    <row r="411" s="21" customFormat="1" x14ac:dyDescent="0.2"/>
    <row r="412" s="21" customFormat="1" x14ac:dyDescent="0.2"/>
    <row r="413" s="21" customFormat="1" x14ac:dyDescent="0.2"/>
    <row r="414" s="21" customFormat="1" x14ac:dyDescent="0.2"/>
    <row r="415" s="21" customFormat="1" x14ac:dyDescent="0.2"/>
    <row r="416" s="21" customFormat="1" x14ac:dyDescent="0.2"/>
    <row r="417" s="21" customFormat="1" x14ac:dyDescent="0.2"/>
    <row r="418" s="21" customFormat="1" x14ac:dyDescent="0.2"/>
    <row r="419" s="21" customFormat="1" x14ac:dyDescent="0.2"/>
    <row r="420" s="21" customFormat="1" x14ac:dyDescent="0.2"/>
    <row r="421" s="21" customFormat="1" x14ac:dyDescent="0.2"/>
  </sheetData>
  <mergeCells count="5">
    <mergeCell ref="C2:F2"/>
    <mergeCell ref="C68:D68"/>
    <mergeCell ref="F68:G68"/>
    <mergeCell ref="H67:K67"/>
    <mergeCell ref="L67:O67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3972D5-913B-FA4E-A0E0-739648D43AD4}">
  <sheetPr codeName="Sheet6"/>
  <dimension ref="A1:P15"/>
  <sheetViews>
    <sheetView zoomScaleNormal="100" workbookViewId="0">
      <selection activeCell="N18" sqref="N18"/>
    </sheetView>
  </sheetViews>
  <sheetFormatPr baseColWidth="10" defaultRowHeight="16" x14ac:dyDescent="0.2"/>
  <cols>
    <col min="1" max="1" width="27.1640625" customWidth="1"/>
    <col min="2" max="2" width="11.33203125" customWidth="1"/>
    <col min="3" max="3" width="14.33203125" customWidth="1"/>
  </cols>
  <sheetData>
    <row r="1" spans="1:16" x14ac:dyDescent="0.2">
      <c r="C1" s="17" t="s">
        <v>431</v>
      </c>
      <c r="D1" s="19"/>
      <c r="F1" s="17" t="s">
        <v>429</v>
      </c>
      <c r="G1" s="18"/>
      <c r="H1" s="19"/>
      <c r="J1" s="17"/>
      <c r="K1" s="18"/>
      <c r="L1" s="19"/>
      <c r="N1" s="17"/>
      <c r="O1" s="18"/>
      <c r="P1" s="19"/>
    </row>
    <row r="2" spans="1:16" ht="12.75" customHeight="1" x14ac:dyDescent="0.2">
      <c r="A2" s="17" t="s">
        <v>432</v>
      </c>
      <c r="B2" s="19"/>
      <c r="C2" s="135" t="s">
        <v>439</v>
      </c>
      <c r="D2" s="136" t="s">
        <v>149</v>
      </c>
      <c r="E2" s="112"/>
      <c r="F2" s="135" t="s">
        <v>433</v>
      </c>
      <c r="G2" s="135" t="s">
        <v>439</v>
      </c>
      <c r="H2" s="136" t="s">
        <v>149</v>
      </c>
      <c r="I2" s="112"/>
      <c r="J2" s="135" t="s">
        <v>434</v>
      </c>
      <c r="K2" s="135" t="s">
        <v>439</v>
      </c>
      <c r="L2" s="136" t="s">
        <v>149</v>
      </c>
      <c r="M2" s="112"/>
      <c r="N2" s="135" t="s">
        <v>435</v>
      </c>
      <c r="O2" s="135" t="s">
        <v>439</v>
      </c>
      <c r="P2" s="136" t="s">
        <v>149</v>
      </c>
    </row>
    <row r="3" spans="1:16" ht="12.75" customHeight="1" x14ac:dyDescent="0.2">
      <c r="A3" s="20" t="s">
        <v>467</v>
      </c>
      <c r="B3" s="111" t="s">
        <v>7</v>
      </c>
      <c r="C3" s="137">
        <v>3332</v>
      </c>
      <c r="D3" s="57"/>
      <c r="E3" s="90"/>
      <c r="F3" s="140">
        <v>0.13300000000000001</v>
      </c>
      <c r="G3" s="113">
        <v>1061</v>
      </c>
      <c r="H3" s="57"/>
      <c r="I3" s="90"/>
      <c r="J3" s="137">
        <v>2176</v>
      </c>
      <c r="K3" s="113">
        <v>75.8</v>
      </c>
      <c r="L3" s="57"/>
      <c r="M3" s="90"/>
      <c r="N3" s="137" t="s">
        <v>436</v>
      </c>
      <c r="O3" s="113">
        <v>494</v>
      </c>
      <c r="P3" s="57"/>
    </row>
    <row r="4" spans="1:16" ht="12.75" customHeight="1" x14ac:dyDescent="0.2">
      <c r="A4" s="20" t="s">
        <v>467</v>
      </c>
      <c r="B4" s="111" t="s">
        <v>104</v>
      </c>
      <c r="C4" s="137">
        <v>7612</v>
      </c>
      <c r="D4" s="57">
        <f>C4/C3</f>
        <v>2.284513805522209</v>
      </c>
      <c r="E4" s="90"/>
      <c r="F4" s="137" t="s">
        <v>437</v>
      </c>
      <c r="G4" s="113">
        <v>1225</v>
      </c>
      <c r="H4" s="57">
        <f>G4/G3</f>
        <v>1.1545711592836947</v>
      </c>
      <c r="I4" s="90"/>
      <c r="J4" s="137">
        <v>1225</v>
      </c>
      <c r="K4" s="113">
        <v>134</v>
      </c>
      <c r="L4" s="57">
        <f>K4/K3</f>
        <v>1.7678100263852243</v>
      </c>
      <c r="M4" s="90"/>
      <c r="N4" s="137" t="s">
        <v>438</v>
      </c>
      <c r="O4" s="113">
        <v>694</v>
      </c>
      <c r="P4" s="57">
        <f>O4/O3</f>
        <v>1.4048582995951417</v>
      </c>
    </row>
    <row r="5" spans="1:16" ht="12.75" customHeight="1" x14ac:dyDescent="0.2">
      <c r="A5" s="20" t="s">
        <v>189</v>
      </c>
      <c r="B5" s="10" t="s">
        <v>332</v>
      </c>
      <c r="C5" s="137">
        <v>3511</v>
      </c>
      <c r="D5" s="57"/>
      <c r="E5" s="90"/>
      <c r="F5" s="137" t="s">
        <v>440</v>
      </c>
      <c r="G5" s="113">
        <v>11963</v>
      </c>
      <c r="H5" s="57"/>
      <c r="I5" s="90"/>
      <c r="J5" s="137" t="s">
        <v>441</v>
      </c>
      <c r="K5" s="113">
        <v>399</v>
      </c>
      <c r="L5" s="57"/>
      <c r="M5" s="90"/>
      <c r="N5" s="137" t="s">
        <v>442</v>
      </c>
      <c r="O5" s="113">
        <v>477</v>
      </c>
      <c r="P5" s="57"/>
    </row>
    <row r="6" spans="1:16" ht="12.75" customHeight="1" x14ac:dyDescent="0.2">
      <c r="A6" s="20" t="s">
        <v>189</v>
      </c>
      <c r="B6" s="10" t="s">
        <v>104</v>
      </c>
      <c r="C6" s="137">
        <v>6926</v>
      </c>
      <c r="D6" s="57">
        <f>C6/C5</f>
        <v>1.972657362574765</v>
      </c>
      <c r="E6" s="90"/>
      <c r="F6" s="137" t="s">
        <v>443</v>
      </c>
      <c r="G6" s="113">
        <v>14383</v>
      </c>
      <c r="H6" s="57">
        <f>G6/G5</f>
        <v>1.2022903953857729</v>
      </c>
      <c r="I6" s="90"/>
      <c r="J6" s="137" t="s">
        <v>441</v>
      </c>
      <c r="K6" s="113">
        <v>445</v>
      </c>
      <c r="L6" s="57">
        <f>K6/K5</f>
        <v>1.1152882205513786</v>
      </c>
      <c r="M6" s="90"/>
      <c r="N6" s="137" t="s">
        <v>444</v>
      </c>
      <c r="O6" s="113">
        <v>540</v>
      </c>
      <c r="P6" s="57">
        <f>O6/O5</f>
        <v>1.1320754716981132</v>
      </c>
    </row>
    <row r="7" spans="1:16" ht="12.75" customHeight="1" x14ac:dyDescent="0.2">
      <c r="A7" s="20" t="s">
        <v>468</v>
      </c>
      <c r="B7" s="10" t="s">
        <v>7</v>
      </c>
      <c r="C7" s="137">
        <v>1086</v>
      </c>
      <c r="D7" s="57"/>
      <c r="E7" s="90"/>
      <c r="F7" s="137" t="s">
        <v>445</v>
      </c>
      <c r="G7" s="113">
        <v>1138</v>
      </c>
      <c r="H7" s="57"/>
      <c r="I7" s="90"/>
      <c r="J7" s="137" t="s">
        <v>446</v>
      </c>
      <c r="K7" s="113">
        <v>226</v>
      </c>
      <c r="L7" s="57"/>
      <c r="M7" s="90"/>
      <c r="N7" s="137" t="s">
        <v>447</v>
      </c>
      <c r="O7" s="113">
        <v>219</v>
      </c>
      <c r="P7" s="57"/>
    </row>
    <row r="8" spans="1:16" ht="12.75" customHeight="1" x14ac:dyDescent="0.2">
      <c r="A8" s="20" t="s">
        <v>468</v>
      </c>
      <c r="B8" s="10" t="s">
        <v>104</v>
      </c>
      <c r="C8" s="137">
        <v>2177</v>
      </c>
      <c r="D8" s="57">
        <f>C8/C7</f>
        <v>2.0046040515653774</v>
      </c>
      <c r="E8" s="90"/>
      <c r="F8" s="137" t="s">
        <v>448</v>
      </c>
      <c r="G8" s="113">
        <v>1591</v>
      </c>
      <c r="H8" s="57">
        <f>G8/G7</f>
        <v>1.398066783831283</v>
      </c>
      <c r="I8" s="90"/>
      <c r="J8" s="137" t="s">
        <v>449</v>
      </c>
      <c r="K8" s="113">
        <v>463</v>
      </c>
      <c r="L8" s="57">
        <f>K8/K7</f>
        <v>2.0486725663716814</v>
      </c>
      <c r="M8" s="90"/>
      <c r="N8" s="137" t="s">
        <v>450</v>
      </c>
      <c r="O8" s="113">
        <v>289</v>
      </c>
      <c r="P8" s="57">
        <f>O8/O7</f>
        <v>1.3196347031963471</v>
      </c>
    </row>
    <row r="9" spans="1:16" x14ac:dyDescent="0.2">
      <c r="A9" s="20" t="s">
        <v>470</v>
      </c>
      <c r="B9" s="10" t="s">
        <v>7</v>
      </c>
      <c r="C9" s="137">
        <v>2578</v>
      </c>
      <c r="D9" s="57"/>
      <c r="E9" s="90"/>
      <c r="F9" s="137" t="s">
        <v>451</v>
      </c>
      <c r="G9" s="113">
        <v>2549</v>
      </c>
      <c r="H9" s="57"/>
      <c r="I9" s="90"/>
      <c r="J9" s="137" t="s">
        <v>452</v>
      </c>
      <c r="K9" s="113">
        <v>920</v>
      </c>
      <c r="L9" s="57"/>
      <c r="M9" s="90"/>
      <c r="N9" s="137" t="s">
        <v>453</v>
      </c>
      <c r="O9" s="113">
        <v>528</v>
      </c>
      <c r="P9" s="57"/>
    </row>
    <row r="10" spans="1:16" x14ac:dyDescent="0.2">
      <c r="A10" s="20" t="s">
        <v>474</v>
      </c>
      <c r="B10" s="10" t="s">
        <v>104</v>
      </c>
      <c r="C10" s="137">
        <v>7049</v>
      </c>
      <c r="D10" s="57">
        <f>C10/C9</f>
        <v>2.7342901474010861</v>
      </c>
      <c r="E10" s="90"/>
      <c r="F10" s="137" t="s">
        <v>454</v>
      </c>
      <c r="G10" s="113">
        <v>1987</v>
      </c>
      <c r="H10" s="57">
        <f>G10/G9</f>
        <v>0.77952138093369949</v>
      </c>
      <c r="I10" s="90"/>
      <c r="J10" s="137" t="s">
        <v>455</v>
      </c>
      <c r="K10" s="113">
        <v>722</v>
      </c>
      <c r="L10" s="57">
        <f>K10/K9</f>
        <v>0.7847826086956522</v>
      </c>
      <c r="M10" s="90"/>
      <c r="N10" s="137" t="s">
        <v>456</v>
      </c>
      <c r="O10" s="113">
        <v>399</v>
      </c>
      <c r="P10" s="57">
        <f>O10/O9</f>
        <v>0.75568181818181823</v>
      </c>
    </row>
    <row r="11" spans="1:16" x14ac:dyDescent="0.2">
      <c r="A11" s="20" t="s">
        <v>469</v>
      </c>
      <c r="B11" s="10" t="s">
        <v>7</v>
      </c>
      <c r="C11" s="137">
        <v>6531</v>
      </c>
      <c r="D11" s="57"/>
      <c r="E11" s="90"/>
      <c r="F11" s="137" t="s">
        <v>457</v>
      </c>
      <c r="G11" s="113">
        <v>1853</v>
      </c>
      <c r="H11" s="57"/>
      <c r="I11" s="90"/>
      <c r="J11" s="137" t="s">
        <v>458</v>
      </c>
      <c r="K11" s="113">
        <v>436</v>
      </c>
      <c r="L11" s="57"/>
      <c r="M11" s="90"/>
      <c r="N11" s="137" t="s">
        <v>459</v>
      </c>
      <c r="O11" s="113">
        <v>1163</v>
      </c>
      <c r="P11" s="57"/>
    </row>
    <row r="12" spans="1:16" x14ac:dyDescent="0.2">
      <c r="A12" s="20" t="s">
        <v>471</v>
      </c>
      <c r="B12" s="10" t="s">
        <v>104</v>
      </c>
      <c r="C12" s="137">
        <v>13575</v>
      </c>
      <c r="D12" s="57">
        <f>C12/C11</f>
        <v>2.0785484611851173</v>
      </c>
      <c r="E12" s="90"/>
      <c r="F12" s="137" t="s">
        <v>460</v>
      </c>
      <c r="G12" s="113">
        <v>1636</v>
      </c>
      <c r="H12" s="57">
        <f>G12/G11</f>
        <v>0.88289260658391799</v>
      </c>
      <c r="I12" s="90"/>
      <c r="J12" s="137" t="s">
        <v>461</v>
      </c>
      <c r="K12" s="113">
        <v>367</v>
      </c>
      <c r="L12" s="57">
        <f>K12/K11</f>
        <v>0.84174311926605505</v>
      </c>
      <c r="M12" s="90"/>
      <c r="N12" s="137" t="s">
        <v>462</v>
      </c>
      <c r="O12" s="113">
        <v>1846</v>
      </c>
      <c r="P12" s="57">
        <f>O12/O11</f>
        <v>1.5872742906276871</v>
      </c>
    </row>
    <row r="13" spans="1:16" x14ac:dyDescent="0.2">
      <c r="A13" s="20" t="s">
        <v>472</v>
      </c>
      <c r="B13" s="10" t="s">
        <v>7</v>
      </c>
      <c r="C13" s="137">
        <v>5370</v>
      </c>
      <c r="D13" s="57"/>
      <c r="E13" s="90"/>
      <c r="F13" s="137" t="s">
        <v>457</v>
      </c>
      <c r="G13" s="113">
        <v>3420</v>
      </c>
      <c r="H13" s="57"/>
      <c r="I13" s="90"/>
      <c r="J13" s="137" t="s">
        <v>463</v>
      </c>
      <c r="K13" s="113">
        <v>558</v>
      </c>
      <c r="L13" s="57"/>
      <c r="M13" s="90"/>
      <c r="N13" s="137" t="s">
        <v>464</v>
      </c>
      <c r="O13" s="113">
        <v>1991</v>
      </c>
      <c r="P13" s="57"/>
    </row>
    <row r="14" spans="1:16" x14ac:dyDescent="0.2">
      <c r="A14" s="28" t="s">
        <v>473</v>
      </c>
      <c r="B14" s="11" t="s">
        <v>104</v>
      </c>
      <c r="C14" s="138">
        <v>15241</v>
      </c>
      <c r="D14" s="139">
        <f>C14/C$13</f>
        <v>2.8381750465549347</v>
      </c>
      <c r="E14" s="90"/>
      <c r="F14" s="138" t="s">
        <v>465</v>
      </c>
      <c r="G14" s="141">
        <v>6028</v>
      </c>
      <c r="H14" s="139">
        <f>G14/G$13</f>
        <v>1.7625730994152047</v>
      </c>
      <c r="I14" s="90"/>
      <c r="J14" s="138" t="s">
        <v>458</v>
      </c>
      <c r="K14" s="141">
        <v>619</v>
      </c>
      <c r="L14" s="139">
        <f>K14/K$13</f>
        <v>1.1093189964157706</v>
      </c>
      <c r="M14" s="90"/>
      <c r="N14" s="138" t="s">
        <v>466</v>
      </c>
      <c r="O14" s="141">
        <v>1808</v>
      </c>
      <c r="P14" s="139">
        <f>O14/O$13</f>
        <v>0.9080863887493722</v>
      </c>
    </row>
    <row r="15" spans="1:16" x14ac:dyDescent="0.2">
      <c r="C15" s="90"/>
      <c r="D15" s="90"/>
      <c r="E15" s="90"/>
      <c r="F15" s="90"/>
      <c r="G15" s="90"/>
      <c r="H15" s="90"/>
      <c r="I15" s="90"/>
      <c r="J15" s="90"/>
      <c r="K15" s="90"/>
      <c r="L15" s="90"/>
      <c r="M15" s="90"/>
      <c r="N15" s="90"/>
      <c r="O15" s="90"/>
      <c r="P15" s="90"/>
    </row>
  </sheetData>
  <phoneticPr fontId="22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B3043-5724-0D45-8CB8-486984D87944}">
  <sheetPr codeName="Sheet7"/>
  <dimension ref="A2:S135"/>
  <sheetViews>
    <sheetView workbookViewId="0">
      <selection activeCell="V11" sqref="V11"/>
    </sheetView>
  </sheetViews>
  <sheetFormatPr baseColWidth="10" defaultRowHeight="16" x14ac:dyDescent="0.2"/>
  <cols>
    <col min="10" max="10" width="10.83203125" style="10"/>
  </cols>
  <sheetData>
    <row r="2" spans="1:19" x14ac:dyDescent="0.2">
      <c r="C2" t="s">
        <v>497</v>
      </c>
      <c r="K2" t="s">
        <v>1253</v>
      </c>
    </row>
    <row r="3" spans="1:19" x14ac:dyDescent="0.2">
      <c r="A3" t="s">
        <v>96</v>
      </c>
      <c r="B3" t="s">
        <v>475</v>
      </c>
      <c r="C3" s="88" t="s">
        <v>101</v>
      </c>
      <c r="D3" s="88" t="s">
        <v>102</v>
      </c>
      <c r="E3" s="88" t="s">
        <v>100</v>
      </c>
      <c r="F3" s="88" t="s">
        <v>99</v>
      </c>
      <c r="G3" s="88" t="s">
        <v>98</v>
      </c>
      <c r="H3" s="88" t="s">
        <v>17</v>
      </c>
      <c r="I3" s="88" t="s">
        <v>15</v>
      </c>
      <c r="J3" s="148" t="s">
        <v>10</v>
      </c>
      <c r="K3" s="88" t="s">
        <v>101</v>
      </c>
      <c r="L3" s="88" t="s">
        <v>102</v>
      </c>
      <c r="M3" s="88" t="s">
        <v>100</v>
      </c>
      <c r="N3" s="88" t="s">
        <v>99</v>
      </c>
      <c r="O3" s="88" t="s">
        <v>98</v>
      </c>
      <c r="P3" s="88" t="s">
        <v>17</v>
      </c>
      <c r="Q3" s="88" t="s">
        <v>15</v>
      </c>
      <c r="R3" s="88" t="s">
        <v>10</v>
      </c>
      <c r="S3" s="88" t="s">
        <v>476</v>
      </c>
    </row>
    <row r="4" spans="1:19" x14ac:dyDescent="0.2">
      <c r="A4">
        <v>3</v>
      </c>
      <c r="B4" t="s">
        <v>477</v>
      </c>
      <c r="C4" s="119">
        <v>1</v>
      </c>
      <c r="D4" s="119">
        <v>1</v>
      </c>
      <c r="E4" s="119">
        <v>1</v>
      </c>
      <c r="F4" s="64">
        <v>1</v>
      </c>
      <c r="G4" s="64">
        <v>1</v>
      </c>
      <c r="H4" s="64">
        <v>1</v>
      </c>
      <c r="I4" s="64">
        <v>1</v>
      </c>
      <c r="J4" s="72">
        <v>1</v>
      </c>
      <c r="K4">
        <f>LOG(C4)</f>
        <v>0</v>
      </c>
      <c r="L4">
        <f t="shared" ref="L4:R19" si="0">LOG(D4)</f>
        <v>0</v>
      </c>
      <c r="M4">
        <f t="shared" si="0"/>
        <v>0</v>
      </c>
      <c r="N4">
        <f t="shared" si="0"/>
        <v>0</v>
      </c>
      <c r="O4">
        <f t="shared" si="0"/>
        <v>0</v>
      </c>
      <c r="P4">
        <f t="shared" si="0"/>
        <v>0</v>
      </c>
      <c r="Q4">
        <f t="shared" si="0"/>
        <v>0</v>
      </c>
      <c r="R4">
        <f t="shared" si="0"/>
        <v>0</v>
      </c>
      <c r="S4">
        <f>SUM(K4:R4)</f>
        <v>0</v>
      </c>
    </row>
    <row r="5" spans="1:19" x14ac:dyDescent="0.2">
      <c r="A5">
        <v>5</v>
      </c>
      <c r="B5" t="s">
        <v>477</v>
      </c>
      <c r="C5" s="119">
        <v>1</v>
      </c>
      <c r="D5" s="119">
        <v>1</v>
      </c>
      <c r="E5" s="64">
        <v>1</v>
      </c>
      <c r="F5" s="119">
        <v>1</v>
      </c>
      <c r="G5" s="119">
        <v>1</v>
      </c>
      <c r="H5" s="119">
        <v>1</v>
      </c>
      <c r="I5" s="64">
        <v>1</v>
      </c>
      <c r="J5" s="149">
        <v>1</v>
      </c>
      <c r="K5">
        <f t="shared" ref="K5:K12" si="1">LOG(C5)</f>
        <v>0</v>
      </c>
      <c r="L5">
        <f t="shared" si="0"/>
        <v>0</v>
      </c>
      <c r="M5">
        <f t="shared" si="0"/>
        <v>0</v>
      </c>
      <c r="N5">
        <f t="shared" si="0"/>
        <v>0</v>
      </c>
      <c r="O5">
        <f t="shared" si="0"/>
        <v>0</v>
      </c>
      <c r="P5">
        <f t="shared" si="0"/>
        <v>0</v>
      </c>
      <c r="Q5">
        <f t="shared" si="0"/>
        <v>0</v>
      </c>
      <c r="R5">
        <f t="shared" si="0"/>
        <v>0</v>
      </c>
      <c r="S5">
        <f t="shared" ref="S5:S68" si="2">SUM(K5:R5)</f>
        <v>0</v>
      </c>
    </row>
    <row r="6" spans="1:19" x14ac:dyDescent="0.2">
      <c r="A6" s="142">
        <v>7</v>
      </c>
      <c r="B6" t="s">
        <v>477</v>
      </c>
      <c r="C6" s="119">
        <v>1</v>
      </c>
      <c r="D6" s="64">
        <v>1</v>
      </c>
      <c r="E6" s="119">
        <v>1</v>
      </c>
      <c r="F6" s="119">
        <v>1</v>
      </c>
      <c r="G6" s="64">
        <v>1</v>
      </c>
      <c r="H6" s="119">
        <v>1</v>
      </c>
      <c r="I6" s="64">
        <v>1</v>
      </c>
      <c r="J6" s="72">
        <v>1</v>
      </c>
      <c r="K6">
        <f t="shared" si="1"/>
        <v>0</v>
      </c>
      <c r="L6">
        <f t="shared" si="0"/>
        <v>0</v>
      </c>
      <c r="M6">
        <f t="shared" si="0"/>
        <v>0</v>
      </c>
      <c r="N6">
        <f t="shared" si="0"/>
        <v>0</v>
      </c>
      <c r="O6">
        <f t="shared" si="0"/>
        <v>0</v>
      </c>
      <c r="P6">
        <f t="shared" si="0"/>
        <v>0</v>
      </c>
      <c r="Q6">
        <f t="shared" si="0"/>
        <v>0</v>
      </c>
      <c r="R6">
        <f t="shared" si="0"/>
        <v>0</v>
      </c>
      <c r="S6">
        <f t="shared" si="2"/>
        <v>0</v>
      </c>
    </row>
    <row r="7" spans="1:19" x14ac:dyDescent="0.2">
      <c r="A7">
        <v>8</v>
      </c>
      <c r="B7" t="s">
        <v>477</v>
      </c>
      <c r="C7" s="119">
        <v>1</v>
      </c>
      <c r="D7" s="119">
        <v>1</v>
      </c>
      <c r="E7" s="64">
        <v>1</v>
      </c>
      <c r="F7" s="64">
        <v>1</v>
      </c>
      <c r="G7" s="64">
        <v>1</v>
      </c>
      <c r="H7" s="64">
        <v>1</v>
      </c>
      <c r="I7" s="64">
        <v>1</v>
      </c>
      <c r="J7" s="72">
        <v>1</v>
      </c>
      <c r="K7">
        <f t="shared" si="1"/>
        <v>0</v>
      </c>
      <c r="L7">
        <f t="shared" si="0"/>
        <v>0</v>
      </c>
      <c r="M7">
        <f t="shared" si="0"/>
        <v>0</v>
      </c>
      <c r="N7">
        <f t="shared" si="0"/>
        <v>0</v>
      </c>
      <c r="O7">
        <f t="shared" si="0"/>
        <v>0</v>
      </c>
      <c r="P7">
        <f t="shared" si="0"/>
        <v>0</v>
      </c>
      <c r="Q7">
        <f t="shared" si="0"/>
        <v>0</v>
      </c>
      <c r="R7">
        <f t="shared" si="0"/>
        <v>0</v>
      </c>
      <c r="S7">
        <f t="shared" si="2"/>
        <v>0</v>
      </c>
    </row>
    <row r="8" spans="1:19" x14ac:dyDescent="0.2">
      <c r="A8" s="142">
        <v>9</v>
      </c>
      <c r="B8" t="s">
        <v>477</v>
      </c>
      <c r="C8" s="119">
        <v>1</v>
      </c>
      <c r="D8" s="64">
        <v>1</v>
      </c>
      <c r="E8" s="119">
        <v>1</v>
      </c>
      <c r="F8" s="64">
        <v>1</v>
      </c>
      <c r="G8" s="64">
        <v>1</v>
      </c>
      <c r="H8" s="64">
        <v>1</v>
      </c>
      <c r="I8" s="64">
        <v>1</v>
      </c>
      <c r="J8" s="72">
        <v>1</v>
      </c>
      <c r="K8">
        <f t="shared" si="1"/>
        <v>0</v>
      </c>
      <c r="L8">
        <f t="shared" si="0"/>
        <v>0</v>
      </c>
      <c r="M8">
        <f t="shared" si="0"/>
        <v>0</v>
      </c>
      <c r="N8">
        <f t="shared" si="0"/>
        <v>0</v>
      </c>
      <c r="O8">
        <f t="shared" si="0"/>
        <v>0</v>
      </c>
      <c r="P8">
        <f t="shared" si="0"/>
        <v>0</v>
      </c>
      <c r="Q8">
        <f t="shared" si="0"/>
        <v>0</v>
      </c>
      <c r="R8">
        <f t="shared" si="0"/>
        <v>0</v>
      </c>
      <c r="S8">
        <f t="shared" si="2"/>
        <v>0</v>
      </c>
    </row>
    <row r="9" spans="1:19" x14ac:dyDescent="0.2">
      <c r="A9" s="142">
        <v>12</v>
      </c>
      <c r="B9" t="s">
        <v>477</v>
      </c>
      <c r="C9" s="119">
        <v>1</v>
      </c>
      <c r="D9" s="119">
        <v>1</v>
      </c>
      <c r="E9" s="119">
        <v>1</v>
      </c>
      <c r="F9" s="119">
        <v>1</v>
      </c>
      <c r="G9" s="119">
        <v>1</v>
      </c>
      <c r="H9" s="119">
        <v>1</v>
      </c>
      <c r="I9" s="64">
        <v>1</v>
      </c>
      <c r="J9" s="149">
        <v>1</v>
      </c>
      <c r="K9">
        <f t="shared" si="1"/>
        <v>0</v>
      </c>
      <c r="L9">
        <f t="shared" si="0"/>
        <v>0</v>
      </c>
      <c r="M9">
        <f t="shared" si="0"/>
        <v>0</v>
      </c>
      <c r="N9">
        <f t="shared" si="0"/>
        <v>0</v>
      </c>
      <c r="O9">
        <f t="shared" si="0"/>
        <v>0</v>
      </c>
      <c r="P9">
        <f t="shared" si="0"/>
        <v>0</v>
      </c>
      <c r="Q9">
        <f t="shared" si="0"/>
        <v>0</v>
      </c>
      <c r="R9">
        <f t="shared" si="0"/>
        <v>0</v>
      </c>
      <c r="S9">
        <f t="shared" si="2"/>
        <v>0</v>
      </c>
    </row>
    <row r="10" spans="1:19" x14ac:dyDescent="0.2">
      <c r="A10">
        <v>19</v>
      </c>
      <c r="B10" t="s">
        <v>477</v>
      </c>
      <c r="C10" s="119">
        <v>1</v>
      </c>
      <c r="D10" s="64">
        <v>1</v>
      </c>
      <c r="E10" s="64">
        <v>1</v>
      </c>
      <c r="F10" s="64">
        <v>1</v>
      </c>
      <c r="G10" s="119">
        <v>1</v>
      </c>
      <c r="H10" s="119">
        <v>1</v>
      </c>
      <c r="I10" s="64">
        <v>1</v>
      </c>
      <c r="J10" s="72">
        <v>1</v>
      </c>
      <c r="K10">
        <f t="shared" si="1"/>
        <v>0</v>
      </c>
      <c r="L10">
        <f t="shared" si="0"/>
        <v>0</v>
      </c>
      <c r="M10">
        <f t="shared" si="0"/>
        <v>0</v>
      </c>
      <c r="N10">
        <f t="shared" si="0"/>
        <v>0</v>
      </c>
      <c r="O10">
        <f t="shared" si="0"/>
        <v>0</v>
      </c>
      <c r="P10">
        <f t="shared" si="0"/>
        <v>0</v>
      </c>
      <c r="Q10">
        <f t="shared" si="0"/>
        <v>0</v>
      </c>
      <c r="R10">
        <f t="shared" si="0"/>
        <v>0</v>
      </c>
      <c r="S10">
        <f t="shared" si="2"/>
        <v>0</v>
      </c>
    </row>
    <row r="11" spans="1:19" x14ac:dyDescent="0.2">
      <c r="A11">
        <v>20</v>
      </c>
      <c r="B11" t="s">
        <v>477</v>
      </c>
      <c r="C11" s="64">
        <v>1</v>
      </c>
      <c r="D11" s="64">
        <v>1</v>
      </c>
      <c r="E11" s="64">
        <v>1</v>
      </c>
      <c r="F11" s="118">
        <v>1</v>
      </c>
      <c r="G11" s="64">
        <v>1</v>
      </c>
      <c r="H11" s="64">
        <v>1</v>
      </c>
      <c r="I11" s="64">
        <v>1</v>
      </c>
      <c r="J11" s="72">
        <v>1</v>
      </c>
      <c r="K11">
        <f t="shared" si="1"/>
        <v>0</v>
      </c>
      <c r="L11">
        <f t="shared" si="0"/>
        <v>0</v>
      </c>
      <c r="M11">
        <f t="shared" si="0"/>
        <v>0</v>
      </c>
      <c r="N11">
        <f t="shared" si="0"/>
        <v>0</v>
      </c>
      <c r="O11">
        <f t="shared" si="0"/>
        <v>0</v>
      </c>
      <c r="P11">
        <f t="shared" si="0"/>
        <v>0</v>
      </c>
      <c r="Q11">
        <f t="shared" si="0"/>
        <v>0</v>
      </c>
      <c r="R11">
        <f t="shared" si="0"/>
        <v>0</v>
      </c>
      <c r="S11">
        <f t="shared" si="2"/>
        <v>0</v>
      </c>
    </row>
    <row r="12" spans="1:19" x14ac:dyDescent="0.2">
      <c r="A12" s="143">
        <v>21</v>
      </c>
      <c r="B12" s="26" t="s">
        <v>477</v>
      </c>
      <c r="C12" s="144">
        <v>1</v>
      </c>
      <c r="D12" s="144">
        <v>1</v>
      </c>
      <c r="E12" s="144">
        <v>1</v>
      </c>
      <c r="F12" s="145">
        <v>1</v>
      </c>
      <c r="G12" s="144">
        <v>1</v>
      </c>
      <c r="H12" s="144">
        <v>1</v>
      </c>
      <c r="I12" s="144">
        <v>1</v>
      </c>
      <c r="J12" s="150">
        <v>1</v>
      </c>
      <c r="K12">
        <f t="shared" si="1"/>
        <v>0</v>
      </c>
      <c r="L12">
        <f t="shared" si="0"/>
        <v>0</v>
      </c>
      <c r="M12">
        <f t="shared" si="0"/>
        <v>0</v>
      </c>
      <c r="N12">
        <f t="shared" si="0"/>
        <v>0</v>
      </c>
      <c r="O12">
        <f t="shared" si="0"/>
        <v>0</v>
      </c>
      <c r="P12">
        <f t="shared" si="0"/>
        <v>0</v>
      </c>
      <c r="Q12">
        <f t="shared" si="0"/>
        <v>0</v>
      </c>
      <c r="R12">
        <f t="shared" si="0"/>
        <v>0</v>
      </c>
      <c r="S12">
        <f t="shared" si="2"/>
        <v>0</v>
      </c>
    </row>
    <row r="13" spans="1:19" x14ac:dyDescent="0.2">
      <c r="A13">
        <v>3</v>
      </c>
      <c r="B13" t="s">
        <v>478</v>
      </c>
      <c r="C13" s="119">
        <v>1</v>
      </c>
      <c r="D13" s="64">
        <v>3.5362318840579716</v>
      </c>
      <c r="E13" s="119">
        <v>1</v>
      </c>
      <c r="F13" s="64">
        <v>4.8532423208191124</v>
      </c>
      <c r="G13" s="64">
        <v>5.0210003818251243</v>
      </c>
      <c r="H13" s="64">
        <v>0.93555423359111645</v>
      </c>
      <c r="I13" s="64">
        <v>1.1518439621887897</v>
      </c>
      <c r="J13" s="72">
        <v>1.5412701925204693</v>
      </c>
      <c r="K13" s="18">
        <f>LOG(C13)</f>
        <v>0</v>
      </c>
      <c r="L13" s="18">
        <f t="shared" si="0"/>
        <v>0.54854073560147421</v>
      </c>
      <c r="M13" s="18">
        <f t="shared" si="0"/>
        <v>0</v>
      </c>
      <c r="N13" s="18">
        <f t="shared" si="0"/>
        <v>0.68603197603963806</v>
      </c>
      <c r="O13" s="18">
        <f t="shared" si="0"/>
        <v>0.70079025440054454</v>
      </c>
      <c r="P13" s="18">
        <f t="shared" si="0"/>
        <v>-2.8931031609556752E-2</v>
      </c>
      <c r="Q13" s="18">
        <f t="shared" si="0"/>
        <v>6.1393650137322758E-2</v>
      </c>
      <c r="R13" s="18">
        <f t="shared" si="0"/>
        <v>0.18787877942878056</v>
      </c>
      <c r="S13">
        <f t="shared" si="2"/>
        <v>2.1557043639982032</v>
      </c>
    </row>
    <row r="14" spans="1:19" x14ac:dyDescent="0.2">
      <c r="A14">
        <v>5</v>
      </c>
      <c r="B14" t="s">
        <v>478</v>
      </c>
      <c r="C14" s="119">
        <v>1</v>
      </c>
      <c r="D14" s="119">
        <v>1</v>
      </c>
      <c r="E14" s="64">
        <v>1.6195652173913042</v>
      </c>
      <c r="F14" s="119">
        <v>1</v>
      </c>
      <c r="G14" s="64">
        <v>1.838095238095238</v>
      </c>
      <c r="H14" s="64">
        <v>1.0340909090909092</v>
      </c>
      <c r="I14" s="64">
        <v>2.051643192488263</v>
      </c>
      <c r="J14" s="149">
        <v>1</v>
      </c>
      <c r="K14">
        <f t="shared" ref="K14:R29" si="3">LOG(C14)</f>
        <v>0</v>
      </c>
      <c r="L14">
        <f t="shared" si="0"/>
        <v>0</v>
      </c>
      <c r="M14">
        <f t="shared" si="0"/>
        <v>0.20939844106671873</v>
      </c>
      <c r="N14">
        <f t="shared" si="0"/>
        <v>0</v>
      </c>
      <c r="O14">
        <f t="shared" si="0"/>
        <v>0.26436800993783566</v>
      </c>
      <c r="P14">
        <f t="shared" si="0"/>
        <v>1.4558720170925007E-2</v>
      </c>
      <c r="Q14">
        <f t="shared" si="0"/>
        <v>0.31210183353168414</v>
      </c>
      <c r="R14">
        <f t="shared" si="0"/>
        <v>0</v>
      </c>
      <c r="S14">
        <f t="shared" si="2"/>
        <v>0.80042700470716355</v>
      </c>
    </row>
    <row r="15" spans="1:19" x14ac:dyDescent="0.2">
      <c r="A15" s="142">
        <v>7</v>
      </c>
      <c r="B15" t="s">
        <v>478</v>
      </c>
      <c r="C15" s="64">
        <v>1.1470588235294117</v>
      </c>
      <c r="D15" s="64">
        <v>1.102409638554217</v>
      </c>
      <c r="E15" s="119">
        <v>1</v>
      </c>
      <c r="F15" s="64">
        <v>34.225961538461533</v>
      </c>
      <c r="G15" s="64">
        <v>0.236438679245283</v>
      </c>
      <c r="H15" s="119">
        <v>1</v>
      </c>
      <c r="I15" s="64">
        <v>1.3660323501427212</v>
      </c>
      <c r="J15" s="72">
        <v>1.6855670103092784</v>
      </c>
      <c r="K15">
        <f t="shared" si="3"/>
        <v>5.9585689984244052E-2</v>
      </c>
      <c r="L15">
        <f t="shared" si="0"/>
        <v>4.2343001690374436E-2</v>
      </c>
      <c r="M15">
        <f t="shared" si="0"/>
        <v>0</v>
      </c>
      <c r="N15">
        <f t="shared" si="0"/>
        <v>1.5343556579742399</v>
      </c>
      <c r="O15">
        <f t="shared" si="0"/>
        <v>-0.6262814753005127</v>
      </c>
      <c r="P15">
        <f t="shared" si="0"/>
        <v>0</v>
      </c>
      <c r="Q15">
        <f t="shared" si="0"/>
        <v>0.13546098435438089</v>
      </c>
      <c r="R15">
        <f t="shared" si="0"/>
        <v>0.22674602273006003</v>
      </c>
      <c r="S15">
        <f t="shared" si="2"/>
        <v>1.3722098814327865</v>
      </c>
    </row>
    <row r="16" spans="1:19" x14ac:dyDescent="0.2">
      <c r="A16">
        <v>8</v>
      </c>
      <c r="B16" t="s">
        <v>478</v>
      </c>
      <c r="C16" s="64">
        <v>6.3205479452054796</v>
      </c>
      <c r="D16" s="64">
        <v>4.9047619047619051</v>
      </c>
      <c r="E16" s="64">
        <v>1.5246913580246915</v>
      </c>
      <c r="F16" s="64">
        <v>157.70572916666669</v>
      </c>
      <c r="G16" s="64">
        <v>3.8181818181818179</v>
      </c>
      <c r="H16" s="64">
        <v>0.8719806763285024</v>
      </c>
      <c r="I16" s="64">
        <v>1.1926267281105991</v>
      </c>
      <c r="J16" s="72">
        <v>2.1743638077285583</v>
      </c>
      <c r="K16">
        <f t="shared" si="3"/>
        <v>0.80075473006461872</v>
      </c>
      <c r="L16">
        <f t="shared" si="0"/>
        <v>0.69061792997125293</v>
      </c>
      <c r="M16">
        <f t="shared" si="0"/>
        <v>0.18318193871703481</v>
      </c>
      <c r="N16">
        <f t="shared" si="0"/>
        <v>2.1978474707561304</v>
      </c>
      <c r="O16">
        <f t="shared" si="0"/>
        <v>0.58185660523967542</v>
      </c>
      <c r="P16">
        <f t="shared" si="0"/>
        <v>-5.9493139215241034E-2</v>
      </c>
      <c r="Q16">
        <f t="shared" si="0"/>
        <v>7.650453814813328E-2</v>
      </c>
      <c r="R16">
        <f t="shared" si="0"/>
        <v>0.33733221061975288</v>
      </c>
      <c r="S16">
        <f t="shared" si="2"/>
        <v>4.8086022843013572</v>
      </c>
    </row>
    <row r="17" spans="1:19" x14ac:dyDescent="0.2">
      <c r="A17" s="142">
        <v>9</v>
      </c>
      <c r="B17" t="s">
        <v>478</v>
      </c>
      <c r="C17" s="64">
        <v>2.2279411764705879</v>
      </c>
      <c r="D17" s="64">
        <v>1.06</v>
      </c>
      <c r="E17" s="119">
        <v>1</v>
      </c>
      <c r="F17" s="64">
        <v>65.199233716475092</v>
      </c>
      <c r="G17" s="64">
        <v>2.3399943310657596</v>
      </c>
      <c r="H17" s="64">
        <v>0.97789191603394365</v>
      </c>
      <c r="I17" s="64">
        <v>1.5082944218040715</v>
      </c>
      <c r="J17" s="72">
        <v>1.0848416289592759</v>
      </c>
      <c r="K17">
        <f t="shared" si="3"/>
        <v>0.34790372013208742</v>
      </c>
      <c r="L17">
        <f t="shared" si="0"/>
        <v>2.5305865264770262E-2</v>
      </c>
      <c r="M17">
        <f t="shared" si="0"/>
        <v>0</v>
      </c>
      <c r="N17">
        <f t="shared" si="0"/>
        <v>1.8142424915193116</v>
      </c>
      <c r="O17">
        <f t="shared" si="0"/>
        <v>0.36921480527773209</v>
      </c>
      <c r="P17">
        <f t="shared" si="0"/>
        <v>-9.7091440508859685E-3</v>
      </c>
      <c r="Q17">
        <f t="shared" si="0"/>
        <v>0.17848612487873777</v>
      </c>
      <c r="R17">
        <f t="shared" si="0"/>
        <v>3.5366342157590477E-2</v>
      </c>
      <c r="S17">
        <f t="shared" si="2"/>
        <v>2.7608102051793439</v>
      </c>
    </row>
    <row r="18" spans="1:19" x14ac:dyDescent="0.2">
      <c r="A18" s="142">
        <v>12</v>
      </c>
      <c r="B18" t="s">
        <v>478</v>
      </c>
      <c r="C18" s="119">
        <v>1</v>
      </c>
      <c r="D18" s="119">
        <v>1</v>
      </c>
      <c r="E18" s="119">
        <v>1</v>
      </c>
      <c r="F18" s="119">
        <v>1</v>
      </c>
      <c r="G18" s="119">
        <v>1</v>
      </c>
      <c r="H18" s="119">
        <v>1</v>
      </c>
      <c r="I18" s="64">
        <v>3.7312390924956365</v>
      </c>
      <c r="J18" s="149">
        <v>1</v>
      </c>
      <c r="K18">
        <f t="shared" si="3"/>
        <v>0</v>
      </c>
      <c r="L18">
        <f t="shared" si="0"/>
        <v>0</v>
      </c>
      <c r="M18">
        <f t="shared" si="0"/>
        <v>0</v>
      </c>
      <c r="N18">
        <f t="shared" si="0"/>
        <v>0</v>
      </c>
      <c r="O18">
        <f t="shared" si="0"/>
        <v>0</v>
      </c>
      <c r="P18">
        <f t="shared" si="0"/>
        <v>0</v>
      </c>
      <c r="Q18">
        <f t="shared" si="0"/>
        <v>0.57185307890536918</v>
      </c>
      <c r="R18">
        <f t="shared" si="0"/>
        <v>0</v>
      </c>
      <c r="S18">
        <f t="shared" si="2"/>
        <v>0.57185307890536918</v>
      </c>
    </row>
    <row r="19" spans="1:19" x14ac:dyDescent="0.2">
      <c r="A19">
        <v>19</v>
      </c>
      <c r="B19" t="s">
        <v>478</v>
      </c>
      <c r="C19" s="64">
        <v>1.0706806282722514</v>
      </c>
      <c r="D19" s="64">
        <v>3.2619047619047623</v>
      </c>
      <c r="E19" s="64">
        <v>1.4859154929577465</v>
      </c>
      <c r="F19" s="64">
        <v>23.739897698209717</v>
      </c>
      <c r="G19" s="119">
        <v>1</v>
      </c>
      <c r="H19" s="119">
        <v>1</v>
      </c>
      <c r="I19" s="64">
        <v>1.1800355871886119</v>
      </c>
      <c r="J19" s="72">
        <v>1.2601491300745651</v>
      </c>
      <c r="K19">
        <f t="shared" si="3"/>
        <v>2.9659945095633113E-2</v>
      </c>
      <c r="L19">
        <f t="shared" si="0"/>
        <v>0.51347127675850635</v>
      </c>
      <c r="M19">
        <f t="shared" si="0"/>
        <v>0.17199411091463618</v>
      </c>
      <c r="N19">
        <f t="shared" si="0"/>
        <v>1.3754788431274714</v>
      </c>
      <c r="O19">
        <f t="shared" si="0"/>
        <v>0</v>
      </c>
      <c r="P19">
        <f t="shared" si="0"/>
        <v>0</v>
      </c>
      <c r="Q19">
        <f t="shared" si="0"/>
        <v>7.1895104837133531E-2</v>
      </c>
      <c r="R19">
        <f t="shared" si="0"/>
        <v>0.10042194395564921</v>
      </c>
      <c r="S19">
        <f t="shared" si="2"/>
        <v>2.2629212246890296</v>
      </c>
    </row>
    <row r="20" spans="1:19" x14ac:dyDescent="0.2">
      <c r="A20">
        <v>20</v>
      </c>
      <c r="B20" t="s">
        <v>478</v>
      </c>
      <c r="C20" s="64">
        <v>2.6212121212121211</v>
      </c>
      <c r="D20" s="64">
        <v>1.5105263157894737</v>
      </c>
      <c r="E20" s="64">
        <v>0.96816976127320953</v>
      </c>
      <c r="F20" s="118">
        <v>1</v>
      </c>
      <c r="G20" s="64">
        <v>2.8306942752740554</v>
      </c>
      <c r="H20" s="64">
        <v>1.0375586854460095</v>
      </c>
      <c r="I20" s="64">
        <v>2.4524530587522713</v>
      </c>
      <c r="J20" s="72">
        <v>1.4690721649484537</v>
      </c>
      <c r="K20">
        <f t="shared" si="3"/>
        <v>0.41850216758692671</v>
      </c>
      <c r="L20">
        <f t="shared" si="3"/>
        <v>0.17912829578116338</v>
      </c>
      <c r="M20">
        <f t="shared" si="3"/>
        <v>-1.4048485749318161E-2</v>
      </c>
      <c r="N20">
        <f t="shared" si="3"/>
        <v>0</v>
      </c>
      <c r="O20">
        <f t="shared" si="3"/>
        <v>0.45189296659885225</v>
      </c>
      <c r="P20">
        <f t="shared" si="3"/>
        <v>1.6012670246373015E-2</v>
      </c>
      <c r="Q20">
        <f t="shared" si="3"/>
        <v>0.38960070350561976</v>
      </c>
      <c r="R20">
        <f t="shared" si="3"/>
        <v>0.1670431300782842</v>
      </c>
      <c r="S20">
        <f t="shared" si="2"/>
        <v>1.6081314480479012</v>
      </c>
    </row>
    <row r="21" spans="1:19" x14ac:dyDescent="0.2">
      <c r="A21" s="143">
        <v>21</v>
      </c>
      <c r="B21" s="26" t="s">
        <v>478</v>
      </c>
      <c r="C21" s="144">
        <v>11.968481375358166</v>
      </c>
      <c r="D21" s="144">
        <v>1.323974082073434</v>
      </c>
      <c r="E21" s="144">
        <v>0.97027027027027013</v>
      </c>
      <c r="F21" s="144">
        <v>14.157635467980295</v>
      </c>
      <c r="G21" s="144">
        <v>1.1221975358513432</v>
      </c>
      <c r="H21" s="144">
        <v>0.6404027489212083</v>
      </c>
      <c r="I21" s="144">
        <v>0.47934083117820409</v>
      </c>
      <c r="J21" s="150">
        <v>0.68673808644255629</v>
      </c>
      <c r="K21" s="26">
        <f t="shared" si="3"/>
        <v>1.0780390483059412</v>
      </c>
      <c r="L21" s="26">
        <f t="shared" si="3"/>
        <v>0.12187948350046188</v>
      </c>
      <c r="M21" s="26">
        <f t="shared" si="3"/>
        <v>-1.3107275488675912E-2</v>
      </c>
      <c r="N21" s="26">
        <f t="shared" si="3"/>
        <v>1.1509907258849938</v>
      </c>
      <c r="O21" s="26">
        <f t="shared" si="3"/>
        <v>5.0069310734093889E-2</v>
      </c>
      <c r="P21" s="26">
        <f t="shared" si="3"/>
        <v>-0.19354681254482145</v>
      </c>
      <c r="Q21" s="26">
        <f t="shared" si="3"/>
        <v>-0.31935557538937837</v>
      </c>
      <c r="R21" s="26">
        <f t="shared" si="3"/>
        <v>-0.16320886599860787</v>
      </c>
      <c r="S21">
        <f t="shared" si="2"/>
        <v>1.7117600390040069</v>
      </c>
    </row>
    <row r="22" spans="1:19" x14ac:dyDescent="0.2">
      <c r="A22">
        <v>3</v>
      </c>
      <c r="B22" t="s">
        <v>479</v>
      </c>
      <c r="C22" s="119">
        <v>1</v>
      </c>
      <c r="D22" s="119">
        <v>1</v>
      </c>
      <c r="E22" s="119">
        <v>1</v>
      </c>
      <c r="F22" s="64">
        <v>8.2662116040955631</v>
      </c>
      <c r="G22" s="64">
        <v>4.150311823851343</v>
      </c>
      <c r="H22" s="64">
        <v>1.1101857360037015</v>
      </c>
      <c r="I22" s="64">
        <v>2.4139040518350861</v>
      </c>
      <c r="J22" s="72">
        <v>2.3801726045585307</v>
      </c>
      <c r="K22">
        <f>LOG(C22)</f>
        <v>0</v>
      </c>
      <c r="L22">
        <f t="shared" si="3"/>
        <v>0</v>
      </c>
      <c r="M22">
        <f t="shared" si="3"/>
        <v>0</v>
      </c>
      <c r="N22">
        <f t="shared" si="3"/>
        <v>0.91730651845292399</v>
      </c>
      <c r="O22">
        <f t="shared" si="3"/>
        <v>0.61808072762546118</v>
      </c>
      <c r="P22">
        <f t="shared" si="3"/>
        <v>4.539564308710619E-2</v>
      </c>
      <c r="Q22">
        <f t="shared" si="3"/>
        <v>0.38272000371215587</v>
      </c>
      <c r="R22">
        <f t="shared" si="3"/>
        <v>0.37660845222006223</v>
      </c>
      <c r="S22">
        <f t="shared" si="2"/>
        <v>2.3401113450977093</v>
      </c>
    </row>
    <row r="23" spans="1:19" x14ac:dyDescent="0.2">
      <c r="A23">
        <v>5</v>
      </c>
      <c r="B23" t="s">
        <v>479</v>
      </c>
      <c r="C23" s="119">
        <v>1</v>
      </c>
      <c r="D23" s="119">
        <v>1</v>
      </c>
      <c r="E23" s="64">
        <v>1.4673913043478262</v>
      </c>
      <c r="F23" s="119">
        <v>1</v>
      </c>
      <c r="G23" s="64">
        <v>8.2380952380952372</v>
      </c>
      <c r="H23" s="64">
        <v>7.5852272727272725</v>
      </c>
      <c r="I23" s="64">
        <v>208.44131455399062</v>
      </c>
      <c r="J23" s="72">
        <v>3.8202247191011236</v>
      </c>
      <c r="K23">
        <f t="shared" ref="K23:R38" si="4">LOG(C23)</f>
        <v>0</v>
      </c>
      <c r="L23">
        <f t="shared" si="3"/>
        <v>0</v>
      </c>
      <c r="M23">
        <f t="shared" si="3"/>
        <v>0.16654594114945087</v>
      </c>
      <c r="N23">
        <f t="shared" si="3"/>
        <v>0</v>
      </c>
      <c r="O23">
        <f t="shared" si="3"/>
        <v>0.91582680839487607</v>
      </c>
      <c r="P23">
        <f t="shared" si="3"/>
        <v>0.87996859788644421</v>
      </c>
      <c r="Q23">
        <f t="shared" si="3"/>
        <v>2.3189838034207648</v>
      </c>
      <c r="R23">
        <f t="shared" si="3"/>
        <v>0.58208891039734234</v>
      </c>
      <c r="S23">
        <f t="shared" si="2"/>
        <v>4.8634140612488785</v>
      </c>
    </row>
    <row r="24" spans="1:19" x14ac:dyDescent="0.2">
      <c r="A24" s="142">
        <v>7</v>
      </c>
      <c r="B24" t="s">
        <v>479</v>
      </c>
      <c r="C24" s="119">
        <v>1</v>
      </c>
      <c r="D24" s="64">
        <v>0.54216867469879526</v>
      </c>
      <c r="E24" s="119">
        <v>1</v>
      </c>
      <c r="F24" s="64">
        <v>4.3269230769230766</v>
      </c>
      <c r="G24" s="64">
        <v>17.853183962264151</v>
      </c>
      <c r="H24" s="64">
        <v>11.387254901960784</v>
      </c>
      <c r="I24" s="64">
        <v>16.207040913415796</v>
      </c>
      <c r="J24" s="72">
        <v>10.399484536082475</v>
      </c>
      <c r="K24">
        <f t="shared" si="4"/>
        <v>0</v>
      </c>
      <c r="L24">
        <f t="shared" si="3"/>
        <v>-0.26586557860073018</v>
      </c>
      <c r="M24">
        <f t="shared" si="3"/>
        <v>0</v>
      </c>
      <c r="N24">
        <f t="shared" si="3"/>
        <v>0.63617917447656325</v>
      </c>
      <c r="O24">
        <f t="shared" si="3"/>
        <v>1.2517156800522089</v>
      </c>
      <c r="P24">
        <f t="shared" si="3"/>
        <v>1.0564190423743367</v>
      </c>
      <c r="Q24">
        <f t="shared" si="3"/>
        <v>1.2097037284644185</v>
      </c>
      <c r="R24">
        <f t="shared" si="3"/>
        <v>1.0170118134638821</v>
      </c>
      <c r="S24">
        <f t="shared" si="2"/>
        <v>4.9051638602306795</v>
      </c>
    </row>
    <row r="25" spans="1:19" x14ac:dyDescent="0.2">
      <c r="A25">
        <v>8</v>
      </c>
      <c r="B25" t="s">
        <v>479</v>
      </c>
      <c r="C25" s="64">
        <v>10.8</v>
      </c>
      <c r="D25" s="64">
        <v>18.303571428571431</v>
      </c>
      <c r="E25" s="64">
        <v>85.413580246913583</v>
      </c>
      <c r="F25" s="64">
        <v>36.872395833333336</v>
      </c>
      <c r="G25" s="82">
        <v>5796.545454545455</v>
      </c>
      <c r="H25" s="64">
        <v>161.17874396135267</v>
      </c>
      <c r="I25" s="82">
        <v>88.763301214914122</v>
      </c>
      <c r="J25" s="72">
        <v>53.680490103675773</v>
      </c>
      <c r="K25">
        <f t="shared" si="4"/>
        <v>1.0334237554869496</v>
      </c>
      <c r="L25">
        <f t="shared" si="3"/>
        <v>1.2625358383855727</v>
      </c>
      <c r="M25">
        <f t="shared" si="3"/>
        <v>1.9315269263964183</v>
      </c>
      <c r="N25">
        <f t="shared" si="3"/>
        <v>1.5667013573889113</v>
      </c>
      <c r="O25">
        <f t="shared" si="3"/>
        <v>3.7631692458041925</v>
      </c>
      <c r="P25">
        <f t="shared" si="3"/>
        <v>2.2073077670659949</v>
      </c>
      <c r="Q25">
        <f t="shared" si="3"/>
        <v>1.9482334457992669</v>
      </c>
      <c r="R25">
        <f t="shared" si="3"/>
        <v>1.7298164722941378</v>
      </c>
      <c r="S25">
        <f t="shared" si="2"/>
        <v>15.442714808621444</v>
      </c>
    </row>
    <row r="26" spans="1:19" x14ac:dyDescent="0.2">
      <c r="A26" s="142">
        <v>9</v>
      </c>
      <c r="B26" t="s">
        <v>479</v>
      </c>
      <c r="C26" s="119">
        <v>1</v>
      </c>
      <c r="D26" s="64">
        <v>3</v>
      </c>
      <c r="E26" s="119">
        <v>1</v>
      </c>
      <c r="F26" s="64">
        <v>15.486590038314178</v>
      </c>
      <c r="G26" s="64">
        <v>5.0279195011337867</v>
      </c>
      <c r="H26" s="64">
        <v>1.0602947744528806</v>
      </c>
      <c r="I26" s="64">
        <v>2.2607985295619319</v>
      </c>
      <c r="J26" s="72">
        <v>2.0871040723981902</v>
      </c>
      <c r="K26">
        <f t="shared" si="4"/>
        <v>0</v>
      </c>
      <c r="L26">
        <f t="shared" si="3"/>
        <v>0.47712125471966244</v>
      </c>
      <c r="M26">
        <f t="shared" si="3"/>
        <v>0</v>
      </c>
      <c r="N26">
        <f t="shared" si="3"/>
        <v>1.1899558018410044</v>
      </c>
      <c r="O26">
        <f t="shared" si="3"/>
        <v>0.70138831585297001</v>
      </c>
      <c r="P26">
        <f t="shared" si="3"/>
        <v>2.5426621039542071E-2</v>
      </c>
      <c r="Q26">
        <f t="shared" si="3"/>
        <v>0.35426186203661952</v>
      </c>
      <c r="R26">
        <f t="shared" si="3"/>
        <v>0.31954410548200612</v>
      </c>
      <c r="S26">
        <f t="shared" si="2"/>
        <v>3.0676979609718047</v>
      </c>
    </row>
    <row r="27" spans="1:19" x14ac:dyDescent="0.2">
      <c r="A27" s="142">
        <v>12</v>
      </c>
      <c r="B27" t="s">
        <v>479</v>
      </c>
      <c r="C27" s="119">
        <v>1</v>
      </c>
      <c r="D27" s="119">
        <v>1</v>
      </c>
      <c r="E27" s="119">
        <v>1</v>
      </c>
      <c r="F27" s="119">
        <v>1</v>
      </c>
      <c r="G27" s="64">
        <v>15.694174757281552</v>
      </c>
      <c r="H27" s="119">
        <v>1</v>
      </c>
      <c r="I27" s="64">
        <v>10.88568935427574</v>
      </c>
      <c r="J27" s="149">
        <v>1</v>
      </c>
      <c r="K27">
        <f t="shared" si="4"/>
        <v>0</v>
      </c>
      <c r="L27">
        <f t="shared" si="3"/>
        <v>0</v>
      </c>
      <c r="M27">
        <f t="shared" si="3"/>
        <v>0</v>
      </c>
      <c r="N27">
        <f t="shared" si="3"/>
        <v>0</v>
      </c>
      <c r="O27">
        <f t="shared" si="3"/>
        <v>1.1957384842424026</v>
      </c>
      <c r="P27">
        <f t="shared" si="3"/>
        <v>0</v>
      </c>
      <c r="Q27">
        <f t="shared" si="3"/>
        <v>1.0368559366640564</v>
      </c>
      <c r="R27">
        <f t="shared" si="3"/>
        <v>0</v>
      </c>
      <c r="S27">
        <f t="shared" si="2"/>
        <v>2.2325944209064588</v>
      </c>
    </row>
    <row r="28" spans="1:19" x14ac:dyDescent="0.2">
      <c r="A28">
        <v>19</v>
      </c>
      <c r="B28" t="s">
        <v>480</v>
      </c>
      <c r="C28" s="119">
        <v>1</v>
      </c>
      <c r="D28" s="64">
        <v>5.0634920634920633</v>
      </c>
      <c r="E28" s="64">
        <v>14.338028169014084</v>
      </c>
      <c r="F28" s="64">
        <v>3.8232736572890027</v>
      </c>
      <c r="G28" s="64">
        <v>153.1743119266055</v>
      </c>
      <c r="H28" s="64">
        <v>18.09090909090909</v>
      </c>
      <c r="I28" s="82">
        <v>37.700711743772239</v>
      </c>
      <c r="J28" s="72">
        <v>34.805302402651201</v>
      </c>
      <c r="K28">
        <f t="shared" si="4"/>
        <v>0</v>
      </c>
      <c r="L28">
        <f t="shared" si="3"/>
        <v>0.70445013360359943</v>
      </c>
      <c r="M28">
        <f t="shared" si="3"/>
        <v>1.1564894292816645</v>
      </c>
      <c r="N28">
        <f t="shared" si="3"/>
        <v>0.58243538449485255</v>
      </c>
      <c r="O28">
        <f t="shared" si="3"/>
        <v>2.1851859381167738</v>
      </c>
      <c r="P28">
        <f t="shared" si="3"/>
        <v>1.2574603912514817</v>
      </c>
      <c r="Q28">
        <f t="shared" si="3"/>
        <v>1.5763495492369604</v>
      </c>
      <c r="R28">
        <f t="shared" si="3"/>
        <v>1.5416454114406428</v>
      </c>
      <c r="S28">
        <f t="shared" si="2"/>
        <v>9.0040162374259758</v>
      </c>
    </row>
    <row r="29" spans="1:19" x14ac:dyDescent="0.2">
      <c r="A29">
        <v>20</v>
      </c>
      <c r="B29" t="s">
        <v>480</v>
      </c>
      <c r="C29" s="64">
        <v>1.3787878787878787</v>
      </c>
      <c r="D29" s="118">
        <v>0.95789473684210535</v>
      </c>
      <c r="E29" s="64">
        <v>0.87002652519893897</v>
      </c>
      <c r="F29" s="118">
        <v>1</v>
      </c>
      <c r="G29" s="64">
        <v>10.780755176613885</v>
      </c>
      <c r="H29" s="64">
        <v>1.8262910798122067</v>
      </c>
      <c r="I29" s="64">
        <v>11.05451241671714</v>
      </c>
      <c r="J29" s="72">
        <v>1.4278350515463918</v>
      </c>
      <c r="K29">
        <f t="shared" si="4"/>
        <v>0.1394974567792249</v>
      </c>
      <c r="L29">
        <f t="shared" si="3"/>
        <v>-1.8682212967754123E-2</v>
      </c>
      <c r="M29">
        <f t="shared" si="3"/>
        <v>-6.0467506494113789E-2</v>
      </c>
      <c r="N29">
        <f t="shared" si="3"/>
        <v>0</v>
      </c>
      <c r="O29">
        <f t="shared" si="3"/>
        <v>1.0326491836289315</v>
      </c>
      <c r="P29">
        <f t="shared" si="3"/>
        <v>0.26156999788697005</v>
      </c>
      <c r="Q29">
        <f t="shared" si="3"/>
        <v>1.0435395918356647</v>
      </c>
      <c r="R29">
        <f t="shared" si="3"/>
        <v>0.15467803913422251</v>
      </c>
      <c r="S29">
        <f t="shared" si="2"/>
        <v>2.5527845498031461</v>
      </c>
    </row>
    <row r="30" spans="1:19" x14ac:dyDescent="0.2">
      <c r="A30" s="143">
        <v>21</v>
      </c>
      <c r="B30" s="26" t="s">
        <v>480</v>
      </c>
      <c r="C30" s="144">
        <v>1.335243553008596</v>
      </c>
      <c r="D30" s="144">
        <v>4.3218142548596115</v>
      </c>
      <c r="E30" s="144">
        <v>3.1783783783783783</v>
      </c>
      <c r="F30" s="144">
        <v>2.1330049261083746</v>
      </c>
      <c r="G30" s="144">
        <v>17.368814380933145</v>
      </c>
      <c r="H30" s="144">
        <v>6.4369506153108516</v>
      </c>
      <c r="I30" s="144">
        <v>5.1318137166456159</v>
      </c>
      <c r="J30" s="150">
        <v>14.610269671222756</v>
      </c>
      <c r="K30">
        <f t="shared" si="4"/>
        <v>0.12556048973082026</v>
      </c>
      <c r="L30">
        <f t="shared" si="4"/>
        <v>0.63566609761825832</v>
      </c>
      <c r="M30">
        <f t="shared" si="4"/>
        <v>0.50220559767312467</v>
      </c>
      <c r="N30">
        <f t="shared" si="4"/>
        <v>0.32899185844015255</v>
      </c>
      <c r="O30">
        <f t="shared" si="4"/>
        <v>1.2397701739225084</v>
      </c>
      <c r="P30">
        <f t="shared" si="4"/>
        <v>0.80868017720722607</v>
      </c>
      <c r="Q30">
        <f t="shared" si="4"/>
        <v>0.71027088322486709</v>
      </c>
      <c r="R30">
        <f t="shared" si="4"/>
        <v>1.1646582320631889</v>
      </c>
      <c r="S30">
        <f t="shared" si="2"/>
        <v>5.515803509880147</v>
      </c>
    </row>
    <row r="31" spans="1:19" x14ac:dyDescent="0.2">
      <c r="A31">
        <v>3</v>
      </c>
      <c r="B31" t="s">
        <v>481</v>
      </c>
      <c r="C31" s="119">
        <v>1</v>
      </c>
      <c r="D31" s="64">
        <v>7.0579710144927539</v>
      </c>
      <c r="E31" s="64">
        <v>6.2654028436018967</v>
      </c>
      <c r="F31" s="64">
        <v>2.21160409556314</v>
      </c>
      <c r="G31" s="64">
        <v>3.135929744177167</v>
      </c>
      <c r="H31" s="64">
        <v>2.564346619075947</v>
      </c>
      <c r="I31" s="64">
        <v>5.0827231172058758</v>
      </c>
      <c r="J31" s="72">
        <v>3.5620712547023681</v>
      </c>
      <c r="K31" s="18">
        <f>LOG(C31)</f>
        <v>0</v>
      </c>
      <c r="L31" s="18">
        <f t="shared" si="4"/>
        <v>0.84867987047737903</v>
      </c>
      <c r="M31" s="18">
        <f t="shared" si="4"/>
        <v>0.7969489998519288</v>
      </c>
      <c r="N31" s="18">
        <f t="shared" si="4"/>
        <v>0.34470738551648389</v>
      </c>
      <c r="O31" s="18">
        <f t="shared" si="4"/>
        <v>0.49636632440208189</v>
      </c>
      <c r="P31" s="18">
        <f t="shared" si="4"/>
        <v>0.40897672778038507</v>
      </c>
      <c r="Q31" s="18">
        <f t="shared" si="4"/>
        <v>0.70609645203108196</v>
      </c>
      <c r="R31" s="18">
        <f t="shared" si="4"/>
        <v>0.55170260272254568</v>
      </c>
      <c r="S31">
        <f t="shared" si="2"/>
        <v>4.1534783627818861</v>
      </c>
    </row>
    <row r="32" spans="1:19" x14ac:dyDescent="0.2">
      <c r="A32">
        <v>5</v>
      </c>
      <c r="B32" t="s">
        <v>481</v>
      </c>
      <c r="C32" s="119">
        <v>1</v>
      </c>
      <c r="D32" s="119">
        <v>1</v>
      </c>
      <c r="E32" s="64">
        <v>0.79347826086956519</v>
      </c>
      <c r="F32" s="119">
        <v>1</v>
      </c>
      <c r="G32" s="64">
        <v>29.219047619047618</v>
      </c>
      <c r="H32" s="64">
        <v>7.7670454545454541</v>
      </c>
      <c r="I32" s="64">
        <v>156.65258215962442</v>
      </c>
      <c r="J32" s="72">
        <v>2.7359550561797752</v>
      </c>
      <c r="K32">
        <f t="shared" ref="K32:R47" si="5">LOG(C32)</f>
        <v>0</v>
      </c>
      <c r="L32">
        <f t="shared" si="4"/>
        <v>0</v>
      </c>
      <c r="M32">
        <f t="shared" si="4"/>
        <v>-0.10046496722509939</v>
      </c>
      <c r="N32">
        <f t="shared" si="4"/>
        <v>0</v>
      </c>
      <c r="O32">
        <f t="shared" si="4"/>
        <v>1.4656660562070052</v>
      </c>
      <c r="P32">
        <f t="shared" si="4"/>
        <v>0.89025584675367242</v>
      </c>
      <c r="Q32">
        <f t="shared" si="4"/>
        <v>2.19493755790546</v>
      </c>
      <c r="R32">
        <f t="shared" si="4"/>
        <v>0.43710895890574036</v>
      </c>
      <c r="S32">
        <f t="shared" si="2"/>
        <v>4.8875034525467784</v>
      </c>
    </row>
    <row r="33" spans="1:19" x14ac:dyDescent="0.2">
      <c r="A33" s="142">
        <v>7</v>
      </c>
      <c r="B33" t="s">
        <v>481</v>
      </c>
      <c r="C33" s="119">
        <v>1</v>
      </c>
      <c r="D33" s="119">
        <v>0.23493975903614459</v>
      </c>
      <c r="E33" s="119">
        <v>1</v>
      </c>
      <c r="F33" s="64">
        <v>1.8990384615384615</v>
      </c>
      <c r="G33" s="64">
        <v>0.73113207547169812</v>
      </c>
      <c r="H33" s="64">
        <v>15</v>
      </c>
      <c r="I33" s="64">
        <v>13.660418648905805</v>
      </c>
      <c r="J33" s="72">
        <v>13.757731958762887</v>
      </c>
      <c r="K33">
        <f t="shared" si="5"/>
        <v>0</v>
      </c>
      <c r="L33">
        <f t="shared" si="4"/>
        <v>-0.62904348101355589</v>
      </c>
      <c r="M33">
        <f t="shared" si="4"/>
        <v>0</v>
      </c>
      <c r="N33">
        <f t="shared" si="4"/>
        <v>0.27853376066369867</v>
      </c>
      <c r="O33">
        <f t="shared" si="4"/>
        <v>-0.13600416275845995</v>
      </c>
      <c r="P33">
        <f t="shared" si="4"/>
        <v>1.1760912590556813</v>
      </c>
      <c r="Q33">
        <f t="shared" si="4"/>
        <v>1.1354640093106352</v>
      </c>
      <c r="R33">
        <f t="shared" si="4"/>
        <v>1.1385468438572817</v>
      </c>
      <c r="S33">
        <f t="shared" si="2"/>
        <v>2.9635882291152811</v>
      </c>
    </row>
    <row r="34" spans="1:19" x14ac:dyDescent="0.2">
      <c r="A34">
        <v>8</v>
      </c>
      <c r="B34" t="s">
        <v>481</v>
      </c>
      <c r="C34" s="119">
        <v>1</v>
      </c>
      <c r="D34" s="119">
        <v>1</v>
      </c>
      <c r="E34" s="64">
        <v>1.808641975308642</v>
      </c>
      <c r="F34" s="64">
        <v>22.544270833333332</v>
      </c>
      <c r="G34" s="64">
        <v>261.40340909090907</v>
      </c>
      <c r="H34" s="64">
        <v>44.340579710144929</v>
      </c>
      <c r="I34" s="82">
        <v>88.763301214914122</v>
      </c>
      <c r="J34" s="72">
        <v>18.020735155513666</v>
      </c>
      <c r="K34">
        <f t="shared" si="5"/>
        <v>0</v>
      </c>
      <c r="L34">
        <f t="shared" si="4"/>
        <v>0</v>
      </c>
      <c r="M34">
        <f t="shared" si="4"/>
        <v>0.25735260581147851</v>
      </c>
      <c r="N34">
        <f t="shared" si="4"/>
        <v>1.3530361931497588</v>
      </c>
      <c r="O34">
        <f t="shared" si="4"/>
        <v>2.4173112471302018</v>
      </c>
      <c r="P34">
        <f t="shared" si="4"/>
        <v>1.6468013667954122</v>
      </c>
      <c r="Q34">
        <f t="shared" si="4"/>
        <v>1.9482334457992669</v>
      </c>
      <c r="R34">
        <f t="shared" si="4"/>
        <v>1.2557725040387406</v>
      </c>
      <c r="S34">
        <f t="shared" si="2"/>
        <v>8.878507362724859</v>
      </c>
    </row>
    <row r="35" spans="1:19" x14ac:dyDescent="0.2">
      <c r="A35" s="142">
        <v>9</v>
      </c>
      <c r="B35" t="s">
        <v>481</v>
      </c>
      <c r="C35" s="119">
        <v>1</v>
      </c>
      <c r="D35" s="64">
        <v>1.62</v>
      </c>
      <c r="E35" s="119">
        <v>1</v>
      </c>
      <c r="F35" s="64">
        <v>6.4904214559386979</v>
      </c>
      <c r="G35" s="64">
        <v>13.835742630385488</v>
      </c>
      <c r="H35" s="64">
        <v>5.5259044216167927</v>
      </c>
      <c r="I35" s="82">
        <v>12.000566267185281</v>
      </c>
      <c r="J35" s="72">
        <v>11.404977375565609</v>
      </c>
      <c r="K35">
        <f t="shared" si="5"/>
        <v>0</v>
      </c>
      <c r="L35">
        <f t="shared" si="4"/>
        <v>0.20951501454263097</v>
      </c>
      <c r="M35">
        <f t="shared" si="4"/>
        <v>0</v>
      </c>
      <c r="N35">
        <f t="shared" si="4"/>
        <v>0.81227289865640717</v>
      </c>
      <c r="O35">
        <f t="shared" si="4"/>
        <v>1.1410024747615934</v>
      </c>
      <c r="P35">
        <f t="shared" si="4"/>
        <v>0.74240336890416359</v>
      </c>
      <c r="Q35">
        <f t="shared" si="4"/>
        <v>1.0792017394569184</v>
      </c>
      <c r="R35">
        <f t="shared" si="4"/>
        <v>1.0570944280890586</v>
      </c>
      <c r="S35">
        <f t="shared" si="2"/>
        <v>5.0414899244107723</v>
      </c>
    </row>
    <row r="36" spans="1:19" x14ac:dyDescent="0.2">
      <c r="A36" s="142">
        <v>12</v>
      </c>
      <c r="B36" t="s">
        <v>481</v>
      </c>
      <c r="C36" s="119">
        <v>1</v>
      </c>
      <c r="D36" s="119">
        <v>1</v>
      </c>
      <c r="E36" s="119">
        <v>1</v>
      </c>
      <c r="F36" s="119">
        <v>1</v>
      </c>
      <c r="G36" s="64">
        <v>21.980582524271846</v>
      </c>
      <c r="H36" s="119">
        <v>1</v>
      </c>
      <c r="I36" s="64">
        <v>24.856893542757415</v>
      </c>
      <c r="J36" s="72">
        <v>1.1644736842105263</v>
      </c>
      <c r="K36">
        <f t="shared" si="5"/>
        <v>0</v>
      </c>
      <c r="L36">
        <f t="shared" si="4"/>
        <v>0</v>
      </c>
      <c r="M36">
        <f t="shared" si="4"/>
        <v>0</v>
      </c>
      <c r="N36">
        <f t="shared" si="4"/>
        <v>0</v>
      </c>
      <c r="O36">
        <f t="shared" si="4"/>
        <v>1.3420391978110617</v>
      </c>
      <c r="P36">
        <f t="shared" si="4"/>
        <v>0</v>
      </c>
      <c r="Q36">
        <f t="shared" si="4"/>
        <v>1.3954468523210211</v>
      </c>
      <c r="R36">
        <f t="shared" si="4"/>
        <v>6.6129678417034085E-2</v>
      </c>
      <c r="S36">
        <f t="shared" si="2"/>
        <v>2.8036157285491172</v>
      </c>
    </row>
    <row r="37" spans="1:19" x14ac:dyDescent="0.2">
      <c r="A37">
        <v>19</v>
      </c>
      <c r="B37" t="s">
        <v>481</v>
      </c>
      <c r="C37" s="119">
        <v>1</v>
      </c>
      <c r="D37" s="64">
        <v>3.8591269841269837</v>
      </c>
      <c r="E37" s="64">
        <v>1.2535211267605635</v>
      </c>
      <c r="F37" s="64">
        <v>0.73529411764705876</v>
      </c>
      <c r="G37" s="64">
        <v>2.4220183486238533</v>
      </c>
      <c r="H37" s="64">
        <v>10.227272727272727</v>
      </c>
      <c r="I37" s="64">
        <v>7.5578647686832747</v>
      </c>
      <c r="J37" s="72">
        <v>19.969345484672743</v>
      </c>
      <c r="K37">
        <f t="shared" si="5"/>
        <v>0</v>
      </c>
      <c r="L37">
        <f t="shared" si="4"/>
        <v>0.58648906921620125</v>
      </c>
      <c r="M37">
        <f t="shared" si="4"/>
        <v>9.8131657925837529E-2</v>
      </c>
      <c r="N37">
        <f t="shared" si="4"/>
        <v>-0.13353890837021756</v>
      </c>
      <c r="O37">
        <f t="shared" si="4"/>
        <v>0.38417742892920748</v>
      </c>
      <c r="P37">
        <f t="shared" si="4"/>
        <v>1.0097598372891563</v>
      </c>
      <c r="Q37">
        <f t="shared" si="4"/>
        <v>0.87839911690885297</v>
      </c>
      <c r="R37">
        <f t="shared" si="4"/>
        <v>1.3003638306667353</v>
      </c>
      <c r="S37">
        <f t="shared" si="2"/>
        <v>4.1237820325657735</v>
      </c>
    </row>
    <row r="38" spans="1:19" x14ac:dyDescent="0.2">
      <c r="A38">
        <v>20</v>
      </c>
      <c r="B38" t="s">
        <v>481</v>
      </c>
      <c r="C38" s="64">
        <v>6.212121212121211</v>
      </c>
      <c r="D38" s="64">
        <v>12.889473684210525</v>
      </c>
      <c r="E38" s="64">
        <v>3.3899204244031829</v>
      </c>
      <c r="F38" s="64">
        <v>1.2425742574257426</v>
      </c>
      <c r="G38" s="64">
        <v>46.992691839220456</v>
      </c>
      <c r="H38" s="64">
        <v>22.145539906103288</v>
      </c>
      <c r="I38" s="64">
        <v>59.942459115687456</v>
      </c>
      <c r="J38" s="72">
        <v>21.664948453608247</v>
      </c>
      <c r="K38">
        <f t="shared" si="5"/>
        <v>0.79323992117786679</v>
      </c>
      <c r="L38">
        <f t="shared" si="4"/>
        <v>1.1102351841718852</v>
      </c>
      <c r="M38">
        <f t="shared" si="4"/>
        <v>0.53018950361658845</v>
      </c>
      <c r="N38">
        <f t="shared" si="4"/>
        <v>9.4322352034414372E-2</v>
      </c>
      <c r="O38">
        <f t="shared" si="4"/>
        <v>1.6720303230275515</v>
      </c>
      <c r="P38">
        <f t="shared" si="4"/>
        <v>1.3452862728069641</v>
      </c>
      <c r="Q38">
        <f t="shared" si="4"/>
        <v>1.7777345557345239</v>
      </c>
      <c r="R38">
        <f t="shared" si="4"/>
        <v>1.335757660075211</v>
      </c>
      <c r="S38">
        <f t="shared" si="2"/>
        <v>8.6587957726450053</v>
      </c>
    </row>
    <row r="39" spans="1:19" x14ac:dyDescent="0.2">
      <c r="A39" s="143">
        <v>21</v>
      </c>
      <c r="B39" s="26" t="s">
        <v>481</v>
      </c>
      <c r="C39" s="144">
        <v>1.3180515759312319</v>
      </c>
      <c r="D39" s="144">
        <v>6.2289416846652266</v>
      </c>
      <c r="E39" s="144">
        <v>2.5324324324324321</v>
      </c>
      <c r="F39" s="145">
        <v>1</v>
      </c>
      <c r="G39" s="144">
        <v>14.904059785901838</v>
      </c>
      <c r="H39" s="144">
        <v>10.72334984817005</v>
      </c>
      <c r="I39" s="144">
        <v>5.0068630006081136</v>
      </c>
      <c r="J39" s="150">
        <v>12.907646841521981</v>
      </c>
      <c r="K39" s="26">
        <f t="shared" si="5"/>
        <v>0.11993240472239411</v>
      </c>
      <c r="L39" s="26">
        <f t="shared" si="5"/>
        <v>0.79441426502943824</v>
      </c>
      <c r="M39" s="26">
        <f t="shared" si="5"/>
        <v>0.40353786682078319</v>
      </c>
      <c r="N39" s="26">
        <f t="shared" si="5"/>
        <v>0</v>
      </c>
      <c r="O39" s="26">
        <f t="shared" si="5"/>
        <v>1.173304584013467</v>
      </c>
      <c r="P39" s="26">
        <f t="shared" si="5"/>
        <v>1.0303304750318814</v>
      </c>
      <c r="Q39" s="26">
        <f t="shared" si="5"/>
        <v>0.69956570825652531</v>
      </c>
      <c r="R39" s="26">
        <f t="shared" si="5"/>
        <v>1.1108470744204</v>
      </c>
      <c r="S39">
        <f t="shared" si="2"/>
        <v>5.3319323782948898</v>
      </c>
    </row>
    <row r="40" spans="1:19" x14ac:dyDescent="0.2">
      <c r="A40">
        <v>3</v>
      </c>
      <c r="B40" t="s">
        <v>482</v>
      </c>
      <c r="C40" s="64">
        <v>1.5663265306122449</v>
      </c>
      <c r="D40" s="64">
        <v>4.1400966183574885</v>
      </c>
      <c r="E40" s="64">
        <v>10.222748815165877</v>
      </c>
      <c r="F40" s="64">
        <v>17.409556313993171</v>
      </c>
      <c r="G40" s="64">
        <v>13.780959653811889</v>
      </c>
      <c r="H40" s="64">
        <v>1.4358516755899267</v>
      </c>
      <c r="I40" s="64">
        <v>2.1955798162694715</v>
      </c>
      <c r="J40" s="72">
        <v>1.9778712104447886</v>
      </c>
      <c r="K40">
        <f>LOG(C40)</f>
        <v>0.19488230412071045</v>
      </c>
      <c r="L40">
        <f t="shared" si="5"/>
        <v>0.61701047646628049</v>
      </c>
      <c r="M40">
        <f t="shared" si="5"/>
        <v>1.0095676898048525</v>
      </c>
      <c r="N40">
        <f t="shared" si="5"/>
        <v>1.2407877031770773</v>
      </c>
      <c r="O40">
        <f t="shared" si="5"/>
        <v>1.1392794612467507</v>
      </c>
      <c r="P40">
        <f t="shared" si="5"/>
        <v>0.15710957932143224</v>
      </c>
      <c r="Q40">
        <f t="shared" si="5"/>
        <v>0.34154922970518509</v>
      </c>
      <c r="R40">
        <f t="shared" si="5"/>
        <v>0.29619800899313853</v>
      </c>
      <c r="S40">
        <f t="shared" si="2"/>
        <v>4.996384452835426</v>
      </c>
    </row>
    <row r="41" spans="1:19" x14ac:dyDescent="0.2">
      <c r="A41">
        <v>5</v>
      </c>
      <c r="B41" t="s">
        <v>482</v>
      </c>
      <c r="C41" s="119">
        <v>1</v>
      </c>
      <c r="D41" s="119">
        <v>1</v>
      </c>
      <c r="E41" s="64">
        <v>0.5</v>
      </c>
      <c r="F41" s="64">
        <v>1.8481012658227847</v>
      </c>
      <c r="G41" s="64">
        <v>4.7333333333333325</v>
      </c>
      <c r="H41" s="119">
        <v>1</v>
      </c>
      <c r="I41" s="64">
        <v>12.089201877934272</v>
      </c>
      <c r="J41" s="149">
        <v>1</v>
      </c>
      <c r="K41">
        <f t="shared" ref="K41:K47" si="6">LOG(C41)</f>
        <v>0</v>
      </c>
      <c r="L41">
        <f t="shared" si="5"/>
        <v>0</v>
      </c>
      <c r="M41">
        <f t="shared" si="5"/>
        <v>-0.3010299956639812</v>
      </c>
      <c r="N41">
        <f t="shared" si="5"/>
        <v>0.26672576449399565</v>
      </c>
      <c r="O41">
        <f t="shared" si="5"/>
        <v>0.675167089663394</v>
      </c>
      <c r="P41">
        <f t="shared" si="5"/>
        <v>0</v>
      </c>
      <c r="Q41">
        <f t="shared" si="5"/>
        <v>1.0823976299384721</v>
      </c>
      <c r="R41">
        <f t="shared" si="5"/>
        <v>0</v>
      </c>
      <c r="S41">
        <f t="shared" si="2"/>
        <v>1.7232604884318805</v>
      </c>
    </row>
    <row r="42" spans="1:19" x14ac:dyDescent="0.2">
      <c r="A42" s="142">
        <v>7</v>
      </c>
      <c r="B42" t="s">
        <v>482</v>
      </c>
      <c r="C42" s="119">
        <v>1</v>
      </c>
      <c r="D42" s="64">
        <v>0.51204819277108438</v>
      </c>
      <c r="E42" s="119">
        <v>1</v>
      </c>
      <c r="F42" s="64">
        <v>34.365384615384613</v>
      </c>
      <c r="G42" s="64">
        <v>5.5395047169811322</v>
      </c>
      <c r="H42" s="119">
        <v>1</v>
      </c>
      <c r="I42" s="64">
        <v>1.9566127497621313</v>
      </c>
      <c r="J42" s="72">
        <v>0.52061855670103097</v>
      </c>
      <c r="K42">
        <f t="shared" si="6"/>
        <v>0</v>
      </c>
      <c r="L42">
        <f t="shared" si="5"/>
        <v>-0.29068916232576231</v>
      </c>
      <c r="M42">
        <f t="shared" si="5"/>
        <v>0</v>
      </c>
      <c r="N42">
        <f t="shared" si="5"/>
        <v>1.5361212088708451</v>
      </c>
      <c r="O42">
        <f t="shared" si="5"/>
        <v>0.74347093651584939</v>
      </c>
      <c r="P42">
        <f t="shared" si="5"/>
        <v>0</v>
      </c>
      <c r="Q42">
        <f t="shared" si="5"/>
        <v>0.29150487916675405</v>
      </c>
      <c r="R42">
        <f t="shared" si="5"/>
        <v>-0.28348035614758343</v>
      </c>
      <c r="S42">
        <f t="shared" si="2"/>
        <v>1.9969275060801026</v>
      </c>
    </row>
    <row r="43" spans="1:19" x14ac:dyDescent="0.2">
      <c r="A43">
        <v>8</v>
      </c>
      <c r="B43" t="s">
        <v>482</v>
      </c>
      <c r="C43" s="64">
        <v>22.123287671232877</v>
      </c>
      <c r="D43" s="64">
        <v>11.761904761904763</v>
      </c>
      <c r="E43" s="64">
        <v>13.444444444444445</v>
      </c>
      <c r="F43" s="64">
        <v>217.07291666666666</v>
      </c>
      <c r="G43" s="64">
        <v>189.19886363636365</v>
      </c>
      <c r="H43" s="64">
        <v>16.869565217391308</v>
      </c>
      <c r="I43" s="64">
        <v>19.503896103896103</v>
      </c>
      <c r="J43" s="72">
        <v>2.0838831291234685</v>
      </c>
      <c r="K43">
        <f t="shared" si="6"/>
        <v>1.3448496665466658</v>
      </c>
      <c r="L43">
        <f t="shared" si="5"/>
        <v>1.0704776585257465</v>
      </c>
      <c r="M43">
        <f t="shared" si="5"/>
        <v>1.1285428608771253</v>
      </c>
      <c r="N43">
        <f t="shared" si="5"/>
        <v>2.3366056416214134</v>
      </c>
      <c r="O43">
        <f t="shared" si="5"/>
        <v>2.2769185236200089</v>
      </c>
      <c r="P43">
        <f t="shared" si="5"/>
        <v>1.2271038895766144</v>
      </c>
      <c r="Q43">
        <f t="shared" si="5"/>
        <v>1.2901213748193849</v>
      </c>
      <c r="R43">
        <f t="shared" si="5"/>
        <v>0.31887335867737326</v>
      </c>
      <c r="S43">
        <f t="shared" si="2"/>
        <v>10.993492974264333</v>
      </c>
    </row>
    <row r="44" spans="1:19" x14ac:dyDescent="0.2">
      <c r="A44" s="142">
        <v>9</v>
      </c>
      <c r="B44" t="s">
        <v>482</v>
      </c>
      <c r="C44" s="119">
        <v>1</v>
      </c>
      <c r="D44" s="64">
        <v>1.8</v>
      </c>
      <c r="E44" s="119">
        <v>1</v>
      </c>
      <c r="F44" s="64">
        <v>37.045977011494251</v>
      </c>
      <c r="G44" s="64">
        <v>17.855583900226758</v>
      </c>
      <c r="H44" s="64">
        <v>2.2411790978115231</v>
      </c>
      <c r="I44" s="64">
        <v>6.4575067534324146</v>
      </c>
      <c r="J44" s="72">
        <v>3.937217194570136</v>
      </c>
      <c r="K44">
        <f t="shared" si="6"/>
        <v>0</v>
      </c>
      <c r="L44">
        <f t="shared" si="5"/>
        <v>0.25527250510330607</v>
      </c>
      <c r="M44">
        <f t="shared" si="5"/>
        <v>0</v>
      </c>
      <c r="N44">
        <f t="shared" si="5"/>
        <v>1.568741052893716</v>
      </c>
      <c r="O44">
        <f t="shared" si="5"/>
        <v>1.2517740567410744</v>
      </c>
      <c r="P44">
        <f t="shared" si="5"/>
        <v>0.35047656339956146</v>
      </c>
      <c r="Q44">
        <f t="shared" si="5"/>
        <v>0.81006486904231922</v>
      </c>
      <c r="R44">
        <f t="shared" si="5"/>
        <v>0.59518937308373421</v>
      </c>
      <c r="S44">
        <f t="shared" si="2"/>
        <v>4.8315184202637118</v>
      </c>
    </row>
    <row r="45" spans="1:19" x14ac:dyDescent="0.2">
      <c r="A45" s="142">
        <v>12</v>
      </c>
      <c r="B45" t="s">
        <v>482</v>
      </c>
      <c r="C45" s="119">
        <v>1</v>
      </c>
      <c r="D45" s="119">
        <v>1</v>
      </c>
      <c r="E45" s="119">
        <v>1</v>
      </c>
      <c r="F45" s="119">
        <v>1</v>
      </c>
      <c r="G45" s="64">
        <v>7.3300970873786406</v>
      </c>
      <c r="H45" s="119">
        <v>1</v>
      </c>
      <c r="I45" s="64">
        <v>3.9275741710296681</v>
      </c>
      <c r="J45" s="149">
        <v>1</v>
      </c>
      <c r="K45">
        <f t="shared" si="6"/>
        <v>0</v>
      </c>
      <c r="L45">
        <f t="shared" si="5"/>
        <v>0</v>
      </c>
      <c r="M45">
        <f t="shared" si="5"/>
        <v>0</v>
      </c>
      <c r="N45">
        <f t="shared" si="5"/>
        <v>0</v>
      </c>
      <c r="O45">
        <f t="shared" si="5"/>
        <v>0.865109726924016</v>
      </c>
      <c r="P45">
        <f t="shared" si="5"/>
        <v>0</v>
      </c>
      <c r="Q45">
        <f t="shared" si="5"/>
        <v>0.5941243953071077</v>
      </c>
      <c r="R45">
        <f t="shared" si="5"/>
        <v>0</v>
      </c>
      <c r="S45">
        <f t="shared" si="2"/>
        <v>1.4592341222311238</v>
      </c>
    </row>
    <row r="46" spans="1:19" x14ac:dyDescent="0.2">
      <c r="A46">
        <v>20</v>
      </c>
      <c r="B46" s="146" t="s">
        <v>482</v>
      </c>
      <c r="C46" s="64">
        <v>1.9090909090909089</v>
      </c>
      <c r="D46" s="64">
        <v>7.5105263157894742</v>
      </c>
      <c r="E46" s="64">
        <v>1.3129973474801062</v>
      </c>
      <c r="F46" s="118">
        <v>1</v>
      </c>
      <c r="G46" s="64">
        <v>2.7076735688185138</v>
      </c>
      <c r="H46" s="64">
        <v>1.427230046948357</v>
      </c>
      <c r="I46" s="64">
        <v>3.5645063597819502</v>
      </c>
      <c r="J46" s="72">
        <v>1.3608247422680413</v>
      </c>
      <c r="K46">
        <f t="shared" si="6"/>
        <v>0.28082660957569422</v>
      </c>
      <c r="L46">
        <f t="shared" si="5"/>
        <v>0.87567037216181798</v>
      </c>
      <c r="M46">
        <f t="shared" si="5"/>
        <v>0.1182638487277759</v>
      </c>
      <c r="N46">
        <f t="shared" si="5"/>
        <v>0</v>
      </c>
      <c r="O46">
        <f t="shared" si="5"/>
        <v>0.43259630557954981</v>
      </c>
      <c r="P46">
        <f t="shared" si="5"/>
        <v>0.15449398017001606</v>
      </c>
      <c r="Q46">
        <f t="shared" si="5"/>
        <v>0.55199939391665986</v>
      </c>
      <c r="R46">
        <f t="shared" si="5"/>
        <v>0.13380219693960504</v>
      </c>
      <c r="S46">
        <f t="shared" si="2"/>
        <v>2.5476527070711192</v>
      </c>
    </row>
    <row r="47" spans="1:19" x14ac:dyDescent="0.2">
      <c r="A47" s="143">
        <v>21</v>
      </c>
      <c r="B47" s="143" t="s">
        <v>482</v>
      </c>
      <c r="C47" s="144">
        <v>1.2664756446991403</v>
      </c>
      <c r="D47" s="144">
        <v>1.6393088552915767</v>
      </c>
      <c r="E47" s="144">
        <v>1.0324324324324323</v>
      </c>
      <c r="F47" s="144">
        <v>3.6453201970443354</v>
      </c>
      <c r="G47" s="144">
        <v>1.5623106443142798</v>
      </c>
      <c r="H47" s="144">
        <v>1.276170688828512</v>
      </c>
      <c r="I47" s="144">
        <v>1.3353848826874628</v>
      </c>
      <c r="J47" s="150">
        <v>1.4492057628370889</v>
      </c>
      <c r="K47">
        <f t="shared" si="6"/>
        <v>0.10259684238991197</v>
      </c>
      <c r="L47">
        <f t="shared" si="5"/>
        <v>0.21466078487752721</v>
      </c>
      <c r="M47">
        <f t="shared" si="5"/>
        <v>1.386163884471369E-2</v>
      </c>
      <c r="N47">
        <f t="shared" si="5"/>
        <v>0.56173568181776334</v>
      </c>
      <c r="O47">
        <f t="shared" si="5"/>
        <v>0.1937673917039022</v>
      </c>
      <c r="P47">
        <f t="shared" si="5"/>
        <v>0.10590876549698044</v>
      </c>
      <c r="Q47">
        <f t="shared" si="5"/>
        <v>0.12560645546599924</v>
      </c>
      <c r="R47">
        <f t="shared" si="5"/>
        <v>0.16113005235902947</v>
      </c>
      <c r="S47">
        <f t="shared" si="2"/>
        <v>1.4792676129558275</v>
      </c>
    </row>
    <row r="48" spans="1:19" x14ac:dyDescent="0.2">
      <c r="A48">
        <v>3</v>
      </c>
      <c r="B48" t="s">
        <v>483</v>
      </c>
      <c r="C48" s="119">
        <v>1</v>
      </c>
      <c r="D48" s="64">
        <v>1</v>
      </c>
      <c r="E48" s="119">
        <v>1</v>
      </c>
      <c r="F48" s="119">
        <v>1</v>
      </c>
      <c r="G48" s="64">
        <v>1</v>
      </c>
      <c r="H48" s="64">
        <v>1</v>
      </c>
      <c r="I48" s="64">
        <v>1</v>
      </c>
      <c r="J48" s="72">
        <v>1</v>
      </c>
      <c r="K48" s="18">
        <f>LOG(C48)</f>
        <v>0</v>
      </c>
      <c r="L48" s="18">
        <f t="shared" ref="L48:R84" si="7">LOG(D48)</f>
        <v>0</v>
      </c>
      <c r="M48" s="18">
        <f t="shared" si="7"/>
        <v>0</v>
      </c>
      <c r="N48" s="18">
        <f t="shared" si="7"/>
        <v>0</v>
      </c>
      <c r="O48" s="18">
        <f t="shared" si="7"/>
        <v>0</v>
      </c>
      <c r="P48" s="18">
        <f t="shared" si="7"/>
        <v>0</v>
      </c>
      <c r="Q48" s="18">
        <f t="shared" si="7"/>
        <v>0</v>
      </c>
      <c r="R48" s="18">
        <f t="shared" si="7"/>
        <v>0</v>
      </c>
      <c r="S48">
        <f t="shared" si="2"/>
        <v>0</v>
      </c>
    </row>
    <row r="49" spans="1:19" x14ac:dyDescent="0.2">
      <c r="A49">
        <v>5</v>
      </c>
      <c r="B49" t="s">
        <v>483</v>
      </c>
      <c r="C49" s="119">
        <v>1</v>
      </c>
      <c r="D49" s="119">
        <v>1</v>
      </c>
      <c r="E49" s="64">
        <v>1</v>
      </c>
      <c r="F49" s="119">
        <v>1</v>
      </c>
      <c r="G49" s="119">
        <v>1</v>
      </c>
      <c r="H49" s="119">
        <v>1</v>
      </c>
      <c r="I49" s="64">
        <v>1</v>
      </c>
      <c r="J49" s="149">
        <v>1</v>
      </c>
      <c r="K49">
        <f t="shared" ref="K49:K56" si="8">LOG(C49)</f>
        <v>0</v>
      </c>
      <c r="L49">
        <f t="shared" si="7"/>
        <v>0</v>
      </c>
      <c r="M49">
        <f t="shared" si="7"/>
        <v>0</v>
      </c>
      <c r="N49">
        <f t="shared" si="7"/>
        <v>0</v>
      </c>
      <c r="O49">
        <f t="shared" si="7"/>
        <v>0</v>
      </c>
      <c r="P49">
        <f t="shared" si="7"/>
        <v>0</v>
      </c>
      <c r="Q49">
        <f t="shared" si="7"/>
        <v>0</v>
      </c>
      <c r="R49">
        <f t="shared" si="7"/>
        <v>0</v>
      </c>
      <c r="S49">
        <f t="shared" si="2"/>
        <v>0</v>
      </c>
    </row>
    <row r="50" spans="1:19" x14ac:dyDescent="0.2">
      <c r="A50" s="142">
        <v>7</v>
      </c>
      <c r="B50" t="s">
        <v>483</v>
      </c>
      <c r="C50" s="119">
        <v>1</v>
      </c>
      <c r="D50" s="119">
        <v>1</v>
      </c>
      <c r="E50" s="119">
        <v>1</v>
      </c>
      <c r="F50" s="119">
        <v>1</v>
      </c>
      <c r="G50" s="64">
        <v>1</v>
      </c>
      <c r="H50" s="119">
        <v>1</v>
      </c>
      <c r="I50" s="64">
        <v>1</v>
      </c>
      <c r="J50" s="72">
        <v>1</v>
      </c>
      <c r="K50">
        <f t="shared" si="8"/>
        <v>0</v>
      </c>
      <c r="L50">
        <f t="shared" si="7"/>
        <v>0</v>
      </c>
      <c r="M50">
        <f t="shared" si="7"/>
        <v>0</v>
      </c>
      <c r="N50">
        <f t="shared" si="7"/>
        <v>0</v>
      </c>
      <c r="O50">
        <f t="shared" si="7"/>
        <v>0</v>
      </c>
      <c r="P50">
        <f t="shared" si="7"/>
        <v>0</v>
      </c>
      <c r="Q50">
        <f t="shared" si="7"/>
        <v>0</v>
      </c>
      <c r="R50">
        <f t="shared" si="7"/>
        <v>0</v>
      </c>
      <c r="S50">
        <f t="shared" si="2"/>
        <v>0</v>
      </c>
    </row>
    <row r="51" spans="1:19" x14ac:dyDescent="0.2">
      <c r="A51">
        <v>8</v>
      </c>
      <c r="B51" t="s">
        <v>483</v>
      </c>
      <c r="C51" s="119">
        <v>1</v>
      </c>
      <c r="D51" s="119">
        <v>1</v>
      </c>
      <c r="E51" s="64">
        <v>1</v>
      </c>
      <c r="F51" s="64">
        <v>1</v>
      </c>
      <c r="G51" s="64">
        <v>1</v>
      </c>
      <c r="H51" s="64">
        <v>1</v>
      </c>
      <c r="I51" s="64">
        <v>1</v>
      </c>
      <c r="J51" s="72">
        <v>1</v>
      </c>
      <c r="K51">
        <f t="shared" si="8"/>
        <v>0</v>
      </c>
      <c r="L51">
        <f t="shared" si="7"/>
        <v>0</v>
      </c>
      <c r="M51">
        <f t="shared" si="7"/>
        <v>0</v>
      </c>
      <c r="N51">
        <f t="shared" si="7"/>
        <v>0</v>
      </c>
      <c r="O51">
        <f t="shared" si="7"/>
        <v>0</v>
      </c>
      <c r="P51">
        <f t="shared" si="7"/>
        <v>0</v>
      </c>
      <c r="Q51">
        <f t="shared" si="7"/>
        <v>0</v>
      </c>
      <c r="R51">
        <f t="shared" si="7"/>
        <v>0</v>
      </c>
      <c r="S51">
        <f t="shared" si="2"/>
        <v>0</v>
      </c>
    </row>
    <row r="52" spans="1:19" x14ac:dyDescent="0.2">
      <c r="A52" s="142">
        <v>9</v>
      </c>
      <c r="B52" t="s">
        <v>483</v>
      </c>
      <c r="C52" s="119">
        <v>1</v>
      </c>
      <c r="D52" s="119">
        <v>1</v>
      </c>
      <c r="E52" s="119">
        <v>1</v>
      </c>
      <c r="F52" s="119">
        <v>1</v>
      </c>
      <c r="G52" s="64">
        <v>1</v>
      </c>
      <c r="H52" s="64">
        <v>1</v>
      </c>
      <c r="I52" s="64">
        <v>1</v>
      </c>
      <c r="J52" s="72">
        <v>1</v>
      </c>
      <c r="K52">
        <f t="shared" si="8"/>
        <v>0</v>
      </c>
      <c r="L52">
        <f t="shared" si="7"/>
        <v>0</v>
      </c>
      <c r="M52">
        <f t="shared" si="7"/>
        <v>0</v>
      </c>
      <c r="N52">
        <f t="shared" si="7"/>
        <v>0</v>
      </c>
      <c r="O52">
        <f t="shared" si="7"/>
        <v>0</v>
      </c>
      <c r="P52">
        <f t="shared" si="7"/>
        <v>0</v>
      </c>
      <c r="Q52">
        <f t="shared" si="7"/>
        <v>0</v>
      </c>
      <c r="R52">
        <f t="shared" si="7"/>
        <v>0</v>
      </c>
      <c r="S52">
        <f t="shared" si="2"/>
        <v>0</v>
      </c>
    </row>
    <row r="53" spans="1:19" x14ac:dyDescent="0.2">
      <c r="A53" s="142">
        <v>12</v>
      </c>
      <c r="B53" t="s">
        <v>483</v>
      </c>
      <c r="C53" s="119">
        <v>1</v>
      </c>
      <c r="D53" s="119">
        <v>1</v>
      </c>
      <c r="E53" s="119">
        <v>1</v>
      </c>
      <c r="F53" s="119">
        <v>1</v>
      </c>
      <c r="G53" s="119">
        <v>1</v>
      </c>
      <c r="H53" s="119">
        <v>1</v>
      </c>
      <c r="I53" s="64">
        <v>1</v>
      </c>
      <c r="J53" s="149">
        <v>1</v>
      </c>
      <c r="K53">
        <f t="shared" si="8"/>
        <v>0</v>
      </c>
      <c r="L53">
        <f t="shared" si="7"/>
        <v>0</v>
      </c>
      <c r="M53">
        <f t="shared" si="7"/>
        <v>0</v>
      </c>
      <c r="N53">
        <f t="shared" si="7"/>
        <v>0</v>
      </c>
      <c r="O53">
        <f t="shared" si="7"/>
        <v>0</v>
      </c>
      <c r="P53">
        <f t="shared" si="7"/>
        <v>0</v>
      </c>
      <c r="Q53">
        <f t="shared" si="7"/>
        <v>0</v>
      </c>
      <c r="R53">
        <f t="shared" si="7"/>
        <v>0</v>
      </c>
      <c r="S53">
        <f t="shared" si="2"/>
        <v>0</v>
      </c>
    </row>
    <row r="54" spans="1:19" x14ac:dyDescent="0.2">
      <c r="A54">
        <v>19</v>
      </c>
      <c r="B54" t="s">
        <v>484</v>
      </c>
      <c r="C54" s="119">
        <v>1</v>
      </c>
      <c r="D54" s="64">
        <v>1</v>
      </c>
      <c r="E54" s="64">
        <v>1</v>
      </c>
      <c r="F54" s="64">
        <v>1</v>
      </c>
      <c r="G54" s="119">
        <v>1</v>
      </c>
      <c r="H54" s="64">
        <v>1</v>
      </c>
      <c r="I54" s="64">
        <v>1</v>
      </c>
      <c r="J54" s="72">
        <v>1</v>
      </c>
      <c r="K54">
        <f t="shared" si="8"/>
        <v>0</v>
      </c>
      <c r="L54">
        <f t="shared" si="7"/>
        <v>0</v>
      </c>
      <c r="M54">
        <f t="shared" si="7"/>
        <v>0</v>
      </c>
      <c r="N54">
        <f t="shared" si="7"/>
        <v>0</v>
      </c>
      <c r="O54">
        <f t="shared" si="7"/>
        <v>0</v>
      </c>
      <c r="P54">
        <f t="shared" si="7"/>
        <v>0</v>
      </c>
      <c r="Q54">
        <f t="shared" si="7"/>
        <v>0</v>
      </c>
      <c r="R54">
        <f t="shared" si="7"/>
        <v>0</v>
      </c>
      <c r="S54">
        <f t="shared" si="2"/>
        <v>0</v>
      </c>
    </row>
    <row r="55" spans="1:19" x14ac:dyDescent="0.2">
      <c r="A55">
        <v>20</v>
      </c>
      <c r="B55" t="s">
        <v>483</v>
      </c>
      <c r="C55" s="64">
        <v>1</v>
      </c>
      <c r="D55" s="64">
        <v>1</v>
      </c>
      <c r="E55" s="64">
        <v>1</v>
      </c>
      <c r="F55" s="64">
        <v>1</v>
      </c>
      <c r="G55" s="64">
        <v>1</v>
      </c>
      <c r="H55" s="64">
        <v>1</v>
      </c>
      <c r="I55" s="64">
        <v>1</v>
      </c>
      <c r="J55" s="72">
        <v>1</v>
      </c>
      <c r="K55">
        <f t="shared" si="8"/>
        <v>0</v>
      </c>
      <c r="L55">
        <f t="shared" si="7"/>
        <v>0</v>
      </c>
      <c r="M55">
        <f t="shared" si="7"/>
        <v>0</v>
      </c>
      <c r="N55">
        <f t="shared" si="7"/>
        <v>0</v>
      </c>
      <c r="O55">
        <f t="shared" si="7"/>
        <v>0</v>
      </c>
      <c r="P55">
        <f t="shared" si="7"/>
        <v>0</v>
      </c>
      <c r="Q55">
        <f t="shared" si="7"/>
        <v>0</v>
      </c>
      <c r="R55">
        <f t="shared" si="7"/>
        <v>0</v>
      </c>
      <c r="S55">
        <f t="shared" si="2"/>
        <v>0</v>
      </c>
    </row>
    <row r="56" spans="1:19" x14ac:dyDescent="0.2">
      <c r="A56" s="143">
        <v>21</v>
      </c>
      <c r="B56" s="26" t="s">
        <v>483</v>
      </c>
      <c r="C56" s="144">
        <v>1</v>
      </c>
      <c r="D56" s="144">
        <v>1</v>
      </c>
      <c r="E56" s="144">
        <v>1</v>
      </c>
      <c r="F56" s="144">
        <v>1</v>
      </c>
      <c r="G56" s="144">
        <v>1</v>
      </c>
      <c r="H56" s="144">
        <v>1</v>
      </c>
      <c r="I56" s="144">
        <v>1</v>
      </c>
      <c r="J56" s="150">
        <v>1</v>
      </c>
      <c r="K56" s="26">
        <f t="shared" si="8"/>
        <v>0</v>
      </c>
      <c r="L56" s="26">
        <f t="shared" si="7"/>
        <v>0</v>
      </c>
      <c r="M56" s="26">
        <f t="shared" si="7"/>
        <v>0</v>
      </c>
      <c r="N56" s="26">
        <f t="shared" si="7"/>
        <v>0</v>
      </c>
      <c r="O56" s="26">
        <f t="shared" si="7"/>
        <v>0</v>
      </c>
      <c r="P56" s="26">
        <f t="shared" si="7"/>
        <v>0</v>
      </c>
      <c r="Q56" s="26">
        <f t="shared" si="7"/>
        <v>0</v>
      </c>
      <c r="R56" s="26">
        <f t="shared" si="7"/>
        <v>0</v>
      </c>
      <c r="S56">
        <f t="shared" si="2"/>
        <v>0</v>
      </c>
    </row>
    <row r="57" spans="1:19" x14ac:dyDescent="0.2">
      <c r="A57">
        <v>3</v>
      </c>
      <c r="B57" t="s">
        <v>485</v>
      </c>
      <c r="C57" s="64">
        <v>1.0051020408163265</v>
      </c>
      <c r="D57" s="64">
        <v>0.72562141491395782</v>
      </c>
      <c r="E57" s="64">
        <v>3.5213270142180098</v>
      </c>
      <c r="F57" s="64">
        <v>8.5192307692307683</v>
      </c>
      <c r="G57" s="64">
        <v>0.75927651789720763</v>
      </c>
      <c r="H57" s="64">
        <v>0.6759819864898674</v>
      </c>
      <c r="I57" s="64">
        <v>0.82094726076370983</v>
      </c>
      <c r="J57" s="72">
        <v>0.80492780916509732</v>
      </c>
      <c r="K57">
        <f>LOG(C57)</f>
        <v>2.210154805116854E-3</v>
      </c>
      <c r="L57">
        <f t="shared" si="7"/>
        <v>-0.13928990863577514</v>
      </c>
      <c r="M57">
        <f t="shared" si="7"/>
        <v>0.54670635846288262</v>
      </c>
      <c r="N57">
        <f t="shared" si="7"/>
        <v>0.9304003825882704</v>
      </c>
      <c r="O57">
        <f t="shared" si="7"/>
        <v>-0.11960003131576614</v>
      </c>
      <c r="P57">
        <f t="shared" si="7"/>
        <v>-0.17006487694635952</v>
      </c>
      <c r="Q57">
        <f t="shared" si="7"/>
        <v>-8.5684741900041536E-2</v>
      </c>
      <c r="R57">
        <f t="shared" si="7"/>
        <v>-9.4243068063340332E-2</v>
      </c>
      <c r="S57">
        <f t="shared" si="2"/>
        <v>0.8704342689949871</v>
      </c>
    </row>
    <row r="58" spans="1:19" x14ac:dyDescent="0.2">
      <c r="A58">
        <v>5</v>
      </c>
      <c r="B58" t="s">
        <v>485</v>
      </c>
      <c r="C58" s="119">
        <v>1</v>
      </c>
      <c r="D58" s="119">
        <v>1</v>
      </c>
      <c r="E58" s="64">
        <v>0.91803278688524603</v>
      </c>
      <c r="F58" s="119">
        <v>1</v>
      </c>
      <c r="G58" s="119">
        <v>1</v>
      </c>
      <c r="H58" s="119">
        <v>1</v>
      </c>
      <c r="I58" s="64">
        <v>1.8048780487804879</v>
      </c>
      <c r="J58" s="149">
        <v>1</v>
      </c>
      <c r="K58">
        <f t="shared" ref="K58:K65" si="9">LOG(C58)</f>
        <v>0</v>
      </c>
      <c r="L58">
        <f t="shared" si="7"/>
        <v>0</v>
      </c>
      <c r="M58">
        <f t="shared" si="7"/>
        <v>-3.7141808004566554E-2</v>
      </c>
      <c r="N58">
        <f t="shared" si="7"/>
        <v>0</v>
      </c>
      <c r="O58">
        <f t="shared" si="7"/>
        <v>0</v>
      </c>
      <c r="P58">
        <f t="shared" si="7"/>
        <v>0</v>
      </c>
      <c r="Q58">
        <f t="shared" si="7"/>
        <v>0.25644786301124073</v>
      </c>
      <c r="R58">
        <f t="shared" si="7"/>
        <v>0</v>
      </c>
      <c r="S58">
        <f t="shared" si="2"/>
        <v>0.21930605500667416</v>
      </c>
    </row>
    <row r="59" spans="1:19" x14ac:dyDescent="0.2">
      <c r="A59" s="142">
        <v>7</v>
      </c>
      <c r="B59" t="s">
        <v>485</v>
      </c>
      <c r="C59" s="64">
        <v>1.2058823529411764</v>
      </c>
      <c r="D59" s="64">
        <v>2.5641025641025639</v>
      </c>
      <c r="E59" s="119">
        <v>1</v>
      </c>
      <c r="F59" s="64">
        <v>34.519230769230766</v>
      </c>
      <c r="G59" s="64">
        <v>1.3858363858363858</v>
      </c>
      <c r="H59" s="119">
        <v>1</v>
      </c>
      <c r="I59" s="64">
        <v>1.1070954418055758</v>
      </c>
      <c r="J59" s="72">
        <v>0.99626865671641784</v>
      </c>
      <c r="K59">
        <f t="shared" si="9"/>
        <v>8.1304939677480342E-2</v>
      </c>
      <c r="L59">
        <f t="shared" si="7"/>
        <v>0.40893539297350073</v>
      </c>
      <c r="M59">
        <f t="shared" si="7"/>
        <v>0</v>
      </c>
      <c r="N59">
        <f t="shared" si="7"/>
        <v>1.5380611092795387</v>
      </c>
      <c r="O59">
        <f t="shared" si="7"/>
        <v>0.14171195976872303</v>
      </c>
      <c r="P59">
        <f t="shared" si="7"/>
        <v>0</v>
      </c>
      <c r="Q59">
        <f t="shared" si="7"/>
        <v>4.4185062669846627E-2</v>
      </c>
      <c r="R59">
        <f t="shared" si="7"/>
        <v>-1.6235326642136314E-3</v>
      </c>
      <c r="S59">
        <f t="shared" si="2"/>
        <v>2.212574931704876</v>
      </c>
    </row>
    <row r="60" spans="1:19" x14ac:dyDescent="0.2">
      <c r="A60">
        <v>8</v>
      </c>
      <c r="B60" t="s">
        <v>485</v>
      </c>
      <c r="C60" s="64">
        <v>6.0465753424657533</v>
      </c>
      <c r="D60" s="64">
        <v>4.5773809523809526</v>
      </c>
      <c r="E60" s="64">
        <v>1.8029556650246308</v>
      </c>
      <c r="F60" s="64">
        <v>72.091615769017196</v>
      </c>
      <c r="G60" s="64">
        <v>2.6434108527131785</v>
      </c>
      <c r="H60" s="64">
        <v>0.84723195515066574</v>
      </c>
      <c r="I60" s="64">
        <v>1.2024057450628367</v>
      </c>
      <c r="J60" s="72">
        <v>0.86021867115222872</v>
      </c>
      <c r="K60">
        <f t="shared" si="9"/>
        <v>0.78150946870518034</v>
      </c>
      <c r="L60">
        <f t="shared" si="7"/>
        <v>0.66061705807556825</v>
      </c>
      <c r="M60">
        <f t="shared" si="7"/>
        <v>0.25598504748119782</v>
      </c>
      <c r="N60">
        <f t="shared" si="7"/>
        <v>1.8578847593521715</v>
      </c>
      <c r="O60">
        <f t="shared" si="7"/>
        <v>0.42216466869324881</v>
      </c>
      <c r="P60">
        <f t="shared" si="7"/>
        <v>-7.1997672253875059E-2</v>
      </c>
      <c r="Q60">
        <f t="shared" si="7"/>
        <v>8.0051042631353E-2</v>
      </c>
      <c r="R60">
        <f t="shared" si="7"/>
        <v>-6.539113526439376E-2</v>
      </c>
      <c r="S60">
        <f t="shared" si="2"/>
        <v>3.9208232374204512</v>
      </c>
    </row>
    <row r="61" spans="1:19" x14ac:dyDescent="0.2">
      <c r="A61" s="142">
        <v>9</v>
      </c>
      <c r="B61" t="s">
        <v>485</v>
      </c>
      <c r="C61" s="64">
        <v>3.8455882352941178</v>
      </c>
      <c r="D61" s="64">
        <v>4.6923076923076925</v>
      </c>
      <c r="E61" s="119">
        <v>1</v>
      </c>
      <c r="F61" s="64">
        <v>249.12499999999997</v>
      </c>
      <c r="G61" s="64">
        <v>3.4460467429139729</v>
      </c>
      <c r="H61" s="64">
        <v>2.7101604278074869</v>
      </c>
      <c r="I61" s="64">
        <v>2.0973569436831192</v>
      </c>
      <c r="J61" s="72">
        <v>1.9264448336252189</v>
      </c>
      <c r="K61">
        <f t="shared" si="9"/>
        <v>0.58496278049705674</v>
      </c>
      <c r="L61">
        <f t="shared" si="7"/>
        <v>0.67138648270393031</v>
      </c>
      <c r="M61">
        <f t="shared" si="7"/>
        <v>0</v>
      </c>
      <c r="N61">
        <f t="shared" si="7"/>
        <v>2.3964173117085439</v>
      </c>
      <c r="O61">
        <f t="shared" si="7"/>
        <v>0.5373211640150648</v>
      </c>
      <c r="P61">
        <f t="shared" si="7"/>
        <v>0.43299499967490479</v>
      </c>
      <c r="Q61">
        <f t="shared" si="7"/>
        <v>0.32167234819546769</v>
      </c>
      <c r="R61">
        <f t="shared" si="7"/>
        <v>0.28475657691237699</v>
      </c>
      <c r="S61">
        <f t="shared" si="2"/>
        <v>5.2295116637073447</v>
      </c>
    </row>
    <row r="62" spans="1:19" x14ac:dyDescent="0.2">
      <c r="A62" s="142">
        <v>12</v>
      </c>
      <c r="B62" t="s">
        <v>485</v>
      </c>
      <c r="C62" s="119">
        <v>1</v>
      </c>
      <c r="D62" s="64">
        <v>1.5897435897435896</v>
      </c>
      <c r="E62" s="119">
        <v>1</v>
      </c>
      <c r="F62" s="119">
        <v>1</v>
      </c>
      <c r="G62" s="119">
        <v>1</v>
      </c>
      <c r="H62" s="119">
        <v>1</v>
      </c>
      <c r="I62" s="64">
        <v>1.141125121241513</v>
      </c>
      <c r="J62" s="149">
        <v>1</v>
      </c>
      <c r="K62">
        <f t="shared" si="9"/>
        <v>0</v>
      </c>
      <c r="L62">
        <f t="shared" si="7"/>
        <v>0.20132708247175465</v>
      </c>
      <c r="M62">
        <f t="shared" si="7"/>
        <v>0</v>
      </c>
      <c r="N62">
        <f t="shared" si="7"/>
        <v>0</v>
      </c>
      <c r="O62">
        <f t="shared" si="7"/>
        <v>0</v>
      </c>
      <c r="P62">
        <f t="shared" si="7"/>
        <v>0</v>
      </c>
      <c r="Q62">
        <f t="shared" si="7"/>
        <v>5.73332662285235E-2</v>
      </c>
      <c r="R62">
        <f t="shared" si="7"/>
        <v>0</v>
      </c>
      <c r="S62">
        <f t="shared" si="2"/>
        <v>0.25866034870027815</v>
      </c>
    </row>
    <row r="63" spans="1:19" x14ac:dyDescent="0.2">
      <c r="A63">
        <v>19</v>
      </c>
      <c r="B63" t="s">
        <v>485</v>
      </c>
      <c r="C63" s="64">
        <v>1.4031413612565447</v>
      </c>
      <c r="D63" s="64">
        <v>1.4503257328990227</v>
      </c>
      <c r="E63" s="64">
        <v>1.8085106382978724</v>
      </c>
      <c r="F63" s="64">
        <v>52.948717948717949</v>
      </c>
      <c r="G63" s="64">
        <v>2.0275229357798161</v>
      </c>
      <c r="H63" s="119">
        <v>0.73640167364016729</v>
      </c>
      <c r="I63" s="64">
        <v>0.82714352283317805</v>
      </c>
      <c r="J63" s="72">
        <v>0.53598355037697054</v>
      </c>
      <c r="K63">
        <f t="shared" si="9"/>
        <v>0.14710142678106133</v>
      </c>
      <c r="L63">
        <f t="shared" si="7"/>
        <v>0.16146555265809462</v>
      </c>
      <c r="M63">
        <f t="shared" si="7"/>
        <v>0.25732106777857527</v>
      </c>
      <c r="N63">
        <f t="shared" si="7"/>
        <v>1.7238554489659206</v>
      </c>
      <c r="O63">
        <f t="shared" si="7"/>
        <v>0.30696577574448697</v>
      </c>
      <c r="P63">
        <f t="shared" si="7"/>
        <v>-0.1328852331339879</v>
      </c>
      <c r="Q63">
        <f t="shared" si="7"/>
        <v>-8.2419126763743467E-2</v>
      </c>
      <c r="R63">
        <f t="shared" si="7"/>
        <v>-0.2708485388336036</v>
      </c>
      <c r="S63">
        <f t="shared" si="2"/>
        <v>2.110556373196804</v>
      </c>
    </row>
    <row r="64" spans="1:19" x14ac:dyDescent="0.2">
      <c r="A64">
        <v>20</v>
      </c>
      <c r="B64" t="s">
        <v>485</v>
      </c>
      <c r="C64" s="64">
        <v>1.7373572593800979</v>
      </c>
      <c r="D64" s="64">
        <v>0.53446327683615813</v>
      </c>
      <c r="E64" s="64">
        <v>0.85696670776818751</v>
      </c>
      <c r="F64" s="64">
        <v>26.548262548262553</v>
      </c>
      <c r="G64" s="64">
        <v>1.8308157099697886</v>
      </c>
      <c r="H64" s="64">
        <v>0.62443946188340815</v>
      </c>
      <c r="I64" s="64">
        <v>1.0349866399465597</v>
      </c>
      <c r="J64" s="72">
        <v>0.85479452054794525</v>
      </c>
      <c r="K64">
        <f t="shared" si="9"/>
        <v>0.23988913325634148</v>
      </c>
      <c r="L64">
        <f t="shared" si="7"/>
        <v>-0.27208212996001391</v>
      </c>
      <c r="M64">
        <f t="shared" si="7"/>
        <v>-6.7036049621042107E-2</v>
      </c>
      <c r="N64">
        <f t="shared" si="7"/>
        <v>1.424036103933763</v>
      </c>
      <c r="O64">
        <f t="shared" si="7"/>
        <v>0.26264463039056751</v>
      </c>
      <c r="P64">
        <f t="shared" si="7"/>
        <v>-0.20450965920239411</v>
      </c>
      <c r="Q64">
        <f t="shared" si="7"/>
        <v>1.4934743768844265E-2</v>
      </c>
      <c r="R64">
        <f t="shared" si="7"/>
        <v>-6.8138270438031889E-2</v>
      </c>
      <c r="S64">
        <f t="shared" si="2"/>
        <v>1.3297385021280346</v>
      </c>
    </row>
    <row r="65" spans="1:19" x14ac:dyDescent="0.2">
      <c r="A65" s="143">
        <v>21</v>
      </c>
      <c r="B65" s="26" t="s">
        <v>485</v>
      </c>
      <c r="C65" s="144">
        <v>6.8504464285714279</v>
      </c>
      <c r="D65" s="144">
        <v>1.3112313937753721</v>
      </c>
      <c r="E65" s="144">
        <v>1.0324324324324323</v>
      </c>
      <c r="F65" s="144">
        <v>42.98984771573604</v>
      </c>
      <c r="G65" s="144">
        <v>1.400814926013296</v>
      </c>
      <c r="H65" s="144">
        <v>1.0463190184049078</v>
      </c>
      <c r="I65" s="144">
        <v>0.45003288158760041</v>
      </c>
      <c r="J65" s="150">
        <v>0.86926328502415462</v>
      </c>
      <c r="K65">
        <f t="shared" si="9"/>
        <v>0.83571887443367854</v>
      </c>
      <c r="L65">
        <f t="shared" si="7"/>
        <v>0.11767933865593959</v>
      </c>
      <c r="M65">
        <f t="shared" si="7"/>
        <v>1.386163884471369E-2</v>
      </c>
      <c r="N65">
        <f t="shared" si="7"/>
        <v>1.6333659067049888</v>
      </c>
      <c r="O65">
        <f t="shared" si="7"/>
        <v>0.14638076061013847</v>
      </c>
      <c r="P65">
        <f t="shared" si="7"/>
        <v>1.966411933945815E-2</v>
      </c>
      <c r="Q65">
        <f t="shared" si="7"/>
        <v>-0.34675575340166825</v>
      </c>
      <c r="R65">
        <f t="shared" si="7"/>
        <v>-6.0848663234760514E-2</v>
      </c>
      <c r="S65">
        <f t="shared" si="2"/>
        <v>2.3590662219524887</v>
      </c>
    </row>
    <row r="66" spans="1:19" x14ac:dyDescent="0.2">
      <c r="A66">
        <v>3</v>
      </c>
      <c r="B66" t="s">
        <v>486</v>
      </c>
      <c r="C66" s="119">
        <v>1</v>
      </c>
      <c r="D66" s="64">
        <v>1.1128107074569789</v>
      </c>
      <c r="E66" s="64">
        <v>8.1563981042654046</v>
      </c>
      <c r="F66" s="64">
        <v>14.370192307692307</v>
      </c>
      <c r="G66" s="64">
        <v>2.5227296261779024</v>
      </c>
      <c r="H66" s="64">
        <v>0.64861145859394542</v>
      </c>
      <c r="I66" s="64">
        <v>1.8817688958882044</v>
      </c>
      <c r="J66" s="72">
        <v>1.2685969868173257</v>
      </c>
      <c r="K66" s="18">
        <f>LOG(C66)</f>
        <v>0</v>
      </c>
      <c r="L66" s="18">
        <f t="shared" si="7"/>
        <v>4.6421295782614204E-2</v>
      </c>
      <c r="M66" s="18">
        <f t="shared" si="7"/>
        <v>0.91149841502986773</v>
      </c>
      <c r="N66" s="18">
        <f t="shared" si="7"/>
        <v>1.157462580076519</v>
      </c>
      <c r="O66" s="18">
        <f t="shared" si="7"/>
        <v>0.40187070745332032</v>
      </c>
      <c r="P66" s="18">
        <f t="shared" si="7"/>
        <v>-0.18801538319902633</v>
      </c>
      <c r="Q66" s="18">
        <f t="shared" si="7"/>
        <v>0.27456628572067238</v>
      </c>
      <c r="R66" s="18">
        <f t="shared" si="7"/>
        <v>0.10332367552261273</v>
      </c>
      <c r="S66">
        <f t="shared" si="2"/>
        <v>2.7071275763865805</v>
      </c>
    </row>
    <row r="67" spans="1:19" x14ac:dyDescent="0.2">
      <c r="A67">
        <v>5</v>
      </c>
      <c r="B67" t="s">
        <v>486</v>
      </c>
      <c r="C67" s="119">
        <v>1</v>
      </c>
      <c r="D67" s="119">
        <v>1</v>
      </c>
      <c r="E67" s="64">
        <v>1.6229508196721312</v>
      </c>
      <c r="F67" s="119">
        <v>1</v>
      </c>
      <c r="G67" s="64">
        <v>69.552380952380958</v>
      </c>
      <c r="H67" s="64">
        <v>9.375</v>
      </c>
      <c r="I67" s="64">
        <v>147.28963414634148</v>
      </c>
      <c r="J67" s="72">
        <v>4.7022471910112351</v>
      </c>
      <c r="K67">
        <f t="shared" ref="K67:K74" si="10">LOG(C67)</f>
        <v>0</v>
      </c>
      <c r="L67">
        <f t="shared" si="7"/>
        <v>0</v>
      </c>
      <c r="M67">
        <f t="shared" si="7"/>
        <v>0.2103053595867829</v>
      </c>
      <c r="N67">
        <f t="shared" si="7"/>
        <v>0</v>
      </c>
      <c r="O67">
        <f t="shared" si="7"/>
        <v>1.842312001571512</v>
      </c>
      <c r="P67">
        <f t="shared" si="7"/>
        <v>0.97197127639975645</v>
      </c>
      <c r="Q67">
        <f t="shared" si="7"/>
        <v>2.1681721834247494</v>
      </c>
      <c r="R67">
        <f t="shared" si="7"/>
        <v>0.67230545568436595</v>
      </c>
      <c r="S67">
        <f t="shared" si="2"/>
        <v>5.8650662766671662</v>
      </c>
    </row>
    <row r="68" spans="1:19" x14ac:dyDescent="0.2">
      <c r="A68" s="142">
        <v>7</v>
      </c>
      <c r="B68" t="s">
        <v>486</v>
      </c>
      <c r="C68" s="119">
        <v>1</v>
      </c>
      <c r="D68" s="64">
        <v>2.7692307692307692</v>
      </c>
      <c r="E68" s="64">
        <v>2.2314814814814814</v>
      </c>
      <c r="F68" s="64">
        <v>7.7692307692307692</v>
      </c>
      <c r="G68" s="64">
        <v>89.907203907203922</v>
      </c>
      <c r="H68" s="64">
        <v>27.671568627450981</v>
      </c>
      <c r="I68" s="64">
        <v>97.538722525446218</v>
      </c>
      <c r="J68" s="72">
        <v>22.541044776119399</v>
      </c>
      <c r="K68">
        <f t="shared" si="10"/>
        <v>0</v>
      </c>
      <c r="L68">
        <f t="shared" si="7"/>
        <v>0.44235914846045049</v>
      </c>
      <c r="M68">
        <f t="shared" si="7"/>
        <v>0.34859328708791865</v>
      </c>
      <c r="N68">
        <f t="shared" si="7"/>
        <v>0.8903780214758058</v>
      </c>
      <c r="O68">
        <f t="shared" si="7"/>
        <v>1.9537944914195651</v>
      </c>
      <c r="P68">
        <f t="shared" si="7"/>
        <v>1.4420337788350879</v>
      </c>
      <c r="Q68">
        <f t="shared" si="7"/>
        <v>1.9891770632938641</v>
      </c>
      <c r="R68">
        <f t="shared" si="7"/>
        <v>1.3529740417006775</v>
      </c>
      <c r="S68">
        <f t="shared" si="2"/>
        <v>8.4193098322733704</v>
      </c>
    </row>
    <row r="69" spans="1:19" x14ac:dyDescent="0.2">
      <c r="A69">
        <v>8</v>
      </c>
      <c r="B69" t="s">
        <v>486</v>
      </c>
      <c r="C69" s="64">
        <v>3.2931506849315069</v>
      </c>
      <c r="D69" s="64">
        <v>4.416666666666667</v>
      </c>
      <c r="E69" s="64">
        <v>29.266009852216751</v>
      </c>
      <c r="F69" s="64">
        <v>7.5230427540255409</v>
      </c>
      <c r="G69" s="82">
        <v>1977.1162790697674</v>
      </c>
      <c r="H69" s="64">
        <v>50.503854239663639</v>
      </c>
      <c r="I69" s="82">
        <v>38.039138240574502</v>
      </c>
      <c r="J69" s="72">
        <v>7.4072329688814129</v>
      </c>
      <c r="K69">
        <f t="shared" si="10"/>
        <v>0.51761160321024602</v>
      </c>
      <c r="L69">
        <f t="shared" si="7"/>
        <v>0.64509462355316427</v>
      </c>
      <c r="M69">
        <f t="shared" si="7"/>
        <v>1.4663635144634741</v>
      </c>
      <c r="N69">
        <f t="shared" si="7"/>
        <v>0.87639352995485287</v>
      </c>
      <c r="O69">
        <f t="shared" si="7"/>
        <v>3.2960322119911312</v>
      </c>
      <c r="P69">
        <f t="shared" si="7"/>
        <v>1.7033245228938041</v>
      </c>
      <c r="Q69">
        <f t="shared" si="7"/>
        <v>1.5802306696322925</v>
      </c>
      <c r="R69">
        <f t="shared" si="7"/>
        <v>0.86965600409651822</v>
      </c>
      <c r="S69">
        <f t="shared" ref="S69:S132" si="11">SUM(K69:R69)</f>
        <v>10.954706679795484</v>
      </c>
    </row>
    <row r="70" spans="1:19" x14ac:dyDescent="0.2">
      <c r="A70" s="142">
        <v>9</v>
      </c>
      <c r="B70" t="s">
        <v>486</v>
      </c>
      <c r="C70" s="119">
        <v>1</v>
      </c>
      <c r="D70" s="64">
        <v>2.1282051282051282</v>
      </c>
      <c r="E70" s="119">
        <v>1</v>
      </c>
      <c r="F70" s="64">
        <v>8.5913461538461533</v>
      </c>
      <c r="G70" s="64">
        <v>14.305320735952263</v>
      </c>
      <c r="H70" s="64">
        <v>3.7240641711229947</v>
      </c>
      <c r="I70" s="64">
        <v>3.7114087561667342</v>
      </c>
      <c r="J70" s="72">
        <v>1.8082311733800349</v>
      </c>
      <c r="K70">
        <f t="shared" si="10"/>
        <v>0</v>
      </c>
      <c r="L70">
        <f t="shared" si="7"/>
        <v>0.3280134853495747</v>
      </c>
      <c r="M70">
        <f t="shared" si="7"/>
        <v>0</v>
      </c>
      <c r="N70">
        <f t="shared" si="7"/>
        <v>0.93406121754288263</v>
      </c>
      <c r="O70">
        <f t="shared" si="7"/>
        <v>1.1554975994563927</v>
      </c>
      <c r="P70">
        <f t="shared" si="7"/>
        <v>0.57101715590879465</v>
      </c>
      <c r="Q70">
        <f t="shared" si="7"/>
        <v>0.56953878802479518</v>
      </c>
      <c r="R70">
        <f t="shared" si="7"/>
        <v>0.25725395208259055</v>
      </c>
      <c r="S70">
        <f t="shared" si="11"/>
        <v>3.8153821983650302</v>
      </c>
    </row>
    <row r="71" spans="1:19" x14ac:dyDescent="0.2">
      <c r="A71" s="142">
        <v>12</v>
      </c>
      <c r="B71" t="s">
        <v>486</v>
      </c>
      <c r="C71" s="119">
        <v>1</v>
      </c>
      <c r="D71" s="119">
        <v>1</v>
      </c>
      <c r="E71" s="119">
        <v>1</v>
      </c>
      <c r="F71" s="119">
        <v>1</v>
      </c>
      <c r="G71" s="64">
        <v>8.4320388349514559</v>
      </c>
      <c r="H71" s="119">
        <v>1</v>
      </c>
      <c r="I71" s="64">
        <v>3.2061105722599414</v>
      </c>
      <c r="J71" s="149">
        <v>1</v>
      </c>
      <c r="K71">
        <f t="shared" si="10"/>
        <v>0</v>
      </c>
      <c r="L71">
        <f t="shared" si="7"/>
        <v>0</v>
      </c>
      <c r="M71">
        <f t="shared" si="7"/>
        <v>0</v>
      </c>
      <c r="N71">
        <f t="shared" si="7"/>
        <v>0</v>
      </c>
      <c r="O71">
        <f t="shared" si="7"/>
        <v>0.92593259807794526</v>
      </c>
      <c r="P71">
        <f t="shared" si="7"/>
        <v>0</v>
      </c>
      <c r="Q71">
        <f t="shared" si="7"/>
        <v>0.5059784962134668</v>
      </c>
      <c r="R71">
        <f t="shared" si="7"/>
        <v>0</v>
      </c>
      <c r="S71">
        <f t="shared" si="11"/>
        <v>1.4319110942914119</v>
      </c>
    </row>
    <row r="72" spans="1:19" x14ac:dyDescent="0.2">
      <c r="A72">
        <v>19</v>
      </c>
      <c r="B72" t="s">
        <v>487</v>
      </c>
      <c r="C72" s="119">
        <v>1</v>
      </c>
      <c r="D72" s="64">
        <v>1.8688925081433225</v>
      </c>
      <c r="E72" s="64">
        <v>10.042553191489361</v>
      </c>
      <c r="F72" s="64">
        <v>3.9358974358974361</v>
      </c>
      <c r="G72" s="64">
        <v>96.238532110091739</v>
      </c>
      <c r="H72" s="64">
        <v>6.4853556485355641</v>
      </c>
      <c r="I72" s="64">
        <v>11.121062441752096</v>
      </c>
      <c r="J72" s="72">
        <v>9.7621658670322145</v>
      </c>
      <c r="K72">
        <f t="shared" si="10"/>
        <v>0</v>
      </c>
      <c r="L72">
        <f t="shared" si="7"/>
        <v>0.27158432306813118</v>
      </c>
      <c r="M72">
        <f t="shared" si="7"/>
        <v>1.0018441406983702</v>
      </c>
      <c r="N72">
        <f t="shared" si="7"/>
        <v>0.59504377278670606</v>
      </c>
      <c r="O72">
        <f t="shared" si="7"/>
        <v>1.9833489902529342</v>
      </c>
      <c r="P72">
        <f t="shared" si="7"/>
        <v>0.81193379722215375</v>
      </c>
      <c r="Q72">
        <f t="shared" si="7"/>
        <v>1.0461462792019054</v>
      </c>
      <c r="R72">
        <f t="shared" si="7"/>
        <v>0.98954618239495951</v>
      </c>
      <c r="S72">
        <f t="shared" si="11"/>
        <v>6.6994474856251598</v>
      </c>
    </row>
    <row r="73" spans="1:19" x14ac:dyDescent="0.2">
      <c r="A73">
        <v>20</v>
      </c>
      <c r="B73" t="s">
        <v>486</v>
      </c>
      <c r="C73" s="64">
        <v>0.88743882544861341</v>
      </c>
      <c r="D73" s="64">
        <v>0.39472693032015066</v>
      </c>
      <c r="E73" s="64">
        <v>2.394574599260173</v>
      </c>
      <c r="F73" s="64">
        <v>12.420849420849422</v>
      </c>
      <c r="G73" s="64">
        <v>14.131168177240685</v>
      </c>
      <c r="H73" s="64">
        <v>3.3419282511210762</v>
      </c>
      <c r="I73" s="64">
        <v>13.82448229792919</v>
      </c>
      <c r="J73" s="72">
        <v>2.9529680365296804</v>
      </c>
      <c r="K73">
        <f t="shared" si="10"/>
        <v>-5.1861574820235117E-2</v>
      </c>
      <c r="L73">
        <f t="shared" si="7"/>
        <v>-0.40370324276978004</v>
      </c>
      <c r="M73">
        <f t="shared" si="7"/>
        <v>0.3792283713608301</v>
      </c>
      <c r="N73">
        <f t="shared" si="7"/>
        <v>1.0941512968207181</v>
      </c>
      <c r="O73">
        <f t="shared" si="7"/>
        <v>1.1501780650303819</v>
      </c>
      <c r="P73">
        <f t="shared" si="7"/>
        <v>0.52399712165650769</v>
      </c>
      <c r="Q73">
        <f t="shared" si="7"/>
        <v>1.1406488767317156</v>
      </c>
      <c r="R73">
        <f t="shared" si="7"/>
        <v>0.47025874610699842</v>
      </c>
      <c r="S73">
        <f t="shared" si="11"/>
        <v>4.3028976601171367</v>
      </c>
    </row>
    <row r="74" spans="1:19" x14ac:dyDescent="0.2">
      <c r="A74" s="143">
        <v>21</v>
      </c>
      <c r="B74" s="26" t="s">
        <v>486</v>
      </c>
      <c r="C74" s="144">
        <v>1.2745535714285714</v>
      </c>
      <c r="D74" s="144">
        <v>3.1650879566982413</v>
      </c>
      <c r="E74" s="144">
        <v>5.9891891891891893</v>
      </c>
      <c r="F74" s="144">
        <v>38.428934010152282</v>
      </c>
      <c r="G74" s="144">
        <v>30.677246407891914</v>
      </c>
      <c r="H74" s="144">
        <v>15.683435582822085</v>
      </c>
      <c r="I74" s="147">
        <v>8.8792085208443474</v>
      </c>
      <c r="J74" s="150">
        <v>19.074275362318843</v>
      </c>
      <c r="K74" s="26">
        <f t="shared" si="10"/>
        <v>0.10535809424770404</v>
      </c>
      <c r="L74" s="26">
        <f t="shared" si="7"/>
        <v>0.50038578341432738</v>
      </c>
      <c r="M74" s="26">
        <f t="shared" si="7"/>
        <v>0.77736803198939719</v>
      </c>
      <c r="N74" s="26">
        <f t="shared" si="7"/>
        <v>1.5846583376277741</v>
      </c>
      <c r="O74" s="26">
        <f t="shared" si="7"/>
        <v>1.4868163747186958</v>
      </c>
      <c r="P74" s="26">
        <f t="shared" si="7"/>
        <v>1.1954412044725604</v>
      </c>
      <c r="Q74" s="26">
        <f t="shared" si="7"/>
        <v>0.94837425515366913</v>
      </c>
      <c r="R74" s="26">
        <f t="shared" si="7"/>
        <v>1.2804480479572393</v>
      </c>
      <c r="S74">
        <f t="shared" si="11"/>
        <v>7.8788501295813678</v>
      </c>
    </row>
    <row r="75" spans="1:19" x14ac:dyDescent="0.2">
      <c r="A75">
        <v>3</v>
      </c>
      <c r="B75" t="s">
        <v>488</v>
      </c>
      <c r="C75" s="119">
        <v>1</v>
      </c>
      <c r="D75" s="64">
        <v>1.3021032504780112</v>
      </c>
      <c r="E75" s="64">
        <v>8.9194312796208539</v>
      </c>
      <c r="F75" s="64">
        <v>1.6778846153846154</v>
      </c>
      <c r="G75" s="64">
        <v>9.4796175485830663</v>
      </c>
      <c r="H75" s="64">
        <v>1.4658744058043531</v>
      </c>
      <c r="I75" s="82">
        <v>10.632363988523537</v>
      </c>
      <c r="J75" s="72">
        <v>2.2577683615819213</v>
      </c>
      <c r="K75">
        <f>LOG(C75)</f>
        <v>0</v>
      </c>
      <c r="L75">
        <f t="shared" si="7"/>
        <v>0.11464542304551084</v>
      </c>
      <c r="M75">
        <f t="shared" si="7"/>
        <v>0.95033716379354549</v>
      </c>
      <c r="N75">
        <f t="shared" si="7"/>
        <v>0.22476209199641836</v>
      </c>
      <c r="O75">
        <f t="shared" si="7"/>
        <v>0.97679081625257314</v>
      </c>
      <c r="P75">
        <f t="shared" si="7"/>
        <v>0.16609676211770938</v>
      </c>
      <c r="Q75">
        <f t="shared" si="7"/>
        <v>1.0266298358336026</v>
      </c>
      <c r="R75">
        <f t="shared" si="7"/>
        <v>0.35367938291793782</v>
      </c>
      <c r="S75">
        <f t="shared" si="11"/>
        <v>3.8129414759572979</v>
      </c>
    </row>
    <row r="76" spans="1:19" x14ac:dyDescent="0.2">
      <c r="A76">
        <v>5</v>
      </c>
      <c r="B76" t="s">
        <v>488</v>
      </c>
      <c r="C76" s="119">
        <v>1</v>
      </c>
      <c r="D76" s="119">
        <v>1</v>
      </c>
      <c r="E76" s="64">
        <v>1.2131147540983607</v>
      </c>
      <c r="F76" s="119">
        <v>1</v>
      </c>
      <c r="G76" s="64">
        <v>3.1333333333333333</v>
      </c>
      <c r="H76" s="64">
        <v>6.4772727272727275</v>
      </c>
      <c r="I76" s="64">
        <v>87.756097560975604</v>
      </c>
      <c r="J76" s="72">
        <v>2.904494382022472</v>
      </c>
      <c r="K76">
        <f t="shared" ref="K76:K83" si="12">LOG(C76)</f>
        <v>0</v>
      </c>
      <c r="L76">
        <f t="shared" si="7"/>
        <v>0</v>
      </c>
      <c r="M76">
        <f t="shared" si="7"/>
        <v>8.3901884720209166E-2</v>
      </c>
      <c r="N76">
        <f t="shared" si="7"/>
        <v>0</v>
      </c>
      <c r="O76">
        <f t="shared" si="7"/>
        <v>0.49600659888003623</v>
      </c>
      <c r="P76">
        <f t="shared" si="7"/>
        <v>0.81139218352232279</v>
      </c>
      <c r="Q76">
        <f t="shared" si="7"/>
        <v>1.9432773022897971</v>
      </c>
      <c r="R76">
        <f t="shared" si="7"/>
        <v>0.46307054078504856</v>
      </c>
      <c r="S76">
        <f t="shared" si="11"/>
        <v>3.7976485101974133</v>
      </c>
    </row>
    <row r="77" spans="1:19" x14ac:dyDescent="0.2">
      <c r="A77" s="142">
        <v>7</v>
      </c>
      <c r="B77" t="s">
        <v>488</v>
      </c>
      <c r="C77" s="119">
        <v>1</v>
      </c>
      <c r="D77" s="64">
        <v>1.7435897435897436</v>
      </c>
      <c r="E77" s="119">
        <v>1</v>
      </c>
      <c r="F77" s="119">
        <v>1</v>
      </c>
      <c r="G77" s="64">
        <v>13.975579975579976</v>
      </c>
      <c r="H77" s="64">
        <v>25.421568627450981</v>
      </c>
      <c r="I77" s="64">
        <v>39.777843339725621</v>
      </c>
      <c r="J77" s="72">
        <v>21.791044776119403</v>
      </c>
      <c r="K77">
        <f t="shared" si="12"/>
        <v>0</v>
      </c>
      <c r="L77">
        <f t="shared" si="7"/>
        <v>0.24144430567973713</v>
      </c>
      <c r="M77">
        <f t="shared" si="7"/>
        <v>0</v>
      </c>
      <c r="N77">
        <f t="shared" si="7"/>
        <v>0</v>
      </c>
      <c r="O77">
        <f t="shared" si="7"/>
        <v>1.1453698398119518</v>
      </c>
      <c r="P77">
        <f t="shared" si="7"/>
        <v>1.405202345007434</v>
      </c>
      <c r="Q77">
        <f t="shared" si="7"/>
        <v>1.5996412330104668</v>
      </c>
      <c r="R77">
        <f t="shared" si="7"/>
        <v>1.3382780530836107</v>
      </c>
      <c r="S77">
        <f t="shared" si="11"/>
        <v>5.7299357765931997</v>
      </c>
    </row>
    <row r="78" spans="1:19" x14ac:dyDescent="0.2">
      <c r="A78">
        <v>8</v>
      </c>
      <c r="B78" t="s">
        <v>488</v>
      </c>
      <c r="C78" s="119">
        <v>1</v>
      </c>
      <c r="D78" s="119">
        <v>1</v>
      </c>
      <c r="E78" s="64">
        <v>1.645320197044335</v>
      </c>
      <c r="F78" s="64">
        <v>2.5796779566907273</v>
      </c>
      <c r="G78" s="64">
        <v>179.24999999999997</v>
      </c>
      <c r="H78" s="64">
        <v>14.621583742116329</v>
      </c>
      <c r="I78" s="82">
        <v>38.039138240574502</v>
      </c>
      <c r="J78" s="72">
        <v>5.1221194280908326</v>
      </c>
      <c r="K78">
        <f t="shared" si="12"/>
        <v>0</v>
      </c>
      <c r="L78">
        <f t="shared" si="7"/>
        <v>0</v>
      </c>
      <c r="M78">
        <f t="shared" si="7"/>
        <v>0.21625042889835155</v>
      </c>
      <c r="N78">
        <f t="shared" si="7"/>
        <v>0.41156549264468328</v>
      </c>
      <c r="O78">
        <f t="shared" si="7"/>
        <v>2.2534591643398376</v>
      </c>
      <c r="P78">
        <f t="shared" si="7"/>
        <v>1.1649944159330807</v>
      </c>
      <c r="Q78">
        <f t="shared" si="7"/>
        <v>1.5802306696322925</v>
      </c>
      <c r="R78">
        <f t="shared" si="7"/>
        <v>0.70944970032455446</v>
      </c>
      <c r="S78">
        <f t="shared" si="11"/>
        <v>6.3359498717728</v>
      </c>
    </row>
    <row r="79" spans="1:19" x14ac:dyDescent="0.2">
      <c r="A79" s="142">
        <v>9</v>
      </c>
      <c r="B79" t="s">
        <v>488</v>
      </c>
      <c r="C79" s="119">
        <v>1</v>
      </c>
      <c r="D79" s="64">
        <v>5.948717948717948</v>
      </c>
      <c r="E79" s="64">
        <v>3.1296296296296293</v>
      </c>
      <c r="F79" s="64">
        <v>4.6105769230769225</v>
      </c>
      <c r="G79" s="64">
        <v>15.889358528095476</v>
      </c>
      <c r="H79" s="64">
        <v>13.795721925133691</v>
      </c>
      <c r="I79" s="64">
        <v>19.756667222765085</v>
      </c>
      <c r="J79" s="72">
        <v>13.295096322241683</v>
      </c>
      <c r="K79">
        <f t="shared" si="12"/>
        <v>0</v>
      </c>
      <c r="L79">
        <f t="shared" si="7"/>
        <v>0.77442337786440041</v>
      </c>
      <c r="M79">
        <f t="shared" si="7"/>
        <v>0.49549294479070499</v>
      </c>
      <c r="N79">
        <f t="shared" si="7"/>
        <v>0.66375527220790198</v>
      </c>
      <c r="O79">
        <f t="shared" si="7"/>
        <v>1.201106364587379</v>
      </c>
      <c r="P79">
        <f t="shared" si="7"/>
        <v>1.1397444318828636</v>
      </c>
      <c r="Q79">
        <f t="shared" si="7"/>
        <v>1.2957136847436077</v>
      </c>
      <c r="R79">
        <f t="shared" si="7"/>
        <v>1.1236914881186209</v>
      </c>
      <c r="S79">
        <f t="shared" si="11"/>
        <v>6.6939275641954783</v>
      </c>
    </row>
    <row r="80" spans="1:19" x14ac:dyDescent="0.2">
      <c r="A80" s="142">
        <v>12</v>
      </c>
      <c r="B80" t="s">
        <v>488</v>
      </c>
      <c r="C80" s="119">
        <v>1</v>
      </c>
      <c r="D80" s="119">
        <v>1</v>
      </c>
      <c r="E80" s="119">
        <v>1</v>
      </c>
      <c r="F80" s="119">
        <v>1</v>
      </c>
      <c r="G80" s="64">
        <v>32.849514563106794</v>
      </c>
      <c r="H80" s="64">
        <v>2.4313725490196076</v>
      </c>
      <c r="I80" s="64">
        <v>27.615421920465565</v>
      </c>
      <c r="J80" s="72">
        <v>1.736842105263158</v>
      </c>
      <c r="K80">
        <f t="shared" si="12"/>
        <v>0</v>
      </c>
      <c r="L80">
        <f t="shared" si="7"/>
        <v>0</v>
      </c>
      <c r="M80">
        <f t="shared" si="7"/>
        <v>0</v>
      </c>
      <c r="N80">
        <f t="shared" si="7"/>
        <v>0</v>
      </c>
      <c r="O80">
        <f t="shared" si="7"/>
        <v>1.5165289561143156</v>
      </c>
      <c r="P80">
        <f t="shared" si="7"/>
        <v>0.38585150906429866</v>
      </c>
      <c r="Q80">
        <f t="shared" si="7"/>
        <v>1.4411516829509758</v>
      </c>
      <c r="R80">
        <f t="shared" si="7"/>
        <v>0.23976033892505855</v>
      </c>
      <c r="S80">
        <f t="shared" si="11"/>
        <v>3.5832924870546488</v>
      </c>
    </row>
    <row r="81" spans="1:19" x14ac:dyDescent="0.2">
      <c r="A81">
        <v>19</v>
      </c>
      <c r="B81" t="s">
        <v>488</v>
      </c>
      <c r="C81" s="119">
        <v>1</v>
      </c>
      <c r="D81" s="64">
        <v>1.1514657980456027</v>
      </c>
      <c r="E81" s="64">
        <v>1.3191489361702129</v>
      </c>
      <c r="F81" s="64">
        <v>3.474358974358974</v>
      </c>
      <c r="G81" s="64">
        <v>3.7064220183486234</v>
      </c>
      <c r="H81" s="64">
        <v>10.01255230125523</v>
      </c>
      <c r="I81" s="64">
        <v>8.0109506057781932</v>
      </c>
      <c r="J81" s="72">
        <v>11.750514050719671</v>
      </c>
      <c r="K81">
        <f t="shared" si="12"/>
        <v>0</v>
      </c>
      <c r="L81">
        <f t="shared" si="7"/>
        <v>6.1251042655731752E-2</v>
      </c>
      <c r="M81">
        <f t="shared" si="7"/>
        <v>0.12029383156253645</v>
      </c>
      <c r="N81">
        <f t="shared" si="7"/>
        <v>0.54087468818392526</v>
      </c>
      <c r="O81">
        <f t="shared" si="7"/>
        <v>0.56895486716998123</v>
      </c>
      <c r="P81">
        <f t="shared" si="7"/>
        <v>1.0005447976652997</v>
      </c>
      <c r="Q81">
        <f t="shared" si="7"/>
        <v>0.90368405395543872</v>
      </c>
      <c r="R81">
        <f t="shared" si="7"/>
        <v>1.0700568661403207</v>
      </c>
      <c r="S81">
        <f t="shared" si="11"/>
        <v>4.2656601473332332</v>
      </c>
    </row>
    <row r="82" spans="1:19" x14ac:dyDescent="0.2">
      <c r="A82">
        <v>20</v>
      </c>
      <c r="B82" t="s">
        <v>488</v>
      </c>
      <c r="C82" s="64">
        <v>0.20065252854812399</v>
      </c>
      <c r="D82" s="118">
        <v>6.8549905838041436E-2</v>
      </c>
      <c r="E82" s="64">
        <v>0.29839704069050554</v>
      </c>
      <c r="F82" s="118">
        <v>0.77992277992277992</v>
      </c>
      <c r="G82" s="64">
        <v>4.8532225579053376</v>
      </c>
      <c r="H82" s="64">
        <v>4.0022421524663683</v>
      </c>
      <c r="I82" s="64">
        <v>5.6726369405477621</v>
      </c>
      <c r="J82" s="72">
        <v>3.2589041095890416</v>
      </c>
      <c r="K82">
        <f t="shared" si="12"/>
        <v>-0.69755536307901711</v>
      </c>
      <c r="L82">
        <f t="shared" si="7"/>
        <v>-1.1639931374324131</v>
      </c>
      <c r="M82">
        <f t="shared" si="7"/>
        <v>-0.52520548823072477</v>
      </c>
      <c r="N82">
        <f t="shared" si="7"/>
        <v>-0.10794839463462806</v>
      </c>
      <c r="O82">
        <f t="shared" si="7"/>
        <v>0.6860302075431759</v>
      </c>
      <c r="P82">
        <f t="shared" si="7"/>
        <v>0.60230336173607024</v>
      </c>
      <c r="Q82">
        <f t="shared" si="7"/>
        <v>0.75378498878903821</v>
      </c>
      <c r="R82">
        <f t="shared" si="7"/>
        <v>0.51307158191681046</v>
      </c>
      <c r="S82">
        <f t="shared" si="11"/>
        <v>6.0487756608311849E-2</v>
      </c>
    </row>
    <row r="83" spans="1:19" x14ac:dyDescent="0.2">
      <c r="A83" s="143">
        <v>21</v>
      </c>
      <c r="B83" s="26" t="s">
        <v>488</v>
      </c>
      <c r="C83" s="144">
        <v>1.0669642857142856</v>
      </c>
      <c r="D83" s="144">
        <v>2.4289580514208389</v>
      </c>
      <c r="E83" s="144">
        <v>2.3486486486486484</v>
      </c>
      <c r="F83" s="144">
        <v>9.9593908629441632</v>
      </c>
      <c r="G83" s="144">
        <v>20.215097576667379</v>
      </c>
      <c r="H83" s="144">
        <v>18.011042944785274</v>
      </c>
      <c r="I83" s="144">
        <v>8.4021224742427574</v>
      </c>
      <c r="J83" s="150">
        <v>15.03713768115942</v>
      </c>
      <c r="K83">
        <f t="shared" si="12"/>
        <v>2.8149882613974827E-2</v>
      </c>
      <c r="L83">
        <f t="shared" si="7"/>
        <v>0.38542001451951219</v>
      </c>
      <c r="M83">
        <f t="shared" si="7"/>
        <v>0.37081805238167143</v>
      </c>
      <c r="N83">
        <f t="shared" si="7"/>
        <v>0.9982327768823368</v>
      </c>
      <c r="O83">
        <f t="shared" si="7"/>
        <v>1.3056758419796575</v>
      </c>
      <c r="P83">
        <f t="shared" si="7"/>
        <v>1.2555388617396239</v>
      </c>
      <c r="Q83">
        <f t="shared" si="7"/>
        <v>0.92438900777804311</v>
      </c>
      <c r="R83">
        <f t="shared" si="7"/>
        <v>1.1771651761770721</v>
      </c>
      <c r="S83">
        <f t="shared" si="11"/>
        <v>6.4453896140718907</v>
      </c>
    </row>
    <row r="84" spans="1:19" x14ac:dyDescent="0.2">
      <c r="A84">
        <v>3</v>
      </c>
      <c r="B84" t="s">
        <v>489</v>
      </c>
      <c r="C84" s="119">
        <v>1</v>
      </c>
      <c r="D84" s="64">
        <v>1.04302103250478</v>
      </c>
      <c r="E84" s="64">
        <v>16.777251184834125</v>
      </c>
      <c r="F84" s="64">
        <v>35.30288461538462</v>
      </c>
      <c r="G84" s="64">
        <v>19.985606295951126</v>
      </c>
      <c r="H84" s="64">
        <v>1.3893670252689518</v>
      </c>
      <c r="I84" s="82">
        <v>10.632363988523537</v>
      </c>
      <c r="J84" s="72">
        <v>2.148932831136221</v>
      </c>
      <c r="K84" s="18">
        <f>LOG(C84)</f>
        <v>0</v>
      </c>
      <c r="L84" s="18">
        <f t="shared" si="7"/>
        <v>1.8293066057086377E-2</v>
      </c>
      <c r="M84" s="18">
        <f t="shared" si="7"/>
        <v>1.2247208067280952</v>
      </c>
      <c r="N84" s="18">
        <f t="shared" si="7"/>
        <v>1.5478101932450532</v>
      </c>
      <c r="O84" s="18">
        <f t="shared" ref="O84:R135" si="13">LOG(G84)</f>
        <v>1.3007173278271444</v>
      </c>
      <c r="P84" s="18">
        <f t="shared" si="13"/>
        <v>0.14281698727356265</v>
      </c>
      <c r="Q84" s="18">
        <f t="shared" si="13"/>
        <v>1.0266298358336026</v>
      </c>
      <c r="R84" s="18">
        <f t="shared" si="13"/>
        <v>0.3322228410276053</v>
      </c>
      <c r="S84">
        <f t="shared" si="11"/>
        <v>5.593211057992149</v>
      </c>
    </row>
    <row r="85" spans="1:19" x14ac:dyDescent="0.2">
      <c r="A85">
        <v>5</v>
      </c>
      <c r="B85" t="s">
        <v>489</v>
      </c>
      <c r="C85" s="119">
        <v>1</v>
      </c>
      <c r="D85" s="119">
        <v>1</v>
      </c>
      <c r="E85" s="64">
        <v>1.0655737704918034</v>
      </c>
      <c r="F85" s="64">
        <v>1.0506329113924049</v>
      </c>
      <c r="G85" s="64">
        <v>7.1999999999999993</v>
      </c>
      <c r="H85" s="119">
        <v>1</v>
      </c>
      <c r="I85" s="64">
        <v>8.9359756097560972</v>
      </c>
      <c r="J85" s="149">
        <v>1</v>
      </c>
      <c r="K85">
        <f t="shared" ref="K85:N100" si="14">LOG(C85)</f>
        <v>0</v>
      </c>
      <c r="L85">
        <f t="shared" si="14"/>
        <v>0</v>
      </c>
      <c r="M85">
        <f t="shared" si="14"/>
        <v>2.7583521632088569E-2</v>
      </c>
      <c r="N85">
        <f t="shared" si="14"/>
        <v>2.1451001085632405E-2</v>
      </c>
      <c r="O85">
        <f t="shared" si="13"/>
        <v>0.85733249643126841</v>
      </c>
      <c r="P85">
        <f t="shared" si="13"/>
        <v>0</v>
      </c>
      <c r="Q85">
        <f t="shared" si="13"/>
        <v>0.95114197472675643</v>
      </c>
      <c r="R85">
        <f t="shared" si="13"/>
        <v>0</v>
      </c>
      <c r="S85">
        <f t="shared" si="11"/>
        <v>1.8575089938757459</v>
      </c>
    </row>
    <row r="86" spans="1:19" x14ac:dyDescent="0.2">
      <c r="A86" s="142">
        <v>7</v>
      </c>
      <c r="B86" t="s">
        <v>489</v>
      </c>
      <c r="C86" s="119">
        <v>1</v>
      </c>
      <c r="D86" s="64">
        <v>3.8974358974358974</v>
      </c>
      <c r="E86" s="119">
        <v>1</v>
      </c>
      <c r="F86" s="64">
        <v>33.158653846153847</v>
      </c>
      <c r="G86" s="64">
        <v>8.7130647130647141</v>
      </c>
      <c r="H86" s="64">
        <v>1.4117647058823528</v>
      </c>
      <c r="I86" s="64">
        <v>3.6677976102670007</v>
      </c>
      <c r="J86" s="72">
        <v>0.7425373134328358</v>
      </c>
      <c r="K86">
        <f t="shared" si="14"/>
        <v>0</v>
      </c>
      <c r="L86">
        <f t="shared" si="14"/>
        <v>0.5907789809182733</v>
      </c>
      <c r="M86">
        <f t="shared" si="14"/>
        <v>0</v>
      </c>
      <c r="N86">
        <f t="shared" si="14"/>
        <v>1.52059689102618</v>
      </c>
      <c r="O86">
        <f t="shared" si="13"/>
        <v>0.94017093960764819</v>
      </c>
      <c r="P86">
        <f t="shared" si="13"/>
        <v>0.14976232033333206</v>
      </c>
      <c r="Q86">
        <f t="shared" si="13"/>
        <v>0.56440536321137769</v>
      </c>
      <c r="R86">
        <f t="shared" si="13"/>
        <v>-0.12928171761908219</v>
      </c>
      <c r="S86">
        <f t="shared" si="11"/>
        <v>3.6364327774777294</v>
      </c>
    </row>
    <row r="87" spans="1:19" x14ac:dyDescent="0.2">
      <c r="A87">
        <v>8</v>
      </c>
      <c r="B87" t="s">
        <v>489</v>
      </c>
      <c r="C87" s="64">
        <v>5.4767123287671229</v>
      </c>
      <c r="D87" s="64">
        <v>6.1547619047619051</v>
      </c>
      <c r="E87" s="64">
        <v>4.4236453201970454</v>
      </c>
      <c r="F87" s="64">
        <v>56.65852304275402</v>
      </c>
      <c r="G87" s="64">
        <v>44.350775193798448</v>
      </c>
      <c r="H87" s="64">
        <v>3.04625087596356</v>
      </c>
      <c r="I87" s="64">
        <v>4.071454219030521</v>
      </c>
      <c r="J87" s="72">
        <v>0.25769554247266607</v>
      </c>
      <c r="K87">
        <f t="shared" si="14"/>
        <v>0.73851992966164215</v>
      </c>
      <c r="L87">
        <f t="shared" si="14"/>
        <v>0.78921125703206085</v>
      </c>
      <c r="M87">
        <f t="shared" si="14"/>
        <v>0.6457802987540916</v>
      </c>
      <c r="N87">
        <f t="shared" si="14"/>
        <v>1.7532652492747427</v>
      </c>
      <c r="O87">
        <f t="shared" si="13"/>
        <v>1.6469012151361069</v>
      </c>
      <c r="P87">
        <f t="shared" si="13"/>
        <v>0.48376566707619006</v>
      </c>
      <c r="Q87">
        <f t="shared" si="13"/>
        <v>0.60974955578507517</v>
      </c>
      <c r="R87">
        <f t="shared" si="13"/>
        <v>-0.58889309365812537</v>
      </c>
      <c r="S87">
        <f t="shared" si="11"/>
        <v>6.0783000790617834</v>
      </c>
    </row>
    <row r="88" spans="1:19" x14ac:dyDescent="0.2">
      <c r="A88" s="142">
        <v>9</v>
      </c>
      <c r="B88" t="s">
        <v>489</v>
      </c>
      <c r="C88" s="119">
        <v>1</v>
      </c>
      <c r="D88" s="64">
        <v>1.5384615384615383</v>
      </c>
      <c r="E88" s="119">
        <v>1</v>
      </c>
      <c r="F88" s="64">
        <v>28.89423076923077</v>
      </c>
      <c r="G88" s="64">
        <v>19.394579811039282</v>
      </c>
      <c r="H88" s="64">
        <v>4.5999999999999996</v>
      </c>
      <c r="I88" s="64">
        <v>4.3243165947710862</v>
      </c>
      <c r="J88" s="72">
        <v>1.7119089316987741</v>
      </c>
      <c r="K88">
        <f t="shared" si="14"/>
        <v>0</v>
      </c>
      <c r="L88">
        <f t="shared" si="14"/>
        <v>0.18708664335714439</v>
      </c>
      <c r="M88">
        <f t="shared" si="14"/>
        <v>0</v>
      </c>
      <c r="N88">
        <f t="shared" si="14"/>
        <v>1.4608111370399779</v>
      </c>
      <c r="O88">
        <f t="shared" si="13"/>
        <v>1.2876803749273729</v>
      </c>
      <c r="P88">
        <f t="shared" si="13"/>
        <v>0.66275783168157409</v>
      </c>
      <c r="Q88">
        <f t="shared" si="13"/>
        <v>0.63591748230457479</v>
      </c>
      <c r="R88">
        <f t="shared" si="13"/>
        <v>0.23348065782205638</v>
      </c>
      <c r="S88">
        <f t="shared" si="11"/>
        <v>4.4677341271327009</v>
      </c>
    </row>
    <row r="89" spans="1:19" x14ac:dyDescent="0.2">
      <c r="A89" s="142">
        <v>12</v>
      </c>
      <c r="B89" t="s">
        <v>489</v>
      </c>
      <c r="C89" s="119">
        <v>1</v>
      </c>
      <c r="D89" s="119">
        <v>1</v>
      </c>
      <c r="E89" s="119">
        <v>1</v>
      </c>
      <c r="F89" s="119">
        <v>1</v>
      </c>
      <c r="G89" s="64">
        <v>22.660194174757279</v>
      </c>
      <c r="H89" s="119">
        <v>1</v>
      </c>
      <c r="I89" s="64">
        <v>7.9888457807953435</v>
      </c>
      <c r="J89" s="149">
        <v>1</v>
      </c>
      <c r="K89">
        <f t="shared" si="14"/>
        <v>0</v>
      </c>
      <c r="L89">
        <f t="shared" si="14"/>
        <v>0</v>
      </c>
      <c r="M89">
        <f t="shared" si="14"/>
        <v>0</v>
      </c>
      <c r="N89">
        <f t="shared" si="14"/>
        <v>0</v>
      </c>
      <c r="O89">
        <f t="shared" si="13"/>
        <v>1.3552636270041791</v>
      </c>
      <c r="P89">
        <f t="shared" si="13"/>
        <v>0</v>
      </c>
      <c r="Q89">
        <f t="shared" si="13"/>
        <v>0.90248403748154149</v>
      </c>
      <c r="R89">
        <f t="shared" si="13"/>
        <v>0</v>
      </c>
      <c r="S89">
        <f t="shared" si="11"/>
        <v>2.2577476644857208</v>
      </c>
    </row>
    <row r="90" spans="1:19" x14ac:dyDescent="0.2">
      <c r="A90">
        <v>20</v>
      </c>
      <c r="B90" t="s">
        <v>489</v>
      </c>
      <c r="C90" s="64">
        <v>0.27243066884176181</v>
      </c>
      <c r="D90" s="118">
        <v>6.8549905838041436E-2</v>
      </c>
      <c r="E90" s="64">
        <v>0.46485819975339093</v>
      </c>
      <c r="F90" s="64">
        <v>4.4324324324324325</v>
      </c>
      <c r="G90" s="64">
        <v>0.72029204431017124</v>
      </c>
      <c r="H90" s="64">
        <v>0.47197309417040356</v>
      </c>
      <c r="I90" s="64">
        <v>0.67004843019372073</v>
      </c>
      <c r="J90" s="72">
        <v>0.40730593607305937</v>
      </c>
      <c r="K90">
        <f t="shared" si="14"/>
        <v>-0.56474400337083175</v>
      </c>
      <c r="L90">
        <f t="shared" si="14"/>
        <v>-1.1639931374324131</v>
      </c>
      <c r="M90">
        <f t="shared" si="14"/>
        <v>-0.33267950400536311</v>
      </c>
      <c r="N90">
        <f t="shared" si="14"/>
        <v>0.64664212398070287</v>
      </c>
      <c r="O90">
        <f t="shared" si="13"/>
        <v>-0.1424913820180809</v>
      </c>
      <c r="P90">
        <f t="shared" si="13"/>
        <v>-0.32608275854045476</v>
      </c>
      <c r="Q90">
        <f t="shared" si="13"/>
        <v>-0.1738938059473005</v>
      </c>
      <c r="R90">
        <f t="shared" si="13"/>
        <v>-0.39007926046399527</v>
      </c>
      <c r="S90">
        <f t="shared" si="11"/>
        <v>-2.4473217277977364</v>
      </c>
    </row>
    <row r="91" spans="1:19" x14ac:dyDescent="0.2">
      <c r="A91" s="143">
        <v>21</v>
      </c>
      <c r="B91" s="26" t="s">
        <v>489</v>
      </c>
      <c r="C91" s="144">
        <v>1.4285714285714286</v>
      </c>
      <c r="D91" s="144">
        <v>0.86468200270635998</v>
      </c>
      <c r="E91" s="144">
        <v>1.0621621621621622</v>
      </c>
      <c r="F91" s="144">
        <v>31.086294416243657</v>
      </c>
      <c r="G91" s="144">
        <v>1.6407891915076132</v>
      </c>
      <c r="H91" s="144">
        <v>1.0294478527607362</v>
      </c>
      <c r="I91" s="144">
        <v>0.77538651983855789</v>
      </c>
      <c r="J91" s="150">
        <v>0.97886473429951704</v>
      </c>
      <c r="K91" s="26">
        <f t="shared" si="14"/>
        <v>0.15490195998574319</v>
      </c>
      <c r="L91" s="26">
        <f t="shared" si="14"/>
        <v>-6.3143580236425564E-2</v>
      </c>
      <c r="M91" s="26">
        <f t="shared" si="14"/>
        <v>2.6190826308431715E-2</v>
      </c>
      <c r="N91" s="26">
        <f t="shared" si="14"/>
        <v>1.4925689558646305</v>
      </c>
      <c r="O91" s="26">
        <f t="shared" si="13"/>
        <v>0.21505278650946758</v>
      </c>
      <c r="P91" s="26">
        <f t="shared" si="13"/>
        <v>1.2604352088723684E-2</v>
      </c>
      <c r="Q91" s="26">
        <f t="shared" si="13"/>
        <v>-0.11048175351015836</v>
      </c>
      <c r="R91" s="26">
        <f t="shared" si="13"/>
        <v>-9.2773176003463371E-3</v>
      </c>
      <c r="S91">
        <f t="shared" si="11"/>
        <v>1.7184162294100664</v>
      </c>
    </row>
    <row r="92" spans="1:19" x14ac:dyDescent="0.2">
      <c r="A92">
        <v>3</v>
      </c>
      <c r="B92" t="s">
        <v>490</v>
      </c>
      <c r="C92" s="119">
        <v>1</v>
      </c>
      <c r="D92" s="119">
        <v>1</v>
      </c>
      <c r="E92" s="119">
        <v>1</v>
      </c>
      <c r="F92" s="119">
        <v>1</v>
      </c>
      <c r="G92" s="64">
        <v>1</v>
      </c>
      <c r="H92" s="64">
        <v>1</v>
      </c>
      <c r="I92" s="64">
        <v>1</v>
      </c>
      <c r="J92" s="72">
        <v>1</v>
      </c>
      <c r="K92">
        <f>LOG(C92)</f>
        <v>0</v>
      </c>
      <c r="L92">
        <f t="shared" si="14"/>
        <v>0</v>
      </c>
      <c r="M92">
        <f t="shared" si="14"/>
        <v>0</v>
      </c>
      <c r="N92">
        <f t="shared" si="14"/>
        <v>0</v>
      </c>
      <c r="O92">
        <f t="shared" si="13"/>
        <v>0</v>
      </c>
      <c r="P92">
        <f t="shared" si="13"/>
        <v>0</v>
      </c>
      <c r="Q92">
        <f t="shared" si="13"/>
        <v>0</v>
      </c>
      <c r="R92">
        <f t="shared" si="13"/>
        <v>0</v>
      </c>
      <c r="S92">
        <f t="shared" si="11"/>
        <v>0</v>
      </c>
    </row>
    <row r="93" spans="1:19" x14ac:dyDescent="0.2">
      <c r="A93">
        <v>5</v>
      </c>
      <c r="B93" t="s">
        <v>490</v>
      </c>
      <c r="C93" s="119">
        <v>1</v>
      </c>
      <c r="D93" s="119">
        <v>1</v>
      </c>
      <c r="E93" s="64">
        <v>1</v>
      </c>
      <c r="F93" s="119">
        <v>1</v>
      </c>
      <c r="G93" s="119">
        <v>1</v>
      </c>
      <c r="H93" s="119">
        <v>1</v>
      </c>
      <c r="I93" s="119">
        <v>1</v>
      </c>
      <c r="J93" s="149">
        <v>1</v>
      </c>
      <c r="K93">
        <f t="shared" ref="K93:K100" si="15">LOG(C93)</f>
        <v>0</v>
      </c>
      <c r="L93">
        <f t="shared" si="14"/>
        <v>0</v>
      </c>
      <c r="M93">
        <f t="shared" si="14"/>
        <v>0</v>
      </c>
      <c r="N93">
        <f t="shared" si="14"/>
        <v>0</v>
      </c>
      <c r="O93">
        <f t="shared" si="13"/>
        <v>0</v>
      </c>
      <c r="P93">
        <f t="shared" si="13"/>
        <v>0</v>
      </c>
      <c r="Q93">
        <f t="shared" si="13"/>
        <v>0</v>
      </c>
      <c r="R93">
        <f t="shared" si="13"/>
        <v>0</v>
      </c>
      <c r="S93">
        <f t="shared" si="11"/>
        <v>0</v>
      </c>
    </row>
    <row r="94" spans="1:19" x14ac:dyDescent="0.2">
      <c r="A94" s="142">
        <v>7</v>
      </c>
      <c r="B94" t="s">
        <v>490</v>
      </c>
      <c r="C94" s="119">
        <v>1</v>
      </c>
      <c r="D94" s="119">
        <v>1</v>
      </c>
      <c r="E94" s="119">
        <v>1</v>
      </c>
      <c r="F94" s="119">
        <v>1</v>
      </c>
      <c r="G94" s="119">
        <v>1</v>
      </c>
      <c r="H94" s="119">
        <v>1</v>
      </c>
      <c r="I94" s="64">
        <v>1</v>
      </c>
      <c r="J94" s="149">
        <v>1</v>
      </c>
      <c r="K94">
        <f t="shared" si="15"/>
        <v>0</v>
      </c>
      <c r="L94">
        <f t="shared" si="14"/>
        <v>0</v>
      </c>
      <c r="M94">
        <f t="shared" si="14"/>
        <v>0</v>
      </c>
      <c r="N94">
        <f t="shared" si="14"/>
        <v>0</v>
      </c>
      <c r="O94">
        <f t="shared" si="13"/>
        <v>0</v>
      </c>
      <c r="P94">
        <f t="shared" si="13"/>
        <v>0</v>
      </c>
      <c r="Q94">
        <f t="shared" si="13"/>
        <v>0</v>
      </c>
      <c r="R94">
        <f t="shared" si="13"/>
        <v>0</v>
      </c>
      <c r="S94">
        <f t="shared" si="11"/>
        <v>0</v>
      </c>
    </row>
    <row r="95" spans="1:19" x14ac:dyDescent="0.2">
      <c r="A95">
        <v>8</v>
      </c>
      <c r="B95" t="s">
        <v>490</v>
      </c>
      <c r="C95" s="119">
        <v>1</v>
      </c>
      <c r="D95" s="64">
        <v>1</v>
      </c>
      <c r="E95" s="64">
        <v>1</v>
      </c>
      <c r="F95" s="119">
        <v>1</v>
      </c>
      <c r="G95" s="64">
        <v>1</v>
      </c>
      <c r="H95" s="119">
        <v>1</v>
      </c>
      <c r="I95" s="64">
        <v>1</v>
      </c>
      <c r="J95" s="149">
        <v>1</v>
      </c>
      <c r="K95">
        <f t="shared" si="15"/>
        <v>0</v>
      </c>
      <c r="L95">
        <f t="shared" si="14"/>
        <v>0</v>
      </c>
      <c r="M95">
        <f t="shared" si="14"/>
        <v>0</v>
      </c>
      <c r="N95">
        <f t="shared" si="14"/>
        <v>0</v>
      </c>
      <c r="O95">
        <f t="shared" si="13"/>
        <v>0</v>
      </c>
      <c r="P95">
        <f t="shared" si="13"/>
        <v>0</v>
      </c>
      <c r="Q95">
        <f t="shared" si="13"/>
        <v>0</v>
      </c>
      <c r="R95">
        <f t="shared" si="13"/>
        <v>0</v>
      </c>
      <c r="S95">
        <f t="shared" si="11"/>
        <v>0</v>
      </c>
    </row>
    <row r="96" spans="1:19" x14ac:dyDescent="0.2">
      <c r="A96" s="142">
        <v>9</v>
      </c>
      <c r="B96" t="s">
        <v>490</v>
      </c>
      <c r="C96" s="119">
        <v>1</v>
      </c>
      <c r="D96" s="64">
        <v>1</v>
      </c>
      <c r="E96" s="119">
        <v>1</v>
      </c>
      <c r="F96" s="119">
        <v>1</v>
      </c>
      <c r="G96" s="119">
        <v>1</v>
      </c>
      <c r="H96" s="64">
        <v>1</v>
      </c>
      <c r="I96" s="64">
        <v>1</v>
      </c>
      <c r="J96" s="149">
        <v>1</v>
      </c>
      <c r="K96">
        <f t="shared" si="15"/>
        <v>0</v>
      </c>
      <c r="L96">
        <f t="shared" si="14"/>
        <v>0</v>
      </c>
      <c r="M96">
        <f t="shared" si="14"/>
        <v>0</v>
      </c>
      <c r="N96">
        <f t="shared" si="14"/>
        <v>0</v>
      </c>
      <c r="O96">
        <f t="shared" si="13"/>
        <v>0</v>
      </c>
      <c r="P96">
        <f t="shared" si="13"/>
        <v>0</v>
      </c>
      <c r="Q96">
        <f t="shared" si="13"/>
        <v>0</v>
      </c>
      <c r="R96">
        <f t="shared" si="13"/>
        <v>0</v>
      </c>
      <c r="S96">
        <f t="shared" si="11"/>
        <v>0</v>
      </c>
    </row>
    <row r="97" spans="1:19" x14ac:dyDescent="0.2">
      <c r="A97" s="142">
        <v>12</v>
      </c>
      <c r="B97" t="s">
        <v>490</v>
      </c>
      <c r="C97" s="119">
        <v>1</v>
      </c>
      <c r="D97" s="119">
        <v>1</v>
      </c>
      <c r="E97" s="119">
        <v>1</v>
      </c>
      <c r="F97" s="119">
        <v>1</v>
      </c>
      <c r="G97" s="119">
        <v>1</v>
      </c>
      <c r="H97" s="119">
        <v>1</v>
      </c>
      <c r="I97" s="119">
        <v>1</v>
      </c>
      <c r="J97" s="149">
        <v>1</v>
      </c>
      <c r="K97">
        <f t="shared" si="15"/>
        <v>0</v>
      </c>
      <c r="L97">
        <f t="shared" si="14"/>
        <v>0</v>
      </c>
      <c r="M97">
        <f t="shared" si="14"/>
        <v>0</v>
      </c>
      <c r="N97">
        <f t="shared" si="14"/>
        <v>0</v>
      </c>
      <c r="O97">
        <f t="shared" si="13"/>
        <v>0</v>
      </c>
      <c r="P97">
        <f t="shared" si="13"/>
        <v>0</v>
      </c>
      <c r="Q97">
        <f t="shared" si="13"/>
        <v>0</v>
      </c>
      <c r="R97">
        <f t="shared" si="13"/>
        <v>0</v>
      </c>
      <c r="S97">
        <f t="shared" si="11"/>
        <v>0</v>
      </c>
    </row>
    <row r="98" spans="1:19" x14ac:dyDescent="0.2">
      <c r="A98">
        <v>19</v>
      </c>
      <c r="B98" t="s">
        <v>491</v>
      </c>
      <c r="C98" s="119">
        <v>1</v>
      </c>
      <c r="D98" s="64">
        <v>1</v>
      </c>
      <c r="E98" s="64">
        <v>1</v>
      </c>
      <c r="F98" s="119">
        <v>1</v>
      </c>
      <c r="G98" s="119">
        <v>1</v>
      </c>
      <c r="H98" s="119">
        <v>1</v>
      </c>
      <c r="I98" s="64">
        <v>1</v>
      </c>
      <c r="J98" s="149">
        <v>1</v>
      </c>
      <c r="K98">
        <f t="shared" si="15"/>
        <v>0</v>
      </c>
      <c r="L98">
        <f t="shared" si="14"/>
        <v>0</v>
      </c>
      <c r="M98">
        <f t="shared" si="14"/>
        <v>0</v>
      </c>
      <c r="N98">
        <f t="shared" si="14"/>
        <v>0</v>
      </c>
      <c r="O98">
        <f t="shared" si="13"/>
        <v>0</v>
      </c>
      <c r="P98">
        <f t="shared" si="13"/>
        <v>0</v>
      </c>
      <c r="Q98">
        <f t="shared" si="13"/>
        <v>0</v>
      </c>
      <c r="R98">
        <f t="shared" si="13"/>
        <v>0</v>
      </c>
      <c r="S98">
        <f t="shared" si="11"/>
        <v>0</v>
      </c>
    </row>
    <row r="99" spans="1:19" x14ac:dyDescent="0.2">
      <c r="A99">
        <v>20</v>
      </c>
      <c r="B99" t="s">
        <v>490</v>
      </c>
      <c r="C99" s="118">
        <v>1</v>
      </c>
      <c r="D99" s="118">
        <v>1</v>
      </c>
      <c r="E99" s="64">
        <v>1</v>
      </c>
      <c r="F99" s="118">
        <v>1</v>
      </c>
      <c r="G99" s="64">
        <v>1</v>
      </c>
      <c r="H99" s="64">
        <v>1</v>
      </c>
      <c r="I99" s="118">
        <v>1</v>
      </c>
      <c r="J99" s="151">
        <v>1</v>
      </c>
      <c r="K99">
        <f t="shared" si="15"/>
        <v>0</v>
      </c>
      <c r="L99">
        <f t="shared" si="14"/>
        <v>0</v>
      </c>
      <c r="M99">
        <f t="shared" si="14"/>
        <v>0</v>
      </c>
      <c r="N99">
        <f t="shared" si="14"/>
        <v>0</v>
      </c>
      <c r="O99">
        <f t="shared" si="13"/>
        <v>0</v>
      </c>
      <c r="P99">
        <f t="shared" si="13"/>
        <v>0</v>
      </c>
      <c r="Q99">
        <f t="shared" si="13"/>
        <v>0</v>
      </c>
      <c r="R99">
        <f t="shared" si="13"/>
        <v>0</v>
      </c>
      <c r="S99">
        <f t="shared" si="11"/>
        <v>0</v>
      </c>
    </row>
    <row r="100" spans="1:19" x14ac:dyDescent="0.2">
      <c r="A100" s="143">
        <v>21</v>
      </c>
      <c r="B100" s="26" t="s">
        <v>490</v>
      </c>
      <c r="C100" s="144">
        <v>1</v>
      </c>
      <c r="D100" s="145">
        <v>1</v>
      </c>
      <c r="E100" s="144">
        <v>1</v>
      </c>
      <c r="F100" s="145">
        <v>1</v>
      </c>
      <c r="G100" s="144">
        <v>1</v>
      </c>
      <c r="H100" s="144">
        <v>1</v>
      </c>
      <c r="I100" s="144">
        <v>1</v>
      </c>
      <c r="J100" s="152">
        <v>1</v>
      </c>
      <c r="K100">
        <f t="shared" si="15"/>
        <v>0</v>
      </c>
      <c r="L100">
        <f t="shared" si="14"/>
        <v>0</v>
      </c>
      <c r="M100">
        <f t="shared" si="14"/>
        <v>0</v>
      </c>
      <c r="N100">
        <f t="shared" si="14"/>
        <v>0</v>
      </c>
      <c r="O100">
        <f t="shared" si="13"/>
        <v>0</v>
      </c>
      <c r="P100">
        <f t="shared" si="13"/>
        <v>0</v>
      </c>
      <c r="Q100">
        <f t="shared" si="13"/>
        <v>0</v>
      </c>
      <c r="R100">
        <f t="shared" si="13"/>
        <v>0</v>
      </c>
      <c r="S100">
        <f t="shared" si="11"/>
        <v>0</v>
      </c>
    </row>
    <row r="101" spans="1:19" x14ac:dyDescent="0.2">
      <c r="A101">
        <v>3</v>
      </c>
      <c r="B101" t="s">
        <v>492</v>
      </c>
      <c r="C101" s="119">
        <v>1</v>
      </c>
      <c r="D101" s="119">
        <v>1</v>
      </c>
      <c r="E101" s="119">
        <v>1</v>
      </c>
      <c r="F101" s="119">
        <v>1</v>
      </c>
      <c r="G101" s="64">
        <v>0.38925925925925925</v>
      </c>
      <c r="H101" s="64">
        <v>1.5798816568047338</v>
      </c>
      <c r="I101" s="64">
        <v>2.0338858195211786</v>
      </c>
      <c r="J101" s="72">
        <v>1.6551724137931036</v>
      </c>
      <c r="K101" s="18">
        <f>LOG(C101)</f>
        <v>0</v>
      </c>
      <c r="L101" s="18">
        <f t="shared" ref="L101:N135" si="16">LOG(D101)</f>
        <v>0</v>
      </c>
      <c r="M101" s="18">
        <f t="shared" si="16"/>
        <v>0</v>
      </c>
      <c r="N101" s="18">
        <f t="shared" si="16"/>
        <v>0</v>
      </c>
      <c r="O101" s="18">
        <f t="shared" si="13"/>
        <v>-0.4097610481307451</v>
      </c>
      <c r="P101" s="18">
        <f t="shared" si="13"/>
        <v>0.19862455675090171</v>
      </c>
      <c r="Q101" s="18">
        <f t="shared" si="13"/>
        <v>0.30832656837837863</v>
      </c>
      <c r="R101" s="18">
        <f t="shared" si="13"/>
        <v>0.21884323947663117</v>
      </c>
      <c r="S101">
        <f t="shared" si="11"/>
        <v>0.31603331647516641</v>
      </c>
    </row>
    <row r="102" spans="1:19" x14ac:dyDescent="0.2">
      <c r="A102">
        <v>5</v>
      </c>
      <c r="B102" t="s">
        <v>492</v>
      </c>
      <c r="C102" s="119">
        <v>1</v>
      </c>
      <c r="D102" s="119">
        <v>1</v>
      </c>
      <c r="E102" s="64">
        <v>1.2298850574712645</v>
      </c>
      <c r="F102" s="119">
        <v>1</v>
      </c>
      <c r="G102" s="119">
        <v>1</v>
      </c>
      <c r="H102" s="119">
        <v>1</v>
      </c>
      <c r="I102" s="119">
        <v>1</v>
      </c>
      <c r="J102" s="149">
        <v>1</v>
      </c>
      <c r="K102">
        <f t="shared" ref="K102:K109" si="17">LOG(C102)</f>
        <v>0</v>
      </c>
      <c r="L102">
        <f t="shared" si="16"/>
        <v>0</v>
      </c>
      <c r="M102">
        <f t="shared" si="16"/>
        <v>8.9864525066591178E-2</v>
      </c>
      <c r="N102">
        <f t="shared" si="16"/>
        <v>0</v>
      </c>
      <c r="O102">
        <f t="shared" si="13"/>
        <v>0</v>
      </c>
      <c r="P102">
        <f t="shared" si="13"/>
        <v>0</v>
      </c>
      <c r="Q102">
        <f t="shared" si="13"/>
        <v>0</v>
      </c>
      <c r="R102">
        <f t="shared" si="13"/>
        <v>0</v>
      </c>
      <c r="S102">
        <f t="shared" si="11"/>
        <v>8.9864525066591178E-2</v>
      </c>
    </row>
    <row r="103" spans="1:19" x14ac:dyDescent="0.2">
      <c r="A103" s="142">
        <v>7</v>
      </c>
      <c r="B103" t="s">
        <v>492</v>
      </c>
      <c r="C103" s="119">
        <v>1</v>
      </c>
      <c r="D103" s="119">
        <v>1</v>
      </c>
      <c r="E103" s="119">
        <v>1</v>
      </c>
      <c r="F103" s="119">
        <v>1</v>
      </c>
      <c r="G103" s="119">
        <v>1</v>
      </c>
      <c r="H103" s="119">
        <v>1</v>
      </c>
      <c r="I103" s="64">
        <v>1.0199004975124377</v>
      </c>
      <c r="J103" s="149">
        <v>1</v>
      </c>
      <c r="K103">
        <f t="shared" si="17"/>
        <v>0</v>
      </c>
      <c r="L103">
        <f t="shared" si="16"/>
        <v>0</v>
      </c>
      <c r="M103">
        <f t="shared" si="16"/>
        <v>0</v>
      </c>
      <c r="N103">
        <f t="shared" si="16"/>
        <v>0</v>
      </c>
      <c r="O103">
        <f t="shared" si="13"/>
        <v>0</v>
      </c>
      <c r="P103">
        <f t="shared" si="13"/>
        <v>0</v>
      </c>
      <c r="Q103">
        <f t="shared" si="13"/>
        <v>8.5578036352653899E-3</v>
      </c>
      <c r="R103">
        <f t="shared" si="13"/>
        <v>0</v>
      </c>
      <c r="S103">
        <f t="shared" si="11"/>
        <v>8.5578036352653899E-3</v>
      </c>
    </row>
    <row r="104" spans="1:19" x14ac:dyDescent="0.2">
      <c r="A104">
        <v>8</v>
      </c>
      <c r="B104" t="s">
        <v>492</v>
      </c>
      <c r="C104" s="119">
        <v>1</v>
      </c>
      <c r="D104" s="119">
        <v>0.62222222222222212</v>
      </c>
      <c r="E104" s="64">
        <v>0.86734693877551017</v>
      </c>
      <c r="F104" s="119">
        <v>1</v>
      </c>
      <c r="G104" s="119">
        <v>0.6325301204819278</v>
      </c>
      <c r="H104" s="119">
        <v>1</v>
      </c>
      <c r="I104" s="64">
        <v>0.94932935916542471</v>
      </c>
      <c r="J104" s="149">
        <v>1</v>
      </c>
      <c r="K104">
        <f t="shared" si="17"/>
        <v>0</v>
      </c>
      <c r="L104">
        <f t="shared" si="16"/>
        <v>-0.20605448243312452</v>
      </c>
      <c r="M104">
        <f t="shared" si="16"/>
        <v>-6.1807149978202143E-2</v>
      </c>
      <c r="N104">
        <f t="shared" si="16"/>
        <v>0</v>
      </c>
      <c r="O104">
        <f t="shared" si="13"/>
        <v>-0.19891878897011697</v>
      </c>
      <c r="P104">
        <f t="shared" si="13"/>
        <v>0</v>
      </c>
      <c r="Q104">
        <f t="shared" si="13"/>
        <v>-2.2583087833641657E-2</v>
      </c>
      <c r="R104">
        <f t="shared" si="13"/>
        <v>0</v>
      </c>
      <c r="S104">
        <f t="shared" si="11"/>
        <v>-0.48936350921508526</v>
      </c>
    </row>
    <row r="105" spans="1:19" x14ac:dyDescent="0.2">
      <c r="A105" s="142">
        <v>9</v>
      </c>
      <c r="B105" t="s">
        <v>492</v>
      </c>
      <c r="C105" s="119">
        <v>1</v>
      </c>
      <c r="D105" s="64">
        <v>3.1709203402938903E-2</v>
      </c>
      <c r="E105" s="119">
        <v>1</v>
      </c>
      <c r="F105" s="119">
        <v>1</v>
      </c>
      <c r="G105" s="119">
        <v>1</v>
      </c>
      <c r="H105" s="119">
        <v>0.9107142857142857</v>
      </c>
      <c r="I105" s="64">
        <v>0.3937908496732026</v>
      </c>
      <c r="J105" s="149">
        <v>1</v>
      </c>
      <c r="K105">
        <f t="shared" si="17"/>
        <v>0</v>
      </c>
      <c r="L105">
        <f t="shared" si="16"/>
        <v>-1.4988146681606584</v>
      </c>
      <c r="M105">
        <f t="shared" si="16"/>
        <v>0</v>
      </c>
      <c r="N105">
        <f t="shared" si="16"/>
        <v>0</v>
      </c>
      <c r="O105">
        <f t="shared" si="13"/>
        <v>0</v>
      </c>
      <c r="P105">
        <f t="shared" si="13"/>
        <v>-4.0617850908264058E-2</v>
      </c>
      <c r="Q105">
        <f t="shared" si="13"/>
        <v>-0.4047343795706928</v>
      </c>
      <c r="R105">
        <f t="shared" si="13"/>
        <v>0</v>
      </c>
      <c r="S105">
        <f t="shared" si="11"/>
        <v>-1.9441668986396152</v>
      </c>
    </row>
    <row r="106" spans="1:19" x14ac:dyDescent="0.2">
      <c r="A106" s="142">
        <v>12</v>
      </c>
      <c r="B106" t="s">
        <v>492</v>
      </c>
      <c r="C106" s="119">
        <v>1</v>
      </c>
      <c r="D106" s="119">
        <v>1</v>
      </c>
      <c r="E106" s="119">
        <v>1</v>
      </c>
      <c r="F106" s="119">
        <v>1</v>
      </c>
      <c r="G106" s="119">
        <v>1</v>
      </c>
      <c r="H106" s="119">
        <v>1</v>
      </c>
      <c r="I106" s="64">
        <v>2.3888888888888893</v>
      </c>
      <c r="J106" s="149">
        <v>1</v>
      </c>
      <c r="K106">
        <f t="shared" si="17"/>
        <v>0</v>
      </c>
      <c r="L106">
        <f t="shared" si="16"/>
        <v>0</v>
      </c>
      <c r="M106">
        <f t="shared" si="16"/>
        <v>0</v>
      </c>
      <c r="N106">
        <f t="shared" si="16"/>
        <v>0</v>
      </c>
      <c r="O106">
        <f t="shared" si="13"/>
        <v>0</v>
      </c>
      <c r="P106">
        <f t="shared" si="13"/>
        <v>0</v>
      </c>
      <c r="Q106">
        <f t="shared" si="13"/>
        <v>0.37819595047628052</v>
      </c>
      <c r="R106">
        <f t="shared" si="13"/>
        <v>0</v>
      </c>
      <c r="S106">
        <f t="shared" si="11"/>
        <v>0.37819595047628052</v>
      </c>
    </row>
    <row r="107" spans="1:19" x14ac:dyDescent="0.2">
      <c r="A107">
        <v>19</v>
      </c>
      <c r="B107" t="s">
        <v>492</v>
      </c>
      <c r="C107" s="119">
        <v>1</v>
      </c>
      <c r="D107" s="64">
        <v>0.48092209856915735</v>
      </c>
      <c r="E107" s="64">
        <v>1.6513761467889907</v>
      </c>
      <c r="F107" s="64">
        <v>8.7937499999999993</v>
      </c>
      <c r="G107" s="119">
        <v>1</v>
      </c>
      <c r="H107" s="119">
        <v>1</v>
      </c>
      <c r="I107" s="64">
        <v>1.1182368193604149</v>
      </c>
      <c r="J107" s="149">
        <v>1</v>
      </c>
      <c r="K107">
        <f t="shared" si="17"/>
        <v>0</v>
      </c>
      <c r="L107">
        <f t="shared" si="16"/>
        <v>-0.31792526645678126</v>
      </c>
      <c r="M107">
        <f t="shared" si="16"/>
        <v>0.2178460071626824</v>
      </c>
      <c r="N107">
        <f t="shared" si="16"/>
        <v>0.94417411477882085</v>
      </c>
      <c r="O107">
        <f t="shared" si="13"/>
        <v>0</v>
      </c>
      <c r="P107">
        <f t="shared" si="13"/>
        <v>0</v>
      </c>
      <c r="Q107">
        <f t="shared" si="13"/>
        <v>4.8533787852719959E-2</v>
      </c>
      <c r="R107">
        <f t="shared" si="13"/>
        <v>0</v>
      </c>
      <c r="S107">
        <f t="shared" si="11"/>
        <v>0.89262864333744196</v>
      </c>
    </row>
    <row r="108" spans="1:19" x14ac:dyDescent="0.2">
      <c r="A108">
        <v>20</v>
      </c>
      <c r="B108" t="s">
        <v>492</v>
      </c>
      <c r="C108" s="118">
        <v>1</v>
      </c>
      <c r="D108" s="64">
        <v>3.0989010989010985</v>
      </c>
      <c r="E108" s="64">
        <v>1.5753424657534247</v>
      </c>
      <c r="F108" s="118">
        <v>1</v>
      </c>
      <c r="G108" s="64">
        <v>1.2452316076294279</v>
      </c>
      <c r="H108" s="64">
        <v>1.2261904761904763</v>
      </c>
      <c r="I108" s="64">
        <v>8.0916666666666686</v>
      </c>
      <c r="J108" s="151">
        <v>1</v>
      </c>
      <c r="K108">
        <f t="shared" si="17"/>
        <v>0</v>
      </c>
      <c r="L108">
        <f t="shared" si="16"/>
        <v>0.49120771599826746</v>
      </c>
      <c r="M108">
        <f t="shared" si="16"/>
        <v>0.19737498023315581</v>
      </c>
      <c r="N108">
        <f t="shared" si="16"/>
        <v>0</v>
      </c>
      <c r="O108">
        <f t="shared" si="13"/>
        <v>9.5250135817760914E-2</v>
      </c>
      <c r="P108">
        <f t="shared" si="13"/>
        <v>8.8557938643290576E-2</v>
      </c>
      <c r="Q108">
        <f t="shared" si="13"/>
        <v>0.90803798386038015</v>
      </c>
      <c r="R108">
        <f t="shared" si="13"/>
        <v>0</v>
      </c>
      <c r="S108">
        <f t="shared" si="11"/>
        <v>1.7804287545528548</v>
      </c>
    </row>
    <row r="109" spans="1:19" x14ac:dyDescent="0.2">
      <c r="A109" s="143">
        <v>21</v>
      </c>
      <c r="B109" s="26" t="s">
        <v>492</v>
      </c>
      <c r="C109" s="145">
        <v>0.82198952879581155</v>
      </c>
      <c r="D109" s="145">
        <v>1</v>
      </c>
      <c r="E109" s="144">
        <v>0.66273187183811133</v>
      </c>
      <c r="F109" s="144">
        <v>2.1871921182266014</v>
      </c>
      <c r="G109" s="144">
        <v>0.50542822677925225</v>
      </c>
      <c r="H109" s="144">
        <v>0.71369294605809119</v>
      </c>
      <c r="I109" s="144">
        <v>1.8764756694500435</v>
      </c>
      <c r="J109" s="152">
        <v>1</v>
      </c>
      <c r="K109" s="26">
        <f t="shared" si="17"/>
        <v>-8.5133714838493788E-2</v>
      </c>
      <c r="L109" s="26">
        <f t="shared" si="16"/>
        <v>0</v>
      </c>
      <c r="M109" s="26">
        <f t="shared" si="16"/>
        <v>-0.1786621429888359</v>
      </c>
      <c r="N109" s="26">
        <f t="shared" si="16"/>
        <v>0.33988693220140698</v>
      </c>
      <c r="O109" s="26">
        <f t="shared" si="13"/>
        <v>-0.29634050758397812</v>
      </c>
      <c r="P109" s="26">
        <f t="shared" si="13"/>
        <v>-0.14648859566731953</v>
      </c>
      <c r="Q109" s="26">
        <f t="shared" si="13"/>
        <v>0.2733429376848372</v>
      </c>
      <c r="R109" s="26">
        <f t="shared" si="13"/>
        <v>0</v>
      </c>
      <c r="S109">
        <f t="shared" si="11"/>
        <v>-9.3395091192383151E-2</v>
      </c>
    </row>
    <row r="110" spans="1:19" x14ac:dyDescent="0.2">
      <c r="A110">
        <v>3</v>
      </c>
      <c r="B110" t="s">
        <v>493</v>
      </c>
      <c r="C110" s="119">
        <v>1</v>
      </c>
      <c r="D110" s="119">
        <v>1</v>
      </c>
      <c r="E110" s="119">
        <v>1</v>
      </c>
      <c r="F110" s="119">
        <v>1</v>
      </c>
      <c r="G110" s="64">
        <v>0.84518518518518515</v>
      </c>
      <c r="H110" s="64">
        <v>1.2159763313609468</v>
      </c>
      <c r="I110" s="64">
        <v>2.425046040515654</v>
      </c>
      <c r="J110" s="72">
        <v>1.1822660098522169</v>
      </c>
      <c r="K110">
        <f>LOG(C110)</f>
        <v>0</v>
      </c>
      <c r="L110">
        <f t="shared" si="16"/>
        <v>0</v>
      </c>
      <c r="M110">
        <f t="shared" si="16"/>
        <v>0</v>
      </c>
      <c r="N110">
        <f t="shared" si="16"/>
        <v>0</v>
      </c>
      <c r="O110">
        <f t="shared" si="13"/>
        <v>-7.3048124076791496E-2</v>
      </c>
      <c r="P110">
        <f t="shared" si="13"/>
        <v>8.4925121598414505E-2</v>
      </c>
      <c r="Q110">
        <f t="shared" si="13"/>
        <v>0.38471998827934772</v>
      </c>
      <c r="R110">
        <f t="shared" si="13"/>
        <v>7.2715203798393149E-2</v>
      </c>
      <c r="S110">
        <f t="shared" si="11"/>
        <v>0.46931218959936388</v>
      </c>
    </row>
    <row r="111" spans="1:19" x14ac:dyDescent="0.2">
      <c r="A111">
        <v>5</v>
      </c>
      <c r="B111" t="s">
        <v>493</v>
      </c>
      <c r="C111" s="119">
        <v>1</v>
      </c>
      <c r="D111" s="119">
        <v>1</v>
      </c>
      <c r="E111" s="64">
        <v>1.9310344827586206</v>
      </c>
      <c r="F111" s="119">
        <v>1</v>
      </c>
      <c r="G111" s="119">
        <v>1</v>
      </c>
      <c r="H111" s="119">
        <v>1</v>
      </c>
      <c r="I111" s="64">
        <v>12.689655172413792</v>
      </c>
      <c r="J111" s="149">
        <v>1</v>
      </c>
      <c r="K111">
        <f t="shared" ref="K111:K118" si="18">LOG(C111)</f>
        <v>0</v>
      </c>
      <c r="L111">
        <f t="shared" si="16"/>
        <v>0</v>
      </c>
      <c r="M111">
        <f t="shared" si="16"/>
        <v>0.28579002910724433</v>
      </c>
      <c r="N111">
        <f t="shared" si="16"/>
        <v>0</v>
      </c>
      <c r="O111">
        <f t="shared" si="13"/>
        <v>0</v>
      </c>
      <c r="P111">
        <f t="shared" si="13"/>
        <v>0</v>
      </c>
      <c r="Q111">
        <f t="shared" si="13"/>
        <v>1.1034498207745616</v>
      </c>
      <c r="R111">
        <f t="shared" si="13"/>
        <v>0</v>
      </c>
      <c r="S111">
        <f t="shared" si="11"/>
        <v>1.3892398498818059</v>
      </c>
    </row>
    <row r="112" spans="1:19" x14ac:dyDescent="0.2">
      <c r="A112" s="142">
        <v>7</v>
      </c>
      <c r="B112" t="s">
        <v>493</v>
      </c>
      <c r="C112" s="119">
        <v>1</v>
      </c>
      <c r="D112" s="119">
        <v>1</v>
      </c>
      <c r="E112" s="119">
        <v>1</v>
      </c>
      <c r="F112" s="119">
        <v>1</v>
      </c>
      <c r="G112" s="64">
        <v>3.20873786407767</v>
      </c>
      <c r="H112" s="119">
        <v>1</v>
      </c>
      <c r="I112" s="64">
        <v>13.37810945273632</v>
      </c>
      <c r="J112" s="149">
        <v>1</v>
      </c>
      <c r="K112">
        <f t="shared" si="18"/>
        <v>0</v>
      </c>
      <c r="L112">
        <f t="shared" si="16"/>
        <v>0</v>
      </c>
      <c r="M112">
        <f t="shared" si="16"/>
        <v>0</v>
      </c>
      <c r="N112">
        <f t="shared" si="16"/>
        <v>0</v>
      </c>
      <c r="O112">
        <f t="shared" si="13"/>
        <v>0.50633423911648689</v>
      </c>
      <c r="P112">
        <f t="shared" si="13"/>
        <v>0</v>
      </c>
      <c r="Q112">
        <f t="shared" si="13"/>
        <v>1.1263947448028129</v>
      </c>
      <c r="R112">
        <f t="shared" si="13"/>
        <v>0</v>
      </c>
      <c r="S112">
        <f t="shared" si="11"/>
        <v>1.6327289839192998</v>
      </c>
    </row>
    <row r="113" spans="1:19" x14ac:dyDescent="0.2">
      <c r="A113">
        <v>8</v>
      </c>
      <c r="B113" t="s">
        <v>493</v>
      </c>
      <c r="C113" s="119">
        <v>1</v>
      </c>
      <c r="D113" s="64">
        <v>1.0333333333333332</v>
      </c>
      <c r="E113" s="64">
        <v>3</v>
      </c>
      <c r="F113" s="119">
        <v>1</v>
      </c>
      <c r="G113" s="64">
        <v>114.41566265060241</v>
      </c>
      <c r="H113" s="64">
        <v>20.58522727272727</v>
      </c>
      <c r="I113" s="64">
        <v>113.6408345752608</v>
      </c>
      <c r="J113" s="72">
        <v>1.7752808988764046</v>
      </c>
      <c r="K113">
        <f t="shared" si="18"/>
        <v>0</v>
      </c>
      <c r="L113">
        <f t="shared" si="16"/>
        <v>1.4240439114610193E-2</v>
      </c>
      <c r="M113">
        <f t="shared" si="16"/>
        <v>0.47712125471966244</v>
      </c>
      <c r="N113">
        <f t="shared" si="16"/>
        <v>0</v>
      </c>
      <c r="O113">
        <f t="shared" si="13"/>
        <v>2.0584854802010786</v>
      </c>
      <c r="P113">
        <f t="shared" si="13"/>
        <v>1.3135556662203869</v>
      </c>
      <c r="Q113">
        <f t="shared" si="13"/>
        <v>2.0555344145097116</v>
      </c>
      <c r="R113">
        <f t="shared" si="13"/>
        <v>0.24926708030950986</v>
      </c>
      <c r="S113">
        <f t="shared" si="11"/>
        <v>6.1682043350749591</v>
      </c>
    </row>
    <row r="114" spans="1:19" x14ac:dyDescent="0.2">
      <c r="A114" s="142">
        <v>9</v>
      </c>
      <c r="B114" t="s">
        <v>493</v>
      </c>
      <c r="C114" s="119">
        <v>1</v>
      </c>
      <c r="D114" s="64">
        <v>3.5576179427687551E-2</v>
      </c>
      <c r="E114" s="119">
        <v>1</v>
      </c>
      <c r="F114" s="119">
        <v>1</v>
      </c>
      <c r="G114" s="119">
        <v>1</v>
      </c>
      <c r="H114" s="119">
        <v>0.9107142857142857</v>
      </c>
      <c r="I114" s="64">
        <v>0.16643323996265172</v>
      </c>
      <c r="J114" s="149">
        <v>1</v>
      </c>
      <c r="K114">
        <f t="shared" si="18"/>
        <v>0</v>
      </c>
      <c r="L114">
        <f t="shared" si="16"/>
        <v>-1.44884069319882</v>
      </c>
      <c r="M114">
        <f t="shared" si="16"/>
        <v>0</v>
      </c>
      <c r="N114">
        <f t="shared" si="16"/>
        <v>0</v>
      </c>
      <c r="O114">
        <f t="shared" si="13"/>
        <v>0</v>
      </c>
      <c r="P114">
        <f t="shared" si="13"/>
        <v>-4.0617850908264058E-2</v>
      </c>
      <c r="Q114">
        <f t="shared" si="13"/>
        <v>-0.77875993230795248</v>
      </c>
      <c r="R114">
        <f t="shared" si="13"/>
        <v>0</v>
      </c>
      <c r="S114">
        <f t="shared" si="11"/>
        <v>-2.2682184764150364</v>
      </c>
    </row>
    <row r="115" spans="1:19" x14ac:dyDescent="0.2">
      <c r="A115" s="142">
        <v>12</v>
      </c>
      <c r="B115" t="s">
        <v>493</v>
      </c>
      <c r="C115" s="119">
        <v>1</v>
      </c>
      <c r="D115" s="119">
        <v>1</v>
      </c>
      <c r="E115" s="119">
        <v>1</v>
      </c>
      <c r="F115" s="119">
        <v>1</v>
      </c>
      <c r="G115" s="119">
        <v>1</v>
      </c>
      <c r="H115" s="119">
        <v>1</v>
      </c>
      <c r="I115" s="119">
        <v>1</v>
      </c>
      <c r="J115" s="149">
        <v>1</v>
      </c>
      <c r="K115">
        <f t="shared" si="18"/>
        <v>0</v>
      </c>
      <c r="L115">
        <f t="shared" si="16"/>
        <v>0</v>
      </c>
      <c r="M115">
        <f t="shared" si="16"/>
        <v>0</v>
      </c>
      <c r="N115">
        <f t="shared" si="16"/>
        <v>0</v>
      </c>
      <c r="O115">
        <f t="shared" si="13"/>
        <v>0</v>
      </c>
      <c r="P115">
        <f t="shared" si="13"/>
        <v>0</v>
      </c>
      <c r="Q115">
        <f t="shared" si="13"/>
        <v>0</v>
      </c>
      <c r="R115">
        <f t="shared" si="13"/>
        <v>0</v>
      </c>
      <c r="S115">
        <f t="shared" si="11"/>
        <v>0</v>
      </c>
    </row>
    <row r="116" spans="1:19" x14ac:dyDescent="0.2">
      <c r="A116">
        <v>19</v>
      </c>
      <c r="B116" t="s">
        <v>494</v>
      </c>
      <c r="C116" s="119">
        <v>1</v>
      </c>
      <c r="D116" s="64">
        <v>1.43879173290938</v>
      </c>
      <c r="E116" s="64">
        <v>2.9633027522935778</v>
      </c>
      <c r="F116" s="64">
        <v>14.950000000000001</v>
      </c>
      <c r="G116" s="64">
        <v>18.11926605504587</v>
      </c>
      <c r="H116" s="119">
        <v>1</v>
      </c>
      <c r="I116" s="64">
        <v>15.877268798617113</v>
      </c>
      <c r="J116" s="72">
        <v>15.491620111731844</v>
      </c>
      <c r="K116">
        <f t="shared" si="18"/>
        <v>0</v>
      </c>
      <c r="L116">
        <f t="shared" si="16"/>
        <v>0.1579979337599344</v>
      </c>
      <c r="M116">
        <f t="shared" si="16"/>
        <v>0.47177602439047922</v>
      </c>
      <c r="N116">
        <f t="shared" si="16"/>
        <v>1.1746411926604485</v>
      </c>
      <c r="O116">
        <f t="shared" si="13"/>
        <v>1.2581406020218553</v>
      </c>
      <c r="P116">
        <f t="shared" si="13"/>
        <v>0</v>
      </c>
      <c r="Q116">
        <f t="shared" si="13"/>
        <v>1.2007757973540587</v>
      </c>
      <c r="R116">
        <f t="shared" si="13"/>
        <v>1.1900968385979684</v>
      </c>
      <c r="S116">
        <f t="shared" si="11"/>
        <v>5.4534283887847446</v>
      </c>
    </row>
    <row r="117" spans="1:19" x14ac:dyDescent="0.2">
      <c r="A117">
        <v>20</v>
      </c>
      <c r="B117" t="s">
        <v>493</v>
      </c>
      <c r="C117" s="118">
        <v>1</v>
      </c>
      <c r="D117" s="118">
        <v>1</v>
      </c>
      <c r="E117" s="118">
        <v>0.27671232876712332</v>
      </c>
      <c r="F117" s="118">
        <v>1</v>
      </c>
      <c r="G117" s="64">
        <v>0.53950953678474112</v>
      </c>
      <c r="H117" s="118">
        <v>0.75</v>
      </c>
      <c r="I117" s="118">
        <v>1</v>
      </c>
      <c r="J117" s="151">
        <v>1</v>
      </c>
      <c r="K117">
        <f t="shared" si="18"/>
        <v>0</v>
      </c>
      <c r="L117">
        <f t="shared" si="16"/>
        <v>0</v>
      </c>
      <c r="M117">
        <f t="shared" si="16"/>
        <v>-0.55797149067383212</v>
      </c>
      <c r="N117">
        <f t="shared" si="16"/>
        <v>0</v>
      </c>
      <c r="O117">
        <f t="shared" si="13"/>
        <v>-0.26800087399055827</v>
      </c>
      <c r="P117">
        <f t="shared" si="13"/>
        <v>-0.12493873660829995</v>
      </c>
      <c r="Q117">
        <f t="shared" si="13"/>
        <v>0</v>
      </c>
      <c r="R117">
        <f t="shared" si="13"/>
        <v>0</v>
      </c>
      <c r="S117">
        <f t="shared" si="11"/>
        <v>-0.9509111012726903</v>
      </c>
    </row>
    <row r="118" spans="1:19" x14ac:dyDescent="0.2">
      <c r="A118" s="143">
        <v>21</v>
      </c>
      <c r="B118" s="26" t="s">
        <v>493</v>
      </c>
      <c r="C118" s="144">
        <v>1.8010471204188483</v>
      </c>
      <c r="D118" s="144">
        <v>1.5468750000000002</v>
      </c>
      <c r="E118" s="144">
        <v>0.68296795952782463</v>
      </c>
      <c r="F118" s="144">
        <v>3.1970443349753697</v>
      </c>
      <c r="G118" s="144">
        <v>8.4607961399276252</v>
      </c>
      <c r="H118" s="144">
        <v>6.3319502074688794</v>
      </c>
      <c r="I118" s="144">
        <v>7.7682119205298026</v>
      </c>
      <c r="J118" s="150">
        <v>2.8324873096446703</v>
      </c>
      <c r="K118">
        <f t="shared" si="18"/>
        <v>0.25552507532380259</v>
      </c>
      <c r="L118">
        <f t="shared" si="16"/>
        <v>0.18945522061366279</v>
      </c>
      <c r="M118">
        <f t="shared" si="16"/>
        <v>-0.16559967014959404</v>
      </c>
      <c r="N118">
        <f t="shared" si="16"/>
        <v>0.50474865888715637</v>
      </c>
      <c r="O118">
        <f t="shared" si="13"/>
        <v>0.92741123099521028</v>
      </c>
      <c r="P118">
        <f t="shared" si="13"/>
        <v>0.8015374910439933</v>
      </c>
      <c r="Q118">
        <f t="shared" si="13"/>
        <v>0.89032106482235984</v>
      </c>
      <c r="R118">
        <f t="shared" si="13"/>
        <v>0.45216797277598586</v>
      </c>
      <c r="S118">
        <f t="shared" si="11"/>
        <v>3.8555670443125769</v>
      </c>
    </row>
    <row r="119" spans="1:19" x14ac:dyDescent="0.2">
      <c r="A119">
        <v>3</v>
      </c>
      <c r="B119" t="s">
        <v>495</v>
      </c>
      <c r="C119" s="119">
        <v>1</v>
      </c>
      <c r="D119" s="119">
        <v>1</v>
      </c>
      <c r="E119" s="119">
        <v>1</v>
      </c>
      <c r="F119" s="119">
        <v>1</v>
      </c>
      <c r="G119" s="64">
        <v>1.4840740740740741</v>
      </c>
      <c r="H119" s="64">
        <v>10.408284023668639</v>
      </c>
      <c r="I119" s="64">
        <v>5.8850828729281774</v>
      </c>
      <c r="J119" s="72">
        <v>4.8128078817733995</v>
      </c>
      <c r="K119" s="18">
        <f>LOG(C119)</f>
        <v>0</v>
      </c>
      <c r="L119" s="18">
        <f t="shared" si="16"/>
        <v>0</v>
      </c>
      <c r="M119" s="18">
        <f t="shared" si="16"/>
        <v>0</v>
      </c>
      <c r="N119" s="18">
        <f t="shared" si="16"/>
        <v>0</v>
      </c>
      <c r="O119" s="18">
        <f t="shared" si="13"/>
        <v>0.17145557827371249</v>
      </c>
      <c r="P119" s="18">
        <f t="shared" si="13"/>
        <v>1.0173791348437877</v>
      </c>
      <c r="Q119" s="18">
        <f t="shared" si="13"/>
        <v>0.7697525828977192</v>
      </c>
      <c r="R119" s="18">
        <f t="shared" si="13"/>
        <v>0.68239852580556015</v>
      </c>
      <c r="S119">
        <f t="shared" si="11"/>
        <v>2.6409858218207796</v>
      </c>
    </row>
    <row r="120" spans="1:19" x14ac:dyDescent="0.2">
      <c r="A120">
        <v>5</v>
      </c>
      <c r="B120" t="s">
        <v>495</v>
      </c>
      <c r="C120" s="119">
        <v>1</v>
      </c>
      <c r="D120" s="119">
        <v>1</v>
      </c>
      <c r="E120" s="64">
        <v>1.1264367816091954</v>
      </c>
      <c r="F120" s="119">
        <v>1</v>
      </c>
      <c r="G120" s="119">
        <v>1</v>
      </c>
      <c r="H120" s="119">
        <v>1</v>
      </c>
      <c r="I120" s="64">
        <v>10.531034482758621</v>
      </c>
      <c r="J120" s="149">
        <v>1</v>
      </c>
      <c r="K120">
        <f t="shared" ref="K120:K127" si="19">LOG(C120)</f>
        <v>0</v>
      </c>
      <c r="L120">
        <f t="shared" si="16"/>
        <v>0</v>
      </c>
      <c r="M120">
        <f t="shared" si="16"/>
        <v>5.1706823073876314E-2</v>
      </c>
      <c r="N120">
        <f t="shared" si="16"/>
        <v>0</v>
      </c>
      <c r="O120">
        <f t="shared" si="13"/>
        <v>0</v>
      </c>
      <c r="P120">
        <f t="shared" si="13"/>
        <v>0</v>
      </c>
      <c r="Q120">
        <f t="shared" si="13"/>
        <v>1.0224710348214463</v>
      </c>
      <c r="R120">
        <f t="shared" si="13"/>
        <v>0</v>
      </c>
      <c r="S120">
        <f t="shared" si="11"/>
        <v>1.0741778578953227</v>
      </c>
    </row>
    <row r="121" spans="1:19" x14ac:dyDescent="0.2">
      <c r="A121" s="142">
        <v>7</v>
      </c>
      <c r="B121" t="s">
        <v>495</v>
      </c>
      <c r="C121" s="119">
        <v>1</v>
      </c>
      <c r="D121" s="119">
        <v>1</v>
      </c>
      <c r="E121" s="119">
        <v>1</v>
      </c>
      <c r="F121" s="119">
        <v>1</v>
      </c>
      <c r="G121" s="119">
        <v>1</v>
      </c>
      <c r="H121" s="119">
        <v>1</v>
      </c>
      <c r="I121" s="64">
        <v>7.50995024875622</v>
      </c>
      <c r="J121" s="149">
        <v>1</v>
      </c>
      <c r="K121">
        <f t="shared" si="19"/>
        <v>0</v>
      </c>
      <c r="L121">
        <f t="shared" si="16"/>
        <v>0</v>
      </c>
      <c r="M121">
        <f t="shared" si="16"/>
        <v>0</v>
      </c>
      <c r="N121">
        <f t="shared" si="16"/>
        <v>0</v>
      </c>
      <c r="O121">
        <f t="shared" si="13"/>
        <v>0</v>
      </c>
      <c r="P121">
        <f t="shared" si="13"/>
        <v>0</v>
      </c>
      <c r="Q121">
        <f t="shared" si="13"/>
        <v>0.87563705993862773</v>
      </c>
      <c r="R121">
        <f t="shared" si="13"/>
        <v>0</v>
      </c>
      <c r="S121">
        <f t="shared" si="11"/>
        <v>0.87563705993862773</v>
      </c>
    </row>
    <row r="122" spans="1:19" x14ac:dyDescent="0.2">
      <c r="A122">
        <v>8</v>
      </c>
      <c r="B122" t="s">
        <v>495</v>
      </c>
      <c r="C122" s="119">
        <v>1</v>
      </c>
      <c r="D122" s="119">
        <v>0.62222222222222212</v>
      </c>
      <c r="E122" s="64">
        <v>0.9285714285714286</v>
      </c>
      <c r="F122" s="119">
        <v>1</v>
      </c>
      <c r="G122" s="64">
        <v>35.789156626506021</v>
      </c>
      <c r="H122" s="64">
        <v>8.4488636363636367</v>
      </c>
      <c r="I122" s="64">
        <v>61.557377049180332</v>
      </c>
      <c r="J122" s="72">
        <v>1.7303370786516854</v>
      </c>
      <c r="K122">
        <f t="shared" si="19"/>
        <v>0</v>
      </c>
      <c r="L122">
        <f t="shared" si="16"/>
        <v>-0.20605448243312452</v>
      </c>
      <c r="M122">
        <f t="shared" si="16"/>
        <v>-3.2184683371401242E-2</v>
      </c>
      <c r="N122">
        <f t="shared" si="16"/>
        <v>0</v>
      </c>
      <c r="O122">
        <f t="shared" si="13"/>
        <v>1.5537514643366319</v>
      </c>
      <c r="P122">
        <f t="shared" si="13"/>
        <v>0.92679830070780445</v>
      </c>
      <c r="Q122">
        <f t="shared" si="13"/>
        <v>1.7892801063294201</v>
      </c>
      <c r="R122">
        <f t="shared" si="13"/>
        <v>0.2381307141915503</v>
      </c>
      <c r="S122">
        <f t="shared" si="11"/>
        <v>4.2697214197608808</v>
      </c>
    </row>
    <row r="123" spans="1:19" x14ac:dyDescent="0.2">
      <c r="A123" s="142">
        <v>9</v>
      </c>
      <c r="B123" t="s">
        <v>495</v>
      </c>
      <c r="C123" s="119">
        <v>1</v>
      </c>
      <c r="D123" s="119">
        <v>3.0162412993039445E-2</v>
      </c>
      <c r="E123" s="119">
        <v>1</v>
      </c>
      <c r="F123" s="119">
        <v>1</v>
      </c>
      <c r="G123" s="119">
        <v>1</v>
      </c>
      <c r="H123" s="119">
        <v>0.9107142857142857</v>
      </c>
      <c r="I123" s="64">
        <v>0.26237161531279179</v>
      </c>
      <c r="J123" s="149">
        <v>1</v>
      </c>
      <c r="K123">
        <f t="shared" si="19"/>
        <v>0</v>
      </c>
      <c r="L123">
        <f t="shared" si="16"/>
        <v>-1.5205339178538948</v>
      </c>
      <c r="M123">
        <f t="shared" si="16"/>
        <v>0</v>
      </c>
      <c r="N123">
        <f t="shared" si="16"/>
        <v>0</v>
      </c>
      <c r="O123">
        <f t="shared" si="13"/>
        <v>0</v>
      </c>
      <c r="P123">
        <f t="shared" si="13"/>
        <v>-4.0617850908264058E-2</v>
      </c>
      <c r="Q123">
        <f t="shared" si="13"/>
        <v>-0.58108315092677576</v>
      </c>
      <c r="R123">
        <f t="shared" si="13"/>
        <v>0</v>
      </c>
      <c r="S123">
        <f t="shared" si="11"/>
        <v>-2.1422349196889345</v>
      </c>
    </row>
    <row r="124" spans="1:19" x14ac:dyDescent="0.2">
      <c r="A124" s="142">
        <v>12</v>
      </c>
      <c r="B124" t="s">
        <v>495</v>
      </c>
      <c r="C124" s="119">
        <v>1</v>
      </c>
      <c r="D124" s="119">
        <v>1</v>
      </c>
      <c r="E124" s="119">
        <v>1</v>
      </c>
      <c r="F124" s="119">
        <v>1</v>
      </c>
      <c r="G124" s="119">
        <v>1</v>
      </c>
      <c r="H124" s="119">
        <v>1</v>
      </c>
      <c r="I124" s="64">
        <v>1.893939393939394</v>
      </c>
      <c r="J124" s="149">
        <v>1</v>
      </c>
      <c r="K124">
        <f t="shared" si="19"/>
        <v>0</v>
      </c>
      <c r="L124">
        <f t="shared" si="16"/>
        <v>0</v>
      </c>
      <c r="M124">
        <f t="shared" si="16"/>
        <v>0</v>
      </c>
      <c r="N124">
        <f t="shared" si="16"/>
        <v>0</v>
      </c>
      <c r="O124">
        <f t="shared" si="13"/>
        <v>0</v>
      </c>
      <c r="P124">
        <f t="shared" si="13"/>
        <v>0</v>
      </c>
      <c r="Q124">
        <f t="shared" si="13"/>
        <v>0.27736607746618774</v>
      </c>
      <c r="R124">
        <f t="shared" si="13"/>
        <v>0</v>
      </c>
      <c r="S124">
        <f t="shared" si="11"/>
        <v>0.27736607746618774</v>
      </c>
    </row>
    <row r="125" spans="1:19" x14ac:dyDescent="0.2">
      <c r="A125">
        <v>19</v>
      </c>
      <c r="B125" t="s">
        <v>495</v>
      </c>
      <c r="C125" s="119">
        <v>1</v>
      </c>
      <c r="D125" s="64">
        <v>0.73847376788553254</v>
      </c>
      <c r="E125" s="64">
        <v>1.1743119266055044</v>
      </c>
      <c r="F125" s="64">
        <v>5.7625000000000002</v>
      </c>
      <c r="G125" s="119">
        <v>1</v>
      </c>
      <c r="H125" s="64">
        <v>1.9488636363636365</v>
      </c>
      <c r="I125" s="64">
        <v>8.1754537597234229</v>
      </c>
      <c r="J125" s="72">
        <v>6.7541899441340778</v>
      </c>
      <c r="K125">
        <f t="shared" si="19"/>
        <v>0</v>
      </c>
      <c r="L125">
        <f t="shared" si="16"/>
        <v>-0.1316649271156084</v>
      </c>
      <c r="M125">
        <f t="shared" si="16"/>
        <v>6.9783471707244679E-2</v>
      </c>
      <c r="N125">
        <f t="shared" si="16"/>
        <v>0.76061093839770455</v>
      </c>
      <c r="O125">
        <f t="shared" si="13"/>
        <v>0</v>
      </c>
      <c r="P125">
        <f t="shared" si="13"/>
        <v>0.28978145222862067</v>
      </c>
      <c r="Q125">
        <f t="shared" si="13"/>
        <v>0.9125118665158175</v>
      </c>
      <c r="R125">
        <f t="shared" si="13"/>
        <v>0.82957326988087865</v>
      </c>
      <c r="S125">
        <f t="shared" si="11"/>
        <v>2.7305960716146576</v>
      </c>
    </row>
    <row r="126" spans="1:19" x14ac:dyDescent="0.2">
      <c r="A126">
        <v>20</v>
      </c>
      <c r="B126" t="s">
        <v>495</v>
      </c>
      <c r="C126" s="118">
        <v>1</v>
      </c>
      <c r="D126" s="118">
        <v>1</v>
      </c>
      <c r="E126" s="64">
        <v>0.62739726027397258</v>
      </c>
      <c r="F126" s="118">
        <v>1</v>
      </c>
      <c r="G126" s="64">
        <v>0.68392370572207084</v>
      </c>
      <c r="H126" s="118">
        <v>0.75</v>
      </c>
      <c r="I126" s="118">
        <v>1</v>
      </c>
      <c r="J126" s="151">
        <v>1</v>
      </c>
      <c r="K126">
        <f t="shared" si="19"/>
        <v>0</v>
      </c>
      <c r="L126">
        <f t="shared" si="16"/>
        <v>0</v>
      </c>
      <c r="M126">
        <f t="shared" si="16"/>
        <v>-0.20245738211658673</v>
      </c>
      <c r="N126">
        <f t="shared" si="16"/>
        <v>0</v>
      </c>
      <c r="O126">
        <f t="shared" si="13"/>
        <v>-0.16499234277105121</v>
      </c>
      <c r="P126">
        <f t="shared" si="13"/>
        <v>-0.12493873660829995</v>
      </c>
      <c r="Q126">
        <f t="shared" si="13"/>
        <v>0</v>
      </c>
      <c r="R126">
        <f t="shared" si="13"/>
        <v>0</v>
      </c>
      <c r="S126">
        <f t="shared" si="11"/>
        <v>-0.4923884614959379</v>
      </c>
    </row>
    <row r="127" spans="1:19" x14ac:dyDescent="0.2">
      <c r="A127" s="143">
        <v>21</v>
      </c>
      <c r="B127" s="26" t="s">
        <v>495</v>
      </c>
      <c r="C127" s="144">
        <v>1.5078534031413613</v>
      </c>
      <c r="D127" s="145">
        <v>1</v>
      </c>
      <c r="E127" s="144">
        <v>0.62394603709949414</v>
      </c>
      <c r="F127" s="145">
        <v>1</v>
      </c>
      <c r="G127" s="144">
        <v>5.1001206272617621</v>
      </c>
      <c r="H127" s="144">
        <v>8.8464730290456419</v>
      </c>
      <c r="I127" s="144">
        <v>4.9441405125251947</v>
      </c>
      <c r="J127" s="150">
        <v>1.5837563451776651</v>
      </c>
      <c r="K127" s="26">
        <f t="shared" si="19"/>
        <v>0.17835912051150332</v>
      </c>
      <c r="L127" s="26">
        <f t="shared" si="16"/>
        <v>0</v>
      </c>
      <c r="M127" s="26">
        <f t="shared" si="16"/>
        <v>-0.20485296929726757</v>
      </c>
      <c r="N127" s="26">
        <f t="shared" si="16"/>
        <v>0</v>
      </c>
      <c r="O127" s="26">
        <f t="shared" si="13"/>
        <v>0.70758044808511522</v>
      </c>
      <c r="P127" s="26">
        <f t="shared" si="13"/>
        <v>0.94677015777966622</v>
      </c>
      <c r="Q127" s="26">
        <f t="shared" si="13"/>
        <v>0.69409080490988029</v>
      </c>
      <c r="R127" s="26">
        <f t="shared" si="13"/>
        <v>0.19968836785684987</v>
      </c>
      <c r="S127">
        <f t="shared" si="11"/>
        <v>2.5216359298457474</v>
      </c>
    </row>
    <row r="128" spans="1:19" x14ac:dyDescent="0.2">
      <c r="A128">
        <v>3</v>
      </c>
      <c r="B128" t="s">
        <v>496</v>
      </c>
      <c r="C128" s="119">
        <v>1</v>
      </c>
      <c r="D128" s="119">
        <v>1</v>
      </c>
      <c r="E128" s="64">
        <v>8.6729857819905227</v>
      </c>
      <c r="F128" s="119">
        <v>1</v>
      </c>
      <c r="G128" s="64">
        <v>1.1477777777777778</v>
      </c>
      <c r="H128" s="64">
        <v>2.4171597633136095</v>
      </c>
      <c r="I128" s="64">
        <v>2.132596685082873</v>
      </c>
      <c r="J128" s="72">
        <v>1.0049261083743843</v>
      </c>
      <c r="K128">
        <f>LOG(C128)</f>
        <v>0</v>
      </c>
      <c r="L128">
        <f t="shared" si="16"/>
        <v>0</v>
      </c>
      <c r="M128">
        <f t="shared" si="16"/>
        <v>0.9381686344327369</v>
      </c>
      <c r="N128">
        <f t="shared" si="16"/>
        <v>0</v>
      </c>
      <c r="O128">
        <f t="shared" si="13"/>
        <v>5.9857812080295711E-2</v>
      </c>
      <c r="P128">
        <f t="shared" si="13"/>
        <v>0.38330535625476075</v>
      </c>
      <c r="Q128">
        <f t="shared" si="13"/>
        <v>0.32890872980257047</v>
      </c>
      <c r="R128">
        <f t="shared" si="13"/>
        <v>2.1341295126858836E-3</v>
      </c>
      <c r="S128">
        <f t="shared" si="11"/>
        <v>1.71237466208305</v>
      </c>
    </row>
    <row r="129" spans="1:19" x14ac:dyDescent="0.2">
      <c r="A129">
        <v>5</v>
      </c>
      <c r="B129" t="s">
        <v>496</v>
      </c>
      <c r="C129" s="119">
        <v>1</v>
      </c>
      <c r="D129" s="119">
        <v>1</v>
      </c>
      <c r="E129" s="64">
        <v>2.4252873563218391</v>
      </c>
      <c r="F129" s="119">
        <v>1</v>
      </c>
      <c r="G129" s="119">
        <v>1</v>
      </c>
      <c r="H129" s="119">
        <v>1</v>
      </c>
      <c r="I129" s="64">
        <v>1.2827586206896553</v>
      </c>
      <c r="J129" s="149">
        <v>1</v>
      </c>
      <c r="K129">
        <f t="shared" ref="K129:K135" si="20">LOG(C129)</f>
        <v>0</v>
      </c>
      <c r="L129">
        <f t="shared" si="16"/>
        <v>0</v>
      </c>
      <c r="M129">
        <f t="shared" si="16"/>
        <v>0.38476320267907416</v>
      </c>
      <c r="N129">
        <f t="shared" si="16"/>
        <v>0</v>
      </c>
      <c r="O129">
        <f t="shared" si="13"/>
        <v>0</v>
      </c>
      <c r="P129">
        <f t="shared" si="13"/>
        <v>0</v>
      </c>
      <c r="Q129">
        <f t="shared" si="13"/>
        <v>0.10814494198294146</v>
      </c>
      <c r="R129">
        <f t="shared" si="13"/>
        <v>0</v>
      </c>
      <c r="S129">
        <f t="shared" si="11"/>
        <v>0.4929081446620156</v>
      </c>
    </row>
    <row r="130" spans="1:19" x14ac:dyDescent="0.2">
      <c r="A130" s="142">
        <v>7</v>
      </c>
      <c r="B130" t="s">
        <v>496</v>
      </c>
      <c r="C130" s="119">
        <v>1</v>
      </c>
      <c r="D130" s="119">
        <v>1</v>
      </c>
      <c r="E130" s="119">
        <v>1</v>
      </c>
      <c r="F130" s="119">
        <v>1</v>
      </c>
      <c r="G130" s="119">
        <v>1</v>
      </c>
      <c r="H130" s="119">
        <v>1</v>
      </c>
      <c r="I130" s="64">
        <v>1.5000000000000002</v>
      </c>
      <c r="J130" s="149">
        <v>1</v>
      </c>
      <c r="K130">
        <f t="shared" si="20"/>
        <v>0</v>
      </c>
      <c r="L130">
        <f t="shared" si="16"/>
        <v>0</v>
      </c>
      <c r="M130">
        <f t="shared" si="16"/>
        <v>0</v>
      </c>
      <c r="N130">
        <f t="shared" si="16"/>
        <v>0</v>
      </c>
      <c r="O130">
        <f t="shared" si="13"/>
        <v>0</v>
      </c>
      <c r="P130">
        <f t="shared" si="13"/>
        <v>0</v>
      </c>
      <c r="Q130">
        <f t="shared" si="13"/>
        <v>0.17609125905568129</v>
      </c>
      <c r="R130">
        <f t="shared" si="13"/>
        <v>0</v>
      </c>
      <c r="S130">
        <f t="shared" si="11"/>
        <v>0.17609125905568129</v>
      </c>
    </row>
    <row r="131" spans="1:19" x14ac:dyDescent="0.2">
      <c r="A131">
        <v>8</v>
      </c>
      <c r="B131" t="s">
        <v>496</v>
      </c>
      <c r="C131" s="119">
        <v>1</v>
      </c>
      <c r="D131" s="119">
        <v>0.62222222222222212</v>
      </c>
      <c r="E131" s="64">
        <v>0.86734693877551017</v>
      </c>
      <c r="F131" s="119">
        <v>1</v>
      </c>
      <c r="G131" s="64">
        <v>1.493975903614458</v>
      </c>
      <c r="H131" s="119">
        <v>1</v>
      </c>
      <c r="I131" s="64">
        <v>3.8777943368107302</v>
      </c>
      <c r="J131" s="149">
        <v>1</v>
      </c>
      <c r="K131">
        <f t="shared" si="20"/>
        <v>0</v>
      </c>
      <c r="L131">
        <f t="shared" si="16"/>
        <v>-0.20605448243312452</v>
      </c>
      <c r="M131">
        <f t="shared" si="16"/>
        <v>-6.1807149978202143E-2</v>
      </c>
      <c r="N131">
        <f t="shared" si="16"/>
        <v>0</v>
      </c>
      <c r="O131">
        <f t="shared" si="13"/>
        <v>0.17434359278616121</v>
      </c>
      <c r="P131">
        <f t="shared" si="13"/>
        <v>0</v>
      </c>
      <c r="Q131">
        <f t="shared" si="13"/>
        <v>0.58858477205657533</v>
      </c>
      <c r="R131">
        <f t="shared" si="13"/>
        <v>0</v>
      </c>
      <c r="S131">
        <f t="shared" si="11"/>
        <v>0.49506673243140986</v>
      </c>
    </row>
    <row r="132" spans="1:19" x14ac:dyDescent="0.2">
      <c r="A132" s="142">
        <v>9</v>
      </c>
      <c r="B132" t="s">
        <v>496</v>
      </c>
      <c r="C132" s="119">
        <v>1</v>
      </c>
      <c r="D132" s="119">
        <v>3.0162412993039445E-2</v>
      </c>
      <c r="E132" s="119">
        <v>1</v>
      </c>
      <c r="F132" s="119">
        <v>1</v>
      </c>
      <c r="G132" s="119">
        <v>1</v>
      </c>
      <c r="H132" s="119">
        <v>0.9107142857142857</v>
      </c>
      <c r="I132" s="64">
        <v>0.280578898225957</v>
      </c>
      <c r="J132" s="149">
        <v>1</v>
      </c>
      <c r="K132">
        <f t="shared" si="20"/>
        <v>0</v>
      </c>
      <c r="L132">
        <f t="shared" si="16"/>
        <v>-1.5205339178538948</v>
      </c>
      <c r="M132">
        <f t="shared" si="16"/>
        <v>0</v>
      </c>
      <c r="N132">
        <f t="shared" si="16"/>
        <v>0</v>
      </c>
      <c r="O132">
        <f t="shared" si="13"/>
        <v>0</v>
      </c>
      <c r="P132">
        <f t="shared" si="13"/>
        <v>-4.0617850908264058E-2</v>
      </c>
      <c r="Q132">
        <f t="shared" si="13"/>
        <v>-0.55194499449309742</v>
      </c>
      <c r="R132">
        <f t="shared" si="13"/>
        <v>0</v>
      </c>
      <c r="S132">
        <f t="shared" si="11"/>
        <v>-2.113096763255256</v>
      </c>
    </row>
    <row r="133" spans="1:19" x14ac:dyDescent="0.2">
      <c r="A133" s="142">
        <v>12</v>
      </c>
      <c r="B133" t="s">
        <v>496</v>
      </c>
      <c r="C133" s="119">
        <v>1</v>
      </c>
      <c r="D133" s="119">
        <v>1</v>
      </c>
      <c r="E133" s="119">
        <v>1</v>
      </c>
      <c r="F133" s="119">
        <v>1</v>
      </c>
      <c r="G133" s="119">
        <v>1</v>
      </c>
      <c r="H133" s="119">
        <v>1</v>
      </c>
      <c r="I133" s="119">
        <v>1</v>
      </c>
      <c r="J133" s="149">
        <v>1</v>
      </c>
      <c r="K133">
        <f t="shared" si="20"/>
        <v>0</v>
      </c>
      <c r="L133">
        <f t="shared" si="16"/>
        <v>0</v>
      </c>
      <c r="M133">
        <f t="shared" si="16"/>
        <v>0</v>
      </c>
      <c r="N133">
        <f t="shared" si="16"/>
        <v>0</v>
      </c>
      <c r="O133">
        <f t="shared" si="13"/>
        <v>0</v>
      </c>
      <c r="P133">
        <f t="shared" si="13"/>
        <v>0</v>
      </c>
      <c r="Q133">
        <f t="shared" si="13"/>
        <v>0</v>
      </c>
      <c r="R133">
        <f t="shared" si="13"/>
        <v>0</v>
      </c>
      <c r="S133">
        <f t="shared" ref="S133:S135" si="21">SUM(K133:R133)</f>
        <v>0</v>
      </c>
    </row>
    <row r="134" spans="1:19" x14ac:dyDescent="0.2">
      <c r="A134">
        <v>20</v>
      </c>
      <c r="B134" t="s">
        <v>496</v>
      </c>
      <c r="C134" s="118">
        <v>1</v>
      </c>
      <c r="D134" s="118">
        <v>1</v>
      </c>
      <c r="E134" s="64">
        <v>0.48767123287671232</v>
      </c>
      <c r="F134" s="118">
        <v>1</v>
      </c>
      <c r="G134" s="64">
        <v>0.62125340599455037</v>
      </c>
      <c r="H134" s="118">
        <v>0.75</v>
      </c>
      <c r="I134" s="118">
        <v>1</v>
      </c>
      <c r="J134" s="151">
        <v>1</v>
      </c>
      <c r="K134">
        <f t="shared" si="20"/>
        <v>0</v>
      </c>
      <c r="L134">
        <f t="shared" si="16"/>
        <v>0</v>
      </c>
      <c r="M134">
        <f t="shared" si="16"/>
        <v>-0.31187286214758075</v>
      </c>
      <c r="N134">
        <f t="shared" si="16"/>
        <v>0</v>
      </c>
      <c r="O134">
        <f t="shared" si="13"/>
        <v>-0.20673121725163557</v>
      </c>
      <c r="P134">
        <f t="shared" si="13"/>
        <v>-0.12493873660829995</v>
      </c>
      <c r="Q134">
        <f t="shared" si="13"/>
        <v>0</v>
      </c>
      <c r="R134">
        <f t="shared" si="13"/>
        <v>0</v>
      </c>
      <c r="S134">
        <f t="shared" si="21"/>
        <v>-0.64354281600751628</v>
      </c>
    </row>
    <row r="135" spans="1:19" x14ac:dyDescent="0.2">
      <c r="A135" s="146">
        <v>21</v>
      </c>
      <c r="B135" t="s">
        <v>496</v>
      </c>
      <c r="C135" s="118">
        <v>0.82198952879581155</v>
      </c>
      <c r="D135" s="118">
        <v>1</v>
      </c>
      <c r="E135" s="64">
        <v>0.68296795952782463</v>
      </c>
      <c r="F135" s="118">
        <v>1</v>
      </c>
      <c r="G135" s="64">
        <v>0.93606755126658636</v>
      </c>
      <c r="H135" s="64">
        <v>0.74273858921161828</v>
      </c>
      <c r="I135" s="64">
        <v>1.5744313273826664</v>
      </c>
      <c r="J135" s="151">
        <v>1</v>
      </c>
      <c r="K135">
        <f t="shared" si="20"/>
        <v>-8.5133714838493788E-2</v>
      </c>
      <c r="L135">
        <f t="shared" si="16"/>
        <v>0</v>
      </c>
      <c r="M135">
        <f t="shared" si="16"/>
        <v>-0.16559967014959404</v>
      </c>
      <c r="N135">
        <f t="shared" si="16"/>
        <v>0</v>
      </c>
      <c r="O135">
        <f t="shared" si="13"/>
        <v>-2.8692809292085064E-2</v>
      </c>
      <c r="P135">
        <f t="shared" si="13"/>
        <v>-0.1291640115949752</v>
      </c>
      <c r="Q135">
        <f t="shared" si="13"/>
        <v>0.19712372258502239</v>
      </c>
      <c r="R135">
        <f t="shared" si="13"/>
        <v>0</v>
      </c>
      <c r="S135">
        <f t="shared" si="21"/>
        <v>-0.21146648329012571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BA64FF-49B9-794B-95BA-B40CEFB9EB16}">
  <sheetPr codeName="Sheet8"/>
  <dimension ref="A1:S37"/>
  <sheetViews>
    <sheetView workbookViewId="0">
      <selection activeCell="G34" sqref="G34"/>
    </sheetView>
  </sheetViews>
  <sheetFormatPr baseColWidth="10" defaultRowHeight="16" x14ac:dyDescent="0.2"/>
  <sheetData>
    <row r="1" spans="1:19" x14ac:dyDescent="0.2">
      <c r="B1" t="s">
        <v>24</v>
      </c>
      <c r="H1" t="s">
        <v>25</v>
      </c>
      <c r="N1" t="s">
        <v>26</v>
      </c>
    </row>
    <row r="2" spans="1:19" x14ac:dyDescent="0.2">
      <c r="B2" s="17" t="s">
        <v>16</v>
      </c>
      <c r="C2" s="18" t="s">
        <v>17</v>
      </c>
      <c r="D2" s="18" t="s">
        <v>10</v>
      </c>
      <c r="E2" s="18" t="s">
        <v>18</v>
      </c>
      <c r="F2" s="18" t="s">
        <v>19</v>
      </c>
      <c r="G2" s="19" t="s">
        <v>15</v>
      </c>
      <c r="H2" s="17" t="s">
        <v>16</v>
      </c>
      <c r="I2" s="18" t="s">
        <v>17</v>
      </c>
      <c r="J2" s="18" t="s">
        <v>10</v>
      </c>
      <c r="K2" s="18" t="s">
        <v>18</v>
      </c>
      <c r="L2" s="18" t="s">
        <v>19</v>
      </c>
      <c r="M2" s="19" t="s">
        <v>15</v>
      </c>
      <c r="N2" s="17" t="s">
        <v>16</v>
      </c>
      <c r="O2" s="18" t="s">
        <v>17</v>
      </c>
      <c r="P2" s="18" t="s">
        <v>10</v>
      </c>
      <c r="Q2" s="18" t="s">
        <v>18</v>
      </c>
      <c r="R2" s="18" t="s">
        <v>19</v>
      </c>
      <c r="S2" s="19" t="s">
        <v>15</v>
      </c>
    </row>
    <row r="3" spans="1:19" x14ac:dyDescent="0.2">
      <c r="A3" s="16" t="s">
        <v>20</v>
      </c>
      <c r="B3" s="20">
        <v>18.82</v>
      </c>
      <c r="C3" s="21">
        <v>2.87</v>
      </c>
      <c r="D3" s="21">
        <v>12.15</v>
      </c>
      <c r="E3" s="22">
        <v>1.25</v>
      </c>
      <c r="F3" s="22">
        <v>1.72</v>
      </c>
      <c r="G3" s="10">
        <v>7.43</v>
      </c>
      <c r="H3" s="20">
        <f t="shared" ref="H3:M3" si="0">MAX(B3:B5)</f>
        <v>10895.43</v>
      </c>
      <c r="I3" s="21">
        <f t="shared" si="0"/>
        <v>132.66999999999999</v>
      </c>
      <c r="J3" s="21">
        <f t="shared" si="0"/>
        <v>94.98</v>
      </c>
      <c r="K3" s="21">
        <f t="shared" si="0"/>
        <v>195.54</v>
      </c>
      <c r="L3" s="21">
        <f t="shared" si="0"/>
        <v>136.55000000000001</v>
      </c>
      <c r="M3" s="10">
        <f t="shared" si="0"/>
        <v>10390.07</v>
      </c>
      <c r="N3" s="20">
        <f>B3/H3*100</f>
        <v>0.17273297153026546</v>
      </c>
      <c r="O3" s="21">
        <f t="shared" ref="O3:S5" si="1">C3/I3*100</f>
        <v>2.1632622295922213</v>
      </c>
      <c r="P3" s="21">
        <f t="shared" si="1"/>
        <v>12.79216677195199</v>
      </c>
      <c r="Q3" s="21">
        <f t="shared" si="1"/>
        <v>0.63925539531553655</v>
      </c>
      <c r="R3" s="21">
        <f t="shared" si="1"/>
        <v>1.2596118637861589</v>
      </c>
      <c r="S3" s="10">
        <f t="shared" si="1"/>
        <v>7.1510586550427468E-2</v>
      </c>
    </row>
    <row r="4" spans="1:19" x14ac:dyDescent="0.2">
      <c r="A4" s="16" t="s">
        <v>21</v>
      </c>
      <c r="B4" s="20">
        <v>41.24</v>
      </c>
      <c r="C4" s="21">
        <v>2.13</v>
      </c>
      <c r="D4" s="21">
        <v>29.48</v>
      </c>
      <c r="E4" s="21">
        <v>109.85</v>
      </c>
      <c r="F4" s="21">
        <v>136.55000000000001</v>
      </c>
      <c r="G4" s="10">
        <v>24.29</v>
      </c>
      <c r="H4" s="20">
        <v>10895.43</v>
      </c>
      <c r="I4" s="21">
        <v>132.66999999999999</v>
      </c>
      <c r="J4" s="21">
        <v>94.98</v>
      </c>
      <c r="K4" s="21">
        <v>195.54</v>
      </c>
      <c r="L4" s="21">
        <v>136.55000000000001</v>
      </c>
      <c r="M4" s="10">
        <v>10390.07</v>
      </c>
      <c r="N4" s="20">
        <f t="shared" ref="N4:N5" si="2">B4/H4*100</f>
        <v>0.378507319123706</v>
      </c>
      <c r="O4" s="21">
        <f t="shared" si="1"/>
        <v>1.6054872993140876</v>
      </c>
      <c r="P4" s="21">
        <f t="shared" si="1"/>
        <v>31.038113287007789</v>
      </c>
      <c r="Q4" s="21">
        <f t="shared" si="1"/>
        <v>56.177764140329344</v>
      </c>
      <c r="R4" s="21">
        <f t="shared" si="1"/>
        <v>100</v>
      </c>
      <c r="S4" s="10">
        <f t="shared" si="1"/>
        <v>0.23378090811707716</v>
      </c>
    </row>
    <row r="5" spans="1:19" x14ac:dyDescent="0.2">
      <c r="A5" s="16" t="s">
        <v>22</v>
      </c>
      <c r="B5" s="23">
        <v>10895.43</v>
      </c>
      <c r="C5" s="21">
        <v>132.66999999999999</v>
      </c>
      <c r="D5" s="21">
        <v>94.98</v>
      </c>
      <c r="E5" s="21">
        <v>195.54</v>
      </c>
      <c r="F5" s="21">
        <v>5.01</v>
      </c>
      <c r="G5" s="24">
        <v>10390.07</v>
      </c>
      <c r="H5" s="20">
        <v>10895.43</v>
      </c>
      <c r="I5" s="21">
        <v>132.66999999999999</v>
      </c>
      <c r="J5" s="21">
        <v>94.98</v>
      </c>
      <c r="K5" s="21">
        <v>195.54</v>
      </c>
      <c r="L5" s="21">
        <v>136.55000000000001</v>
      </c>
      <c r="M5" s="10">
        <v>10390.07</v>
      </c>
      <c r="N5" s="20">
        <f t="shared" si="2"/>
        <v>100</v>
      </c>
      <c r="O5" s="21">
        <f t="shared" si="1"/>
        <v>100</v>
      </c>
      <c r="P5" s="21">
        <f t="shared" si="1"/>
        <v>100</v>
      </c>
      <c r="Q5" s="21">
        <f t="shared" si="1"/>
        <v>100</v>
      </c>
      <c r="R5" s="21">
        <f t="shared" si="1"/>
        <v>3.6689857195166606</v>
      </c>
      <c r="S5" s="10">
        <f t="shared" si="1"/>
        <v>100</v>
      </c>
    </row>
    <row r="6" spans="1:19" x14ac:dyDescent="0.2">
      <c r="A6" s="16"/>
      <c r="B6" s="23"/>
      <c r="C6" s="21"/>
      <c r="D6" s="21"/>
      <c r="E6" s="21"/>
      <c r="F6" s="21"/>
      <c r="G6" s="24"/>
      <c r="H6" s="20"/>
      <c r="I6" s="21"/>
      <c r="J6" s="21"/>
      <c r="K6" s="21"/>
      <c r="L6" s="21"/>
      <c r="M6" s="10"/>
      <c r="N6" s="20"/>
      <c r="O6" s="21"/>
      <c r="P6" s="21"/>
      <c r="Q6" s="21"/>
      <c r="R6" s="21"/>
      <c r="S6" s="10"/>
    </row>
    <row r="7" spans="1:19" x14ac:dyDescent="0.2">
      <c r="A7" s="16"/>
      <c r="B7" s="23"/>
      <c r="C7" s="21"/>
      <c r="D7" s="21"/>
      <c r="E7" s="21"/>
      <c r="F7" s="21"/>
      <c r="G7" s="24"/>
      <c r="H7" s="20"/>
      <c r="I7" s="21"/>
      <c r="J7" s="21"/>
      <c r="K7" s="21"/>
      <c r="L7" s="21"/>
      <c r="M7" s="10"/>
      <c r="N7" s="20"/>
      <c r="O7" s="21"/>
      <c r="P7" s="21"/>
      <c r="Q7" s="21"/>
      <c r="R7" s="21"/>
      <c r="S7" s="10"/>
    </row>
    <row r="8" spans="1:19" x14ac:dyDescent="0.2">
      <c r="A8" s="16" t="s">
        <v>20</v>
      </c>
      <c r="B8" s="20">
        <v>16.13</v>
      </c>
      <c r="C8" s="21">
        <v>2.72</v>
      </c>
      <c r="D8" s="21">
        <v>12.86</v>
      </c>
      <c r="E8" s="22">
        <v>1.25</v>
      </c>
      <c r="F8" s="22">
        <v>1.72</v>
      </c>
      <c r="G8" s="10">
        <v>5.64</v>
      </c>
      <c r="H8" s="20">
        <f t="shared" ref="H8:M8" si="3">MAX(B8:B10)</f>
        <v>10895.43</v>
      </c>
      <c r="I8" s="21">
        <f t="shared" si="3"/>
        <v>90.91</v>
      </c>
      <c r="J8" s="21">
        <f t="shared" si="3"/>
        <v>145.6</v>
      </c>
      <c r="K8" s="21">
        <f t="shared" si="3"/>
        <v>287.18</v>
      </c>
      <c r="L8" s="21">
        <f t="shared" si="3"/>
        <v>78.81</v>
      </c>
      <c r="M8" s="10">
        <f t="shared" si="3"/>
        <v>10390.07</v>
      </c>
      <c r="N8" s="20">
        <f>B8/H8*100</f>
        <v>0.14804372108305958</v>
      </c>
      <c r="O8" s="21">
        <f t="shared" ref="O8:S10" si="4">C8/I8*100</f>
        <v>2.9919700802991973</v>
      </c>
      <c r="P8" s="21">
        <f t="shared" si="4"/>
        <v>8.8324175824175821</v>
      </c>
      <c r="Q8" s="21">
        <f t="shared" si="4"/>
        <v>0.43526707988021446</v>
      </c>
      <c r="R8" s="21">
        <f t="shared" si="4"/>
        <v>2.1824641542951402</v>
      </c>
      <c r="S8" s="10">
        <f t="shared" si="4"/>
        <v>5.4282598673541176E-2</v>
      </c>
    </row>
    <row r="9" spans="1:19" x14ac:dyDescent="0.2">
      <c r="A9" s="16" t="s">
        <v>21</v>
      </c>
      <c r="B9" s="20">
        <v>30.18</v>
      </c>
      <c r="C9" s="21">
        <v>1.86</v>
      </c>
      <c r="D9" s="21">
        <v>14.64</v>
      </c>
      <c r="E9" s="21">
        <v>69.650000000000006</v>
      </c>
      <c r="F9" s="21">
        <v>78.81</v>
      </c>
      <c r="G9" s="10">
        <v>11.5</v>
      </c>
      <c r="H9" s="20">
        <v>10895.43</v>
      </c>
      <c r="I9" s="21">
        <v>90.91</v>
      </c>
      <c r="J9" s="21">
        <v>145.6</v>
      </c>
      <c r="K9" s="21">
        <v>287.18</v>
      </c>
      <c r="L9" s="21">
        <v>78.81</v>
      </c>
      <c r="M9" s="10">
        <v>10390.07</v>
      </c>
      <c r="N9" s="20">
        <f t="shared" ref="N9:N10" si="5">B9/H9*100</f>
        <v>0.27699686932961798</v>
      </c>
      <c r="O9" s="21">
        <f t="shared" si="4"/>
        <v>2.0459795402045984</v>
      </c>
      <c r="P9" s="21">
        <f t="shared" si="4"/>
        <v>10.054945054945055</v>
      </c>
      <c r="Q9" s="21">
        <f t="shared" si="4"/>
        <v>24.253081690925555</v>
      </c>
      <c r="R9" s="21">
        <f t="shared" si="4"/>
        <v>100</v>
      </c>
      <c r="S9" s="10">
        <f t="shared" si="4"/>
        <v>0.11068260367831978</v>
      </c>
    </row>
    <row r="10" spans="1:19" x14ac:dyDescent="0.2">
      <c r="A10" s="16" t="s">
        <v>22</v>
      </c>
      <c r="B10" s="25">
        <v>10895.43</v>
      </c>
      <c r="C10" s="26">
        <v>90.91</v>
      </c>
      <c r="D10" s="26">
        <v>145.6</v>
      </c>
      <c r="E10" s="26">
        <v>287.18</v>
      </c>
      <c r="F10" s="26">
        <v>9.26</v>
      </c>
      <c r="G10" s="27">
        <v>10390.07</v>
      </c>
      <c r="H10" s="28">
        <v>10895.43</v>
      </c>
      <c r="I10" s="26">
        <v>90.91</v>
      </c>
      <c r="J10" s="26">
        <v>145.6</v>
      </c>
      <c r="K10" s="26">
        <v>287.18</v>
      </c>
      <c r="L10" s="26">
        <v>78.81</v>
      </c>
      <c r="M10" s="11">
        <v>10390.07</v>
      </c>
      <c r="N10" s="28">
        <f t="shared" si="5"/>
        <v>100</v>
      </c>
      <c r="O10" s="26">
        <f t="shared" si="4"/>
        <v>100</v>
      </c>
      <c r="P10" s="26">
        <f t="shared" si="4"/>
        <v>100</v>
      </c>
      <c r="Q10" s="26">
        <f t="shared" si="4"/>
        <v>100</v>
      </c>
      <c r="R10" s="26">
        <f t="shared" si="4"/>
        <v>11.749777946961045</v>
      </c>
      <c r="S10" s="11">
        <f t="shared" si="4"/>
        <v>100</v>
      </c>
    </row>
    <row r="14" spans="1:19" x14ac:dyDescent="0.2">
      <c r="A14" t="s">
        <v>23</v>
      </c>
    </row>
    <row r="15" spans="1:19" x14ac:dyDescent="0.2">
      <c r="A15" s="2"/>
      <c r="B15" s="304" t="s">
        <v>7</v>
      </c>
      <c r="C15" s="305"/>
      <c r="D15" s="304" t="s">
        <v>8</v>
      </c>
      <c r="E15" s="305"/>
      <c r="F15" s="304" t="s">
        <v>9</v>
      </c>
      <c r="G15" s="305"/>
    </row>
    <row r="16" spans="1:19" x14ac:dyDescent="0.2">
      <c r="A16" s="15" t="s">
        <v>11</v>
      </c>
      <c r="B16" s="4">
        <v>1.2596118599999999</v>
      </c>
      <c r="C16" s="6">
        <v>2.1824641499999999</v>
      </c>
      <c r="D16" s="4">
        <v>100</v>
      </c>
      <c r="E16" s="6">
        <v>100</v>
      </c>
      <c r="F16" s="4">
        <v>3.6689857199999998</v>
      </c>
      <c r="G16" s="6">
        <v>11.7497779</v>
      </c>
    </row>
    <row r="17" spans="1:7" x14ac:dyDescent="0.2">
      <c r="A17" s="15" t="s">
        <v>12</v>
      </c>
      <c r="B17" s="4">
        <v>0.63925540000000003</v>
      </c>
      <c r="C17" s="6">
        <v>0.43526707999999997</v>
      </c>
      <c r="D17" s="4">
        <v>56.177764099999997</v>
      </c>
      <c r="E17" s="6">
        <v>24.253081699999999</v>
      </c>
      <c r="F17" s="4">
        <v>100</v>
      </c>
      <c r="G17" s="6">
        <v>100</v>
      </c>
    </row>
    <row r="18" spans="1:7" x14ac:dyDescent="0.2">
      <c r="A18" s="15" t="s">
        <v>13</v>
      </c>
      <c r="B18" s="4">
        <v>0.17273297000000001</v>
      </c>
      <c r="C18" s="6">
        <v>0.14804371999999999</v>
      </c>
      <c r="D18" s="4">
        <v>0.37850731999999998</v>
      </c>
      <c r="E18" s="6">
        <v>0.27699687000000001</v>
      </c>
      <c r="F18" s="4">
        <v>100</v>
      </c>
      <c r="G18" s="6">
        <v>100</v>
      </c>
    </row>
    <row r="19" spans="1:7" x14ac:dyDescent="0.2">
      <c r="A19" s="15" t="s">
        <v>14</v>
      </c>
      <c r="B19" s="4">
        <v>2.16326223</v>
      </c>
      <c r="C19" s="6">
        <v>2.9919700800000002</v>
      </c>
      <c r="D19" s="4">
        <v>1.6054873000000001</v>
      </c>
      <c r="E19" s="6">
        <v>2.0459795399999998</v>
      </c>
      <c r="F19" s="4">
        <v>100</v>
      </c>
      <c r="G19" s="6">
        <v>100</v>
      </c>
    </row>
    <row r="20" spans="1:7" x14ac:dyDescent="0.2">
      <c r="A20" s="15" t="s">
        <v>15</v>
      </c>
      <c r="B20" s="4">
        <v>7.1510589999999999E-2</v>
      </c>
      <c r="C20" s="6">
        <v>5.42826E-2</v>
      </c>
      <c r="D20" s="4">
        <v>0.23378091000000001</v>
      </c>
      <c r="E20" s="6">
        <v>0.11068260000000001</v>
      </c>
      <c r="F20" s="4">
        <v>100</v>
      </c>
      <c r="G20" s="6">
        <v>100</v>
      </c>
    </row>
    <row r="21" spans="1:7" x14ac:dyDescent="0.2">
      <c r="A21" s="15" t="s">
        <v>10</v>
      </c>
      <c r="B21" s="7">
        <v>12.7921668</v>
      </c>
      <c r="C21" s="9">
        <v>8.8324175799999995</v>
      </c>
      <c r="D21" s="7">
        <v>31.038113299999999</v>
      </c>
      <c r="E21" s="9">
        <v>10.054945099999999</v>
      </c>
      <c r="F21" s="7">
        <v>100</v>
      </c>
      <c r="G21" s="9">
        <v>100</v>
      </c>
    </row>
    <row r="24" spans="1:7" x14ac:dyDescent="0.2">
      <c r="A24" s="59" t="s">
        <v>1020</v>
      </c>
      <c r="B24" t="s">
        <v>1024</v>
      </c>
    </row>
    <row r="25" spans="1:7" x14ac:dyDescent="0.2">
      <c r="A25" s="203"/>
      <c r="B25" s="302" t="s">
        <v>7</v>
      </c>
      <c r="C25" s="303"/>
      <c r="D25" s="302" t="s">
        <v>8</v>
      </c>
      <c r="E25" s="303"/>
      <c r="F25" s="302" t="s">
        <v>9</v>
      </c>
      <c r="G25" s="303"/>
    </row>
    <row r="26" spans="1:7" x14ac:dyDescent="0.2">
      <c r="A26" s="204" t="s">
        <v>423</v>
      </c>
      <c r="B26" s="205">
        <v>144</v>
      </c>
      <c r="C26" s="207">
        <v>127</v>
      </c>
      <c r="D26" s="205">
        <v>777</v>
      </c>
      <c r="E26" s="207">
        <v>833</v>
      </c>
      <c r="F26" s="205">
        <v>4481</v>
      </c>
      <c r="G26" s="207">
        <v>4481</v>
      </c>
    </row>
    <row r="27" spans="1:7" x14ac:dyDescent="0.2">
      <c r="A27" s="204" t="s">
        <v>386</v>
      </c>
      <c r="B27" s="205">
        <v>1828</v>
      </c>
      <c r="C27" s="207">
        <v>1849</v>
      </c>
      <c r="D27" s="205">
        <v>9599</v>
      </c>
      <c r="E27" s="207">
        <v>8973</v>
      </c>
      <c r="F27" s="205">
        <v>15930</v>
      </c>
      <c r="G27" s="207">
        <v>16042</v>
      </c>
    </row>
    <row r="28" spans="1:7" x14ac:dyDescent="0.2">
      <c r="A28" s="204" t="s">
        <v>1021</v>
      </c>
      <c r="B28" s="205">
        <v>2068</v>
      </c>
      <c r="C28" s="207">
        <v>1953</v>
      </c>
      <c r="D28" s="205">
        <v>2414</v>
      </c>
      <c r="E28" s="207">
        <v>2583</v>
      </c>
      <c r="F28" s="205">
        <v>3266</v>
      </c>
      <c r="G28" s="207">
        <v>3823</v>
      </c>
    </row>
    <row r="29" spans="1:7" x14ac:dyDescent="0.2">
      <c r="A29" s="204" t="s">
        <v>1022</v>
      </c>
      <c r="B29" s="205">
        <v>2554</v>
      </c>
      <c r="C29" s="207">
        <v>2670</v>
      </c>
      <c r="D29" s="205">
        <v>2843</v>
      </c>
      <c r="E29" s="207">
        <v>3089</v>
      </c>
      <c r="F29" s="205">
        <v>3525</v>
      </c>
      <c r="G29" s="207">
        <v>4008</v>
      </c>
    </row>
    <row r="30" spans="1:7" x14ac:dyDescent="0.2">
      <c r="A30" s="204" t="s">
        <v>1023</v>
      </c>
      <c r="B30" s="208">
        <v>1220</v>
      </c>
      <c r="C30" s="210">
        <v>1225</v>
      </c>
      <c r="D30" s="208">
        <v>1722</v>
      </c>
      <c r="E30" s="210">
        <v>1788</v>
      </c>
      <c r="F30" s="208">
        <v>1928</v>
      </c>
      <c r="G30" s="210">
        <v>2083</v>
      </c>
    </row>
    <row r="34" spans="1:3" x14ac:dyDescent="0.2">
      <c r="A34" s="203"/>
      <c r="B34" s="203"/>
      <c r="C34" s="203"/>
    </row>
    <row r="35" spans="1:3" x14ac:dyDescent="0.2">
      <c r="A35" s="202"/>
      <c r="B35" s="202"/>
      <c r="C35" s="202"/>
    </row>
    <row r="36" spans="1:3" x14ac:dyDescent="0.2">
      <c r="A36" s="202"/>
      <c r="B36" s="202"/>
      <c r="C36" s="202"/>
    </row>
    <row r="37" spans="1:3" x14ac:dyDescent="0.2">
      <c r="A37" s="202"/>
      <c r="B37" s="202"/>
      <c r="C37" s="202"/>
    </row>
  </sheetData>
  <mergeCells count="6">
    <mergeCell ref="B25:C25"/>
    <mergeCell ref="D25:E25"/>
    <mergeCell ref="F25:G25"/>
    <mergeCell ref="B15:C15"/>
    <mergeCell ref="D15:E15"/>
    <mergeCell ref="F15:G15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B1C663-72D9-BC42-BA3C-30242B130A39}">
  <sheetPr codeName="Sheet9"/>
  <dimension ref="A1:W42"/>
  <sheetViews>
    <sheetView topLeftCell="A10" zoomScale="86" zoomScaleNormal="86" workbookViewId="0">
      <selection activeCell="G49" sqref="G49"/>
    </sheetView>
  </sheetViews>
  <sheetFormatPr baseColWidth="10" defaultRowHeight="16" x14ac:dyDescent="0.2"/>
  <sheetData>
    <row r="1" spans="1:23" x14ac:dyDescent="0.2">
      <c r="A1" t="s">
        <v>0</v>
      </c>
    </row>
    <row r="2" spans="1:23" x14ac:dyDescent="0.2">
      <c r="A2" s="12" t="s">
        <v>1</v>
      </c>
      <c r="B2" s="304" t="s">
        <v>2</v>
      </c>
      <c r="C2" s="306"/>
      <c r="D2" s="306"/>
      <c r="E2" s="306"/>
      <c r="F2" s="306"/>
      <c r="G2" s="306"/>
      <c r="H2" s="306"/>
      <c r="I2" s="306"/>
      <c r="J2" s="306"/>
      <c r="K2" s="305"/>
      <c r="L2" s="304" t="s">
        <v>3</v>
      </c>
      <c r="M2" s="306"/>
      <c r="N2" s="306"/>
      <c r="O2" s="306"/>
      <c r="P2" s="306"/>
      <c r="Q2" s="306"/>
      <c r="R2" s="306"/>
      <c r="S2" s="306"/>
      <c r="T2" s="306"/>
      <c r="U2" s="305"/>
    </row>
    <row r="3" spans="1:23" x14ac:dyDescent="0.2">
      <c r="A3" s="13">
        <v>9</v>
      </c>
      <c r="B3" s="4">
        <v>6</v>
      </c>
      <c r="C3" s="5">
        <v>50.484690000000001</v>
      </c>
      <c r="D3" s="5">
        <v>30.503679999999999</v>
      </c>
      <c r="E3" s="5">
        <v>15.345000000000001</v>
      </c>
      <c r="F3" s="5">
        <v>0</v>
      </c>
      <c r="G3" s="5">
        <v>0</v>
      </c>
      <c r="H3" s="5">
        <v>6</v>
      </c>
      <c r="I3" s="5">
        <v>23.629390000000001</v>
      </c>
      <c r="J3" s="5">
        <v>0</v>
      </c>
      <c r="K3" s="6"/>
      <c r="L3" s="4">
        <v>0</v>
      </c>
      <c r="M3" s="5">
        <v>0</v>
      </c>
      <c r="N3" s="5">
        <v>0</v>
      </c>
      <c r="O3" s="5">
        <v>0</v>
      </c>
      <c r="P3" s="5">
        <v>0</v>
      </c>
      <c r="Q3" s="5">
        <v>0</v>
      </c>
      <c r="R3" s="5">
        <v>0</v>
      </c>
      <c r="S3" s="5">
        <v>0</v>
      </c>
      <c r="T3" s="5"/>
      <c r="U3" s="6"/>
    </row>
    <row r="4" spans="1:23" x14ac:dyDescent="0.2">
      <c r="A4" s="13">
        <v>12</v>
      </c>
      <c r="B4" s="4">
        <v>58.011670000000002</v>
      </c>
      <c r="C4" s="5">
        <v>10.026579999999999</v>
      </c>
      <c r="D4" s="5">
        <v>87.271320000000003</v>
      </c>
      <c r="E4" s="5">
        <v>68.57311</v>
      </c>
      <c r="F4" s="5">
        <v>51.348100000000002</v>
      </c>
      <c r="G4" s="5">
        <v>41.107129999999998</v>
      </c>
      <c r="H4" s="5">
        <v>48.408349999999999</v>
      </c>
      <c r="I4" s="5">
        <v>55.556750000000001</v>
      </c>
      <c r="J4" s="5">
        <v>4</v>
      </c>
      <c r="K4" s="6"/>
      <c r="L4" s="4">
        <v>66.107389999999995</v>
      </c>
      <c r="M4" s="5">
        <v>70.037989999999994</v>
      </c>
      <c r="N4" s="5">
        <v>0</v>
      </c>
      <c r="O4" s="5">
        <v>17.535540000000001</v>
      </c>
      <c r="P4" s="5">
        <v>18.225000000000001</v>
      </c>
      <c r="Q4" s="5">
        <v>22.760760000000001</v>
      </c>
      <c r="R4" s="5">
        <v>0</v>
      </c>
      <c r="S4" s="5">
        <v>0</v>
      </c>
      <c r="T4" s="5"/>
      <c r="U4" s="6"/>
    </row>
    <row r="5" spans="1:23" x14ac:dyDescent="0.2">
      <c r="A5" s="13">
        <v>15</v>
      </c>
      <c r="B5" s="4">
        <v>139.0874</v>
      </c>
      <c r="C5" s="5">
        <v>539.5915</v>
      </c>
      <c r="D5" s="5">
        <v>370.38119999999998</v>
      </c>
      <c r="E5" s="5">
        <v>117.18040000000001</v>
      </c>
      <c r="F5" s="5">
        <v>140.25659999999999</v>
      </c>
      <c r="G5" s="5">
        <v>56.528329999999997</v>
      </c>
      <c r="H5" s="5">
        <v>117.91249999999999</v>
      </c>
      <c r="I5" s="5">
        <v>134.30850000000001</v>
      </c>
      <c r="J5" s="5">
        <v>45.34272</v>
      </c>
      <c r="K5" s="6"/>
      <c r="L5" s="4">
        <v>91.369699999999995</v>
      </c>
      <c r="M5" s="5">
        <v>202.18379999999999</v>
      </c>
      <c r="N5" s="5">
        <v>0</v>
      </c>
      <c r="O5" s="5">
        <v>32.710659999999997</v>
      </c>
      <c r="P5" s="5">
        <v>35.238010000000003</v>
      </c>
      <c r="Q5" s="5">
        <v>90.918289999999999</v>
      </c>
      <c r="R5" s="5">
        <v>6</v>
      </c>
      <c r="S5" s="5">
        <v>0</v>
      </c>
      <c r="T5" s="5"/>
      <c r="U5" s="6"/>
    </row>
    <row r="6" spans="1:23" x14ac:dyDescent="0.2">
      <c r="A6" s="13">
        <v>18</v>
      </c>
      <c r="B6" s="4">
        <v>406.0763</v>
      </c>
      <c r="C6" s="5">
        <v>1000</v>
      </c>
      <c r="D6" s="5">
        <v>867.35559999999998</v>
      </c>
      <c r="E6" s="5">
        <v>318.3313</v>
      </c>
      <c r="F6" s="5">
        <v>750.0625</v>
      </c>
      <c r="G6" s="5">
        <v>323.39490000000001</v>
      </c>
      <c r="H6" s="5">
        <v>374.97460000000001</v>
      </c>
      <c r="I6" s="5">
        <v>274.21609999999998</v>
      </c>
      <c r="J6" s="5">
        <v>146.34</v>
      </c>
      <c r="K6" s="6"/>
      <c r="L6" s="4">
        <v>304.12290000000002</v>
      </c>
      <c r="M6" s="5">
        <v>407.2253</v>
      </c>
      <c r="N6" s="5">
        <v>4</v>
      </c>
      <c r="O6" s="5">
        <v>251.8441</v>
      </c>
      <c r="P6" s="5">
        <v>139.17850000000001</v>
      </c>
      <c r="Q6" s="5">
        <v>262.18079999999998</v>
      </c>
      <c r="R6" s="5">
        <v>55.910339999999998</v>
      </c>
      <c r="S6" s="5">
        <v>4</v>
      </c>
      <c r="T6" s="5"/>
      <c r="U6" s="6"/>
    </row>
    <row r="7" spans="1:23" x14ac:dyDescent="0.2">
      <c r="A7" s="13">
        <v>21</v>
      </c>
      <c r="B7" s="4">
        <v>703.79079999999999</v>
      </c>
      <c r="C7" s="5">
        <v>1000</v>
      </c>
      <c r="D7" s="5">
        <v>1000</v>
      </c>
      <c r="E7" s="5">
        <v>760.7903</v>
      </c>
      <c r="F7" s="5">
        <v>1000</v>
      </c>
      <c r="G7" s="5">
        <v>523.75940000000003</v>
      </c>
      <c r="H7" s="5">
        <v>540.56299999999999</v>
      </c>
      <c r="I7" s="5">
        <v>510.27109999999999</v>
      </c>
      <c r="J7" s="5">
        <v>358.11450000000002</v>
      </c>
      <c r="K7" s="6"/>
      <c r="L7" s="4">
        <v>639.65480000000002</v>
      </c>
      <c r="M7" s="5">
        <v>1000</v>
      </c>
      <c r="N7" s="5">
        <v>37.067140000000002</v>
      </c>
      <c r="O7" s="5">
        <v>441.29919999999998</v>
      </c>
      <c r="P7" s="5">
        <v>293.14249999999998</v>
      </c>
      <c r="Q7" s="5">
        <v>490.55939999999998</v>
      </c>
      <c r="R7" s="5">
        <v>174.29259999999999</v>
      </c>
      <c r="S7" s="5">
        <v>30.931249999999999</v>
      </c>
      <c r="T7" s="5"/>
      <c r="U7" s="6"/>
    </row>
    <row r="8" spans="1:23" x14ac:dyDescent="0.2">
      <c r="A8" s="14">
        <v>24</v>
      </c>
      <c r="B8" s="7">
        <v>1000</v>
      </c>
      <c r="C8" s="8">
        <v>1000</v>
      </c>
      <c r="D8" s="8">
        <v>1000</v>
      </c>
      <c r="E8" s="8">
        <v>1000</v>
      </c>
      <c r="F8" s="8">
        <v>1000</v>
      </c>
      <c r="G8" s="8">
        <v>931.91240000000005</v>
      </c>
      <c r="H8" s="8">
        <v>942.96690000000001</v>
      </c>
      <c r="I8" s="8">
        <v>758.8922</v>
      </c>
      <c r="J8" s="8">
        <v>664.16970000000003</v>
      </c>
      <c r="K8" s="9"/>
      <c r="L8" s="7">
        <v>1000</v>
      </c>
      <c r="M8" s="8">
        <v>1000</v>
      </c>
      <c r="N8" s="8">
        <v>148.15950000000001</v>
      </c>
      <c r="O8" s="8">
        <v>634.19659999999999</v>
      </c>
      <c r="P8" s="8">
        <v>526.28110000000004</v>
      </c>
      <c r="Q8" s="8"/>
      <c r="R8" s="8">
        <v>227.27979999999999</v>
      </c>
      <c r="S8" s="8">
        <v>4</v>
      </c>
      <c r="T8" s="8"/>
      <c r="U8" s="9"/>
    </row>
    <row r="10" spans="1:23" x14ac:dyDescent="0.2">
      <c r="A10" t="s">
        <v>4</v>
      </c>
    </row>
    <row r="11" spans="1:23" x14ac:dyDescent="0.2">
      <c r="A11" s="12" t="s">
        <v>1</v>
      </c>
      <c r="B11" s="304" t="s">
        <v>5</v>
      </c>
      <c r="C11" s="306"/>
      <c r="D11" s="306"/>
      <c r="E11" s="306"/>
      <c r="F11" s="306"/>
      <c r="G11" s="306"/>
      <c r="H11" s="306"/>
      <c r="I11" s="306"/>
      <c r="J11" s="306"/>
      <c r="K11" s="306"/>
      <c r="L11" s="305"/>
      <c r="M11" s="304" t="s">
        <v>6</v>
      </c>
      <c r="N11" s="306"/>
      <c r="O11" s="306"/>
      <c r="P11" s="306"/>
      <c r="Q11" s="306"/>
      <c r="R11" s="306"/>
      <c r="S11" s="306"/>
      <c r="T11" s="306"/>
      <c r="U11" s="306"/>
      <c r="V11" s="306"/>
      <c r="W11" s="305"/>
    </row>
    <row r="12" spans="1:23" x14ac:dyDescent="0.2">
      <c r="A12" s="13">
        <v>20</v>
      </c>
      <c r="B12" s="4">
        <v>4</v>
      </c>
      <c r="C12" s="5">
        <v>0</v>
      </c>
      <c r="D12" s="5">
        <v>28.575620000000001</v>
      </c>
      <c r="E12" s="5">
        <v>20.25</v>
      </c>
      <c r="F12" s="5">
        <v>20.504840000000002</v>
      </c>
      <c r="G12" s="5">
        <v>0</v>
      </c>
      <c r="H12" s="5">
        <v>34.516689999999997</v>
      </c>
      <c r="I12" s="5">
        <v>51.585970000000003</v>
      </c>
      <c r="J12" s="5">
        <v>20.768920000000001</v>
      </c>
      <c r="K12" s="5"/>
      <c r="L12" s="6"/>
      <c r="M12" s="4">
        <v>0</v>
      </c>
      <c r="N12" s="5">
        <v>0</v>
      </c>
      <c r="O12" s="5">
        <v>0</v>
      </c>
      <c r="P12" s="5">
        <v>0</v>
      </c>
      <c r="Q12" s="5">
        <v>12.1945</v>
      </c>
      <c r="R12" s="5">
        <v>13.117100000000001</v>
      </c>
      <c r="S12" s="5">
        <v>0</v>
      </c>
      <c r="T12" s="5">
        <v>40.133429999999997</v>
      </c>
      <c r="U12" s="5">
        <v>9.2903040000000008</v>
      </c>
      <c r="V12" s="5"/>
      <c r="W12" s="10"/>
    </row>
    <row r="13" spans="1:23" x14ac:dyDescent="0.2">
      <c r="A13" s="13">
        <v>22</v>
      </c>
      <c r="B13" s="4">
        <v>6.82</v>
      </c>
      <c r="C13" s="5">
        <v>0</v>
      </c>
      <c r="D13" s="5">
        <v>64.242260000000002</v>
      </c>
      <c r="E13" s="5">
        <v>52.941740000000003</v>
      </c>
      <c r="F13" s="5">
        <v>92.325310000000002</v>
      </c>
      <c r="G13" s="5">
        <v>0</v>
      </c>
      <c r="H13" s="5">
        <v>44.614150000000002</v>
      </c>
      <c r="I13" s="5">
        <v>50.806350000000002</v>
      </c>
      <c r="J13" s="5">
        <v>27.743040000000001</v>
      </c>
      <c r="K13" s="5"/>
      <c r="L13" s="6"/>
      <c r="M13" s="4">
        <v>0</v>
      </c>
      <c r="N13" s="5">
        <v>0</v>
      </c>
      <c r="O13" s="5">
        <v>0</v>
      </c>
      <c r="P13" s="5">
        <v>0</v>
      </c>
      <c r="Q13" s="5">
        <v>7</v>
      </c>
      <c r="R13" s="5">
        <v>14.32485</v>
      </c>
      <c r="S13" s="5">
        <v>0</v>
      </c>
      <c r="T13" s="5">
        <v>69.011709999999994</v>
      </c>
      <c r="U13" s="5">
        <v>13.1196</v>
      </c>
      <c r="V13" s="5"/>
      <c r="W13" s="10"/>
    </row>
    <row r="14" spans="1:23" x14ac:dyDescent="0.2">
      <c r="A14" s="13">
        <v>25</v>
      </c>
      <c r="B14" s="4">
        <v>31.909849999999999</v>
      </c>
      <c r="C14" s="5">
        <v>0</v>
      </c>
      <c r="D14" s="5">
        <v>62.977499999999999</v>
      </c>
      <c r="E14" s="5">
        <v>57.52722</v>
      </c>
      <c r="F14" s="5">
        <v>87.354659999999996</v>
      </c>
      <c r="G14" s="5">
        <v>10.693350000000001</v>
      </c>
      <c r="H14" s="5">
        <v>120.27719999999999</v>
      </c>
      <c r="I14" s="5">
        <v>115.28489999999999</v>
      </c>
      <c r="J14" s="5">
        <v>50.134869999999999</v>
      </c>
      <c r="K14" s="5"/>
      <c r="L14" s="6"/>
      <c r="M14" s="4">
        <v>7.6704999999999997</v>
      </c>
      <c r="N14" s="5">
        <v>0</v>
      </c>
      <c r="O14" s="5">
        <v>0</v>
      </c>
      <c r="P14" s="5">
        <v>0</v>
      </c>
      <c r="Q14" s="5">
        <v>8.4375</v>
      </c>
      <c r="R14" s="5">
        <v>22.12236</v>
      </c>
      <c r="S14" s="5">
        <v>0</v>
      </c>
      <c r="T14" s="5">
        <v>95.700220000000002</v>
      </c>
      <c r="U14" s="5">
        <v>18.548860000000001</v>
      </c>
      <c r="V14" s="5"/>
      <c r="W14" s="10"/>
    </row>
    <row r="15" spans="1:23" x14ac:dyDescent="0.2">
      <c r="A15" s="13">
        <v>28</v>
      </c>
      <c r="B15" s="4">
        <v>49.839210000000001</v>
      </c>
      <c r="C15" s="5">
        <v>0</v>
      </c>
      <c r="D15" s="5">
        <v>89.01728</v>
      </c>
      <c r="E15" s="5">
        <v>105.4534</v>
      </c>
      <c r="F15" s="5">
        <v>195.5326</v>
      </c>
      <c r="G15" s="5">
        <v>17.585439999999998</v>
      </c>
      <c r="H15" s="5">
        <v>230.57300000000001</v>
      </c>
      <c r="I15" s="5">
        <v>272.30840000000001</v>
      </c>
      <c r="J15" s="5">
        <v>91.143379999999993</v>
      </c>
      <c r="K15" s="5"/>
      <c r="L15" s="6"/>
      <c r="M15" s="4">
        <v>12.77871</v>
      </c>
      <c r="N15" s="5">
        <v>0</v>
      </c>
      <c r="O15" s="5">
        <v>0</v>
      </c>
      <c r="P15" s="5">
        <v>0</v>
      </c>
      <c r="Q15" s="5">
        <v>16.62039</v>
      </c>
      <c r="R15" s="5">
        <v>51.710479999999997</v>
      </c>
      <c r="S15" s="5">
        <v>0</v>
      </c>
      <c r="T15" s="5">
        <v>176.3853</v>
      </c>
      <c r="U15" s="5">
        <v>41.058439999999997</v>
      </c>
      <c r="V15" s="5"/>
      <c r="W15" s="10"/>
    </row>
    <row r="16" spans="1:23" x14ac:dyDescent="0.2">
      <c r="A16" s="13">
        <v>31</v>
      </c>
      <c r="B16" s="4">
        <v>78.179060000000007</v>
      </c>
      <c r="C16" s="5">
        <v>0</v>
      </c>
      <c r="D16" s="5">
        <v>176.7603</v>
      </c>
      <c r="E16" s="5">
        <v>157.58430000000001</v>
      </c>
      <c r="F16" s="5">
        <v>328.536</v>
      </c>
      <c r="G16" s="5">
        <v>23.092089999999999</v>
      </c>
      <c r="H16" s="5">
        <v>364.33800000000002</v>
      </c>
      <c r="I16" s="5">
        <v>256.99299999999999</v>
      </c>
      <c r="J16" s="5">
        <v>114.19840000000001</v>
      </c>
      <c r="K16" s="5"/>
      <c r="L16" s="6"/>
      <c r="M16" s="4">
        <v>15.6282</v>
      </c>
      <c r="N16" s="5">
        <v>0</v>
      </c>
      <c r="O16" s="5">
        <v>0</v>
      </c>
      <c r="P16" s="5">
        <v>0</v>
      </c>
      <c r="Q16" s="5">
        <v>23.00976</v>
      </c>
      <c r="R16" s="5">
        <v>63.115250000000003</v>
      </c>
      <c r="S16" s="5">
        <v>0</v>
      </c>
      <c r="T16" s="5">
        <v>166.4041</v>
      </c>
      <c r="U16" s="5">
        <v>67.296599999999998</v>
      </c>
      <c r="V16" s="5"/>
      <c r="W16" s="10"/>
    </row>
    <row r="17" spans="1:23" x14ac:dyDescent="0.2">
      <c r="A17" s="13">
        <v>34</v>
      </c>
      <c r="B17" s="4">
        <v>119.41379999999999</v>
      </c>
      <c r="C17" s="5">
        <v>0</v>
      </c>
      <c r="D17" s="5">
        <v>342.88260000000002</v>
      </c>
      <c r="E17" s="5">
        <v>259.72250000000003</v>
      </c>
      <c r="F17" s="5">
        <v>576.55560000000003</v>
      </c>
      <c r="G17" s="5">
        <v>24.98</v>
      </c>
      <c r="H17" s="5">
        <v>507.78109999999998</v>
      </c>
      <c r="I17" s="5">
        <v>536.95060000000001</v>
      </c>
      <c r="J17" s="5">
        <v>223.7698</v>
      </c>
      <c r="K17" s="5"/>
      <c r="L17" s="6"/>
      <c r="M17" s="4">
        <v>38.382179999999998</v>
      </c>
      <c r="N17" s="5">
        <v>0</v>
      </c>
      <c r="O17" s="5">
        <v>0</v>
      </c>
      <c r="P17" s="5">
        <v>0</v>
      </c>
      <c r="Q17" s="5">
        <v>49.261719999999997</v>
      </c>
      <c r="R17" s="5">
        <v>139.42230000000001</v>
      </c>
      <c r="S17" s="5">
        <v>0</v>
      </c>
      <c r="T17" s="5">
        <v>276.21449999999999</v>
      </c>
      <c r="U17" s="5">
        <v>131.53739999999999</v>
      </c>
      <c r="V17" s="5"/>
      <c r="W17" s="10"/>
    </row>
    <row r="18" spans="1:23" x14ac:dyDescent="0.2">
      <c r="A18" s="13">
        <v>37</v>
      </c>
      <c r="B18" s="4">
        <v>203.0909</v>
      </c>
      <c r="C18" s="5">
        <v>18.17379</v>
      </c>
      <c r="D18" s="5">
        <v>376.66180000000003</v>
      </c>
      <c r="E18" s="5">
        <v>450.84570000000002</v>
      </c>
      <c r="F18" s="5">
        <v>1000</v>
      </c>
      <c r="G18" s="5">
        <v>58.176000000000002</v>
      </c>
      <c r="H18" s="5">
        <v>1000</v>
      </c>
      <c r="I18" s="5">
        <v>826.74199999999996</v>
      </c>
      <c r="J18" s="5">
        <v>408.70060000000001</v>
      </c>
      <c r="K18" s="5"/>
      <c r="L18" s="6"/>
      <c r="M18" s="4">
        <v>48.360579999999999</v>
      </c>
      <c r="N18" s="5">
        <v>0</v>
      </c>
      <c r="O18" s="5">
        <v>0</v>
      </c>
      <c r="P18" s="5">
        <v>0</v>
      </c>
      <c r="Q18" s="5">
        <v>85.293000000000006</v>
      </c>
      <c r="R18" s="5">
        <v>267.72269999999997</v>
      </c>
      <c r="S18" s="5">
        <v>59.105640000000001</v>
      </c>
      <c r="T18" s="5">
        <v>504.8467</v>
      </c>
      <c r="U18" s="5">
        <v>240.2432</v>
      </c>
      <c r="V18" s="5"/>
      <c r="W18" s="10"/>
    </row>
    <row r="19" spans="1:23" x14ac:dyDescent="0.2">
      <c r="A19" s="13">
        <v>40</v>
      </c>
      <c r="B19" s="4">
        <v>339.3014</v>
      </c>
      <c r="C19" s="5">
        <v>16.04748</v>
      </c>
      <c r="D19" s="5">
        <v>694.59159999999997</v>
      </c>
      <c r="E19" s="5">
        <v>636.27059999999994</v>
      </c>
      <c r="F19" s="5">
        <v>1000</v>
      </c>
      <c r="G19" s="5">
        <v>77.853840000000005</v>
      </c>
      <c r="H19" s="5">
        <v>1000</v>
      </c>
      <c r="I19" s="5">
        <v>1000</v>
      </c>
      <c r="J19" s="5">
        <v>622.7799</v>
      </c>
      <c r="K19" s="5"/>
      <c r="L19" s="6"/>
      <c r="M19" s="4">
        <v>170.6268</v>
      </c>
      <c r="N19" s="5">
        <v>0</v>
      </c>
      <c r="O19" s="5">
        <v>0</v>
      </c>
      <c r="P19" s="5">
        <v>0</v>
      </c>
      <c r="Q19" s="5">
        <v>174.41900000000001</v>
      </c>
      <c r="R19" s="5">
        <v>438.34210000000002</v>
      </c>
      <c r="S19" s="5">
        <v>147.60839999999999</v>
      </c>
      <c r="T19" s="5">
        <v>727.22709999999995</v>
      </c>
      <c r="U19" s="5">
        <v>395.34649999999999</v>
      </c>
      <c r="V19" s="5"/>
      <c r="W19" s="10"/>
    </row>
    <row r="20" spans="1:23" x14ac:dyDescent="0.2">
      <c r="A20" s="13">
        <v>43</v>
      </c>
      <c r="B20" s="4">
        <v>578.51890000000003</v>
      </c>
      <c r="C20" s="5">
        <v>64.853049999999996</v>
      </c>
      <c r="D20" s="5">
        <v>842.50360000000001</v>
      </c>
      <c r="E20" s="5">
        <v>1000</v>
      </c>
      <c r="F20" s="5">
        <v>1000</v>
      </c>
      <c r="G20" s="5">
        <v>188.6285</v>
      </c>
      <c r="H20" s="5">
        <v>1000</v>
      </c>
      <c r="I20" s="5">
        <v>1000</v>
      </c>
      <c r="J20" s="5">
        <v>889.73440000000005</v>
      </c>
      <c r="K20" s="5"/>
      <c r="L20" s="6"/>
      <c r="M20" s="4">
        <v>148.74680000000001</v>
      </c>
      <c r="N20" s="5">
        <v>0</v>
      </c>
      <c r="O20" s="5">
        <v>0</v>
      </c>
      <c r="P20" s="5">
        <v>0</v>
      </c>
      <c r="Q20" s="5">
        <v>316.8888</v>
      </c>
      <c r="R20" s="5">
        <v>699.92070000000001</v>
      </c>
      <c r="S20" s="5">
        <v>140.89599999999999</v>
      </c>
      <c r="T20" s="5">
        <v>1000</v>
      </c>
      <c r="U20" s="5">
        <v>535.63149999999996</v>
      </c>
      <c r="V20" s="5"/>
      <c r="W20" s="10"/>
    </row>
    <row r="21" spans="1:23" x14ac:dyDescent="0.2">
      <c r="A21" s="14">
        <v>46</v>
      </c>
      <c r="B21" s="7">
        <v>952.03150000000005</v>
      </c>
      <c r="C21" s="8">
        <v>81.108040000000003</v>
      </c>
      <c r="D21" s="8">
        <v>1000</v>
      </c>
      <c r="E21" s="8">
        <v>1000</v>
      </c>
      <c r="F21" s="8">
        <v>1000</v>
      </c>
      <c r="G21" s="8">
        <v>173.6053</v>
      </c>
      <c r="H21" s="8">
        <v>1000</v>
      </c>
      <c r="I21" s="8">
        <v>1000</v>
      </c>
      <c r="J21" s="8">
        <v>1000</v>
      </c>
      <c r="K21" s="8"/>
      <c r="L21" s="9"/>
      <c r="M21" s="7">
        <v>313.45490000000001</v>
      </c>
      <c r="N21" s="8">
        <v>0</v>
      </c>
      <c r="O21" s="8">
        <v>0</v>
      </c>
      <c r="P21" s="8">
        <v>0</v>
      </c>
      <c r="Q21" s="8">
        <v>426.66520000000003</v>
      </c>
      <c r="R21" s="8">
        <v>1000</v>
      </c>
      <c r="S21" s="8">
        <v>231.45269999999999</v>
      </c>
      <c r="T21" s="8">
        <v>1000</v>
      </c>
      <c r="U21" s="8">
        <v>1000</v>
      </c>
      <c r="V21" s="8"/>
      <c r="W21" s="11"/>
    </row>
    <row r="25" spans="1:23" x14ac:dyDescent="0.2">
      <c r="A25" t="s">
        <v>1015</v>
      </c>
    </row>
    <row r="26" spans="1:23" x14ac:dyDescent="0.2">
      <c r="A26" s="203" t="s">
        <v>1016</v>
      </c>
      <c r="B26" s="302" t="s">
        <v>2</v>
      </c>
      <c r="C26" s="307"/>
      <c r="D26" s="307"/>
      <c r="E26" s="307"/>
      <c r="F26" s="307"/>
      <c r="G26" s="307"/>
      <c r="H26" s="307"/>
      <c r="I26" s="307"/>
      <c r="J26" s="307"/>
      <c r="K26" s="307"/>
      <c r="L26" s="303"/>
      <c r="M26" s="302" t="s">
        <v>3</v>
      </c>
      <c r="N26" s="307"/>
      <c r="O26" s="307"/>
      <c r="P26" s="307"/>
      <c r="Q26" s="307"/>
      <c r="R26" s="307"/>
      <c r="S26" s="307"/>
      <c r="T26" s="307"/>
      <c r="U26" s="307"/>
      <c r="V26" s="307"/>
      <c r="W26" s="303"/>
    </row>
    <row r="27" spans="1:23" x14ac:dyDescent="0.2">
      <c r="A27" s="211">
        <v>8</v>
      </c>
      <c r="B27" s="205">
        <v>15.8618025</v>
      </c>
      <c r="C27" s="206">
        <v>0</v>
      </c>
      <c r="D27" s="206">
        <v>13.2263875</v>
      </c>
      <c r="E27" s="206">
        <v>62.337321000000003</v>
      </c>
      <c r="F27" s="206">
        <v>49.2712</v>
      </c>
      <c r="G27" s="206">
        <v>40.111944000000001</v>
      </c>
      <c r="H27" s="206">
        <v>14.59135</v>
      </c>
      <c r="I27" s="206">
        <v>0</v>
      </c>
      <c r="J27" s="206">
        <v>57.307268499999999</v>
      </c>
      <c r="K27" s="206">
        <v>0</v>
      </c>
      <c r="L27" s="10"/>
      <c r="M27" s="205">
        <v>0</v>
      </c>
      <c r="N27" s="206">
        <v>27.599475000000002</v>
      </c>
      <c r="O27" s="206">
        <v>0</v>
      </c>
      <c r="P27" s="206">
        <v>0</v>
      </c>
      <c r="Q27" s="206">
        <v>45.338039999999999</v>
      </c>
      <c r="R27" s="206">
        <v>29.409407999999999</v>
      </c>
      <c r="S27" s="206">
        <v>0</v>
      </c>
      <c r="T27" s="206">
        <v>8.7721199999999993</v>
      </c>
      <c r="U27" s="206">
        <v>0</v>
      </c>
      <c r="V27" s="206">
        <v>0</v>
      </c>
      <c r="W27" s="207"/>
    </row>
    <row r="28" spans="1:23" x14ac:dyDescent="0.2">
      <c r="A28" s="212">
        <v>11</v>
      </c>
      <c r="B28" s="205">
        <v>64.866519999999994</v>
      </c>
      <c r="C28" s="206">
        <v>0</v>
      </c>
      <c r="D28" s="206">
        <v>41.128217999999997</v>
      </c>
      <c r="E28" s="206">
        <v>218.601416</v>
      </c>
      <c r="F28" s="206">
        <v>164.60236800000001</v>
      </c>
      <c r="G28" s="206">
        <v>253.83520300000001</v>
      </c>
      <c r="H28" s="206">
        <v>51.414192</v>
      </c>
      <c r="I28" s="206">
        <v>0</v>
      </c>
      <c r="J28" s="206">
        <v>114.01560000000001</v>
      </c>
      <c r="K28" s="206">
        <v>0</v>
      </c>
      <c r="L28" s="10"/>
      <c r="M28" s="205">
        <v>0</v>
      </c>
      <c r="N28" s="206">
        <v>72.764062499999994</v>
      </c>
      <c r="O28" s="206">
        <v>0</v>
      </c>
      <c r="P28" s="206">
        <v>0</v>
      </c>
      <c r="Q28" s="206">
        <v>105.96531299999999</v>
      </c>
      <c r="R28" s="206">
        <v>31.345704000000001</v>
      </c>
      <c r="S28" s="206">
        <v>0</v>
      </c>
      <c r="T28" s="206">
        <v>27.142990999999999</v>
      </c>
      <c r="U28" s="206">
        <v>0</v>
      </c>
      <c r="V28" s="206">
        <v>0</v>
      </c>
      <c r="W28" s="207"/>
    </row>
    <row r="29" spans="1:23" x14ac:dyDescent="0.2">
      <c r="A29" s="212">
        <v>14</v>
      </c>
      <c r="B29" s="205">
        <v>126.10306799999999</v>
      </c>
      <c r="C29" s="206">
        <v>43.197408000000003</v>
      </c>
      <c r="D29" s="206">
        <v>96.571642499999996</v>
      </c>
      <c r="E29" s="206">
        <v>434.205152</v>
      </c>
      <c r="F29" s="206">
        <v>330.46461299999999</v>
      </c>
      <c r="G29" s="206">
        <v>331.37181399999997</v>
      </c>
      <c r="H29" s="206">
        <v>111.960189</v>
      </c>
      <c r="I29" s="206">
        <v>48.375</v>
      </c>
      <c r="J29" s="206">
        <v>331.965193</v>
      </c>
      <c r="K29" s="206">
        <v>0</v>
      </c>
      <c r="L29" s="10"/>
      <c r="M29" s="205">
        <v>34.180847999999997</v>
      </c>
      <c r="N29" s="206">
        <v>84.981052500000004</v>
      </c>
      <c r="O29" s="206">
        <v>27.223800000000001</v>
      </c>
      <c r="P29" s="206">
        <v>0</v>
      </c>
      <c r="Q29" s="206">
        <v>212.409536</v>
      </c>
      <c r="R29" s="206">
        <v>68.296464</v>
      </c>
      <c r="S29" s="206">
        <v>37.065600000000003</v>
      </c>
      <c r="T29" s="206">
        <v>38.815750999999999</v>
      </c>
      <c r="U29" s="206">
        <v>0</v>
      </c>
      <c r="V29" s="206">
        <v>0</v>
      </c>
      <c r="W29" s="207"/>
    </row>
    <row r="30" spans="1:23" x14ac:dyDescent="0.2">
      <c r="A30" s="212">
        <v>17</v>
      </c>
      <c r="B30" s="205">
        <v>258.10769599999998</v>
      </c>
      <c r="C30" s="206">
        <v>145.57233600000001</v>
      </c>
      <c r="D30" s="206">
        <v>288.44560300000001</v>
      </c>
      <c r="E30" s="206">
        <v>1180.4096400000001</v>
      </c>
      <c r="F30" s="206">
        <v>536.01928199999998</v>
      </c>
      <c r="G30" s="206">
        <v>1007.9104</v>
      </c>
      <c r="H30" s="206">
        <v>413.820313</v>
      </c>
      <c r="I30" s="206">
        <v>221.19061600000001</v>
      </c>
      <c r="J30" s="206">
        <v>991.43307700000003</v>
      </c>
      <c r="K30" s="206">
        <v>0</v>
      </c>
      <c r="L30" s="10"/>
      <c r="M30" s="205">
        <v>33.993749999999999</v>
      </c>
      <c r="N30" s="206">
        <v>285.62028800000002</v>
      </c>
      <c r="O30" s="206">
        <v>87.581695999999994</v>
      </c>
      <c r="P30" s="206">
        <v>19.265999999999998</v>
      </c>
      <c r="Q30" s="206">
        <v>622.57727</v>
      </c>
      <c r="R30" s="206">
        <v>107.3875</v>
      </c>
      <c r="S30" s="206">
        <v>44.619599999999998</v>
      </c>
      <c r="T30" s="206">
        <v>251.051275</v>
      </c>
      <c r="U30" s="206">
        <v>0</v>
      </c>
      <c r="V30" s="206">
        <v>0</v>
      </c>
      <c r="W30" s="207"/>
    </row>
    <row r="31" spans="1:23" x14ac:dyDescent="0.2">
      <c r="A31" s="212">
        <v>20</v>
      </c>
      <c r="B31" s="205">
        <v>746.49581699999999</v>
      </c>
      <c r="C31" s="206">
        <v>283.68948399999999</v>
      </c>
      <c r="D31" s="206">
        <v>644.57089199999996</v>
      </c>
      <c r="E31" s="206">
        <v>1000</v>
      </c>
      <c r="F31" s="206">
        <v>1000</v>
      </c>
      <c r="G31" s="206">
        <v>1000</v>
      </c>
      <c r="H31" s="206">
        <v>1000</v>
      </c>
      <c r="I31" s="206">
        <v>613.83301200000005</v>
      </c>
      <c r="J31" s="206">
        <v>1000</v>
      </c>
      <c r="K31" s="206">
        <v>24.821210000000001</v>
      </c>
      <c r="L31" s="10"/>
      <c r="M31" s="205">
        <v>111.48343800000001</v>
      </c>
      <c r="N31" s="206">
        <v>669.501936</v>
      </c>
      <c r="O31" s="206">
        <v>315.35095100000001</v>
      </c>
      <c r="P31" s="206">
        <v>94.865373500000004</v>
      </c>
      <c r="Q31" s="206">
        <v>1000</v>
      </c>
      <c r="R31" s="206">
        <v>391.07943599999999</v>
      </c>
      <c r="S31" s="206">
        <v>140.51923600000001</v>
      </c>
      <c r="T31" s="206">
        <v>465.17299200000002</v>
      </c>
      <c r="U31" s="206">
        <v>0</v>
      </c>
      <c r="V31" s="206">
        <v>0</v>
      </c>
      <c r="W31" s="207"/>
    </row>
    <row r="32" spans="1:23" x14ac:dyDescent="0.2">
      <c r="A32" s="212">
        <v>22</v>
      </c>
      <c r="B32" s="205">
        <v>1000</v>
      </c>
      <c r="C32" s="206">
        <v>555.03750000000002</v>
      </c>
      <c r="D32" s="206">
        <v>1000</v>
      </c>
      <c r="E32" s="206">
        <v>1000</v>
      </c>
      <c r="F32" s="206">
        <v>1000</v>
      </c>
      <c r="G32" s="206">
        <v>1000</v>
      </c>
      <c r="H32" s="206">
        <v>1000</v>
      </c>
      <c r="I32" s="206">
        <v>1000</v>
      </c>
      <c r="J32" s="206">
        <v>1000</v>
      </c>
      <c r="K32" s="206">
        <v>50.269680000000001</v>
      </c>
      <c r="L32" s="10"/>
      <c r="M32" s="205">
        <v>271.11884800000001</v>
      </c>
      <c r="N32" s="206">
        <v>932.40371400000004</v>
      </c>
      <c r="O32" s="206">
        <v>545.61275999999998</v>
      </c>
      <c r="P32" s="206">
        <v>100.0677</v>
      </c>
      <c r="Q32" s="206">
        <v>1000</v>
      </c>
      <c r="R32" s="206">
        <v>458.09478000000001</v>
      </c>
      <c r="S32" s="206">
        <v>145.5025</v>
      </c>
      <c r="T32" s="206">
        <v>939.82061299999998</v>
      </c>
      <c r="U32" s="206">
        <v>0</v>
      </c>
      <c r="V32" s="206">
        <v>0</v>
      </c>
      <c r="W32" s="207"/>
    </row>
    <row r="33" spans="1:23" x14ac:dyDescent="0.2">
      <c r="A33" s="212">
        <v>25</v>
      </c>
      <c r="B33" s="205">
        <v>1000</v>
      </c>
      <c r="C33" s="206">
        <v>892.39789800000005</v>
      </c>
      <c r="D33" s="206">
        <v>1000</v>
      </c>
      <c r="E33" s="206">
        <v>1000</v>
      </c>
      <c r="F33" s="206">
        <v>1000</v>
      </c>
      <c r="G33" s="206">
        <v>1000</v>
      </c>
      <c r="H33" s="206">
        <v>1000</v>
      </c>
      <c r="I33" s="206">
        <v>1000</v>
      </c>
      <c r="J33" s="206">
        <v>1000</v>
      </c>
      <c r="K33" s="206">
        <v>157.47267600000001</v>
      </c>
      <c r="L33" s="10"/>
      <c r="M33" s="205">
        <v>737.5</v>
      </c>
      <c r="N33" s="206">
        <v>1000</v>
      </c>
      <c r="O33" s="206">
        <v>1000</v>
      </c>
      <c r="P33" s="206">
        <v>333.73905600000001</v>
      </c>
      <c r="Q33" s="206">
        <v>1000</v>
      </c>
      <c r="R33" s="206">
        <v>1000</v>
      </c>
      <c r="S33" s="206">
        <v>425.13470999999998</v>
      </c>
      <c r="T33" s="206">
        <v>1000</v>
      </c>
      <c r="U33" s="206">
        <v>0</v>
      </c>
      <c r="V33" s="206">
        <v>0</v>
      </c>
      <c r="W33" s="207"/>
    </row>
    <row r="34" spans="1:23" x14ac:dyDescent="0.2">
      <c r="A34" s="212">
        <v>28</v>
      </c>
      <c r="B34" s="205">
        <v>1000</v>
      </c>
      <c r="C34" s="206">
        <v>1000</v>
      </c>
      <c r="D34" s="206">
        <v>1000</v>
      </c>
      <c r="E34" s="206">
        <v>1000</v>
      </c>
      <c r="F34" s="206">
        <v>1000</v>
      </c>
      <c r="G34" s="206">
        <v>1000</v>
      </c>
      <c r="H34" s="206">
        <v>1000</v>
      </c>
      <c r="I34" s="206">
        <v>1000</v>
      </c>
      <c r="J34" s="206">
        <v>1000</v>
      </c>
      <c r="K34" s="206">
        <v>310.31259999999997</v>
      </c>
      <c r="L34" s="10"/>
      <c r="M34" s="205">
        <v>1000</v>
      </c>
      <c r="N34" s="206">
        <v>1000</v>
      </c>
      <c r="O34" s="206">
        <v>1000</v>
      </c>
      <c r="P34" s="206">
        <v>763.65995799999996</v>
      </c>
      <c r="Q34" s="206">
        <v>1000</v>
      </c>
      <c r="R34" s="206">
        <v>1000</v>
      </c>
      <c r="S34" s="206">
        <v>767.850233</v>
      </c>
      <c r="T34" s="206">
        <v>1000</v>
      </c>
      <c r="U34" s="206">
        <v>0</v>
      </c>
      <c r="V34" s="206">
        <v>0</v>
      </c>
      <c r="W34" s="207"/>
    </row>
    <row r="35" spans="1:23" x14ac:dyDescent="0.2">
      <c r="A35" s="212">
        <v>31</v>
      </c>
      <c r="B35" s="205">
        <v>1000</v>
      </c>
      <c r="C35" s="206">
        <v>1000</v>
      </c>
      <c r="D35" s="206">
        <v>1000</v>
      </c>
      <c r="E35" s="206">
        <v>1000</v>
      </c>
      <c r="F35" s="206">
        <v>1000</v>
      </c>
      <c r="G35" s="206">
        <v>1000</v>
      </c>
      <c r="H35" s="206">
        <v>1000</v>
      </c>
      <c r="I35" s="206">
        <v>1000</v>
      </c>
      <c r="J35" s="206">
        <v>1000</v>
      </c>
      <c r="K35" s="206">
        <v>740.09295899999995</v>
      </c>
      <c r="L35" s="10"/>
      <c r="M35" s="205">
        <v>1000</v>
      </c>
      <c r="N35" s="206">
        <v>1000</v>
      </c>
      <c r="O35" s="206">
        <v>1000</v>
      </c>
      <c r="P35" s="206">
        <v>1000</v>
      </c>
      <c r="Q35" s="206">
        <v>1000</v>
      </c>
      <c r="R35" s="206">
        <v>1000</v>
      </c>
      <c r="S35" s="206">
        <v>1000</v>
      </c>
      <c r="T35" s="206">
        <v>1000</v>
      </c>
      <c r="U35" s="206">
        <v>0</v>
      </c>
      <c r="V35" s="206">
        <v>0</v>
      </c>
      <c r="W35" s="207"/>
    </row>
    <row r="36" spans="1:23" x14ac:dyDescent="0.2">
      <c r="A36" s="213">
        <v>34</v>
      </c>
      <c r="B36" s="208">
        <v>1000</v>
      </c>
      <c r="C36" s="209">
        <v>1000</v>
      </c>
      <c r="D36" s="209">
        <v>1000</v>
      </c>
      <c r="E36" s="209">
        <v>1000</v>
      </c>
      <c r="F36" s="209">
        <v>1000</v>
      </c>
      <c r="G36" s="209">
        <v>1000</v>
      </c>
      <c r="H36" s="209">
        <v>1000</v>
      </c>
      <c r="I36" s="209">
        <v>1000</v>
      </c>
      <c r="J36" s="209">
        <v>1000</v>
      </c>
      <c r="K36" s="209">
        <v>1000</v>
      </c>
      <c r="L36" s="11"/>
      <c r="M36" s="208">
        <v>1000</v>
      </c>
      <c r="N36" s="209">
        <v>1000</v>
      </c>
      <c r="O36" s="209">
        <v>1000</v>
      </c>
      <c r="P36" s="209">
        <v>1000</v>
      </c>
      <c r="Q36" s="209">
        <v>1000</v>
      </c>
      <c r="R36" s="209">
        <v>1000</v>
      </c>
      <c r="S36" s="209">
        <v>1000</v>
      </c>
      <c r="T36" s="209">
        <v>1000</v>
      </c>
      <c r="U36" s="209">
        <v>0</v>
      </c>
      <c r="V36" s="209">
        <v>0</v>
      </c>
      <c r="W36" s="210"/>
    </row>
    <row r="38" spans="1:23" x14ac:dyDescent="0.2">
      <c r="A38" t="s">
        <v>1017</v>
      </c>
      <c r="B38" t="s">
        <v>1139</v>
      </c>
    </row>
    <row r="39" spans="1:23" x14ac:dyDescent="0.2">
      <c r="A39" s="203" t="s">
        <v>89</v>
      </c>
      <c r="B39" s="223" t="s">
        <v>1013</v>
      </c>
      <c r="C39" s="223" t="s">
        <v>1014</v>
      </c>
      <c r="E39" s="203" t="s">
        <v>89</v>
      </c>
      <c r="F39" s="38" t="s">
        <v>1018</v>
      </c>
      <c r="G39" s="38" t="s">
        <v>1019</v>
      </c>
    </row>
    <row r="40" spans="1:23" x14ac:dyDescent="0.2">
      <c r="A40" s="202">
        <v>0</v>
      </c>
      <c r="B40" s="212">
        <v>100</v>
      </c>
      <c r="C40" s="212">
        <v>100.87565669999999</v>
      </c>
      <c r="E40" s="202">
        <v>1</v>
      </c>
      <c r="F40" s="40">
        <v>100</v>
      </c>
      <c r="G40" s="40">
        <v>106.38709677419355</v>
      </c>
    </row>
    <row r="41" spans="1:23" x14ac:dyDescent="0.2">
      <c r="A41" s="202">
        <v>1</v>
      </c>
      <c r="B41" s="212">
        <v>100</v>
      </c>
      <c r="C41" s="212">
        <v>100</v>
      </c>
      <c r="E41" s="202">
        <v>2</v>
      </c>
      <c r="F41" s="40">
        <v>100</v>
      </c>
      <c r="G41" s="40">
        <v>90.76630176106616</v>
      </c>
    </row>
    <row r="42" spans="1:23" x14ac:dyDescent="0.2">
      <c r="A42" s="202">
        <v>3</v>
      </c>
      <c r="B42" s="213">
        <v>100</v>
      </c>
      <c r="C42" s="213">
        <v>99.475520000000003</v>
      </c>
      <c r="E42" s="202">
        <v>3</v>
      </c>
      <c r="F42" s="39">
        <v>100</v>
      </c>
      <c r="G42" s="39">
        <v>100.54535017221585</v>
      </c>
    </row>
  </sheetData>
  <mergeCells count="6">
    <mergeCell ref="B2:K2"/>
    <mergeCell ref="L2:U2"/>
    <mergeCell ref="B11:L11"/>
    <mergeCell ref="M11:W11"/>
    <mergeCell ref="B26:L26"/>
    <mergeCell ref="M26:W26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782BE4-B557-BD43-A9C6-8A8B0A03E4A3}">
  <sheetPr codeName="Sheet10"/>
  <dimension ref="A2:AG34"/>
  <sheetViews>
    <sheetView zoomScale="64" zoomScaleNormal="64" workbookViewId="0">
      <selection activeCell="I44" sqref="I44"/>
    </sheetView>
  </sheetViews>
  <sheetFormatPr baseColWidth="10" defaultRowHeight="16" x14ac:dyDescent="0.2"/>
  <cols>
    <col min="7" max="7" width="17.83203125" customWidth="1"/>
    <col min="9" max="9" width="12.83203125" customWidth="1"/>
  </cols>
  <sheetData>
    <row r="2" spans="1:33" x14ac:dyDescent="0.2">
      <c r="D2" s="17" t="s">
        <v>63</v>
      </c>
      <c r="E2" s="19"/>
      <c r="F2" s="17" t="s">
        <v>60</v>
      </c>
      <c r="G2" s="19"/>
      <c r="I2" s="17" t="s">
        <v>59</v>
      </c>
      <c r="J2" s="18"/>
      <c r="K2" s="18"/>
      <c r="L2" s="18"/>
      <c r="M2" s="18"/>
      <c r="N2" s="18"/>
      <c r="O2" s="18"/>
      <c r="P2" s="18"/>
      <c r="Q2" s="18"/>
      <c r="R2" s="19"/>
      <c r="S2" s="17" t="s">
        <v>60</v>
      </c>
      <c r="T2" s="18"/>
      <c r="U2" s="18"/>
      <c r="V2" s="18"/>
      <c r="W2" s="18"/>
      <c r="X2" s="18"/>
      <c r="Y2" s="18"/>
      <c r="Z2" s="18"/>
      <c r="AA2" s="18"/>
      <c r="AB2" s="21"/>
      <c r="AC2" s="21"/>
      <c r="AD2" s="21"/>
      <c r="AE2" s="21"/>
      <c r="AF2" s="21"/>
      <c r="AG2" s="21"/>
    </row>
    <row r="3" spans="1:33" x14ac:dyDescent="0.2">
      <c r="A3" s="17"/>
      <c r="B3" s="18"/>
      <c r="C3" s="18"/>
      <c r="D3" s="17" t="s">
        <v>47</v>
      </c>
      <c r="E3" s="19" t="s">
        <v>61</v>
      </c>
      <c r="F3" s="17" t="s">
        <v>47</v>
      </c>
      <c r="G3" s="19" t="s">
        <v>61</v>
      </c>
      <c r="I3" s="20"/>
      <c r="J3" s="43" t="s">
        <v>55</v>
      </c>
      <c r="K3" s="21"/>
      <c r="L3" s="21"/>
      <c r="M3" s="21" t="s">
        <v>56</v>
      </c>
      <c r="N3" s="43" t="s">
        <v>28</v>
      </c>
      <c r="O3" s="21"/>
      <c r="P3" s="43" t="s">
        <v>32</v>
      </c>
      <c r="Q3" s="21"/>
      <c r="R3" s="10"/>
      <c r="S3" s="51" t="s">
        <v>55</v>
      </c>
      <c r="T3" s="21"/>
      <c r="U3" s="21"/>
      <c r="V3" s="21" t="s">
        <v>56</v>
      </c>
      <c r="W3" s="43" t="s">
        <v>28</v>
      </c>
      <c r="X3" s="21"/>
      <c r="Y3" s="43" t="s">
        <v>32</v>
      </c>
      <c r="Z3" s="21"/>
      <c r="AA3" s="21"/>
      <c r="AB3" s="21"/>
      <c r="AC3" s="21"/>
      <c r="AD3" s="21"/>
      <c r="AE3" s="21"/>
      <c r="AF3" s="21"/>
      <c r="AG3" s="21"/>
    </row>
    <row r="4" spans="1:33" x14ac:dyDescent="0.2">
      <c r="A4" s="20" t="s">
        <v>62</v>
      </c>
      <c r="B4" s="21"/>
      <c r="C4" s="21" t="s">
        <v>57</v>
      </c>
      <c r="D4" s="20" t="s">
        <v>33</v>
      </c>
      <c r="E4" s="57" t="s">
        <v>33</v>
      </c>
      <c r="F4" s="20" t="s">
        <v>33</v>
      </c>
      <c r="G4" s="57" t="s">
        <v>33</v>
      </c>
      <c r="I4" s="20" t="s">
        <v>58</v>
      </c>
      <c r="J4" s="21" t="s">
        <v>31</v>
      </c>
      <c r="K4" s="21" t="s">
        <v>30</v>
      </c>
      <c r="L4" s="21" t="s">
        <v>29</v>
      </c>
      <c r="M4" s="21" t="s">
        <v>50</v>
      </c>
      <c r="N4" s="21" t="s">
        <v>51</v>
      </c>
      <c r="O4" s="21" t="s">
        <v>52</v>
      </c>
      <c r="P4" s="21" t="s">
        <v>53</v>
      </c>
      <c r="Q4" s="21" t="s">
        <v>51</v>
      </c>
      <c r="R4" s="10" t="s">
        <v>52</v>
      </c>
      <c r="S4" s="20" t="s">
        <v>31</v>
      </c>
      <c r="T4" s="21" t="s">
        <v>30</v>
      </c>
      <c r="U4" s="21" t="s">
        <v>29</v>
      </c>
      <c r="V4" s="21" t="s">
        <v>50</v>
      </c>
      <c r="W4" s="21" t="s">
        <v>51</v>
      </c>
      <c r="X4" s="21" t="s">
        <v>52</v>
      </c>
      <c r="Y4" s="21" t="s">
        <v>53</v>
      </c>
      <c r="Z4" s="21" t="s">
        <v>51</v>
      </c>
      <c r="AA4" s="21" t="s">
        <v>52</v>
      </c>
      <c r="AB4" s="5"/>
      <c r="AC4" s="5"/>
      <c r="AD4" s="5"/>
      <c r="AE4" s="5"/>
      <c r="AF4" s="5"/>
      <c r="AG4" s="21"/>
    </row>
    <row r="5" spans="1:33" x14ac:dyDescent="0.2">
      <c r="A5" s="20" t="s">
        <v>36</v>
      </c>
      <c r="B5" s="43" t="s">
        <v>37</v>
      </c>
      <c r="C5" s="43" t="s">
        <v>34</v>
      </c>
      <c r="D5" s="20">
        <v>23.528263839198598</v>
      </c>
      <c r="E5" s="10">
        <v>20.716525705597263</v>
      </c>
      <c r="F5" s="20">
        <f t="shared" ref="F5:F14" si="0">D5/AVERAGE(D$5:D$9)</f>
        <v>1.4025701093387937</v>
      </c>
      <c r="G5" s="10">
        <f t="shared" ref="G5:G14" si="1">E5/AVERAGE(E$5:E$9)</f>
        <v>0.96892614483667516</v>
      </c>
      <c r="H5" s="45"/>
      <c r="I5" s="20" t="s">
        <v>34</v>
      </c>
      <c r="J5" s="21">
        <v>10.379669320269443</v>
      </c>
      <c r="K5" s="21">
        <v>13.231271688099614</v>
      </c>
      <c r="L5" s="21">
        <v>8.189426413553786</v>
      </c>
      <c r="M5" s="21">
        <v>14.295715485858304</v>
      </c>
      <c r="N5" s="21">
        <v>91.687071498530841</v>
      </c>
      <c r="O5" s="21">
        <v>79.260528893241926</v>
      </c>
      <c r="P5" s="21">
        <v>9.332720682085057</v>
      </c>
      <c r="Q5" s="21">
        <v>16.485424005718077</v>
      </c>
      <c r="R5" s="10">
        <v>12.010517179762086</v>
      </c>
      <c r="S5" s="20">
        <f t="shared" ref="S5:S14" si="2">J5/(AVERAGE(J$5:J$9))</f>
        <v>2.0558345913665104</v>
      </c>
      <c r="T5" s="21">
        <f t="shared" ref="T5:T14" si="3">K5/(AVERAGE(K$5:K$9))</f>
        <v>1.2527799517450937</v>
      </c>
      <c r="U5" s="21">
        <f t="shared" ref="U5:U14" si="4">L5/(AVERAGE(L$5:L$9))</f>
        <v>1.3518654866848485</v>
      </c>
      <c r="V5" s="21">
        <f t="shared" ref="V5:V14" si="5">M5/(AVERAGE(M$5:M$9))</f>
        <v>1.1475569576745261</v>
      </c>
      <c r="W5" s="21">
        <f t="shared" ref="W5:W14" si="6">N5/(AVERAGE(N$5:N$9))</f>
        <v>1.0680137356830326</v>
      </c>
      <c r="X5" s="21">
        <f t="shared" ref="X5:X14" si="7">O5/(AVERAGE(O$5:O$9))</f>
        <v>1.0725721645042468</v>
      </c>
      <c r="Y5" s="21">
        <f t="shared" ref="Y5:Y14" si="8">P5/(AVERAGE(P$5:P$9))</f>
        <v>1.9575655868477273</v>
      </c>
      <c r="Z5" s="21">
        <f t="shared" ref="Z5:Z14" si="9">Q5/(AVERAGE(Q$5:Q$9))</f>
        <v>0.80672126977144598</v>
      </c>
      <c r="AA5" s="21">
        <f t="shared" ref="AA5:AA14" si="10">R5/(AVERAGE(R$5:R$9))</f>
        <v>0.99189539557722495</v>
      </c>
      <c r="AB5" s="5"/>
      <c r="AC5" s="5"/>
      <c r="AD5" s="5"/>
      <c r="AE5" s="5"/>
      <c r="AF5" s="5"/>
      <c r="AG5" s="21"/>
    </row>
    <row r="6" spans="1:33" x14ac:dyDescent="0.2">
      <c r="A6" s="20" t="s">
        <v>38</v>
      </c>
      <c r="B6" s="43" t="s">
        <v>37</v>
      </c>
      <c r="C6" s="43" t="s">
        <v>34</v>
      </c>
      <c r="D6" s="20">
        <v>11.628737170905845</v>
      </c>
      <c r="E6" s="10">
        <v>22.877030162412993</v>
      </c>
      <c r="F6" s="20">
        <f t="shared" si="0"/>
        <v>0.69321388423469188</v>
      </c>
      <c r="G6" s="10">
        <f t="shared" si="1"/>
        <v>1.0699744231046535</v>
      </c>
      <c r="H6" s="45"/>
      <c r="I6" s="20" t="s">
        <v>34</v>
      </c>
      <c r="J6" s="21">
        <v>1.1638706107850691</v>
      </c>
      <c r="K6" s="21">
        <v>7.4851305155413286</v>
      </c>
      <c r="L6" s="21">
        <v>2.2605568399628511</v>
      </c>
      <c r="M6" s="21">
        <v>10.86336257000951</v>
      </c>
      <c r="N6" s="21">
        <v>78.291180285343714</v>
      </c>
      <c r="O6" s="21">
        <v>63.74837872892347</v>
      </c>
      <c r="P6" s="21">
        <v>2.6493440326073112</v>
      </c>
      <c r="Q6" s="21">
        <v>22.264679658642212</v>
      </c>
      <c r="R6" s="10">
        <v>5.6171188383645401</v>
      </c>
      <c r="S6" s="20">
        <f t="shared" si="2"/>
        <v>0.23052039402202282</v>
      </c>
      <c r="T6" s="21">
        <f t="shared" si="3"/>
        <v>0.70871656686632734</v>
      </c>
      <c r="U6" s="21">
        <f t="shared" si="4"/>
        <v>0.37316029454485461</v>
      </c>
      <c r="V6" s="21">
        <f t="shared" si="5"/>
        <v>0.87203241511678453</v>
      </c>
      <c r="W6" s="21">
        <f t="shared" si="6"/>
        <v>0.9119721522452986</v>
      </c>
      <c r="X6" s="21">
        <f t="shared" si="7"/>
        <v>0.86265809112898606</v>
      </c>
      <c r="Y6" s="21">
        <f t="shared" si="8"/>
        <v>0.55570769581778301</v>
      </c>
      <c r="Z6" s="21">
        <f t="shared" si="9"/>
        <v>1.0895316152647516</v>
      </c>
      <c r="AA6" s="21">
        <f t="shared" si="10"/>
        <v>0.46389295554833421</v>
      </c>
      <c r="AB6" s="5"/>
      <c r="AC6" s="5"/>
      <c r="AD6" s="5"/>
      <c r="AE6" s="5"/>
      <c r="AF6" s="5"/>
      <c r="AG6" s="21"/>
    </row>
    <row r="7" spans="1:33" x14ac:dyDescent="0.2">
      <c r="A7" s="20" t="s">
        <v>39</v>
      </c>
      <c r="B7" s="43" t="s">
        <v>37</v>
      </c>
      <c r="C7" s="43" t="s">
        <v>34</v>
      </c>
      <c r="D7" s="20">
        <v>13.815979232766079</v>
      </c>
      <c r="E7" s="10">
        <v>22.458628841607563</v>
      </c>
      <c r="F7" s="20">
        <f t="shared" si="0"/>
        <v>0.82360005972218209</v>
      </c>
      <c r="G7" s="10">
        <f t="shared" si="1"/>
        <v>1.0504055057811739</v>
      </c>
      <c r="H7" s="45"/>
      <c r="I7" s="20" t="s">
        <v>34</v>
      </c>
      <c r="J7" s="21">
        <v>3.4881680925499743</v>
      </c>
      <c r="K7" s="21">
        <v>10.221983715002219</v>
      </c>
      <c r="L7" s="21">
        <v>5.5294688283676816</v>
      </c>
      <c r="M7" s="21">
        <v>11.454211483454724</v>
      </c>
      <c r="N7" s="21">
        <v>87.003350885591189</v>
      </c>
      <c r="O7" s="21">
        <v>70.528163395564064</v>
      </c>
      <c r="P7" s="21">
        <v>3.3449095229391337</v>
      </c>
      <c r="Q7" s="21">
        <v>17.256646154471049</v>
      </c>
      <c r="R7" s="10">
        <v>10.820690915737526</v>
      </c>
      <c r="S7" s="20">
        <f t="shared" si="2"/>
        <v>0.69087910258965979</v>
      </c>
      <c r="T7" s="21">
        <f t="shared" si="3"/>
        <v>0.96785075290513534</v>
      </c>
      <c r="U7" s="21">
        <f t="shared" si="4"/>
        <v>0.91277431303350232</v>
      </c>
      <c r="V7" s="21">
        <f t="shared" si="5"/>
        <v>0.91946150547810412</v>
      </c>
      <c r="W7" s="21">
        <f t="shared" si="6"/>
        <v>1.0134555753343137</v>
      </c>
      <c r="X7" s="21">
        <f t="shared" si="7"/>
        <v>0.95440373573055048</v>
      </c>
      <c r="Y7" s="21">
        <f t="shared" si="8"/>
        <v>0.70160460130282298</v>
      </c>
      <c r="Z7" s="21">
        <f t="shared" si="9"/>
        <v>0.84446135524950583</v>
      </c>
      <c r="AA7" s="21">
        <f t="shared" si="10"/>
        <v>0.8936329165216651</v>
      </c>
      <c r="AB7" s="5"/>
      <c r="AC7" s="5"/>
      <c r="AD7" s="5"/>
      <c r="AE7" s="5"/>
      <c r="AF7" s="5"/>
      <c r="AG7" s="21"/>
    </row>
    <row r="8" spans="1:33" x14ac:dyDescent="0.2">
      <c r="A8" s="20" t="s">
        <v>40</v>
      </c>
      <c r="B8" s="43" t="s">
        <v>37</v>
      </c>
      <c r="C8" s="43" t="s">
        <v>34</v>
      </c>
      <c r="D8" s="20">
        <v>15.935063548008117</v>
      </c>
      <c r="E8" s="10">
        <v>15.757370382921042</v>
      </c>
      <c r="F8" s="20">
        <f t="shared" si="0"/>
        <v>0.94992320621697168</v>
      </c>
      <c r="G8" s="10">
        <f t="shared" si="1"/>
        <v>0.73698304217884381</v>
      </c>
      <c r="H8" s="45"/>
      <c r="I8" s="20" t="s">
        <v>34</v>
      </c>
      <c r="J8" s="21">
        <v>3.2378105022104893</v>
      </c>
      <c r="K8" s="21">
        <v>10.014524559227336</v>
      </c>
      <c r="L8" s="21">
        <v>4.6234746562344284</v>
      </c>
      <c r="M8" s="21">
        <v>12.840128983378147</v>
      </c>
      <c r="N8" s="21">
        <v>82.996330143196374</v>
      </c>
      <c r="O8" s="21">
        <v>72.605598330574949</v>
      </c>
      <c r="P8" s="21">
        <v>2.00449738238291</v>
      </c>
      <c r="Q8" s="21">
        <v>15.213801342187555</v>
      </c>
      <c r="R8" s="10">
        <v>6.1751168265345564</v>
      </c>
      <c r="S8" s="20">
        <f t="shared" si="2"/>
        <v>0.64129237891379243</v>
      </c>
      <c r="T8" s="21">
        <f t="shared" si="3"/>
        <v>0.94820784349420595</v>
      </c>
      <c r="U8" s="21">
        <f t="shared" si="4"/>
        <v>0.76321777627562881</v>
      </c>
      <c r="V8" s="21">
        <f t="shared" si="5"/>
        <v>1.0307129689933996</v>
      </c>
      <c r="W8" s="21">
        <f t="shared" si="6"/>
        <v>0.96677993042495425</v>
      </c>
      <c r="X8" s="21">
        <f t="shared" si="7"/>
        <v>0.98251607507492433</v>
      </c>
      <c r="Y8" s="21">
        <f t="shared" si="8"/>
        <v>0.42044921608030744</v>
      </c>
      <c r="Z8" s="21">
        <f t="shared" si="9"/>
        <v>0.74449387122606003</v>
      </c>
      <c r="AA8" s="21">
        <f t="shared" si="10"/>
        <v>0.50997553691625475</v>
      </c>
      <c r="AB8" s="5"/>
      <c r="AC8" s="5"/>
      <c r="AD8" s="5"/>
      <c r="AE8" s="5"/>
      <c r="AF8" s="5"/>
      <c r="AG8" s="21"/>
    </row>
    <row r="9" spans="1:33" x14ac:dyDescent="0.2">
      <c r="A9" s="20" t="s">
        <v>41</v>
      </c>
      <c r="B9" s="43" t="s">
        <v>37</v>
      </c>
      <c r="C9" s="43" t="s">
        <v>34</v>
      </c>
      <c r="D9" s="20">
        <v>18.967491850938242</v>
      </c>
      <c r="E9" s="10">
        <v>25.095010420497733</v>
      </c>
      <c r="F9" s="20">
        <f t="shared" si="0"/>
        <v>1.1306927404873603</v>
      </c>
      <c r="G9" s="10">
        <f t="shared" si="1"/>
        <v>1.1737108840986543</v>
      </c>
      <c r="H9" s="45"/>
      <c r="I9" s="20" t="s">
        <v>34</v>
      </c>
      <c r="J9" s="21">
        <v>6.9748989089799345</v>
      </c>
      <c r="K9" s="21">
        <v>11.854734111543449</v>
      </c>
      <c r="L9" s="21">
        <v>9.6864271000228896</v>
      </c>
      <c r="M9" s="21">
        <v>12.834189034609347</v>
      </c>
      <c r="N9" s="21">
        <v>89.263136076277334</v>
      </c>
      <c r="O9" s="21">
        <v>83.345424396310491</v>
      </c>
      <c r="P9" s="21">
        <v>6.5060966964412312</v>
      </c>
      <c r="Q9" s="21">
        <v>30.954912803062527</v>
      </c>
      <c r="R9" s="10">
        <v>25.919821352615909</v>
      </c>
      <c r="S9" s="20">
        <f t="shared" si="2"/>
        <v>1.3814735331080139</v>
      </c>
      <c r="T9" s="21">
        <f t="shared" si="3"/>
        <v>1.1224448849892368</v>
      </c>
      <c r="U9" s="21">
        <f t="shared" si="4"/>
        <v>1.5989821294611657</v>
      </c>
      <c r="V9" s="21">
        <f t="shared" si="5"/>
        <v>1.0302361527371855</v>
      </c>
      <c r="W9" s="21">
        <f t="shared" si="6"/>
        <v>1.0397786063124008</v>
      </c>
      <c r="X9" s="21">
        <f t="shared" si="7"/>
        <v>1.1278499335612924</v>
      </c>
      <c r="Y9" s="21">
        <f t="shared" si="8"/>
        <v>1.3646728999513589</v>
      </c>
      <c r="Z9" s="21">
        <f t="shared" si="9"/>
        <v>1.5147918884882363</v>
      </c>
      <c r="AA9" s="21">
        <f t="shared" si="10"/>
        <v>2.1406031954365212</v>
      </c>
      <c r="AB9" s="5"/>
      <c r="AC9" s="5"/>
      <c r="AD9" s="5"/>
      <c r="AE9" s="5"/>
      <c r="AF9" s="5"/>
      <c r="AG9" s="21"/>
    </row>
    <row r="10" spans="1:33" x14ac:dyDescent="0.2">
      <c r="A10" s="20" t="s">
        <v>42</v>
      </c>
      <c r="B10" s="43" t="s">
        <v>37</v>
      </c>
      <c r="C10" s="43" t="s">
        <v>35</v>
      </c>
      <c r="D10" s="20">
        <v>26.827942375645559</v>
      </c>
      <c r="E10" s="47">
        <v>19.603524229074889</v>
      </c>
      <c r="F10" s="20">
        <f t="shared" si="0"/>
        <v>1.5992710013925833</v>
      </c>
      <c r="G10" s="10">
        <f t="shared" si="1"/>
        <v>0.9168703008612068</v>
      </c>
      <c r="H10" s="46"/>
      <c r="I10" s="51" t="s">
        <v>54</v>
      </c>
      <c r="J10" s="48">
        <v>9.9913605902818308</v>
      </c>
      <c r="K10" s="48">
        <v>18.565390991664138</v>
      </c>
      <c r="L10" s="48">
        <v>12.545823896140284</v>
      </c>
      <c r="M10" s="48">
        <v>21.234086393406432</v>
      </c>
      <c r="N10" s="48">
        <v>93.389360596083876</v>
      </c>
      <c r="O10" s="48">
        <v>85.401143649280883</v>
      </c>
      <c r="P10" s="48">
        <v>3.9795114263199372</v>
      </c>
      <c r="Q10" s="48">
        <v>18.022064617809299</v>
      </c>
      <c r="R10" s="47">
        <v>13.92828999211978</v>
      </c>
      <c r="S10" s="20">
        <f t="shared" si="2"/>
        <v>1.9789247694245715</v>
      </c>
      <c r="T10" s="21">
        <f t="shared" si="3"/>
        <v>1.7578317624287521</v>
      </c>
      <c r="U10" s="21">
        <f t="shared" si="4"/>
        <v>2.0709956315314413</v>
      </c>
      <c r="V10" s="21">
        <f t="shared" si="5"/>
        <v>1.7045193439055448</v>
      </c>
      <c r="W10" s="21">
        <f t="shared" si="6"/>
        <v>1.0878427923709131</v>
      </c>
      <c r="X10" s="21">
        <f t="shared" si="7"/>
        <v>1.1556684111763149</v>
      </c>
      <c r="Y10" s="21">
        <f t="shared" si="8"/>
        <v>0.83471421528612566</v>
      </c>
      <c r="Z10" s="21">
        <f t="shared" si="9"/>
        <v>0.88191743490123731</v>
      </c>
      <c r="AA10" s="21">
        <f t="shared" si="10"/>
        <v>1.1502757545467845</v>
      </c>
      <c r="AB10" s="5"/>
      <c r="AC10" s="5"/>
      <c r="AD10" s="5"/>
      <c r="AE10" s="5"/>
      <c r="AF10" s="5"/>
      <c r="AG10" s="21"/>
    </row>
    <row r="11" spans="1:33" x14ac:dyDescent="0.2">
      <c r="A11" s="20" t="s">
        <v>43</v>
      </c>
      <c r="B11" s="43" t="s">
        <v>37</v>
      </c>
      <c r="C11" s="43" t="s">
        <v>35</v>
      </c>
      <c r="D11" s="20">
        <v>32.655167330089931</v>
      </c>
      <c r="E11" s="47">
        <v>23.434077967586507</v>
      </c>
      <c r="F11" s="20">
        <f t="shared" si="0"/>
        <v>1.9466443391515826</v>
      </c>
      <c r="G11" s="10">
        <f t="shared" si="1"/>
        <v>1.0960279317878532</v>
      </c>
      <c r="H11" s="46"/>
      <c r="I11" s="51" t="s">
        <v>54</v>
      </c>
      <c r="J11" s="48">
        <v>14.833458634328114</v>
      </c>
      <c r="K11" s="48">
        <v>16.938515346647925</v>
      </c>
      <c r="L11" s="48">
        <v>16.624718072761745</v>
      </c>
      <c r="M11" s="48">
        <v>23.192082590238879</v>
      </c>
      <c r="N11" s="48">
        <v>95.75435936315391</v>
      </c>
      <c r="O11" s="48">
        <v>89.115130510126718</v>
      </c>
      <c r="P11" s="48">
        <v>7.1578586430071578</v>
      </c>
      <c r="Q11" s="48">
        <v>29.737259440229735</v>
      </c>
      <c r="R11" s="47">
        <v>18.610432471818612</v>
      </c>
      <c r="S11" s="20">
        <f t="shared" si="2"/>
        <v>2.9379681017876935</v>
      </c>
      <c r="T11" s="21">
        <f t="shared" si="3"/>
        <v>1.6037938709771096</v>
      </c>
      <c r="U11" s="21">
        <f t="shared" si="4"/>
        <v>2.7443170563492174</v>
      </c>
      <c r="V11" s="21">
        <f t="shared" si="5"/>
        <v>1.8616931601442661</v>
      </c>
      <c r="W11" s="21">
        <f t="shared" si="6"/>
        <v>1.1153914001170413</v>
      </c>
      <c r="X11" s="21">
        <f t="shared" si="7"/>
        <v>1.2059269570364273</v>
      </c>
      <c r="Y11" s="21">
        <f t="shared" si="8"/>
        <v>1.5013818834167569</v>
      </c>
      <c r="Z11" s="21">
        <f t="shared" si="9"/>
        <v>1.4552055007395668</v>
      </c>
      <c r="AA11" s="21">
        <f t="shared" si="10"/>
        <v>1.5369531554896303</v>
      </c>
      <c r="AB11" s="5"/>
      <c r="AC11" s="5"/>
      <c r="AD11" s="5"/>
      <c r="AE11" s="5"/>
      <c r="AF11" s="5"/>
      <c r="AG11" s="21"/>
    </row>
    <row r="12" spans="1:33" x14ac:dyDescent="0.2">
      <c r="A12" s="20" t="s">
        <v>44</v>
      </c>
      <c r="B12" s="43" t="s">
        <v>37</v>
      </c>
      <c r="C12" s="43" t="s">
        <v>35</v>
      </c>
      <c r="D12" s="20">
        <v>20.008676789587852</v>
      </c>
      <c r="E12" s="47">
        <v>32.932753771413957</v>
      </c>
      <c r="F12" s="20">
        <f t="shared" si="0"/>
        <v>1.19276000066534</v>
      </c>
      <c r="G12" s="10">
        <f t="shared" si="1"/>
        <v>1.5402875271682359</v>
      </c>
      <c r="H12" s="46"/>
      <c r="I12" s="51" t="s">
        <v>54</v>
      </c>
      <c r="J12" s="48">
        <v>5.0495102691281541</v>
      </c>
      <c r="K12" s="48">
        <v>13.630096513689185</v>
      </c>
      <c r="L12" s="48">
        <v>8.3585510412376678</v>
      </c>
      <c r="M12" s="48">
        <v>18.591360382557479</v>
      </c>
      <c r="N12" s="48">
        <v>91.279799247176925</v>
      </c>
      <c r="O12" s="48">
        <v>81.830301129234627</v>
      </c>
      <c r="P12" s="48">
        <v>5.9335256016264006</v>
      </c>
      <c r="Q12" s="48">
        <v>31.667533449955087</v>
      </c>
      <c r="R12" s="47">
        <v>20.944636187414307</v>
      </c>
      <c r="S12" s="20">
        <f t="shared" si="2"/>
        <v>1.0001241427279497</v>
      </c>
      <c r="T12" s="21">
        <f t="shared" si="3"/>
        <v>1.2905419868339982</v>
      </c>
      <c r="U12" s="21">
        <f t="shared" si="4"/>
        <v>1.3797836503716079</v>
      </c>
      <c r="V12" s="21">
        <f t="shared" si="5"/>
        <v>1.4923803555508055</v>
      </c>
      <c r="W12" s="21">
        <f t="shared" si="6"/>
        <v>1.0632696387073157</v>
      </c>
      <c r="X12" s="21">
        <f t="shared" si="7"/>
        <v>1.1073469282855242</v>
      </c>
      <c r="Y12" s="21">
        <f t="shared" si="8"/>
        <v>1.2445744303395128</v>
      </c>
      <c r="Z12" s="21">
        <f t="shared" si="9"/>
        <v>1.5496642844258302</v>
      </c>
      <c r="AA12" s="21">
        <f t="shared" si="10"/>
        <v>1.7297246975627656</v>
      </c>
      <c r="AB12" s="5"/>
      <c r="AC12" s="5"/>
      <c r="AD12" s="5"/>
      <c r="AE12" s="5"/>
      <c r="AF12" s="5"/>
      <c r="AG12" s="21"/>
    </row>
    <row r="13" spans="1:33" x14ac:dyDescent="0.2">
      <c r="A13" s="20" t="s">
        <v>45</v>
      </c>
      <c r="B13" s="43" t="s">
        <v>37</v>
      </c>
      <c r="C13" s="43" t="s">
        <v>35</v>
      </c>
      <c r="D13" s="20">
        <v>42.900419450054372</v>
      </c>
      <c r="E13" s="47">
        <v>36.146614555825501</v>
      </c>
      <c r="F13" s="20">
        <f t="shared" si="0"/>
        <v>2.5573857216994029</v>
      </c>
      <c r="G13" s="10">
        <f t="shared" si="1"/>
        <v>1.6906020048048167</v>
      </c>
      <c r="H13" s="46"/>
      <c r="I13" s="51" t="s">
        <v>54</v>
      </c>
      <c r="J13" s="48">
        <v>34.049744897959187</v>
      </c>
      <c r="K13" s="48">
        <v>37.474489795918373</v>
      </c>
      <c r="L13" s="48">
        <v>31.55612244897959</v>
      </c>
      <c r="M13" s="48">
        <v>35.61029321805799</v>
      </c>
      <c r="N13" s="48">
        <v>95.487860742098036</v>
      </c>
      <c r="O13" s="48">
        <v>92.727897388914343</v>
      </c>
      <c r="P13" s="48">
        <v>13.588920112404656</v>
      </c>
      <c r="Q13" s="48">
        <v>28.776930282349795</v>
      </c>
      <c r="R13" s="47">
        <v>29.452696373611669</v>
      </c>
      <c r="S13" s="20">
        <f t="shared" si="2"/>
        <v>6.7440147878056607</v>
      </c>
      <c r="T13" s="21">
        <f t="shared" si="3"/>
        <v>3.5482069014142952</v>
      </c>
      <c r="U13" s="21">
        <f t="shared" si="4"/>
        <v>5.2091111975526507</v>
      </c>
      <c r="V13" s="21">
        <f t="shared" si="5"/>
        <v>2.8585375658627932</v>
      </c>
      <c r="W13" s="21">
        <f t="shared" si="6"/>
        <v>1.1122870999886112</v>
      </c>
      <c r="X13" s="21">
        <f t="shared" si="7"/>
        <v>1.2548157702343528</v>
      </c>
      <c r="Y13" s="21">
        <f t="shared" si="8"/>
        <v>2.8503159240080498</v>
      </c>
      <c r="Z13" s="21">
        <f t="shared" si="9"/>
        <v>1.4082113829434622</v>
      </c>
      <c r="AA13" s="21">
        <f t="shared" si="10"/>
        <v>2.4323676893402637</v>
      </c>
      <c r="AB13" s="5"/>
      <c r="AC13" s="5"/>
      <c r="AD13" s="5"/>
      <c r="AE13" s="5"/>
      <c r="AF13" s="5"/>
      <c r="AG13" s="21"/>
    </row>
    <row r="14" spans="1:33" x14ac:dyDescent="0.2">
      <c r="A14" s="28" t="s">
        <v>46</v>
      </c>
      <c r="B14" s="44" t="s">
        <v>37</v>
      </c>
      <c r="C14" s="44" t="s">
        <v>35</v>
      </c>
      <c r="D14" s="28">
        <v>22.683923705722069</v>
      </c>
      <c r="E14" s="50">
        <v>24.921319501107355</v>
      </c>
      <c r="F14" s="28">
        <f t="shared" si="0"/>
        <v>1.3522371888384579</v>
      </c>
      <c r="G14" s="11">
        <f t="shared" si="1"/>
        <v>1.165587240428394</v>
      </c>
      <c r="H14" s="46"/>
      <c r="I14" s="55" t="s">
        <v>54</v>
      </c>
      <c r="J14" s="49">
        <v>7.9628872193399785</v>
      </c>
      <c r="K14" s="49">
        <v>13.773060943319054</v>
      </c>
      <c r="L14" s="49">
        <v>9.5881859083374597</v>
      </c>
      <c r="M14" s="49">
        <v>17.593414002342005</v>
      </c>
      <c r="N14" s="49">
        <v>91.881807180314638</v>
      </c>
      <c r="O14" s="49">
        <v>84.772085518354174</v>
      </c>
      <c r="P14" s="49">
        <v>7.1996968548692681</v>
      </c>
      <c r="Q14" s="49">
        <v>26.070481242895038</v>
      </c>
      <c r="R14" s="50">
        <v>20.717443476064165</v>
      </c>
      <c r="S14" s="28">
        <f t="shared" si="2"/>
        <v>1.5771580469043749</v>
      </c>
      <c r="T14" s="26">
        <f t="shared" si="3"/>
        <v>1.3040783252506647</v>
      </c>
      <c r="U14" s="26">
        <f t="shared" si="4"/>
        <v>1.5827650136701843</v>
      </c>
      <c r="V14" s="26">
        <f t="shared" si="5"/>
        <v>1.4122724159982007</v>
      </c>
      <c r="W14" s="26">
        <f t="shared" si="6"/>
        <v>1.0702821076527496</v>
      </c>
      <c r="X14" s="26">
        <f t="shared" si="7"/>
        <v>1.1471558482334681</v>
      </c>
      <c r="Y14" s="26">
        <f t="shared" si="8"/>
        <v>1.5101575712945403</v>
      </c>
      <c r="Z14" s="26">
        <f t="shared" si="9"/>
        <v>1.2757701424316412</v>
      </c>
      <c r="AA14" s="26">
        <f t="shared" si="10"/>
        <v>1.710961858217543</v>
      </c>
      <c r="AB14" s="21"/>
      <c r="AC14" s="21"/>
      <c r="AD14" s="21"/>
      <c r="AE14" s="21"/>
      <c r="AF14" s="21"/>
      <c r="AG14" s="21"/>
    </row>
    <row r="15" spans="1:33" x14ac:dyDescent="0.2">
      <c r="I15" s="56"/>
      <c r="AB15" s="21"/>
      <c r="AC15" s="21"/>
      <c r="AD15" s="21"/>
      <c r="AE15" s="21"/>
      <c r="AF15" s="21"/>
      <c r="AG15" s="21"/>
    </row>
    <row r="16" spans="1:33" x14ac:dyDescent="0.2">
      <c r="Q16" s="21"/>
      <c r="R16" s="21"/>
      <c r="S16" s="21"/>
      <c r="T16" s="21"/>
      <c r="U16" s="21"/>
      <c r="V16" s="21"/>
      <c r="W16" s="21"/>
    </row>
    <row r="17" spans="1:23" x14ac:dyDescent="0.2">
      <c r="Q17" s="21"/>
      <c r="R17" s="21"/>
      <c r="S17" s="21"/>
      <c r="T17" s="21"/>
      <c r="U17" s="21"/>
      <c r="V17" s="21"/>
      <c r="W17" s="21"/>
    </row>
    <row r="18" spans="1:23" x14ac:dyDescent="0.2">
      <c r="Q18" s="5"/>
      <c r="R18" s="5"/>
      <c r="S18" s="5"/>
      <c r="T18" s="5"/>
      <c r="U18" s="5"/>
      <c r="V18" s="5"/>
      <c r="W18" s="21"/>
    </row>
    <row r="19" spans="1:23" x14ac:dyDescent="0.2">
      <c r="A19" t="s">
        <v>64</v>
      </c>
      <c r="Q19" s="5"/>
      <c r="R19" s="5"/>
      <c r="S19" s="5"/>
      <c r="T19" s="5"/>
      <c r="U19" s="5"/>
      <c r="V19" s="5"/>
      <c r="W19" s="21"/>
    </row>
    <row r="20" spans="1:23" x14ac:dyDescent="0.2">
      <c r="Q20" s="5"/>
      <c r="R20" s="5"/>
      <c r="S20" s="5"/>
      <c r="T20" s="5"/>
      <c r="U20" s="5"/>
      <c r="V20" s="5"/>
      <c r="W20" s="21"/>
    </row>
    <row r="21" spans="1:23" x14ac:dyDescent="0.2">
      <c r="B21" s="2"/>
      <c r="C21" s="304" t="s">
        <v>7</v>
      </c>
      <c r="D21" s="306"/>
      <c r="E21" s="306"/>
      <c r="F21" s="306"/>
      <c r="G21" s="305"/>
      <c r="H21" s="304" t="s">
        <v>8</v>
      </c>
      <c r="I21" s="306"/>
      <c r="J21" s="306"/>
      <c r="K21" s="306"/>
      <c r="L21" s="305"/>
      <c r="Q21" s="5"/>
      <c r="R21" s="5"/>
      <c r="S21" s="5"/>
      <c r="T21" s="5"/>
      <c r="U21" s="5"/>
      <c r="V21" s="5"/>
      <c r="W21" s="21"/>
    </row>
    <row r="22" spans="1:23" x14ac:dyDescent="0.2">
      <c r="A22" s="17" t="s">
        <v>47</v>
      </c>
      <c r="B22" s="52" t="s">
        <v>27</v>
      </c>
      <c r="C22" s="33">
        <v>1.4025701100000001</v>
      </c>
      <c r="D22" s="33">
        <v>0.69321387999999995</v>
      </c>
      <c r="E22" s="33">
        <v>0.82360005999999997</v>
      </c>
      <c r="F22" s="33">
        <v>0.94992321000000002</v>
      </c>
      <c r="G22" s="34">
        <v>1.13069274</v>
      </c>
      <c r="H22" s="32">
        <v>1.5992710000000001</v>
      </c>
      <c r="I22" s="33">
        <v>1.94664434</v>
      </c>
      <c r="J22" s="33">
        <v>1.19276</v>
      </c>
      <c r="K22" s="33">
        <v>2.5573857200000001</v>
      </c>
      <c r="L22" s="34">
        <v>1.3522371900000001</v>
      </c>
      <c r="Q22" s="5"/>
      <c r="R22" s="5"/>
      <c r="S22" s="5"/>
      <c r="T22" s="5"/>
      <c r="U22" s="5"/>
      <c r="V22" s="5"/>
      <c r="W22" s="21"/>
    </row>
    <row r="23" spans="1:23" x14ac:dyDescent="0.2">
      <c r="A23" s="20"/>
      <c r="B23" s="53" t="s">
        <v>28</v>
      </c>
      <c r="C23" s="5">
        <v>1.14755696</v>
      </c>
      <c r="D23" s="5">
        <v>0.87203242000000003</v>
      </c>
      <c r="E23" s="5">
        <v>0.91946150999999998</v>
      </c>
      <c r="F23" s="5">
        <v>1.03071297</v>
      </c>
      <c r="G23" s="6">
        <v>1.0302361499999999</v>
      </c>
      <c r="H23" s="4">
        <v>1.70451934</v>
      </c>
      <c r="I23" s="5">
        <v>1.86169316</v>
      </c>
      <c r="J23" s="5">
        <v>1.4923803600000001</v>
      </c>
      <c r="K23" s="5">
        <v>2.8585375700000002</v>
      </c>
      <c r="L23" s="6">
        <v>1.4122724200000001</v>
      </c>
      <c r="Q23" s="21"/>
      <c r="R23" s="21"/>
      <c r="S23" s="21"/>
      <c r="T23" s="21"/>
      <c r="U23" s="21"/>
      <c r="V23" s="21"/>
      <c r="W23" s="21"/>
    </row>
    <row r="24" spans="1:23" x14ac:dyDescent="0.2">
      <c r="A24" s="17" t="s">
        <v>49</v>
      </c>
      <c r="B24" s="52" t="s">
        <v>29</v>
      </c>
      <c r="C24" s="33">
        <v>1.35186549</v>
      </c>
      <c r="D24" s="33">
        <v>0.37316029000000001</v>
      </c>
      <c r="E24" s="33">
        <v>0.91277430999999998</v>
      </c>
      <c r="F24" s="33">
        <v>0.76321777999999996</v>
      </c>
      <c r="G24" s="33">
        <v>1.59898213</v>
      </c>
      <c r="H24" s="33">
        <v>2.0709956300000001</v>
      </c>
      <c r="I24" s="33">
        <v>2.7443170600000002</v>
      </c>
      <c r="J24" s="33">
        <v>1.37978365</v>
      </c>
      <c r="K24" s="33">
        <v>5.2091111999999997</v>
      </c>
      <c r="L24" s="34">
        <v>1.5827650099999999</v>
      </c>
      <c r="Q24" s="21"/>
      <c r="R24" s="21"/>
      <c r="S24" s="21"/>
      <c r="T24" s="21"/>
      <c r="U24" s="21"/>
      <c r="V24" s="21"/>
      <c r="W24" s="21"/>
    </row>
    <row r="25" spans="1:23" x14ac:dyDescent="0.2">
      <c r="A25" s="20"/>
      <c r="B25" s="53" t="s">
        <v>30</v>
      </c>
      <c r="C25" s="5">
        <v>1.2527799500000001</v>
      </c>
      <c r="D25" s="5">
        <v>0.70871656999999999</v>
      </c>
      <c r="E25" s="5">
        <v>0.96785074999999998</v>
      </c>
      <c r="F25" s="5">
        <v>0.94820784000000002</v>
      </c>
      <c r="G25" s="5">
        <v>1.12244488</v>
      </c>
      <c r="H25" s="5">
        <v>1.75783176</v>
      </c>
      <c r="I25" s="5">
        <v>1.6037938700000001</v>
      </c>
      <c r="J25" s="5">
        <v>1.2905419899999999</v>
      </c>
      <c r="K25" s="5">
        <v>3.5482068999999998</v>
      </c>
      <c r="L25" s="6">
        <v>1.3040783300000001</v>
      </c>
      <c r="Q25" s="21"/>
      <c r="R25" s="21"/>
      <c r="S25" s="21"/>
      <c r="T25" s="21"/>
      <c r="U25" s="21"/>
      <c r="V25" s="21"/>
      <c r="W25" s="21"/>
    </row>
    <row r="26" spans="1:23" x14ac:dyDescent="0.2">
      <c r="A26" s="28"/>
      <c r="B26" s="54" t="s">
        <v>31</v>
      </c>
      <c r="C26" s="8">
        <v>2.0558345899999999</v>
      </c>
      <c r="D26" s="8">
        <v>0.23052038999999999</v>
      </c>
      <c r="E26" s="8">
        <v>0.69087909999999997</v>
      </c>
      <c r="F26" s="8">
        <v>0.64129238</v>
      </c>
      <c r="G26" s="8">
        <v>1.3814735300000001</v>
      </c>
      <c r="H26" s="8">
        <v>1.9789247700000001</v>
      </c>
      <c r="I26" s="8">
        <v>2.9379681</v>
      </c>
      <c r="J26" s="8">
        <v>1.0001241400000001</v>
      </c>
      <c r="K26" s="8">
        <v>6.7440147899999996</v>
      </c>
      <c r="L26" s="9">
        <v>1.57715805</v>
      </c>
    </row>
    <row r="27" spans="1:23" x14ac:dyDescent="0.2">
      <c r="A27" s="20" t="s">
        <v>48</v>
      </c>
      <c r="B27" s="53" t="s">
        <v>29</v>
      </c>
      <c r="C27" s="5">
        <v>1.07257216</v>
      </c>
      <c r="D27" s="5">
        <v>0.86265809000000004</v>
      </c>
      <c r="E27" s="5">
        <v>0.95440373999999994</v>
      </c>
      <c r="F27" s="5">
        <v>0.98251608000000001</v>
      </c>
      <c r="G27" s="5">
        <v>1.12784993</v>
      </c>
      <c r="H27" s="5">
        <v>1.1556684100000001</v>
      </c>
      <c r="I27" s="5">
        <v>1.20592696</v>
      </c>
      <c r="J27" s="5">
        <v>1.1073469300000001</v>
      </c>
      <c r="K27" s="5">
        <v>1.25481577</v>
      </c>
      <c r="L27" s="6">
        <v>1.1471558500000001</v>
      </c>
    </row>
    <row r="28" spans="1:23" x14ac:dyDescent="0.2">
      <c r="A28" s="28"/>
      <c r="B28" s="54" t="s">
        <v>30</v>
      </c>
      <c r="C28" s="8">
        <v>1.06801374</v>
      </c>
      <c r="D28" s="8">
        <v>0.91197214999999998</v>
      </c>
      <c r="E28" s="8">
        <v>1.01345558</v>
      </c>
      <c r="F28" s="8">
        <v>0.96677992999999995</v>
      </c>
      <c r="G28" s="8">
        <v>1.0397786099999999</v>
      </c>
      <c r="H28" s="8">
        <v>1.0878427900000001</v>
      </c>
      <c r="I28" s="8">
        <v>1.1153914</v>
      </c>
      <c r="J28" s="8">
        <v>1.0632696399999999</v>
      </c>
      <c r="K28" s="8">
        <v>1.1122871000000001</v>
      </c>
      <c r="L28" s="9">
        <v>1.07028211</v>
      </c>
    </row>
    <row r="30" spans="1:23" x14ac:dyDescent="0.2">
      <c r="A30" s="2" t="s">
        <v>61</v>
      </c>
      <c r="B30" s="304" t="s">
        <v>7</v>
      </c>
      <c r="C30" s="306"/>
      <c r="D30" s="306"/>
      <c r="E30" s="306"/>
      <c r="F30" s="305"/>
      <c r="G30" s="304" t="s">
        <v>8</v>
      </c>
      <c r="H30" s="306"/>
      <c r="I30" s="306"/>
      <c r="J30" s="306"/>
      <c r="K30" s="305"/>
    </row>
    <row r="31" spans="1:23" x14ac:dyDescent="0.2">
      <c r="A31" s="31" t="s">
        <v>27</v>
      </c>
      <c r="B31" s="4">
        <v>0.96892613999999999</v>
      </c>
      <c r="C31" s="5">
        <v>1.0699744200000001</v>
      </c>
      <c r="D31" s="5">
        <v>1.05040551</v>
      </c>
      <c r="E31" s="5">
        <v>0.73698304000000003</v>
      </c>
      <c r="F31" s="6">
        <v>1.17371088</v>
      </c>
      <c r="G31" s="4">
        <v>0.91687030000000003</v>
      </c>
      <c r="H31" s="5">
        <v>1.09602793</v>
      </c>
      <c r="I31" s="5">
        <v>1.5402875300000001</v>
      </c>
      <c r="J31" s="5">
        <v>1.6906019999999999</v>
      </c>
      <c r="K31" s="6">
        <v>1.16558724</v>
      </c>
    </row>
    <row r="32" spans="1:23" x14ac:dyDescent="0.2">
      <c r="A32" s="29" t="s">
        <v>29</v>
      </c>
      <c r="B32" s="4">
        <v>0.99189539999999998</v>
      </c>
      <c r="C32" s="5">
        <v>0.46389296000000002</v>
      </c>
      <c r="D32" s="5">
        <v>0.89363292000000005</v>
      </c>
      <c r="E32" s="5">
        <v>0.50997554</v>
      </c>
      <c r="F32" s="6">
        <v>2.1406032000000002</v>
      </c>
      <c r="G32" s="4">
        <v>1.15027575</v>
      </c>
      <c r="H32" s="5">
        <v>1.5369531599999999</v>
      </c>
      <c r="I32" s="5">
        <v>1.7297247</v>
      </c>
      <c r="J32" s="5">
        <v>2.43236769</v>
      </c>
      <c r="K32" s="6">
        <v>1.7109618600000001</v>
      </c>
    </row>
    <row r="33" spans="1:11" x14ac:dyDescent="0.2">
      <c r="A33" s="29" t="s">
        <v>30</v>
      </c>
      <c r="B33" s="4">
        <v>0.80672127000000005</v>
      </c>
      <c r="C33" s="5">
        <v>1.08953162</v>
      </c>
      <c r="D33" s="5">
        <v>0.84446136000000005</v>
      </c>
      <c r="E33" s="5">
        <v>0.74449387</v>
      </c>
      <c r="F33" s="6">
        <v>1.5147918899999999</v>
      </c>
      <c r="G33" s="4">
        <v>0.88191743</v>
      </c>
      <c r="H33" s="5">
        <v>1.4552054999999999</v>
      </c>
      <c r="I33" s="5">
        <v>1.54966428</v>
      </c>
      <c r="J33" s="5">
        <v>1.40821138</v>
      </c>
      <c r="K33" s="6">
        <v>1.2757701400000001</v>
      </c>
    </row>
    <row r="34" spans="1:11" x14ac:dyDescent="0.2">
      <c r="A34" s="30" t="s">
        <v>31</v>
      </c>
      <c r="B34" s="7">
        <v>1.95756559</v>
      </c>
      <c r="C34" s="8">
        <v>0.55570770000000003</v>
      </c>
      <c r="D34" s="8">
        <v>0.70160460000000002</v>
      </c>
      <c r="E34" s="8">
        <v>0.42044922000000001</v>
      </c>
      <c r="F34" s="9">
        <v>1.3646729</v>
      </c>
      <c r="G34" s="7">
        <v>0.83471421999999995</v>
      </c>
      <c r="H34" s="8">
        <v>1.5013818800000001</v>
      </c>
      <c r="I34" s="8">
        <v>1.2445744299999999</v>
      </c>
      <c r="J34" s="8">
        <v>2.8503159199999999</v>
      </c>
      <c r="K34" s="9">
        <v>1.5101575700000001</v>
      </c>
    </row>
  </sheetData>
  <mergeCells count="4">
    <mergeCell ref="B30:F30"/>
    <mergeCell ref="G30:K30"/>
    <mergeCell ref="C21:G21"/>
    <mergeCell ref="H21:L21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222F36-E365-7741-8DD3-0D35238FEBB0}">
  <sheetPr codeName="Sheet11"/>
  <dimension ref="A1:AE30"/>
  <sheetViews>
    <sheetView zoomScale="69" zoomScaleNormal="69" workbookViewId="0">
      <selection activeCell="N39" sqref="N39"/>
    </sheetView>
  </sheetViews>
  <sheetFormatPr baseColWidth="10" defaultRowHeight="16" x14ac:dyDescent="0.2"/>
  <sheetData>
    <row r="1" spans="1:31" x14ac:dyDescent="0.2">
      <c r="A1" t="s">
        <v>85</v>
      </c>
    </row>
    <row r="2" spans="1:31" x14ac:dyDescent="0.2">
      <c r="A2" s="2" t="s">
        <v>86</v>
      </c>
      <c r="B2" s="304" t="s">
        <v>7</v>
      </c>
      <c r="C2" s="306"/>
      <c r="D2" s="306"/>
      <c r="E2" s="306"/>
      <c r="F2" s="306"/>
      <c r="G2" s="306"/>
      <c r="H2" s="306"/>
      <c r="I2" s="306"/>
      <c r="J2" s="306"/>
      <c r="K2" s="305"/>
      <c r="L2" s="304" t="s">
        <v>82</v>
      </c>
      <c r="M2" s="306"/>
      <c r="N2" s="306"/>
      <c r="O2" s="306"/>
      <c r="P2" s="306"/>
      <c r="Q2" s="306"/>
      <c r="R2" s="306"/>
      <c r="S2" s="306"/>
      <c r="T2" s="305"/>
      <c r="U2" s="304" t="s">
        <v>84</v>
      </c>
      <c r="V2" s="306"/>
      <c r="W2" s="306"/>
      <c r="X2" s="306"/>
      <c r="Y2" s="306"/>
      <c r="Z2" s="306"/>
      <c r="AA2" s="306"/>
      <c r="AB2" s="306"/>
      <c r="AC2" s="306"/>
      <c r="AD2" s="305"/>
      <c r="AE2" s="2"/>
    </row>
    <row r="3" spans="1:31" x14ac:dyDescent="0.2">
      <c r="A3" s="1">
        <v>0</v>
      </c>
      <c r="B3" s="4">
        <v>27.631456</v>
      </c>
      <c r="C3" s="5">
        <v>27.661176000000001</v>
      </c>
      <c r="D3" s="5">
        <v>11.950609999999999</v>
      </c>
      <c r="E3" s="5">
        <v>14.8472955</v>
      </c>
      <c r="F3" s="5">
        <v>15.173158000000001</v>
      </c>
      <c r="G3" s="5">
        <v>18.17793</v>
      </c>
      <c r="H3" s="5">
        <v>12.1128</v>
      </c>
      <c r="I3" s="5">
        <v>17.6440275</v>
      </c>
      <c r="J3" s="5">
        <v>6.7864814999999998</v>
      </c>
      <c r="K3" s="6"/>
      <c r="L3" s="4">
        <v>17.418911999999999</v>
      </c>
      <c r="M3" s="5">
        <v>18.240507999999998</v>
      </c>
      <c r="N3" s="5">
        <v>14.719488</v>
      </c>
      <c r="O3" s="5">
        <v>25.155533500000001</v>
      </c>
      <c r="P3" s="5">
        <v>27.724799999999998</v>
      </c>
      <c r="Q3" s="5">
        <v>11.8662505</v>
      </c>
      <c r="R3" s="5">
        <v>49.032794000000003</v>
      </c>
      <c r="S3" s="5">
        <v>12.137312</v>
      </c>
      <c r="T3" s="10"/>
      <c r="U3" s="4">
        <v>13.711904000000001</v>
      </c>
      <c r="V3" s="5">
        <v>16.253892</v>
      </c>
      <c r="W3" s="5">
        <v>21.098299999999998</v>
      </c>
      <c r="X3" s="5">
        <v>10.878976</v>
      </c>
      <c r="Y3" s="5">
        <v>8.9677240000000005</v>
      </c>
      <c r="Z3" s="5">
        <v>19.714198</v>
      </c>
      <c r="AA3" s="5">
        <v>16.661434499999999</v>
      </c>
      <c r="AB3" s="5">
        <v>14.045400000000001</v>
      </c>
      <c r="AC3" s="21"/>
      <c r="AD3" s="6"/>
      <c r="AE3" s="1"/>
    </row>
    <row r="4" spans="1:31" x14ac:dyDescent="0.2">
      <c r="A4" s="1">
        <v>3</v>
      </c>
      <c r="B4" s="4">
        <v>72.478691999999995</v>
      </c>
      <c r="C4" s="5">
        <v>41.764595999999997</v>
      </c>
      <c r="D4" s="5">
        <v>6.6528539999999996</v>
      </c>
      <c r="E4" s="5">
        <v>72.634643999999994</v>
      </c>
      <c r="F4" s="5">
        <v>18.399474000000001</v>
      </c>
      <c r="G4" s="5">
        <v>34.511026000000001</v>
      </c>
      <c r="H4" s="5">
        <v>30.890656</v>
      </c>
      <c r="I4" s="5">
        <v>22.429696</v>
      </c>
      <c r="J4" s="5">
        <v>13.7392045</v>
      </c>
      <c r="K4" s="6"/>
      <c r="L4" s="4">
        <v>14.293858500000001</v>
      </c>
      <c r="M4" s="5">
        <v>29.641508999999999</v>
      </c>
      <c r="N4" s="5">
        <v>10.061584</v>
      </c>
      <c r="O4" s="5">
        <v>48.824100000000001</v>
      </c>
      <c r="P4" s="5">
        <v>65.869645500000004</v>
      </c>
      <c r="Q4" s="5">
        <v>5.34</v>
      </c>
      <c r="R4" s="5">
        <v>183.87870699999999</v>
      </c>
      <c r="S4" s="5">
        <v>12.50235</v>
      </c>
      <c r="T4" s="10"/>
      <c r="U4" s="4">
        <v>16.450047999999999</v>
      </c>
      <c r="V4" s="5">
        <v>40.610700000000001</v>
      </c>
      <c r="W4" s="5">
        <v>13.613056</v>
      </c>
      <c r="X4" s="5">
        <v>15.304261500000001</v>
      </c>
      <c r="Y4" s="5">
        <v>16.8444605</v>
      </c>
      <c r="Z4" s="5">
        <v>27.144192</v>
      </c>
      <c r="AA4" s="5">
        <v>37.945599999999999</v>
      </c>
      <c r="AB4" s="5">
        <v>44.915309999999998</v>
      </c>
      <c r="AC4" s="21"/>
      <c r="AD4" s="6"/>
      <c r="AE4" s="1"/>
    </row>
    <row r="5" spans="1:31" x14ac:dyDescent="0.2">
      <c r="A5" s="1">
        <v>5</v>
      </c>
      <c r="B5" s="4">
        <v>151.50488899999999</v>
      </c>
      <c r="C5" s="5">
        <v>54.777059999999999</v>
      </c>
      <c r="D5" s="5">
        <v>17.303598000000001</v>
      </c>
      <c r="E5" s="5">
        <v>159.67336</v>
      </c>
      <c r="F5" s="5">
        <v>47.770198000000001</v>
      </c>
      <c r="G5" s="5">
        <v>70.449424500000006</v>
      </c>
      <c r="H5" s="5">
        <v>42.150779999999997</v>
      </c>
      <c r="I5" s="5">
        <v>72.515984000000003</v>
      </c>
      <c r="J5" s="5">
        <v>16.735900000000001</v>
      </c>
      <c r="K5" s="6"/>
      <c r="L5" s="4">
        <v>26.465664</v>
      </c>
      <c r="M5" s="5">
        <v>79.283947999999995</v>
      </c>
      <c r="N5" s="5">
        <v>63.366247999999999</v>
      </c>
      <c r="O5" s="5">
        <v>130.43274400000001</v>
      </c>
      <c r="P5" s="5">
        <v>94.286479999999997</v>
      </c>
      <c r="Q5" s="5">
        <v>22.866461999999999</v>
      </c>
      <c r="R5" s="5">
        <v>275.77048200000002</v>
      </c>
      <c r="S5" s="5">
        <v>13.3857765</v>
      </c>
      <c r="T5" s="10"/>
      <c r="U5" s="4">
        <v>16.732733</v>
      </c>
      <c r="V5" s="5">
        <v>41.905000000000001</v>
      </c>
      <c r="W5" s="5">
        <v>42.889175999999999</v>
      </c>
      <c r="X5" s="5">
        <v>23.290312499999999</v>
      </c>
      <c r="Y5" s="5">
        <v>12.630496000000001</v>
      </c>
      <c r="Z5" s="5">
        <v>56.881749999999997</v>
      </c>
      <c r="AA5" s="5">
        <v>66.442176000000003</v>
      </c>
      <c r="AB5" s="5">
        <v>138.79124999999999</v>
      </c>
      <c r="AC5" s="21"/>
      <c r="AD5" s="6"/>
      <c r="AE5" s="1"/>
    </row>
    <row r="6" spans="1:31" x14ac:dyDescent="0.2">
      <c r="A6" s="1">
        <v>7</v>
      </c>
      <c r="B6" s="4">
        <v>550.7894</v>
      </c>
      <c r="C6" s="5">
        <v>127.11490499999999</v>
      </c>
      <c r="D6" s="5">
        <v>7.4632639999999997</v>
      </c>
      <c r="E6" s="5">
        <v>491.95140600000002</v>
      </c>
      <c r="F6" s="5">
        <v>73.084050000000005</v>
      </c>
      <c r="G6" s="5">
        <v>209.083392</v>
      </c>
      <c r="H6" s="5">
        <v>195.742142</v>
      </c>
      <c r="I6" s="5">
        <v>126.34517700000001</v>
      </c>
      <c r="J6" s="5">
        <v>12.161951999999999</v>
      </c>
      <c r="K6" s="6"/>
      <c r="L6" s="4">
        <v>72.748367999999999</v>
      </c>
      <c r="M6" s="5">
        <v>228.40229299999999</v>
      </c>
      <c r="N6" s="5">
        <v>77.987071999999998</v>
      </c>
      <c r="O6" s="5">
        <v>421.02177799999998</v>
      </c>
      <c r="P6" s="5">
        <v>487.09585600000003</v>
      </c>
      <c r="Q6" s="5">
        <v>16.433810999999999</v>
      </c>
      <c r="R6" s="5">
        <v>606.140264</v>
      </c>
      <c r="S6" s="5">
        <v>15.855174999999999</v>
      </c>
      <c r="T6" s="10"/>
      <c r="U6" s="4">
        <v>38.513392500000002</v>
      </c>
      <c r="V6" s="5">
        <v>106.304608</v>
      </c>
      <c r="W6" s="5">
        <v>60.191208000000003</v>
      </c>
      <c r="X6" s="5">
        <v>88.339014500000005</v>
      </c>
      <c r="Y6" s="5">
        <v>64.318246000000002</v>
      </c>
      <c r="Z6" s="5">
        <v>218.56418600000001</v>
      </c>
      <c r="AA6" s="5">
        <v>184.041</v>
      </c>
      <c r="AB6" s="5">
        <v>341.642651</v>
      </c>
      <c r="AC6" s="21"/>
      <c r="AD6" s="6"/>
      <c r="AE6" s="1"/>
    </row>
    <row r="7" spans="1:31" x14ac:dyDescent="0.2">
      <c r="A7" s="1">
        <v>9</v>
      </c>
      <c r="B7" s="4">
        <v>1000</v>
      </c>
      <c r="C7" s="5">
        <v>379.81195000000002</v>
      </c>
      <c r="D7" s="5">
        <v>22.105408000000001</v>
      </c>
      <c r="E7" s="5">
        <v>958.91444999999999</v>
      </c>
      <c r="F7" s="5">
        <v>183.98388800000001</v>
      </c>
      <c r="G7" s="5">
        <v>635.99611300000004</v>
      </c>
      <c r="H7" s="5">
        <v>396.73339199999998</v>
      </c>
      <c r="I7" s="5">
        <v>112.647166</v>
      </c>
      <c r="J7" s="5">
        <v>4.7045000000000003</v>
      </c>
      <c r="K7" s="6"/>
      <c r="L7" s="4">
        <v>212.40849800000001</v>
      </c>
      <c r="M7" s="5">
        <v>574.90106400000002</v>
      </c>
      <c r="N7" s="5">
        <v>128.15705</v>
      </c>
      <c r="O7" s="5">
        <v>404.33470899999998</v>
      </c>
      <c r="P7" s="5">
        <v>538.52906299999995</v>
      </c>
      <c r="Q7" s="5">
        <v>123.672624</v>
      </c>
      <c r="R7" s="5">
        <v>1000</v>
      </c>
      <c r="S7" s="5">
        <v>36.408037999999998</v>
      </c>
      <c r="T7" s="10"/>
      <c r="U7" s="4">
        <v>131.04</v>
      </c>
      <c r="V7" s="5">
        <v>244.009422</v>
      </c>
      <c r="W7" s="5">
        <v>102.52849999999999</v>
      </c>
      <c r="X7" s="5">
        <v>130.674633</v>
      </c>
      <c r="Y7" s="5">
        <v>166.7552</v>
      </c>
      <c r="Z7" s="5">
        <v>446.79732000000001</v>
      </c>
      <c r="AA7" s="5">
        <v>510.45260000000002</v>
      </c>
      <c r="AB7" s="5">
        <v>561.74298399999998</v>
      </c>
      <c r="AC7" s="21"/>
      <c r="AD7" s="6"/>
      <c r="AE7" s="1"/>
    </row>
    <row r="8" spans="1:31" x14ac:dyDescent="0.2">
      <c r="A8" s="1">
        <v>11</v>
      </c>
      <c r="B8" s="4">
        <v>1000</v>
      </c>
      <c r="C8" s="5">
        <v>792.83875</v>
      </c>
      <c r="D8" s="5">
        <v>71.302274999999995</v>
      </c>
      <c r="E8" s="5">
        <v>1000</v>
      </c>
      <c r="F8" s="5">
        <v>418.60693400000002</v>
      </c>
      <c r="G8" s="5">
        <v>1000</v>
      </c>
      <c r="H8" s="5">
        <v>1000</v>
      </c>
      <c r="I8" s="5">
        <v>392.85</v>
      </c>
      <c r="J8" s="5">
        <v>13.088024000000001</v>
      </c>
      <c r="K8" s="6"/>
      <c r="L8" s="4">
        <v>390.40898299999998</v>
      </c>
      <c r="M8" s="5">
        <v>1000</v>
      </c>
      <c r="N8" s="5">
        <v>261.20325200000002</v>
      </c>
      <c r="O8" s="5">
        <v>462.60233599999998</v>
      </c>
      <c r="P8" s="5">
        <v>867.53826300000003</v>
      </c>
      <c r="Q8" s="5">
        <v>162.57798199999999</v>
      </c>
      <c r="R8" s="5">
        <v>1000</v>
      </c>
      <c r="S8" s="5">
        <v>68.083200000000005</v>
      </c>
      <c r="T8" s="10"/>
      <c r="U8" s="4">
        <v>239.200998</v>
      </c>
      <c r="V8" s="5">
        <v>656.92357200000004</v>
      </c>
      <c r="W8" s="5">
        <v>291.33982800000001</v>
      </c>
      <c r="X8" s="5">
        <v>301.755922</v>
      </c>
      <c r="Y8" s="5">
        <v>339.14851199999998</v>
      </c>
      <c r="Z8" s="5">
        <v>1000</v>
      </c>
      <c r="AA8" s="5">
        <v>1000</v>
      </c>
      <c r="AB8" s="5">
        <v>1000</v>
      </c>
      <c r="AC8" s="21"/>
      <c r="AD8" s="6"/>
      <c r="AE8" s="1"/>
    </row>
    <row r="9" spans="1:31" x14ac:dyDescent="0.2">
      <c r="A9" s="1">
        <v>13</v>
      </c>
      <c r="B9" s="7">
        <v>1000</v>
      </c>
      <c r="C9" s="8">
        <v>1000</v>
      </c>
      <c r="D9" s="8">
        <v>144.940158</v>
      </c>
      <c r="E9" s="8">
        <v>1000</v>
      </c>
      <c r="F9" s="8">
        <v>1000</v>
      </c>
      <c r="G9" s="8">
        <v>1000</v>
      </c>
      <c r="H9" s="8">
        <v>1000</v>
      </c>
      <c r="I9" s="8">
        <v>781.32519300000001</v>
      </c>
      <c r="J9" s="8">
        <v>4</v>
      </c>
      <c r="K9" s="9"/>
      <c r="L9" s="7">
        <v>702.45361200000002</v>
      </c>
      <c r="M9" s="8">
        <v>1000</v>
      </c>
      <c r="N9" s="8">
        <v>478.34274599999998</v>
      </c>
      <c r="O9" s="8">
        <v>1000</v>
      </c>
      <c r="P9" s="8">
        <v>1000</v>
      </c>
      <c r="Q9" s="8">
        <v>273.333888</v>
      </c>
      <c r="R9" s="8">
        <v>1000</v>
      </c>
      <c r="S9" s="8">
        <v>143.21960100000001</v>
      </c>
      <c r="T9" s="11"/>
      <c r="U9" s="7">
        <v>382.25370199999998</v>
      </c>
      <c r="V9" s="8">
        <v>1000</v>
      </c>
      <c r="W9" s="8">
        <v>540.98608100000001</v>
      </c>
      <c r="X9" s="8">
        <v>642.74317199999996</v>
      </c>
      <c r="Y9" s="8">
        <v>1000</v>
      </c>
      <c r="Z9" s="8">
        <v>1000</v>
      </c>
      <c r="AA9" s="8">
        <v>1000</v>
      </c>
      <c r="AB9" s="8">
        <v>1000</v>
      </c>
      <c r="AC9" s="26"/>
      <c r="AD9" s="9"/>
      <c r="AE9" s="1"/>
    </row>
    <row r="12" spans="1:31" x14ac:dyDescent="0.2">
      <c r="A12" s="2" t="s">
        <v>86</v>
      </c>
      <c r="B12" s="304" t="s">
        <v>82</v>
      </c>
      <c r="C12" s="306"/>
      <c r="D12" s="306"/>
      <c r="E12" s="306"/>
      <c r="F12" s="306"/>
      <c r="G12" s="306"/>
      <c r="H12" s="306"/>
      <c r="I12" s="306"/>
      <c r="J12" s="306"/>
      <c r="K12" s="305"/>
      <c r="L12" s="304" t="s">
        <v>83</v>
      </c>
      <c r="M12" s="306"/>
      <c r="N12" s="306"/>
      <c r="O12" s="306"/>
      <c r="P12" s="306"/>
      <c r="Q12" s="306"/>
      <c r="R12" s="306"/>
      <c r="S12" s="306"/>
      <c r="T12" s="305"/>
    </row>
    <row r="13" spans="1:31" x14ac:dyDescent="0.2">
      <c r="A13" s="1">
        <v>0</v>
      </c>
      <c r="B13" s="4">
        <v>17.418911999999999</v>
      </c>
      <c r="C13" s="5">
        <v>18.240507999999998</v>
      </c>
      <c r="D13" s="5">
        <v>14.719488</v>
      </c>
      <c r="E13" s="5">
        <v>25.155533500000001</v>
      </c>
      <c r="F13" s="5">
        <v>27.724799999999998</v>
      </c>
      <c r="G13" s="5">
        <v>11.8662505</v>
      </c>
      <c r="H13" s="5">
        <v>49.032794000000003</v>
      </c>
      <c r="I13" s="5">
        <v>12.137312</v>
      </c>
      <c r="J13" s="5"/>
      <c r="K13" s="6"/>
      <c r="L13" s="4">
        <v>14.614758999999999</v>
      </c>
      <c r="M13" s="5">
        <v>30.074558499999998</v>
      </c>
      <c r="N13" s="5">
        <v>24.10342</v>
      </c>
      <c r="O13" s="5">
        <v>12.5106065</v>
      </c>
      <c r="P13" s="5">
        <v>11.739174999999999</v>
      </c>
      <c r="Q13" s="5">
        <v>17.341816000000001</v>
      </c>
      <c r="R13" s="5">
        <v>19.3536</v>
      </c>
      <c r="S13" s="5">
        <v>8.5871385</v>
      </c>
      <c r="T13" s="6">
        <v>15.730848</v>
      </c>
    </row>
    <row r="14" spans="1:31" x14ac:dyDescent="0.2">
      <c r="A14" s="1">
        <v>3</v>
      </c>
      <c r="B14" s="4">
        <v>14.293858500000001</v>
      </c>
      <c r="C14" s="5">
        <v>29.641508999999999</v>
      </c>
      <c r="D14" s="5">
        <v>10.061584</v>
      </c>
      <c r="E14" s="5">
        <v>48.824100000000001</v>
      </c>
      <c r="F14" s="5">
        <v>65.869645500000004</v>
      </c>
      <c r="G14" s="5">
        <v>5.34</v>
      </c>
      <c r="H14" s="5">
        <v>183.87870699999999</v>
      </c>
      <c r="I14" s="5">
        <v>12.50235</v>
      </c>
      <c r="J14" s="5"/>
      <c r="K14" s="6"/>
      <c r="L14" s="4">
        <v>19.40598</v>
      </c>
      <c r="M14" s="5">
        <v>37.7136</v>
      </c>
      <c r="N14" s="5">
        <v>79.675893500000001</v>
      </c>
      <c r="O14" s="5">
        <v>11.655751499999999</v>
      </c>
      <c r="P14" s="5">
        <v>15.9201</v>
      </c>
      <c r="Q14" s="5">
        <v>12.746968000000001</v>
      </c>
      <c r="R14" s="5">
        <v>20.396319500000001</v>
      </c>
      <c r="S14" s="5">
        <v>17.634350000000001</v>
      </c>
      <c r="T14" s="6">
        <v>18.4253505</v>
      </c>
    </row>
    <row r="15" spans="1:31" x14ac:dyDescent="0.2">
      <c r="A15" s="1">
        <v>5</v>
      </c>
      <c r="B15" s="4">
        <v>26.465664</v>
      </c>
      <c r="C15" s="5">
        <v>79.283947999999995</v>
      </c>
      <c r="D15" s="5">
        <v>63.366247999999999</v>
      </c>
      <c r="E15" s="5">
        <v>130.43274400000001</v>
      </c>
      <c r="F15" s="5">
        <v>94.286479999999997</v>
      </c>
      <c r="G15" s="5">
        <v>22.866461999999999</v>
      </c>
      <c r="H15" s="5">
        <v>275.77048200000002</v>
      </c>
      <c r="I15" s="5">
        <v>13.3857765</v>
      </c>
      <c r="J15" s="5"/>
      <c r="K15" s="6"/>
      <c r="L15" s="4">
        <v>9.6630599999999998</v>
      </c>
      <c r="M15" s="5">
        <v>30.495114000000001</v>
      </c>
      <c r="N15" s="5">
        <v>230.87867399999999</v>
      </c>
      <c r="O15" s="5">
        <v>16.30818</v>
      </c>
      <c r="P15" s="5">
        <v>16.114048</v>
      </c>
      <c r="Q15" s="5">
        <v>27.99605</v>
      </c>
      <c r="R15" s="5">
        <v>29.551103999999999</v>
      </c>
      <c r="S15" s="5">
        <v>6.4423979999999998</v>
      </c>
      <c r="T15" s="6">
        <v>31.736148</v>
      </c>
    </row>
    <row r="16" spans="1:31" x14ac:dyDescent="0.2">
      <c r="A16" s="1">
        <v>7</v>
      </c>
      <c r="B16" s="4">
        <v>72.748367999999999</v>
      </c>
      <c r="C16" s="5">
        <v>228.40229299999999</v>
      </c>
      <c r="D16" s="5">
        <v>77.987071999999998</v>
      </c>
      <c r="E16" s="5">
        <v>421.02177799999998</v>
      </c>
      <c r="F16" s="5">
        <v>487.09585600000003</v>
      </c>
      <c r="G16" s="5">
        <v>16.433810999999999</v>
      </c>
      <c r="H16" s="5">
        <v>606.140264</v>
      </c>
      <c r="I16" s="5">
        <v>15.855174999999999</v>
      </c>
      <c r="J16" s="5"/>
      <c r="K16" s="6"/>
      <c r="L16" s="4">
        <v>21.866250000000001</v>
      </c>
      <c r="M16" s="5">
        <v>88.270854499999999</v>
      </c>
      <c r="N16" s="5">
        <v>715.51847599999996</v>
      </c>
      <c r="O16" s="5">
        <v>29.234083999999999</v>
      </c>
      <c r="P16" s="5">
        <v>6.450272</v>
      </c>
      <c r="Q16" s="5">
        <v>126.60095099999999</v>
      </c>
      <c r="R16" s="5">
        <v>100.06513200000001</v>
      </c>
      <c r="S16" s="5">
        <v>12.415639499999999</v>
      </c>
      <c r="T16" s="6">
        <v>148.828125</v>
      </c>
    </row>
    <row r="17" spans="1:21" x14ac:dyDescent="0.2">
      <c r="A17" s="1">
        <v>9</v>
      </c>
      <c r="B17" s="4">
        <v>212.40849800000001</v>
      </c>
      <c r="C17" s="5">
        <v>574.90106400000002</v>
      </c>
      <c r="D17" s="5">
        <v>128.15705</v>
      </c>
      <c r="E17" s="5">
        <v>404.33470899999998</v>
      </c>
      <c r="F17" s="5">
        <v>538.52906299999995</v>
      </c>
      <c r="G17" s="5">
        <v>123.672624</v>
      </c>
      <c r="H17" s="5">
        <v>1000</v>
      </c>
      <c r="I17" s="5">
        <v>36.408037999999998</v>
      </c>
      <c r="J17" s="5"/>
      <c r="K17" s="6"/>
      <c r="L17" s="4">
        <v>25.247924000000001</v>
      </c>
      <c r="M17" s="5">
        <v>144.14567600000001</v>
      </c>
      <c r="N17" s="5">
        <v>1000</v>
      </c>
      <c r="O17" s="5">
        <v>54.104666000000002</v>
      </c>
      <c r="P17" s="5">
        <v>10.133100000000001</v>
      </c>
      <c r="Q17" s="5">
        <v>253.26499999999999</v>
      </c>
      <c r="R17" s="5">
        <v>228.32486399999999</v>
      </c>
      <c r="S17" s="5">
        <v>20.370623999999999</v>
      </c>
      <c r="T17" s="6">
        <v>323.47856300000001</v>
      </c>
    </row>
    <row r="18" spans="1:21" x14ac:dyDescent="0.2">
      <c r="A18" s="1">
        <v>11</v>
      </c>
      <c r="B18" s="4">
        <v>390.40898299999998</v>
      </c>
      <c r="C18" s="5">
        <v>1000</v>
      </c>
      <c r="D18" s="5">
        <v>261.20325200000002</v>
      </c>
      <c r="E18" s="5">
        <v>462.60233599999998</v>
      </c>
      <c r="F18" s="5">
        <v>867.53826300000003</v>
      </c>
      <c r="G18" s="5">
        <v>162.57798199999999</v>
      </c>
      <c r="H18" s="5">
        <v>1000</v>
      </c>
      <c r="I18" s="5">
        <v>68.083200000000005</v>
      </c>
      <c r="J18" s="5"/>
      <c r="K18" s="6"/>
      <c r="L18" s="4">
        <v>68.708084999999997</v>
      </c>
      <c r="M18" s="5">
        <v>292.65481399999999</v>
      </c>
      <c r="N18" s="5">
        <v>1000</v>
      </c>
      <c r="O18" s="5">
        <v>110.355332</v>
      </c>
      <c r="P18" s="5">
        <v>35.248752000000003</v>
      </c>
      <c r="Q18" s="5">
        <v>409.566014</v>
      </c>
      <c r="R18" s="5">
        <v>426.07440000000003</v>
      </c>
      <c r="S18" s="5">
        <v>45.717002000000001</v>
      </c>
      <c r="T18" s="6">
        <v>1000</v>
      </c>
    </row>
    <row r="19" spans="1:21" x14ac:dyDescent="0.2">
      <c r="A19" s="1">
        <v>13</v>
      </c>
      <c r="B19" s="4">
        <v>702.45361200000002</v>
      </c>
      <c r="C19" s="5">
        <v>1000</v>
      </c>
      <c r="D19" s="5">
        <v>478.34274599999998</v>
      </c>
      <c r="E19" s="5">
        <v>1000</v>
      </c>
      <c r="F19" s="5">
        <v>1000</v>
      </c>
      <c r="G19" s="5">
        <v>273.333888</v>
      </c>
      <c r="H19" s="5">
        <v>1000</v>
      </c>
      <c r="I19" s="5">
        <v>143.21960100000001</v>
      </c>
      <c r="J19" s="5"/>
      <c r="K19" s="6"/>
      <c r="L19" s="4">
        <v>112.74048000000001</v>
      </c>
      <c r="M19" s="5">
        <v>361.0788</v>
      </c>
      <c r="N19" s="5">
        <v>1000</v>
      </c>
      <c r="O19" s="5">
        <v>166.15889999999999</v>
      </c>
      <c r="P19" s="5">
        <v>71.917050000000003</v>
      </c>
      <c r="Q19" s="5">
        <v>561.87456299999997</v>
      </c>
      <c r="R19" s="5">
        <v>1000</v>
      </c>
      <c r="S19" s="5">
        <v>82.532065000000003</v>
      </c>
      <c r="T19" s="6">
        <v>1000</v>
      </c>
    </row>
    <row r="20" spans="1:21" x14ac:dyDescent="0.2">
      <c r="A20" s="1">
        <v>15</v>
      </c>
      <c r="B20" s="7">
        <v>1000</v>
      </c>
      <c r="C20" s="8">
        <v>1000</v>
      </c>
      <c r="D20" s="8">
        <v>1000</v>
      </c>
      <c r="E20" s="8">
        <v>1000</v>
      </c>
      <c r="F20" s="8">
        <v>1000</v>
      </c>
      <c r="G20" s="8">
        <v>382.74299999999999</v>
      </c>
      <c r="H20" s="8">
        <v>1000</v>
      </c>
      <c r="I20" s="8">
        <v>181.737157</v>
      </c>
      <c r="J20" s="8"/>
      <c r="K20" s="9"/>
      <c r="L20" s="7">
        <v>291.08643599999999</v>
      </c>
      <c r="M20" s="8">
        <v>862.69657600000005</v>
      </c>
      <c r="N20" s="8">
        <v>1000</v>
      </c>
      <c r="O20" s="8">
        <v>294.59135800000001</v>
      </c>
      <c r="P20" s="8">
        <v>146.32416799999999</v>
      </c>
      <c r="Q20" s="8">
        <v>1000</v>
      </c>
      <c r="R20" s="8">
        <v>1000</v>
      </c>
      <c r="S20" s="8">
        <v>209.821032</v>
      </c>
      <c r="T20" s="9">
        <v>1000</v>
      </c>
    </row>
    <row r="22" spans="1:21" x14ac:dyDescent="0.2">
      <c r="A22" s="2" t="s">
        <v>86</v>
      </c>
      <c r="B22" s="304" t="s">
        <v>87</v>
      </c>
      <c r="C22" s="306"/>
      <c r="D22" s="306"/>
      <c r="E22" s="306"/>
      <c r="F22" s="306"/>
      <c r="G22" s="306"/>
      <c r="H22" s="306"/>
      <c r="I22" s="306"/>
      <c r="J22" s="306"/>
      <c r="K22" s="305"/>
      <c r="L22" s="304" t="s">
        <v>88</v>
      </c>
      <c r="M22" s="306"/>
      <c r="N22" s="306"/>
      <c r="O22" s="306"/>
      <c r="P22" s="306"/>
      <c r="Q22" s="306"/>
      <c r="R22" s="306"/>
      <c r="S22" s="306"/>
      <c r="T22" s="306"/>
      <c r="U22" s="305"/>
    </row>
    <row r="23" spans="1:21" x14ac:dyDescent="0.2">
      <c r="A23" s="1">
        <v>0</v>
      </c>
      <c r="B23" s="4">
        <v>13.711904000000001</v>
      </c>
      <c r="C23" s="5">
        <v>16.253892</v>
      </c>
      <c r="D23" s="5">
        <v>21.098299999999998</v>
      </c>
      <c r="E23" s="5">
        <v>10.878976</v>
      </c>
      <c r="F23" s="5">
        <v>8.9677240000000005</v>
      </c>
      <c r="G23" s="5">
        <v>19.714198</v>
      </c>
      <c r="H23" s="5">
        <v>16.661434499999999</v>
      </c>
      <c r="I23" s="5">
        <v>14.045400000000001</v>
      </c>
      <c r="J23" s="21"/>
      <c r="K23" s="6"/>
      <c r="L23" s="4">
        <v>16.578262500000001</v>
      </c>
      <c r="M23" s="5">
        <v>20.1462875</v>
      </c>
      <c r="N23" s="5">
        <v>13.954212</v>
      </c>
      <c r="O23" s="5">
        <v>16.625299999999999</v>
      </c>
      <c r="P23" s="5">
        <v>8.9890559999999997</v>
      </c>
      <c r="Q23" s="5">
        <v>21.043199999999999</v>
      </c>
      <c r="R23" s="5">
        <v>10.087393499999999</v>
      </c>
      <c r="S23" s="5">
        <v>13.9755305</v>
      </c>
      <c r="T23" s="21"/>
      <c r="U23" s="6"/>
    </row>
    <row r="24" spans="1:21" x14ac:dyDescent="0.2">
      <c r="A24" s="1">
        <v>3</v>
      </c>
      <c r="B24" s="4">
        <v>16.450047999999999</v>
      </c>
      <c r="C24" s="5">
        <v>40.610700000000001</v>
      </c>
      <c r="D24" s="5">
        <v>13.613056</v>
      </c>
      <c r="E24" s="5">
        <v>15.304261500000001</v>
      </c>
      <c r="F24" s="5">
        <v>16.8444605</v>
      </c>
      <c r="G24" s="5">
        <v>27.144192</v>
      </c>
      <c r="H24" s="5">
        <v>37.945599999999999</v>
      </c>
      <c r="I24" s="5">
        <v>44.915309999999998</v>
      </c>
      <c r="J24" s="21"/>
      <c r="K24" s="6"/>
      <c r="L24" s="4">
        <v>29.052099999999999</v>
      </c>
      <c r="M24" s="5">
        <v>27.607607999999999</v>
      </c>
      <c r="N24" s="5">
        <v>4.8998520000000001</v>
      </c>
      <c r="O24" s="5">
        <v>22.689926</v>
      </c>
      <c r="P24" s="5">
        <v>21.10284</v>
      </c>
      <c r="Q24" s="5">
        <v>29.63158</v>
      </c>
      <c r="R24" s="5">
        <v>28.68055</v>
      </c>
      <c r="S24" s="5">
        <v>8.4657920000000004</v>
      </c>
      <c r="T24" s="21"/>
      <c r="U24" s="6"/>
    </row>
    <row r="25" spans="1:21" x14ac:dyDescent="0.2">
      <c r="A25" s="1">
        <v>5</v>
      </c>
      <c r="B25" s="4">
        <v>16.732733</v>
      </c>
      <c r="C25" s="5">
        <v>41.905000000000001</v>
      </c>
      <c r="D25" s="5">
        <v>42.889175999999999</v>
      </c>
      <c r="E25" s="5">
        <v>23.290312499999999</v>
      </c>
      <c r="F25" s="5">
        <v>12.630496000000001</v>
      </c>
      <c r="G25" s="5">
        <v>56.881749999999997</v>
      </c>
      <c r="H25" s="5">
        <v>66.442176000000003</v>
      </c>
      <c r="I25" s="5">
        <v>138.79124999999999</v>
      </c>
      <c r="J25" s="21"/>
      <c r="K25" s="6"/>
      <c r="L25" s="4">
        <v>54.777059999999999</v>
      </c>
      <c r="M25" s="5">
        <v>20.098750500000001</v>
      </c>
      <c r="N25" s="5">
        <v>4</v>
      </c>
      <c r="O25" s="5">
        <v>11.883630500000001</v>
      </c>
      <c r="P25" s="5">
        <v>21.909089999999999</v>
      </c>
      <c r="Q25" s="5">
        <v>28.455179999999999</v>
      </c>
      <c r="R25" s="5">
        <v>26.225248499999999</v>
      </c>
      <c r="S25" s="5">
        <v>25.892581499999999</v>
      </c>
      <c r="T25" s="21"/>
      <c r="U25" s="6"/>
    </row>
    <row r="26" spans="1:21" x14ac:dyDescent="0.2">
      <c r="A26" s="1">
        <v>7</v>
      </c>
      <c r="B26" s="4">
        <v>38.513392500000002</v>
      </c>
      <c r="C26" s="5">
        <v>106.304608</v>
      </c>
      <c r="D26" s="5">
        <v>60.191208000000003</v>
      </c>
      <c r="E26" s="5">
        <v>88.339014500000005</v>
      </c>
      <c r="F26" s="5">
        <v>64.318246000000002</v>
      </c>
      <c r="G26" s="5">
        <v>218.56418600000001</v>
      </c>
      <c r="H26" s="5">
        <v>184.041</v>
      </c>
      <c r="I26" s="5">
        <v>341.642651</v>
      </c>
      <c r="J26" s="21"/>
      <c r="K26" s="6"/>
      <c r="L26" s="4">
        <v>103.748125</v>
      </c>
      <c r="M26" s="5">
        <v>44.253874000000003</v>
      </c>
      <c r="N26" s="5">
        <v>4</v>
      </c>
      <c r="O26" s="5">
        <v>8.2568429999999999</v>
      </c>
      <c r="P26" s="5">
        <v>11.317527500000001</v>
      </c>
      <c r="Q26" s="5">
        <v>50.959656000000003</v>
      </c>
      <c r="R26" s="5">
        <v>66.278239999999997</v>
      </c>
      <c r="S26" s="5">
        <v>23.469790499999998</v>
      </c>
      <c r="T26" s="21"/>
      <c r="U26" s="6"/>
    </row>
    <row r="27" spans="1:21" x14ac:dyDescent="0.2">
      <c r="A27" s="1">
        <v>9</v>
      </c>
      <c r="B27" s="4">
        <v>131.04</v>
      </c>
      <c r="C27" s="5">
        <v>244.009422</v>
      </c>
      <c r="D27" s="5">
        <v>102.52849999999999</v>
      </c>
      <c r="E27" s="5">
        <v>130.674633</v>
      </c>
      <c r="F27" s="5">
        <v>166.7552</v>
      </c>
      <c r="G27" s="5">
        <v>446.79732000000001</v>
      </c>
      <c r="H27" s="5">
        <v>510.45260000000002</v>
      </c>
      <c r="I27" s="5">
        <v>561.74298399999998</v>
      </c>
      <c r="J27" s="21"/>
      <c r="K27" s="6"/>
      <c r="L27" s="4">
        <v>357.69923199999999</v>
      </c>
      <c r="M27" s="5">
        <v>189.44179700000001</v>
      </c>
      <c r="N27" s="5">
        <v>0</v>
      </c>
      <c r="O27" s="5">
        <v>27.921759999999999</v>
      </c>
      <c r="P27" s="5">
        <v>22.959488499999999</v>
      </c>
      <c r="Q27" s="5">
        <v>96.589584000000002</v>
      </c>
      <c r="R27" s="5">
        <v>162.54768200000001</v>
      </c>
      <c r="S27" s="5">
        <v>77.533429499999997</v>
      </c>
      <c r="T27" s="21"/>
      <c r="U27" s="6"/>
    </row>
    <row r="28" spans="1:21" x14ac:dyDescent="0.2">
      <c r="A28" s="1">
        <v>11</v>
      </c>
      <c r="B28" s="4">
        <v>239.200998</v>
      </c>
      <c r="C28" s="5">
        <v>656.92357200000004</v>
      </c>
      <c r="D28" s="5">
        <v>291.33982800000001</v>
      </c>
      <c r="E28" s="5">
        <v>301.755922</v>
      </c>
      <c r="F28" s="5">
        <v>339.14851199999998</v>
      </c>
      <c r="G28" s="5">
        <v>1000</v>
      </c>
      <c r="H28" s="5">
        <v>1000</v>
      </c>
      <c r="I28" s="5">
        <v>1000</v>
      </c>
      <c r="J28" s="21"/>
      <c r="K28" s="6"/>
      <c r="L28" s="4">
        <v>414.137833</v>
      </c>
      <c r="M28" s="5">
        <v>390.83091300000001</v>
      </c>
      <c r="N28" s="5">
        <v>0</v>
      </c>
      <c r="O28" s="5">
        <v>45.956069999999997</v>
      </c>
      <c r="P28" s="5">
        <v>26.21566</v>
      </c>
      <c r="Q28" s="5">
        <v>306.28125</v>
      </c>
      <c r="R28" s="5">
        <v>321.69313399999999</v>
      </c>
      <c r="S28" s="5">
        <v>81.804339499999998</v>
      </c>
      <c r="T28" s="21"/>
      <c r="U28" s="6"/>
    </row>
    <row r="29" spans="1:21" x14ac:dyDescent="0.2">
      <c r="A29" s="1">
        <v>13</v>
      </c>
      <c r="B29" s="4">
        <v>382.25370199999998</v>
      </c>
      <c r="C29" s="5">
        <v>1000</v>
      </c>
      <c r="D29" s="5">
        <v>540.98608100000001</v>
      </c>
      <c r="E29" s="5">
        <v>642.74317199999996</v>
      </c>
      <c r="F29" s="5">
        <v>1000</v>
      </c>
      <c r="G29" s="5">
        <v>1000</v>
      </c>
      <c r="H29" s="5">
        <v>1000</v>
      </c>
      <c r="I29" s="5">
        <v>1000</v>
      </c>
      <c r="J29" s="21"/>
      <c r="K29" s="6"/>
      <c r="L29" s="4">
        <v>909.23568799999998</v>
      </c>
      <c r="M29" s="5">
        <v>375.435</v>
      </c>
      <c r="N29" s="5">
        <v>0</v>
      </c>
      <c r="O29" s="5">
        <v>61.61909</v>
      </c>
      <c r="P29" s="5">
        <v>76.023036000000005</v>
      </c>
      <c r="Q29" s="5">
        <v>426.87373600000001</v>
      </c>
      <c r="R29" s="5">
        <v>677.19624999999996</v>
      </c>
      <c r="S29" s="5">
        <v>338.15766400000001</v>
      </c>
      <c r="T29" s="21"/>
      <c r="U29" s="6"/>
    </row>
    <row r="30" spans="1:21" x14ac:dyDescent="0.2">
      <c r="A30" s="1">
        <v>15</v>
      </c>
      <c r="B30" s="7">
        <v>685.48412800000006</v>
      </c>
      <c r="C30" s="8">
        <v>1000</v>
      </c>
      <c r="D30" s="8">
        <v>1000</v>
      </c>
      <c r="E30" s="8">
        <v>1000</v>
      </c>
      <c r="F30" s="8">
        <v>1000</v>
      </c>
      <c r="G30" s="8">
        <v>1000</v>
      </c>
      <c r="H30" s="8">
        <v>1000</v>
      </c>
      <c r="I30" s="8">
        <v>1000</v>
      </c>
      <c r="J30" s="26"/>
      <c r="K30" s="9"/>
      <c r="L30" s="7">
        <v>1000</v>
      </c>
      <c r="M30" s="8">
        <v>926.27234099999998</v>
      </c>
      <c r="N30" s="8">
        <v>0</v>
      </c>
      <c r="O30" s="8">
        <v>136.001611</v>
      </c>
      <c r="P30" s="8">
        <v>125.04752499999999</v>
      </c>
      <c r="Q30" s="8">
        <v>955.17611999999997</v>
      </c>
      <c r="R30" s="8">
        <v>1000</v>
      </c>
      <c r="S30" s="8">
        <v>361.72034100000002</v>
      </c>
      <c r="T30" s="26"/>
      <c r="U30" s="9"/>
    </row>
  </sheetData>
  <mergeCells count="7">
    <mergeCell ref="U2:AD2"/>
    <mergeCell ref="B22:K22"/>
    <mergeCell ref="L22:U22"/>
    <mergeCell ref="B12:K12"/>
    <mergeCell ref="L12:T12"/>
    <mergeCell ref="B2:K2"/>
    <mergeCell ref="L2:T2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A90B6F-8D47-7D41-B9F5-D3A53FD834BA}">
  <sheetPr codeName="Sheet12"/>
  <dimension ref="A1:L82"/>
  <sheetViews>
    <sheetView zoomScale="80" zoomScaleNormal="80" workbookViewId="0"/>
  </sheetViews>
  <sheetFormatPr baseColWidth="10" defaultRowHeight="16" x14ac:dyDescent="0.2"/>
  <cols>
    <col min="4" max="4" width="16.83203125" customWidth="1"/>
  </cols>
  <sheetData>
    <row r="1" spans="1:12" x14ac:dyDescent="0.2">
      <c r="B1" t="s">
        <v>77</v>
      </c>
      <c r="F1" t="s">
        <v>78</v>
      </c>
      <c r="I1" s="38" t="s">
        <v>79</v>
      </c>
      <c r="J1" t="s">
        <v>80</v>
      </c>
    </row>
    <row r="2" spans="1:12" x14ac:dyDescent="0.2">
      <c r="A2" s="17"/>
      <c r="B2" s="18">
        <v>0</v>
      </c>
      <c r="C2" s="18">
        <v>24</v>
      </c>
      <c r="D2" s="18">
        <v>48</v>
      </c>
      <c r="E2" s="19" t="s">
        <v>74</v>
      </c>
      <c r="F2" s="17"/>
      <c r="G2" s="18"/>
      <c r="H2" s="18"/>
      <c r="I2" s="38"/>
      <c r="J2" s="18">
        <v>0</v>
      </c>
      <c r="K2" s="18">
        <v>24</v>
      </c>
      <c r="L2" s="19">
        <v>48</v>
      </c>
    </row>
    <row r="3" spans="1:12" x14ac:dyDescent="0.2">
      <c r="A3" s="20" t="s">
        <v>75</v>
      </c>
      <c r="B3" s="21">
        <v>1.488</v>
      </c>
      <c r="C3" s="21">
        <v>1.5840000000000001</v>
      </c>
      <c r="D3" s="21">
        <v>1.4850000000000001</v>
      </c>
      <c r="E3" s="10"/>
      <c r="F3" s="20">
        <f>B3-0.3963</f>
        <v>1.0916999999999999</v>
      </c>
      <c r="G3" s="21">
        <f t="shared" ref="G3:H6" si="0">C3-0.3963</f>
        <v>1.1877</v>
      </c>
      <c r="H3" s="21">
        <f t="shared" si="0"/>
        <v>1.0887000000000002</v>
      </c>
      <c r="I3" s="40">
        <f>AVERAGE(F3:F6)</f>
        <v>1.0842000000000001</v>
      </c>
      <c r="J3" s="21">
        <f>F3/$I$3*100</f>
        <v>100.69175428887658</v>
      </c>
      <c r="K3" s="21">
        <f t="shared" ref="K3:L6" si="1">G3/$I$3*100</f>
        <v>109.54620918649695</v>
      </c>
      <c r="L3" s="10">
        <f t="shared" si="1"/>
        <v>100.41505257332597</v>
      </c>
    </row>
    <row r="4" spans="1:12" x14ac:dyDescent="0.2">
      <c r="A4" s="20" t="s">
        <v>75</v>
      </c>
      <c r="B4" s="21">
        <v>1.508</v>
      </c>
      <c r="C4" s="21">
        <v>1.4910000000000001</v>
      </c>
      <c r="D4" s="21">
        <v>1.536</v>
      </c>
      <c r="E4" s="10">
        <v>0.39100000000000001</v>
      </c>
      <c r="F4" s="20">
        <f t="shared" ref="F4:F6" si="2">B4-0.3963</f>
        <v>1.1116999999999999</v>
      </c>
      <c r="G4" s="21">
        <f t="shared" si="0"/>
        <v>1.0947</v>
      </c>
      <c r="H4" s="21">
        <f t="shared" si="0"/>
        <v>1.1396999999999999</v>
      </c>
      <c r="I4" s="40"/>
      <c r="J4" s="21">
        <f t="shared" ref="J4:J6" si="3">F4/$I$3*100</f>
        <v>102.53643239254748</v>
      </c>
      <c r="K4" s="21">
        <f t="shared" si="1"/>
        <v>100.96845600442722</v>
      </c>
      <c r="L4" s="10">
        <f t="shared" si="1"/>
        <v>105.11898173768677</v>
      </c>
    </row>
    <row r="5" spans="1:12" x14ac:dyDescent="0.2">
      <c r="A5" s="20" t="s">
        <v>75</v>
      </c>
      <c r="B5" s="21">
        <v>1.4410000000000001</v>
      </c>
      <c r="C5" s="21">
        <v>1.419</v>
      </c>
      <c r="D5" s="21">
        <v>1.5720000000000001</v>
      </c>
      <c r="E5" s="10"/>
      <c r="F5" s="20">
        <f t="shared" si="2"/>
        <v>1.0447000000000002</v>
      </c>
      <c r="G5" s="21">
        <f t="shared" si="0"/>
        <v>1.0226999999999999</v>
      </c>
      <c r="H5" s="21">
        <f t="shared" si="0"/>
        <v>1.1757</v>
      </c>
      <c r="I5" s="40"/>
      <c r="J5" s="21">
        <f t="shared" si="3"/>
        <v>96.356760745249971</v>
      </c>
      <c r="K5" s="21">
        <f t="shared" si="1"/>
        <v>94.327614831211946</v>
      </c>
      <c r="L5" s="10">
        <f t="shared" si="1"/>
        <v>108.43940232429441</v>
      </c>
    </row>
    <row r="6" spans="1:12" x14ac:dyDescent="0.2">
      <c r="A6" s="20" t="s">
        <v>75</v>
      </c>
      <c r="B6" s="21">
        <v>1.4850000000000001</v>
      </c>
      <c r="C6" s="21">
        <v>1.4339999999999999</v>
      </c>
      <c r="D6" s="21">
        <v>1.3919999999999999</v>
      </c>
      <c r="E6" s="10"/>
      <c r="F6" s="20">
        <f t="shared" si="2"/>
        <v>1.0887000000000002</v>
      </c>
      <c r="G6" s="21">
        <f t="shared" si="0"/>
        <v>1.0377000000000001</v>
      </c>
      <c r="H6" s="21">
        <f t="shared" si="0"/>
        <v>0.99569999999999992</v>
      </c>
      <c r="I6" s="40"/>
      <c r="J6" s="21">
        <f t="shared" si="3"/>
        <v>100.41505257332597</v>
      </c>
      <c r="K6" s="21">
        <f t="shared" si="1"/>
        <v>95.711123408965136</v>
      </c>
      <c r="L6" s="10">
        <f t="shared" si="1"/>
        <v>91.837299391256209</v>
      </c>
    </row>
    <row r="7" spans="1:12" x14ac:dyDescent="0.2">
      <c r="A7" s="20"/>
      <c r="B7" s="21"/>
      <c r="C7" s="21"/>
      <c r="D7" s="21"/>
      <c r="E7" s="10"/>
      <c r="F7" s="20"/>
      <c r="G7" s="21"/>
      <c r="H7" s="21"/>
      <c r="I7" s="40"/>
      <c r="J7" s="21"/>
      <c r="K7" s="21"/>
      <c r="L7" s="10"/>
    </row>
    <row r="8" spans="1:12" x14ac:dyDescent="0.2">
      <c r="A8" s="20" t="s">
        <v>71</v>
      </c>
      <c r="B8" s="21">
        <v>1.371</v>
      </c>
      <c r="C8" s="21">
        <v>1.0549999999999999</v>
      </c>
      <c r="D8" s="21">
        <v>0.63200000000000001</v>
      </c>
      <c r="E8" s="10">
        <v>0.40100000000000002</v>
      </c>
      <c r="F8" s="20">
        <f>B8-0.3963</f>
        <v>0.97470000000000001</v>
      </c>
      <c r="G8" s="21">
        <f t="shared" ref="G8:H11" si="4">C8-0.3963</f>
        <v>0.65869999999999995</v>
      </c>
      <c r="H8" s="21">
        <f t="shared" si="4"/>
        <v>0.23570000000000002</v>
      </c>
      <c r="I8" s="40">
        <f>AVERAGE(F8:F11)</f>
        <v>0.92720000000000002</v>
      </c>
      <c r="J8" s="21">
        <f>F8/$I$8*100</f>
        <v>105.12295081967213</v>
      </c>
      <c r="K8" s="21">
        <f t="shared" ref="K8:L11" si="5">G8/$I$8*100</f>
        <v>71.041846419327001</v>
      </c>
      <c r="L8" s="10">
        <f t="shared" si="5"/>
        <v>25.420621225194136</v>
      </c>
    </row>
    <row r="9" spans="1:12" x14ac:dyDescent="0.2">
      <c r="A9" s="20" t="s">
        <v>71</v>
      </c>
      <c r="B9" s="21">
        <v>1.34</v>
      </c>
      <c r="C9" s="21">
        <v>0.995</v>
      </c>
      <c r="D9" s="21">
        <v>0.56100000000000005</v>
      </c>
      <c r="E9" s="10">
        <v>0.39700000000000002</v>
      </c>
      <c r="F9" s="20">
        <f t="shared" ref="F9:F11" si="6">B9-0.3963</f>
        <v>0.94370000000000009</v>
      </c>
      <c r="G9" s="21">
        <f t="shared" si="4"/>
        <v>0.59870000000000001</v>
      </c>
      <c r="H9" s="21">
        <f t="shared" si="4"/>
        <v>0.16470000000000007</v>
      </c>
      <c r="I9" s="40"/>
      <c r="J9" s="21">
        <f t="shared" ref="J9:J11" si="7">F9/$I$8*100</f>
        <v>101.77955133735981</v>
      </c>
      <c r="K9" s="21">
        <f t="shared" si="5"/>
        <v>64.570750647109577</v>
      </c>
      <c r="L9" s="10">
        <f t="shared" si="5"/>
        <v>17.76315789473685</v>
      </c>
    </row>
    <row r="10" spans="1:12" x14ac:dyDescent="0.2">
      <c r="A10" s="20" t="s">
        <v>71</v>
      </c>
      <c r="B10" s="21">
        <v>1.2689999999999999</v>
      </c>
      <c r="C10" s="21">
        <v>0.92900000000000005</v>
      </c>
      <c r="D10" s="21">
        <v>0.60099999999999998</v>
      </c>
      <c r="E10" s="10"/>
      <c r="F10" s="20">
        <f t="shared" si="6"/>
        <v>0.87269999999999992</v>
      </c>
      <c r="G10" s="21">
        <f t="shared" si="4"/>
        <v>0.53270000000000006</v>
      </c>
      <c r="H10" s="21">
        <f t="shared" si="4"/>
        <v>0.20469999999999999</v>
      </c>
      <c r="I10" s="40"/>
      <c r="J10" s="21">
        <f t="shared" si="7"/>
        <v>94.122088006902487</v>
      </c>
      <c r="K10" s="21">
        <f t="shared" si="5"/>
        <v>57.452545297670412</v>
      </c>
      <c r="L10" s="10">
        <f t="shared" si="5"/>
        <v>22.077221742881793</v>
      </c>
    </row>
    <row r="11" spans="1:12" x14ac:dyDescent="0.2">
      <c r="A11" s="20" t="s">
        <v>71</v>
      </c>
      <c r="B11" s="26">
        <v>1.3140000000000001</v>
      </c>
      <c r="C11" s="26">
        <v>0.90900000000000003</v>
      </c>
      <c r="D11" s="26">
        <v>0.57699999999999996</v>
      </c>
      <c r="E11" s="11"/>
      <c r="F11" s="28">
        <f t="shared" si="6"/>
        <v>0.91770000000000007</v>
      </c>
      <c r="G11" s="26">
        <f t="shared" si="4"/>
        <v>0.51270000000000004</v>
      </c>
      <c r="H11" s="26">
        <f t="shared" si="4"/>
        <v>0.18069999999999997</v>
      </c>
      <c r="I11" s="39"/>
      <c r="J11" s="26">
        <f t="shared" si="7"/>
        <v>98.97540983606558</v>
      </c>
      <c r="K11" s="26">
        <f t="shared" si="5"/>
        <v>55.295513373597935</v>
      </c>
      <c r="L11" s="11">
        <f t="shared" si="5"/>
        <v>19.488783433994818</v>
      </c>
    </row>
    <row r="12" spans="1:12" x14ac:dyDescent="0.2">
      <c r="D12" s="61" t="s">
        <v>76</v>
      </c>
      <c r="E12" s="62">
        <f>AVERAGE(E3:E11)</f>
        <v>0.39633333333333337</v>
      </c>
    </row>
    <row r="14" spans="1:12" x14ac:dyDescent="0.2">
      <c r="B14" t="s">
        <v>81</v>
      </c>
    </row>
    <row r="15" spans="1:12" x14ac:dyDescent="0.2">
      <c r="B15" s="17"/>
      <c r="C15" s="18" t="s">
        <v>70</v>
      </c>
      <c r="D15" s="19"/>
      <c r="E15" s="17"/>
      <c r="F15" s="18" t="s">
        <v>71</v>
      </c>
      <c r="G15" s="19"/>
    </row>
    <row r="16" spans="1:12" x14ac:dyDescent="0.2">
      <c r="A16" t="s">
        <v>73</v>
      </c>
      <c r="B16" s="35" t="s">
        <v>67</v>
      </c>
      <c r="C16" s="36" t="s">
        <v>68</v>
      </c>
      <c r="D16" s="37" t="s">
        <v>69</v>
      </c>
      <c r="E16" s="35">
        <v>0</v>
      </c>
      <c r="F16" s="36" t="s">
        <v>68</v>
      </c>
      <c r="G16" s="37" t="s">
        <v>69</v>
      </c>
      <c r="H16" s="60" t="s">
        <v>72</v>
      </c>
    </row>
    <row r="17" spans="1:7" x14ac:dyDescent="0.2">
      <c r="A17">
        <v>1</v>
      </c>
      <c r="B17" s="32">
        <v>100.6918</v>
      </c>
      <c r="C17" s="33">
        <v>109.5462</v>
      </c>
      <c r="D17" s="34">
        <v>100.4151</v>
      </c>
      <c r="E17" s="32">
        <v>105.123</v>
      </c>
      <c r="F17" s="33">
        <v>71.041849999999997</v>
      </c>
      <c r="G17" s="34">
        <v>25.42062</v>
      </c>
    </row>
    <row r="18" spans="1:7" x14ac:dyDescent="0.2">
      <c r="A18">
        <v>2</v>
      </c>
      <c r="B18" s="4">
        <v>102.5364</v>
      </c>
      <c r="C18" s="5">
        <v>100.96850000000001</v>
      </c>
      <c r="D18" s="6">
        <v>105.119</v>
      </c>
      <c r="E18" s="4">
        <v>101.7796</v>
      </c>
      <c r="F18" s="5">
        <v>64.570750000000004</v>
      </c>
      <c r="G18" s="6">
        <v>17.763159999999999</v>
      </c>
    </row>
    <row r="19" spans="1:7" x14ac:dyDescent="0.2">
      <c r="A19">
        <v>3</v>
      </c>
      <c r="B19" s="4">
        <v>96.356759999999994</v>
      </c>
      <c r="C19" s="5">
        <v>94.327610000000007</v>
      </c>
      <c r="D19" s="6">
        <v>108.43940000000001</v>
      </c>
      <c r="E19" s="4">
        <v>94.12209</v>
      </c>
      <c r="F19" s="5">
        <v>57.452550000000002</v>
      </c>
      <c r="G19" s="6">
        <v>22.077220000000001</v>
      </c>
    </row>
    <row r="20" spans="1:7" x14ac:dyDescent="0.2">
      <c r="A20">
        <v>4</v>
      </c>
      <c r="B20" s="7">
        <v>100.4151</v>
      </c>
      <c r="C20" s="8">
        <v>95.711119999999994</v>
      </c>
      <c r="D20" s="9">
        <v>91.837299999999999</v>
      </c>
      <c r="E20" s="7">
        <v>98.975409999999997</v>
      </c>
      <c r="F20" s="8">
        <v>55.29551</v>
      </c>
      <c r="G20" s="9">
        <v>19.488779999999998</v>
      </c>
    </row>
    <row r="27" spans="1:7" x14ac:dyDescent="0.2">
      <c r="E27" t="s">
        <v>506</v>
      </c>
    </row>
    <row r="41" spans="5:5" x14ac:dyDescent="0.2">
      <c r="E41" t="s">
        <v>509</v>
      </c>
    </row>
    <row r="58" spans="5:5" x14ac:dyDescent="0.2">
      <c r="E58" t="s">
        <v>507</v>
      </c>
    </row>
    <row r="66" spans="5:5" x14ac:dyDescent="0.2">
      <c r="E66" t="s">
        <v>749</v>
      </c>
    </row>
    <row r="82" spans="6:6" x14ac:dyDescent="0.2">
      <c r="F82" t="s">
        <v>750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F13FDA-6AAB-EE4C-B459-77C2A121AE52}">
  <sheetPr codeName="Sheet13"/>
  <dimension ref="A1:S69"/>
  <sheetViews>
    <sheetView zoomScale="88" zoomScaleNormal="88" workbookViewId="0">
      <selection activeCell="P31" sqref="P31"/>
    </sheetView>
  </sheetViews>
  <sheetFormatPr baseColWidth="10" defaultRowHeight="16" x14ac:dyDescent="0.2"/>
  <sheetData>
    <row r="1" spans="1:19" x14ac:dyDescent="0.2">
      <c r="A1" t="s">
        <v>1254</v>
      </c>
      <c r="O1" s="17" t="s">
        <v>1185</v>
      </c>
      <c r="P1" s="18"/>
      <c r="Q1" s="18"/>
      <c r="R1" s="19"/>
    </row>
    <row r="2" spans="1:19" x14ac:dyDescent="0.2">
      <c r="A2" s="2"/>
      <c r="B2" s="304" t="s">
        <v>7</v>
      </c>
      <c r="C2" s="306"/>
      <c r="D2" s="306"/>
      <c r="E2" s="305"/>
      <c r="F2" s="304" t="s">
        <v>8</v>
      </c>
      <c r="G2" s="306"/>
      <c r="H2" s="306"/>
      <c r="I2" s="305"/>
      <c r="J2" s="304" t="s">
        <v>65</v>
      </c>
      <c r="K2" s="306"/>
      <c r="L2" s="306"/>
      <c r="M2" s="305"/>
      <c r="O2" s="20"/>
      <c r="P2" s="21" t="s">
        <v>1141</v>
      </c>
      <c r="Q2" s="259" t="s">
        <v>8</v>
      </c>
      <c r="R2" s="261" t="s">
        <v>65</v>
      </c>
      <c r="S2" s="235"/>
    </row>
    <row r="3" spans="1:19" x14ac:dyDescent="0.2">
      <c r="A3" s="41" t="s">
        <v>11</v>
      </c>
      <c r="B3" s="32">
        <v>1.73</v>
      </c>
      <c r="C3" s="33">
        <v>1.73</v>
      </c>
      <c r="D3" s="33">
        <v>1.73</v>
      </c>
      <c r="E3" s="34">
        <v>1.73</v>
      </c>
      <c r="F3" s="32">
        <v>23.63</v>
      </c>
      <c r="G3" s="33">
        <v>68.459999999999994</v>
      </c>
      <c r="H3" s="33">
        <v>52.66</v>
      </c>
      <c r="I3" s="34">
        <v>36.01</v>
      </c>
      <c r="J3" s="32">
        <v>1.73</v>
      </c>
      <c r="K3" s="33">
        <v>1.73</v>
      </c>
      <c r="L3" s="33">
        <v>1.73</v>
      </c>
      <c r="M3" s="34">
        <v>1.73</v>
      </c>
      <c r="O3" s="58" t="s">
        <v>11</v>
      </c>
      <c r="P3" s="259" t="s">
        <v>1140</v>
      </c>
      <c r="Q3" s="21">
        <v>1.1000000000000001E-3</v>
      </c>
      <c r="R3" s="261" t="s">
        <v>1133</v>
      </c>
    </row>
    <row r="4" spans="1:19" x14ac:dyDescent="0.2">
      <c r="A4" s="58" t="s">
        <v>12</v>
      </c>
      <c r="B4" s="4">
        <v>1.6</v>
      </c>
      <c r="C4" s="5">
        <v>1.6</v>
      </c>
      <c r="D4" s="5">
        <v>1.6</v>
      </c>
      <c r="E4" s="6">
        <v>1.6</v>
      </c>
      <c r="F4" s="4">
        <v>1.6</v>
      </c>
      <c r="G4" s="5">
        <v>55.8</v>
      </c>
      <c r="H4" s="5">
        <v>38.770000000000003</v>
      </c>
      <c r="I4" s="6">
        <v>25.76</v>
      </c>
      <c r="J4" s="4">
        <v>1.6</v>
      </c>
      <c r="K4" s="5">
        <v>1.6</v>
      </c>
      <c r="L4" s="5">
        <v>1.6</v>
      </c>
      <c r="M4" s="6">
        <v>1.6</v>
      </c>
      <c r="O4" s="20"/>
      <c r="P4" s="259" t="s">
        <v>8</v>
      </c>
      <c r="Q4" s="260"/>
      <c r="R4" s="10">
        <v>1.1000000000000001E-3</v>
      </c>
    </row>
    <row r="5" spans="1:19" x14ac:dyDescent="0.2">
      <c r="A5" s="58" t="s">
        <v>66</v>
      </c>
      <c r="B5" s="4">
        <v>6.05</v>
      </c>
      <c r="C5" s="5">
        <v>40.229999999999997</v>
      </c>
      <c r="D5" s="5">
        <v>6.3</v>
      </c>
      <c r="E5" s="6">
        <v>5.15</v>
      </c>
      <c r="F5" s="4">
        <v>237.16</v>
      </c>
      <c r="G5" s="5">
        <v>486.81</v>
      </c>
      <c r="H5" s="5">
        <v>833.59</v>
      </c>
      <c r="I5" s="6">
        <v>999.65</v>
      </c>
      <c r="J5" s="4">
        <v>21.58</v>
      </c>
      <c r="K5" s="5">
        <v>19.59</v>
      </c>
      <c r="L5" s="5">
        <v>3.07</v>
      </c>
      <c r="M5" s="6">
        <v>12.66</v>
      </c>
      <c r="O5" s="58" t="s">
        <v>12</v>
      </c>
      <c r="P5" s="259" t="s">
        <v>1140</v>
      </c>
      <c r="Q5" s="21">
        <v>3.1099999999999999E-2</v>
      </c>
      <c r="R5" s="261" t="s">
        <v>1133</v>
      </c>
    </row>
    <row r="6" spans="1:19" x14ac:dyDescent="0.2">
      <c r="A6" s="58" t="s">
        <v>13</v>
      </c>
      <c r="B6" s="4">
        <v>18.5</v>
      </c>
      <c r="C6" s="5">
        <v>42.76</v>
      </c>
      <c r="D6" s="5">
        <v>32.979999999999997</v>
      </c>
      <c r="E6" s="6">
        <v>26.45</v>
      </c>
      <c r="F6" s="4">
        <v>46.13</v>
      </c>
      <c r="G6" s="5">
        <v>73.53</v>
      </c>
      <c r="H6" s="5">
        <v>48.95</v>
      </c>
      <c r="I6" s="6">
        <v>44.98</v>
      </c>
      <c r="J6" s="4">
        <v>25.46</v>
      </c>
      <c r="K6" s="5">
        <v>25.99</v>
      </c>
      <c r="L6" s="5">
        <v>20.09</v>
      </c>
      <c r="M6" s="6">
        <v>36.75</v>
      </c>
      <c r="O6" s="20"/>
      <c r="P6" s="259" t="s">
        <v>8</v>
      </c>
      <c r="Q6" s="260"/>
      <c r="R6" s="10">
        <v>3.1099999999999999E-2</v>
      </c>
    </row>
    <row r="7" spans="1:19" x14ac:dyDescent="0.2">
      <c r="A7" s="58" t="s">
        <v>14</v>
      </c>
      <c r="B7" s="4">
        <v>0.75</v>
      </c>
      <c r="C7" s="5">
        <v>6.14</v>
      </c>
      <c r="D7" s="5">
        <v>1.07</v>
      </c>
      <c r="E7" s="6">
        <v>1.76</v>
      </c>
      <c r="F7" s="4">
        <v>2.88</v>
      </c>
      <c r="G7" s="5">
        <v>6.53</v>
      </c>
      <c r="H7" s="5">
        <v>7.7</v>
      </c>
      <c r="I7" s="6">
        <v>6.53</v>
      </c>
      <c r="J7" s="4">
        <v>1.93</v>
      </c>
      <c r="K7" s="5">
        <v>0.81</v>
      </c>
      <c r="L7" s="5">
        <v>0.86</v>
      </c>
      <c r="M7" s="6">
        <v>1.22</v>
      </c>
      <c r="O7" s="58" t="s">
        <v>66</v>
      </c>
      <c r="P7" s="259" t="s">
        <v>1140</v>
      </c>
      <c r="Q7" s="21">
        <v>4.0000000000000001E-3</v>
      </c>
      <c r="R7" s="10">
        <v>4.0000000000000001E-3</v>
      </c>
    </row>
    <row r="8" spans="1:19" x14ac:dyDescent="0.2">
      <c r="A8" s="58" t="s">
        <v>15</v>
      </c>
      <c r="B8" s="4">
        <v>9.14</v>
      </c>
      <c r="C8" s="5">
        <v>36.24</v>
      </c>
      <c r="D8" s="5">
        <v>97.68</v>
      </c>
      <c r="E8" s="6">
        <v>117.74</v>
      </c>
      <c r="F8" s="4">
        <v>72.75</v>
      </c>
      <c r="G8" s="5">
        <v>80.72</v>
      </c>
      <c r="H8" s="5">
        <v>202.78</v>
      </c>
      <c r="I8" s="6">
        <v>171.28</v>
      </c>
      <c r="J8" s="4">
        <v>17.850000000000001</v>
      </c>
      <c r="K8" s="5">
        <v>16.38</v>
      </c>
      <c r="L8" s="5">
        <v>79.040000000000006</v>
      </c>
      <c r="M8" s="6">
        <v>121.61</v>
      </c>
      <c r="O8" s="20"/>
      <c r="P8" s="259" t="s">
        <v>8</v>
      </c>
      <c r="Q8" s="260"/>
      <c r="R8" s="261" t="s">
        <v>1133</v>
      </c>
    </row>
    <row r="9" spans="1:19" x14ac:dyDescent="0.2">
      <c r="A9" s="42" t="s">
        <v>10</v>
      </c>
      <c r="B9" s="7">
        <v>52.53</v>
      </c>
      <c r="C9" s="8">
        <v>234.6</v>
      </c>
      <c r="D9" s="8">
        <v>41.69</v>
      </c>
      <c r="E9" s="9">
        <v>25.96</v>
      </c>
      <c r="F9" s="7">
        <v>30.58</v>
      </c>
      <c r="G9" s="8">
        <v>134.19</v>
      </c>
      <c r="H9" s="8">
        <v>92.87</v>
      </c>
      <c r="I9" s="9">
        <v>71.92</v>
      </c>
      <c r="J9" s="7">
        <v>21.61</v>
      </c>
      <c r="K9" s="8">
        <v>69.12</v>
      </c>
      <c r="L9" s="8">
        <v>14.25</v>
      </c>
      <c r="M9" s="9">
        <v>27.6</v>
      </c>
      <c r="O9" s="58" t="s">
        <v>13</v>
      </c>
      <c r="P9" s="259" t="s">
        <v>1140</v>
      </c>
      <c r="Q9" s="21">
        <v>3.1E-2</v>
      </c>
      <c r="R9" s="10">
        <v>0.91090000000000004</v>
      </c>
    </row>
    <row r="10" spans="1:19" x14ac:dyDescent="0.2">
      <c r="O10" s="20"/>
      <c r="P10" s="259" t="s">
        <v>8</v>
      </c>
      <c r="Q10" s="260"/>
      <c r="R10" s="10">
        <v>1.6400000000000001E-2</v>
      </c>
    </row>
    <row r="11" spans="1:19" x14ac:dyDescent="0.2">
      <c r="A11" s="59" t="s">
        <v>1255</v>
      </c>
      <c r="O11" s="28"/>
      <c r="P11" s="26"/>
      <c r="Q11" s="26"/>
      <c r="R11" s="11"/>
    </row>
    <row r="12" spans="1:19" x14ac:dyDescent="0.2">
      <c r="A12" s="2"/>
      <c r="B12" s="304" t="s">
        <v>7</v>
      </c>
      <c r="C12" s="306"/>
      <c r="D12" s="306"/>
      <c r="E12" s="305"/>
      <c r="F12" s="304" t="s">
        <v>8</v>
      </c>
      <c r="G12" s="306"/>
      <c r="H12" s="306"/>
      <c r="I12" s="305"/>
      <c r="J12" s="304" t="s">
        <v>65</v>
      </c>
      <c r="K12" s="306"/>
      <c r="L12" s="306"/>
      <c r="M12" s="305"/>
    </row>
    <row r="13" spans="1:19" x14ac:dyDescent="0.2">
      <c r="A13" s="41" t="s">
        <v>11</v>
      </c>
      <c r="B13" s="32">
        <v>1.73</v>
      </c>
      <c r="C13" s="33">
        <v>1.73</v>
      </c>
      <c r="D13" s="33">
        <v>1.73</v>
      </c>
      <c r="E13" s="34">
        <v>1.73</v>
      </c>
      <c r="F13" s="32">
        <v>1.73</v>
      </c>
      <c r="G13" s="33">
        <v>1.73</v>
      </c>
      <c r="H13" s="33">
        <v>1.73</v>
      </c>
      <c r="I13" s="33">
        <v>1.73</v>
      </c>
      <c r="J13" s="32">
        <v>1.73</v>
      </c>
      <c r="K13" s="33">
        <v>1.73</v>
      </c>
      <c r="L13" s="33">
        <v>1.73</v>
      </c>
      <c r="M13" s="34">
        <v>1.73</v>
      </c>
    </row>
    <row r="14" spans="1:19" x14ac:dyDescent="0.2">
      <c r="A14" s="58" t="s">
        <v>12</v>
      </c>
      <c r="B14" s="4">
        <v>1.6</v>
      </c>
      <c r="C14" s="5">
        <v>1.6</v>
      </c>
      <c r="D14" s="5">
        <v>1.6</v>
      </c>
      <c r="E14" s="6">
        <v>1.6</v>
      </c>
      <c r="F14" s="4">
        <v>1.6</v>
      </c>
      <c r="G14" s="5">
        <v>1.6</v>
      </c>
      <c r="H14" s="5">
        <v>1.6</v>
      </c>
      <c r="I14" s="5">
        <v>1.6</v>
      </c>
      <c r="J14" s="4">
        <v>1.6</v>
      </c>
      <c r="K14" s="5">
        <v>1.6</v>
      </c>
      <c r="L14" s="5">
        <v>1.6</v>
      </c>
      <c r="M14" s="6">
        <v>1.6</v>
      </c>
    </row>
    <row r="15" spans="1:19" x14ac:dyDescent="0.2">
      <c r="A15" s="58" t="s">
        <v>66</v>
      </c>
      <c r="B15" s="4">
        <v>3.69</v>
      </c>
      <c r="C15" s="5">
        <v>6.46</v>
      </c>
      <c r="D15" s="5">
        <v>3.41</v>
      </c>
      <c r="E15" s="6">
        <v>2.02</v>
      </c>
      <c r="F15" s="4">
        <v>34.19</v>
      </c>
      <c r="G15" s="5">
        <v>2.02</v>
      </c>
      <c r="H15" s="5">
        <v>2.02</v>
      </c>
      <c r="I15" s="5">
        <v>2.02</v>
      </c>
      <c r="J15" s="4">
        <v>15.84</v>
      </c>
      <c r="K15" s="5">
        <v>2.02</v>
      </c>
      <c r="L15" s="5">
        <v>2.02</v>
      </c>
      <c r="M15" s="6">
        <v>2.02</v>
      </c>
    </row>
    <row r="16" spans="1:19" x14ac:dyDescent="0.2">
      <c r="A16" s="58" t="s">
        <v>13</v>
      </c>
      <c r="B16" s="4">
        <v>43.9</v>
      </c>
      <c r="C16" s="5">
        <v>39.53</v>
      </c>
      <c r="D16" s="5">
        <v>38.29</v>
      </c>
      <c r="E16" s="6">
        <v>39</v>
      </c>
      <c r="F16" s="4">
        <v>40.99</v>
      </c>
      <c r="G16" s="5">
        <v>34.64</v>
      </c>
      <c r="H16" s="5">
        <v>36.03</v>
      </c>
      <c r="I16" s="5">
        <v>37.32</v>
      </c>
      <c r="J16" s="4">
        <v>42.56</v>
      </c>
      <c r="K16" s="5">
        <v>25.56</v>
      </c>
      <c r="L16" s="5">
        <v>33.44</v>
      </c>
      <c r="M16" s="6">
        <v>34.06</v>
      </c>
    </row>
    <row r="17" spans="1:13" x14ac:dyDescent="0.2">
      <c r="A17" s="58" t="s">
        <v>14</v>
      </c>
      <c r="B17" s="4">
        <v>7.83</v>
      </c>
      <c r="C17" s="5">
        <v>6.01</v>
      </c>
      <c r="D17" s="5">
        <v>6.44</v>
      </c>
      <c r="E17" s="6">
        <v>3.73</v>
      </c>
      <c r="F17" s="4">
        <v>4.7300000000000004</v>
      </c>
      <c r="G17" s="5">
        <v>5.54</v>
      </c>
      <c r="H17" s="5">
        <v>6.44</v>
      </c>
      <c r="I17" s="5">
        <v>8.82</v>
      </c>
      <c r="J17" s="4">
        <v>6.44</v>
      </c>
      <c r="K17" s="5">
        <v>4.26</v>
      </c>
      <c r="L17" s="5">
        <v>6.4</v>
      </c>
      <c r="M17" s="6">
        <v>4.8499999999999996</v>
      </c>
    </row>
    <row r="18" spans="1:13" x14ac:dyDescent="0.2">
      <c r="A18" s="58" t="s">
        <v>15</v>
      </c>
      <c r="B18" s="4">
        <v>55.79</v>
      </c>
      <c r="C18" s="5">
        <v>54.53</v>
      </c>
      <c r="D18" s="5">
        <v>63.08</v>
      </c>
      <c r="E18" s="6">
        <v>40.479999999999997</v>
      </c>
      <c r="F18" s="4">
        <v>63.01</v>
      </c>
      <c r="G18" s="5">
        <v>50.21</v>
      </c>
      <c r="H18" s="5">
        <v>47.35</v>
      </c>
      <c r="I18" s="5">
        <v>48.81</v>
      </c>
      <c r="J18" s="4">
        <v>54.88</v>
      </c>
      <c r="K18" s="5">
        <v>64.53</v>
      </c>
      <c r="L18" s="5">
        <v>49.26</v>
      </c>
      <c r="M18" s="6">
        <v>34.44</v>
      </c>
    </row>
    <row r="19" spans="1:13" x14ac:dyDescent="0.2">
      <c r="A19" s="42" t="s">
        <v>10</v>
      </c>
      <c r="B19" s="7">
        <v>35.04</v>
      </c>
      <c r="C19" s="8">
        <v>16.36</v>
      </c>
      <c r="D19" s="8">
        <v>8.93</v>
      </c>
      <c r="E19" s="9">
        <v>7.97</v>
      </c>
      <c r="F19" s="7">
        <v>22.02</v>
      </c>
      <c r="G19" s="8">
        <v>1.6</v>
      </c>
      <c r="H19" s="8">
        <v>1.6</v>
      </c>
      <c r="I19" s="8">
        <v>15.43</v>
      </c>
      <c r="J19" s="7">
        <v>15.3</v>
      </c>
      <c r="K19" s="8">
        <v>1.6</v>
      </c>
      <c r="L19" s="8">
        <v>4.74</v>
      </c>
      <c r="M19" s="9">
        <v>5.16</v>
      </c>
    </row>
    <row r="21" spans="1:13" x14ac:dyDescent="0.2">
      <c r="A21" s="59" t="s">
        <v>1231</v>
      </c>
    </row>
    <row r="26" spans="1:13" x14ac:dyDescent="0.2">
      <c r="E26" t="s">
        <v>510</v>
      </c>
    </row>
    <row r="36" spans="5:5" x14ac:dyDescent="0.2">
      <c r="E36" t="s">
        <v>511</v>
      </c>
    </row>
    <row r="48" spans="5:5" x14ac:dyDescent="0.2">
      <c r="E48" t="s">
        <v>508</v>
      </c>
    </row>
    <row r="58" spans="5:5" x14ac:dyDescent="0.2">
      <c r="E58" t="s">
        <v>512</v>
      </c>
    </row>
    <row r="69" spans="5:5" x14ac:dyDescent="0.2">
      <c r="E69" t="s">
        <v>513</v>
      </c>
    </row>
  </sheetData>
  <mergeCells count="6">
    <mergeCell ref="B2:E2"/>
    <mergeCell ref="F2:I2"/>
    <mergeCell ref="J2:M2"/>
    <mergeCell ref="B12:E12"/>
    <mergeCell ref="F12:I12"/>
    <mergeCell ref="J12:M1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9B3A55-CFEE-E446-8C24-66ACE6BDD770}">
  <sheetPr codeName="Sheet14"/>
  <dimension ref="A1:U68"/>
  <sheetViews>
    <sheetView zoomScale="65" zoomScaleNormal="65" workbookViewId="0">
      <selection activeCell="M7" sqref="M7"/>
    </sheetView>
  </sheetViews>
  <sheetFormatPr baseColWidth="10" defaultRowHeight="16" x14ac:dyDescent="0.2"/>
  <sheetData>
    <row r="1" spans="1:18" x14ac:dyDescent="0.2">
      <c r="A1" t="s">
        <v>1232</v>
      </c>
    </row>
    <row r="2" spans="1:18" x14ac:dyDescent="0.2">
      <c r="A2" t="s">
        <v>90</v>
      </c>
    </row>
    <row r="3" spans="1:18" x14ac:dyDescent="0.2">
      <c r="A3" s="2" t="s">
        <v>89</v>
      </c>
      <c r="B3" s="304" t="s">
        <v>7</v>
      </c>
      <c r="C3" s="306"/>
      <c r="D3" s="306"/>
      <c r="E3" s="306"/>
      <c r="F3" s="306"/>
      <c r="G3" s="306"/>
      <c r="H3" s="306"/>
      <c r="I3" s="306"/>
      <c r="J3" s="306"/>
      <c r="K3" s="304" t="s">
        <v>8</v>
      </c>
      <c r="L3" s="306"/>
      <c r="M3" s="306"/>
      <c r="N3" s="306"/>
      <c r="O3" s="306"/>
      <c r="P3" s="306"/>
      <c r="Q3" s="306"/>
      <c r="R3" s="305"/>
    </row>
    <row r="4" spans="1:18" x14ac:dyDescent="0.2">
      <c r="A4" s="1">
        <v>0</v>
      </c>
      <c r="B4" s="4">
        <v>22.517530000000001</v>
      </c>
      <c r="C4" s="5">
        <v>8.910876</v>
      </c>
      <c r="D4" s="5">
        <v>9.1525499999999997</v>
      </c>
      <c r="E4" s="5">
        <v>29.782959999999999</v>
      </c>
      <c r="F4" s="5">
        <v>10.73875</v>
      </c>
      <c r="G4" s="5">
        <v>23.93412</v>
      </c>
      <c r="H4" s="5"/>
      <c r="I4" s="5"/>
      <c r="J4" s="5"/>
      <c r="K4" s="4">
        <v>8.3277289999999997</v>
      </c>
      <c r="L4" s="5">
        <v>33.20579</v>
      </c>
      <c r="M4" s="5">
        <v>12.2775</v>
      </c>
      <c r="N4" s="5">
        <v>14.43826</v>
      </c>
      <c r="O4" s="5">
        <v>11.191179999999999</v>
      </c>
      <c r="P4" s="5">
        <v>11.733040000000001</v>
      </c>
      <c r="Q4" s="5">
        <v>13.718059999999999</v>
      </c>
      <c r="R4" s="6">
        <v>8.7531630000000007</v>
      </c>
    </row>
    <row r="5" spans="1:18" x14ac:dyDescent="0.2">
      <c r="A5" s="1">
        <v>3</v>
      </c>
      <c r="B5" s="4">
        <v>45.706609999999998</v>
      </c>
      <c r="C5" s="5">
        <v>21.053940000000001</v>
      </c>
      <c r="D5" s="5">
        <v>23.28171</v>
      </c>
      <c r="E5" s="5">
        <v>99.421120000000002</v>
      </c>
      <c r="F5" s="5">
        <v>19.30068</v>
      </c>
      <c r="G5" s="5">
        <v>79.943820000000002</v>
      </c>
      <c r="H5" s="5"/>
      <c r="I5" s="5"/>
      <c r="J5" s="5"/>
      <c r="K5" s="4">
        <v>10.410399999999999</v>
      </c>
      <c r="L5" s="5">
        <v>51.108339999999998</v>
      </c>
      <c r="M5" s="5">
        <v>95.64188</v>
      </c>
      <c r="N5" s="5">
        <v>44.744770000000003</v>
      </c>
      <c r="O5" s="5">
        <v>6.2970879999999996</v>
      </c>
      <c r="P5" s="5">
        <v>33.471380000000003</v>
      </c>
      <c r="Q5" s="5">
        <v>87.138279999999995</v>
      </c>
      <c r="R5" s="6">
        <v>14.632059999999999</v>
      </c>
    </row>
    <row r="6" spans="1:18" x14ac:dyDescent="0.2">
      <c r="A6" s="1">
        <v>6</v>
      </c>
      <c r="B6" s="4">
        <v>114.6514</v>
      </c>
      <c r="C6" s="5">
        <v>48.590769999999999</v>
      </c>
      <c r="D6" s="5">
        <v>88.594329999999999</v>
      </c>
      <c r="E6" s="5">
        <v>300.09379999999999</v>
      </c>
      <c r="F6" s="5">
        <v>44.133009999999999</v>
      </c>
      <c r="G6" s="5">
        <v>270.17340000000002</v>
      </c>
      <c r="H6" s="5"/>
      <c r="I6" s="5"/>
      <c r="J6" s="5"/>
      <c r="K6" s="4">
        <v>41.720849999999999</v>
      </c>
      <c r="L6" s="5">
        <v>75.781819999999996</v>
      </c>
      <c r="M6" s="5">
        <v>261.5831</v>
      </c>
      <c r="N6" s="5">
        <v>168.47649999999999</v>
      </c>
      <c r="O6" s="5">
        <v>17.322990000000001</v>
      </c>
      <c r="P6" s="5">
        <v>68.489630000000005</v>
      </c>
      <c r="Q6" s="5">
        <v>177.72370000000001</v>
      </c>
      <c r="R6" s="6">
        <v>81.16086</v>
      </c>
    </row>
    <row r="7" spans="1:18" x14ac:dyDescent="0.2">
      <c r="A7" s="1">
        <v>9</v>
      </c>
      <c r="B7" s="4">
        <v>272.96609999999998</v>
      </c>
      <c r="C7" s="5">
        <v>122.786</v>
      </c>
      <c r="D7" s="5">
        <v>175.2962</v>
      </c>
      <c r="E7" s="5">
        <v>967.44860000000006</v>
      </c>
      <c r="F7" s="5">
        <v>172.5838</v>
      </c>
      <c r="G7" s="5">
        <v>446.77409999999998</v>
      </c>
      <c r="H7" s="5"/>
      <c r="I7" s="5"/>
      <c r="J7" s="5"/>
      <c r="K7" s="4">
        <v>100.9075</v>
      </c>
      <c r="L7" s="5">
        <v>240.09630000000001</v>
      </c>
      <c r="M7" s="5">
        <v>889.34119999999996</v>
      </c>
      <c r="N7" s="5">
        <v>711.45680000000004</v>
      </c>
      <c r="O7" s="5">
        <v>57.772449999999999</v>
      </c>
      <c r="P7" s="5">
        <v>209.2741</v>
      </c>
      <c r="Q7" s="5">
        <v>575.35360000000003</v>
      </c>
      <c r="R7" s="6">
        <v>199.23759999999999</v>
      </c>
    </row>
    <row r="8" spans="1:18" x14ac:dyDescent="0.2">
      <c r="A8" s="1">
        <v>12</v>
      </c>
      <c r="B8" s="4">
        <v>554.63099999999997</v>
      </c>
      <c r="C8" s="5">
        <v>163.1242</v>
      </c>
      <c r="D8" s="5">
        <v>421.62479999999999</v>
      </c>
      <c r="E8" s="5">
        <v>1000</v>
      </c>
      <c r="F8" s="5">
        <v>349.28399999999999</v>
      </c>
      <c r="G8" s="5">
        <v>878.80319999999995</v>
      </c>
      <c r="H8" s="5"/>
      <c r="I8" s="5"/>
      <c r="J8" s="5"/>
      <c r="K8" s="4">
        <v>219.1746</v>
      </c>
      <c r="L8" s="5">
        <v>396.05</v>
      </c>
      <c r="M8" s="5">
        <v>1000</v>
      </c>
      <c r="N8" s="5">
        <v>1000</v>
      </c>
      <c r="O8" s="5">
        <v>153.93360000000001</v>
      </c>
      <c r="P8" s="5">
        <v>328.05189999999999</v>
      </c>
      <c r="Q8" s="5">
        <v>767.81690000000003</v>
      </c>
      <c r="R8" s="6">
        <v>533.76099999999997</v>
      </c>
    </row>
    <row r="9" spans="1:18" x14ac:dyDescent="0.2">
      <c r="A9" s="1">
        <v>15</v>
      </c>
      <c r="B9" s="4">
        <v>1000</v>
      </c>
      <c r="C9" s="5">
        <v>510.73399999999998</v>
      </c>
      <c r="D9" s="5">
        <v>952.39769999999999</v>
      </c>
      <c r="E9" s="5">
        <v>1000</v>
      </c>
      <c r="F9" s="5">
        <v>668.25049999999999</v>
      </c>
      <c r="G9" s="5" t="s">
        <v>93</v>
      </c>
      <c r="H9" s="5"/>
      <c r="I9" s="5"/>
      <c r="J9" s="5"/>
      <c r="K9" s="4">
        <v>459.7466</v>
      </c>
      <c r="L9" s="5">
        <v>1000</v>
      </c>
      <c r="M9" s="5">
        <v>1000</v>
      </c>
      <c r="N9" s="5">
        <v>1000</v>
      </c>
      <c r="O9" s="5">
        <v>395.04719999999998</v>
      </c>
      <c r="P9" s="5">
        <v>1000</v>
      </c>
      <c r="Q9" s="5">
        <v>1000</v>
      </c>
      <c r="R9" s="6">
        <v>1000</v>
      </c>
    </row>
    <row r="10" spans="1:18" x14ac:dyDescent="0.2">
      <c r="A10" s="1">
        <v>18</v>
      </c>
      <c r="B10" s="7">
        <v>1000</v>
      </c>
      <c r="C10" s="8">
        <v>690.61369999999999</v>
      </c>
      <c r="D10" s="8">
        <v>1000</v>
      </c>
      <c r="E10" s="8">
        <v>1000</v>
      </c>
      <c r="F10" s="8">
        <v>1000</v>
      </c>
      <c r="G10" s="8"/>
      <c r="H10" s="8"/>
      <c r="I10" s="8"/>
      <c r="J10" s="8"/>
      <c r="K10" s="7">
        <v>1000</v>
      </c>
      <c r="L10" s="8">
        <v>1000</v>
      </c>
      <c r="M10" s="8">
        <v>1000</v>
      </c>
      <c r="N10" s="8">
        <v>1000</v>
      </c>
      <c r="O10" s="8">
        <v>369.18220000000002</v>
      </c>
      <c r="P10" s="8">
        <v>1000</v>
      </c>
      <c r="Q10" s="8">
        <v>1000</v>
      </c>
      <c r="R10" s="9">
        <v>1000</v>
      </c>
    </row>
    <row r="11" spans="1:18" x14ac:dyDescent="0.2">
      <c r="A11" t="s">
        <v>91</v>
      </c>
    </row>
    <row r="12" spans="1:18" x14ac:dyDescent="0.2">
      <c r="A12" s="2" t="s">
        <v>89</v>
      </c>
      <c r="B12" s="304" t="s">
        <v>7</v>
      </c>
      <c r="C12" s="306"/>
      <c r="D12" s="306"/>
      <c r="E12" s="306"/>
      <c r="F12" s="306"/>
      <c r="G12" s="306"/>
      <c r="H12" s="306"/>
      <c r="I12" s="306"/>
      <c r="J12" s="306"/>
      <c r="K12" s="304" t="s">
        <v>8</v>
      </c>
      <c r="L12" s="306"/>
      <c r="M12" s="306"/>
      <c r="N12" s="306"/>
      <c r="O12" s="306"/>
      <c r="P12" s="306"/>
      <c r="Q12" s="306"/>
      <c r="R12" s="305"/>
    </row>
    <row r="13" spans="1:18" x14ac:dyDescent="0.2">
      <c r="A13" s="1">
        <v>0</v>
      </c>
      <c r="B13" s="4">
        <v>21.848400000000002</v>
      </c>
      <c r="C13" s="5">
        <v>8.8434000000000008</v>
      </c>
      <c r="D13" s="5">
        <v>11.906879999999999</v>
      </c>
      <c r="E13" s="5">
        <v>5.26</v>
      </c>
      <c r="F13" s="5">
        <v>12.347619999999999</v>
      </c>
      <c r="G13" s="5">
        <v>13.07104</v>
      </c>
      <c r="H13" s="5"/>
      <c r="I13" s="5"/>
      <c r="J13" s="5"/>
      <c r="K13" s="4">
        <v>14.697950000000001</v>
      </c>
      <c r="L13" s="5">
        <v>19.171949999999999</v>
      </c>
      <c r="M13" s="5">
        <v>9.9412179999999992</v>
      </c>
      <c r="N13" s="5">
        <v>13.61392</v>
      </c>
      <c r="O13" s="5">
        <v>5.9332140000000004</v>
      </c>
      <c r="P13" s="5">
        <v>6.6791999999999998</v>
      </c>
      <c r="Q13" s="5">
        <v>8.15625</v>
      </c>
      <c r="R13" s="6">
        <v>11.73701</v>
      </c>
    </row>
    <row r="14" spans="1:18" x14ac:dyDescent="0.2">
      <c r="A14" s="1">
        <v>3</v>
      </c>
      <c r="B14" s="4">
        <v>17.683399999999999</v>
      </c>
      <c r="C14" s="5">
        <v>13.36336</v>
      </c>
      <c r="D14" s="5">
        <v>29.877849999999999</v>
      </c>
      <c r="E14" s="5">
        <v>20.049659999999999</v>
      </c>
      <c r="F14" s="5">
        <v>20.654979999999998</v>
      </c>
      <c r="G14" s="5">
        <v>46.524099999999997</v>
      </c>
      <c r="H14" s="5"/>
      <c r="I14" s="5"/>
      <c r="J14" s="5"/>
      <c r="K14" s="4">
        <v>22.24353</v>
      </c>
      <c r="L14" s="5">
        <v>31.184280000000001</v>
      </c>
      <c r="M14" s="5">
        <v>27.992450000000002</v>
      </c>
      <c r="N14" s="5">
        <v>21.55489</v>
      </c>
      <c r="O14" s="5">
        <v>14.06934</v>
      </c>
      <c r="P14" s="5">
        <v>4</v>
      </c>
      <c r="Q14" s="5">
        <v>5.631907</v>
      </c>
      <c r="R14" s="6">
        <v>5.3127319999999996</v>
      </c>
    </row>
    <row r="15" spans="1:18" x14ac:dyDescent="0.2">
      <c r="A15" s="1">
        <v>6</v>
      </c>
      <c r="B15" s="4">
        <v>30.39659</v>
      </c>
      <c r="C15" s="5">
        <v>33.044409999999999</v>
      </c>
      <c r="D15" s="5">
        <v>190.59139999999999</v>
      </c>
      <c r="E15" s="5">
        <v>36.521360000000001</v>
      </c>
      <c r="F15" s="5">
        <v>59.922499999999999</v>
      </c>
      <c r="G15" s="5">
        <v>146.65459999999999</v>
      </c>
      <c r="H15" s="5"/>
      <c r="I15" s="5"/>
      <c r="J15" s="5"/>
      <c r="K15" s="4">
        <v>78.088030000000003</v>
      </c>
      <c r="L15" s="5">
        <v>53.904040000000002</v>
      </c>
      <c r="M15" s="5">
        <v>60.625250000000001</v>
      </c>
      <c r="N15" s="5">
        <v>35.955599999999997</v>
      </c>
      <c r="O15" s="5">
        <v>24.162610000000001</v>
      </c>
      <c r="P15" s="5">
        <v>4</v>
      </c>
      <c r="Q15" s="5">
        <v>14.5877</v>
      </c>
      <c r="R15" s="6">
        <v>39.241799999999998</v>
      </c>
    </row>
    <row r="16" spans="1:18" x14ac:dyDescent="0.2">
      <c r="A16" s="1">
        <v>9</v>
      </c>
      <c r="B16" s="4">
        <v>90.17568</v>
      </c>
      <c r="C16" s="5">
        <v>66.803899999999999</v>
      </c>
      <c r="D16" s="5">
        <v>335.86380000000003</v>
      </c>
      <c r="E16" s="5">
        <v>117.09180000000001</v>
      </c>
      <c r="F16" s="5">
        <v>131.09039999999999</v>
      </c>
      <c r="G16" s="5">
        <v>339.28989999999999</v>
      </c>
      <c r="H16" s="5"/>
      <c r="I16" s="5"/>
      <c r="J16" s="5"/>
      <c r="K16" s="4">
        <v>175.79130000000001</v>
      </c>
      <c r="L16" s="5">
        <v>136.0026</v>
      </c>
      <c r="M16" s="5">
        <v>123.7196</v>
      </c>
      <c r="N16" s="5">
        <v>126.41379999999999</v>
      </c>
      <c r="O16" s="5">
        <v>104.59050000000001</v>
      </c>
      <c r="P16" s="5">
        <v>4</v>
      </c>
      <c r="Q16" s="5">
        <v>49.777009999999997</v>
      </c>
      <c r="R16" s="6">
        <v>50.253920000000001</v>
      </c>
    </row>
    <row r="17" spans="1:18" x14ac:dyDescent="0.2">
      <c r="A17" s="1">
        <v>12</v>
      </c>
      <c r="B17" s="4">
        <v>103.27979999999999</v>
      </c>
      <c r="C17" s="5">
        <v>61.575600000000001</v>
      </c>
      <c r="D17" s="5">
        <v>427.33800000000002</v>
      </c>
      <c r="E17" s="5">
        <v>176.92779999999999</v>
      </c>
      <c r="F17" s="5">
        <v>385.79289999999997</v>
      </c>
      <c r="G17" s="5">
        <v>1000</v>
      </c>
      <c r="H17" s="5"/>
      <c r="I17" s="5"/>
      <c r="J17" s="5"/>
      <c r="K17" s="4">
        <v>317.9237</v>
      </c>
      <c r="L17" s="5">
        <v>507.52350000000001</v>
      </c>
      <c r="M17" s="5">
        <v>171.22460000000001</v>
      </c>
      <c r="N17" s="5">
        <v>368.80720000000002</v>
      </c>
      <c r="O17" s="5">
        <v>292.89260000000002</v>
      </c>
      <c r="P17" s="5">
        <v>4</v>
      </c>
      <c r="Q17" s="5">
        <v>128.29140000000001</v>
      </c>
      <c r="R17" s="6">
        <v>181.09039999999999</v>
      </c>
    </row>
    <row r="18" spans="1:18" x14ac:dyDescent="0.2">
      <c r="A18" s="1">
        <v>15</v>
      </c>
      <c r="B18" s="4">
        <v>284.01659999999998</v>
      </c>
      <c r="C18" s="5">
        <v>221.4442</v>
      </c>
      <c r="D18" s="5">
        <v>1000</v>
      </c>
      <c r="E18" s="5">
        <v>745.17660000000001</v>
      </c>
      <c r="F18" s="5">
        <v>1000</v>
      </c>
      <c r="G18" s="5">
        <v>1000</v>
      </c>
      <c r="H18" s="5"/>
      <c r="I18" s="5"/>
      <c r="J18" s="5"/>
      <c r="K18" s="4">
        <v>560.2088</v>
      </c>
      <c r="L18" s="5">
        <v>415.56259999999997</v>
      </c>
      <c r="M18" s="5">
        <v>357.87479999999999</v>
      </c>
      <c r="N18" s="5">
        <v>1000</v>
      </c>
      <c r="O18" s="5">
        <v>1000</v>
      </c>
      <c r="P18" s="5">
        <v>0</v>
      </c>
      <c r="Q18" s="5">
        <v>474.66849999999999</v>
      </c>
      <c r="R18" s="6" t="s">
        <v>93</v>
      </c>
    </row>
    <row r="19" spans="1:18" x14ac:dyDescent="0.2">
      <c r="A19" s="1">
        <v>18</v>
      </c>
      <c r="B19" s="4">
        <v>573.38520000000005</v>
      </c>
      <c r="C19" s="5">
        <v>414.17599999999999</v>
      </c>
      <c r="D19" s="5">
        <v>1000</v>
      </c>
      <c r="E19" s="5">
        <v>535.02149999999995</v>
      </c>
      <c r="F19" s="5">
        <v>1000</v>
      </c>
      <c r="G19" s="5">
        <v>1000</v>
      </c>
      <c r="H19" s="5"/>
      <c r="I19" s="5"/>
      <c r="J19" s="5"/>
      <c r="K19" s="4">
        <v>1000</v>
      </c>
      <c r="L19" s="5">
        <v>1000</v>
      </c>
      <c r="M19" s="6" t="s">
        <v>93</v>
      </c>
      <c r="N19" s="5">
        <v>1000</v>
      </c>
      <c r="O19" s="5">
        <v>1000</v>
      </c>
      <c r="P19" s="5">
        <v>0</v>
      </c>
      <c r="Q19" s="5">
        <v>1000</v>
      </c>
      <c r="R19" s="6"/>
    </row>
    <row r="20" spans="1:18" x14ac:dyDescent="0.2">
      <c r="A20" s="1">
        <v>21</v>
      </c>
      <c r="B20" s="7">
        <v>950.98199999999997</v>
      </c>
      <c r="C20" s="8">
        <v>747.6961</v>
      </c>
      <c r="D20" s="8">
        <v>1000</v>
      </c>
      <c r="E20" s="8">
        <v>758.55290000000002</v>
      </c>
      <c r="F20" s="8">
        <v>1000</v>
      </c>
      <c r="G20" s="8">
        <v>1000</v>
      </c>
      <c r="H20" s="8"/>
      <c r="I20" s="8"/>
      <c r="J20" s="8"/>
      <c r="K20" s="7">
        <v>1000</v>
      </c>
      <c r="L20" s="8">
        <v>1000</v>
      </c>
      <c r="M20" s="8"/>
      <c r="N20" s="8">
        <v>1000</v>
      </c>
      <c r="O20" s="8">
        <v>1000</v>
      </c>
      <c r="P20" s="8">
        <v>4</v>
      </c>
      <c r="Q20" s="8">
        <v>1000</v>
      </c>
      <c r="R20" s="9"/>
    </row>
    <row r="21" spans="1:18" x14ac:dyDescent="0.2">
      <c r="A21" t="s">
        <v>92</v>
      </c>
    </row>
    <row r="22" spans="1:18" x14ac:dyDescent="0.2">
      <c r="A22" s="2" t="s">
        <v>89</v>
      </c>
      <c r="B22" s="304" t="s">
        <v>7</v>
      </c>
      <c r="C22" s="306"/>
      <c r="D22" s="306"/>
      <c r="E22" s="306"/>
      <c r="F22" s="306"/>
      <c r="G22" s="306"/>
      <c r="H22" s="306"/>
      <c r="I22" s="306"/>
      <c r="J22" s="306"/>
      <c r="K22" s="304" t="s">
        <v>8</v>
      </c>
      <c r="L22" s="306"/>
      <c r="M22" s="306"/>
      <c r="N22" s="306"/>
      <c r="O22" s="306"/>
      <c r="P22" s="306"/>
      <c r="Q22" s="306"/>
      <c r="R22" s="305"/>
    </row>
    <row r="23" spans="1:18" x14ac:dyDescent="0.2">
      <c r="A23" s="1">
        <v>0</v>
      </c>
      <c r="B23" s="4">
        <v>6.6459650000000003</v>
      </c>
      <c r="C23" s="5">
        <v>9.2871039999999994</v>
      </c>
      <c r="D23" s="5">
        <v>12.743650000000001</v>
      </c>
      <c r="E23" s="5">
        <v>9.1252720000000007</v>
      </c>
      <c r="F23" s="5">
        <v>9.6643749999999997</v>
      </c>
      <c r="G23" s="5">
        <v>13.202299999999999</v>
      </c>
      <c r="H23" s="5">
        <v>11.154</v>
      </c>
      <c r="I23" s="5"/>
      <c r="J23" s="5"/>
      <c r="K23" s="4">
        <v>9.0194220000000005</v>
      </c>
      <c r="L23" s="5">
        <v>12.42102</v>
      </c>
      <c r="M23" s="5">
        <v>5.7108480000000004</v>
      </c>
      <c r="N23" s="5">
        <v>14.64794</v>
      </c>
      <c r="O23" s="5">
        <v>11.726459999999999</v>
      </c>
      <c r="P23" s="5">
        <v>13.5</v>
      </c>
      <c r="Q23" s="5"/>
      <c r="R23" s="6"/>
    </row>
    <row r="24" spans="1:18" x14ac:dyDescent="0.2">
      <c r="A24" s="1">
        <v>3</v>
      </c>
      <c r="B24" s="4">
        <v>19.869700000000002</v>
      </c>
      <c r="C24" s="5">
        <v>21.5961</v>
      </c>
      <c r="D24" s="5">
        <v>6.4889380000000001</v>
      </c>
      <c r="E24" s="5">
        <v>5.8761049999999999</v>
      </c>
      <c r="F24" s="5">
        <v>47.649259999999998</v>
      </c>
      <c r="G24" s="5">
        <v>84.668300000000002</v>
      </c>
      <c r="H24" s="5">
        <v>101.6858</v>
      </c>
      <c r="I24" s="5"/>
      <c r="J24" s="5"/>
      <c r="K24" s="4">
        <v>11.337730000000001</v>
      </c>
      <c r="L24" s="5">
        <v>6.5551250000000003</v>
      </c>
      <c r="M24" s="5">
        <v>8.9496400000000005</v>
      </c>
      <c r="N24" s="5">
        <v>18.50759</v>
      </c>
      <c r="O24" s="5">
        <v>9.333888</v>
      </c>
      <c r="P24" s="5">
        <v>23.784490000000002</v>
      </c>
      <c r="Q24" s="5"/>
      <c r="R24" s="6"/>
    </row>
    <row r="25" spans="1:18" x14ac:dyDescent="0.2">
      <c r="A25" s="1">
        <v>6</v>
      </c>
      <c r="B25" s="4">
        <v>60.040289999999999</v>
      </c>
      <c r="C25" s="5">
        <v>139.63669999999999</v>
      </c>
      <c r="D25" s="5">
        <v>44.71613</v>
      </c>
      <c r="E25" s="5">
        <v>7.4770079999999997</v>
      </c>
      <c r="F25" s="5">
        <v>134.48490000000001</v>
      </c>
      <c r="G25" s="5">
        <v>295.04000000000002</v>
      </c>
      <c r="H25" s="5">
        <v>436.45780000000002</v>
      </c>
      <c r="I25" s="5"/>
      <c r="J25" s="5"/>
      <c r="K25" s="4">
        <v>23.11129</v>
      </c>
      <c r="L25" s="5">
        <v>20.04692</v>
      </c>
      <c r="M25" s="5">
        <v>6.7765500000000003</v>
      </c>
      <c r="N25" s="5">
        <v>56.46725</v>
      </c>
      <c r="O25" s="5">
        <v>9.857386</v>
      </c>
      <c r="P25" s="5">
        <v>80.434010000000001</v>
      </c>
      <c r="Q25" s="5"/>
      <c r="R25" s="6"/>
    </row>
    <row r="26" spans="1:18" x14ac:dyDescent="0.2">
      <c r="A26" s="1">
        <v>9</v>
      </c>
      <c r="B26" s="4">
        <v>157.44720000000001</v>
      </c>
      <c r="C26" s="5">
        <v>458.2047</v>
      </c>
      <c r="D26" s="5">
        <v>141.7337</v>
      </c>
      <c r="E26" s="5">
        <v>12.663180000000001</v>
      </c>
      <c r="F26" s="5">
        <v>339.42809999999997</v>
      </c>
      <c r="G26" s="5">
        <v>1000</v>
      </c>
      <c r="H26" s="5">
        <v>411.3159</v>
      </c>
      <c r="I26" s="5"/>
      <c r="J26" s="5"/>
      <c r="K26" s="4">
        <v>10.550380000000001</v>
      </c>
      <c r="L26" s="5">
        <v>34.29345</v>
      </c>
      <c r="M26" s="5">
        <v>7.8932880000000001</v>
      </c>
      <c r="N26" s="5">
        <v>121.6183</v>
      </c>
      <c r="O26" s="5">
        <v>15.79622</v>
      </c>
      <c r="P26" s="5">
        <v>376.58800000000002</v>
      </c>
      <c r="Q26" s="5"/>
      <c r="R26" s="6"/>
    </row>
    <row r="27" spans="1:18" x14ac:dyDescent="0.2">
      <c r="A27" s="1">
        <v>12</v>
      </c>
      <c r="B27" s="4">
        <v>554.32510000000002</v>
      </c>
      <c r="C27" s="5">
        <v>1000</v>
      </c>
      <c r="D27" s="5">
        <v>271.56639999999999</v>
      </c>
      <c r="E27" s="5">
        <v>31.666250000000002</v>
      </c>
      <c r="F27" s="5">
        <v>635.69719999999995</v>
      </c>
      <c r="G27" s="5">
        <v>1000</v>
      </c>
      <c r="H27" s="5">
        <v>1000</v>
      </c>
      <c r="I27" s="5"/>
      <c r="J27" s="5"/>
      <c r="K27" s="4">
        <v>22.5792</v>
      </c>
      <c r="L27" s="5">
        <v>64.901250000000005</v>
      </c>
      <c r="M27" s="5">
        <v>18.803139999999999</v>
      </c>
      <c r="N27" s="5">
        <v>506.46460000000002</v>
      </c>
      <c r="O27" s="5">
        <v>24.161280000000001</v>
      </c>
      <c r="P27" s="5">
        <v>740.48289999999997</v>
      </c>
      <c r="Q27" s="5"/>
      <c r="R27" s="6"/>
    </row>
    <row r="28" spans="1:18" x14ac:dyDescent="0.2">
      <c r="A28" s="1">
        <v>15</v>
      </c>
      <c r="B28" s="4">
        <v>1000</v>
      </c>
      <c r="C28" s="5">
        <v>1000</v>
      </c>
      <c r="D28" s="5">
        <v>1000</v>
      </c>
      <c r="E28" s="5">
        <v>150.36879999999999</v>
      </c>
      <c r="F28" s="5">
        <v>1000</v>
      </c>
      <c r="G28" s="5">
        <v>1000</v>
      </c>
      <c r="H28" s="5">
        <v>1000</v>
      </c>
      <c r="I28" s="5"/>
      <c r="J28" s="5"/>
      <c r="K28" s="4">
        <v>86.332449999999994</v>
      </c>
      <c r="L28" s="5">
        <v>137.96039999999999</v>
      </c>
      <c r="M28" s="5">
        <v>72.024519999999995</v>
      </c>
      <c r="N28" s="5">
        <v>1000</v>
      </c>
      <c r="O28" s="5">
        <v>84.951809999999995</v>
      </c>
      <c r="P28" s="5" t="s">
        <v>93</v>
      </c>
      <c r="Q28" s="5"/>
      <c r="R28" s="6"/>
    </row>
    <row r="29" spans="1:18" x14ac:dyDescent="0.2">
      <c r="A29" s="1">
        <v>18</v>
      </c>
      <c r="B29" s="4">
        <v>1000</v>
      </c>
      <c r="C29" s="5">
        <v>1000</v>
      </c>
      <c r="D29" s="5">
        <v>1000</v>
      </c>
      <c r="E29" s="5">
        <v>427.39409999999998</v>
      </c>
      <c r="F29" s="5">
        <v>1000</v>
      </c>
      <c r="G29" s="5">
        <v>1000</v>
      </c>
      <c r="H29" s="5">
        <v>1000</v>
      </c>
      <c r="I29" s="5"/>
      <c r="J29" s="5"/>
      <c r="K29" s="4">
        <v>299.94850000000002</v>
      </c>
      <c r="L29" s="5">
        <v>247.27680000000001</v>
      </c>
      <c r="M29" s="5">
        <v>186.66370000000001</v>
      </c>
      <c r="N29" s="5">
        <v>1000</v>
      </c>
      <c r="O29" s="5" t="s">
        <v>93</v>
      </c>
      <c r="P29" s="5"/>
      <c r="Q29" s="5"/>
      <c r="R29" s="6"/>
    </row>
    <row r="30" spans="1:18" x14ac:dyDescent="0.2">
      <c r="A30" s="1">
        <v>21</v>
      </c>
      <c r="B30" s="7">
        <v>1000</v>
      </c>
      <c r="C30" s="8">
        <v>1000</v>
      </c>
      <c r="D30" s="8">
        <v>1000</v>
      </c>
      <c r="E30" s="8">
        <v>1000</v>
      </c>
      <c r="F30" s="8">
        <v>1000</v>
      </c>
      <c r="G30" s="8">
        <v>1000</v>
      </c>
      <c r="H30" s="8">
        <v>1000</v>
      </c>
      <c r="I30" s="8"/>
      <c r="J30" s="8"/>
      <c r="K30" s="7">
        <v>612.85180000000003</v>
      </c>
      <c r="L30" s="8">
        <v>492.52690000000001</v>
      </c>
      <c r="M30" s="8">
        <v>479.24009999999998</v>
      </c>
      <c r="N30" s="8">
        <v>1000</v>
      </c>
      <c r="O30" s="8"/>
      <c r="P30" s="8"/>
      <c r="Q30" s="8"/>
      <c r="R30" s="9"/>
    </row>
    <row r="32" spans="1:18" x14ac:dyDescent="0.2">
      <c r="A32" t="s">
        <v>94</v>
      </c>
    </row>
    <row r="33" spans="1:18" x14ac:dyDescent="0.2">
      <c r="A33" s="2" t="s">
        <v>89</v>
      </c>
      <c r="B33" s="304" t="s">
        <v>7</v>
      </c>
      <c r="C33" s="306"/>
      <c r="D33" s="306"/>
      <c r="E33" s="306"/>
      <c r="F33" s="306"/>
      <c r="G33" s="306"/>
      <c r="H33" s="306"/>
      <c r="I33" s="306"/>
      <c r="J33" s="306"/>
      <c r="K33" s="304" t="s">
        <v>8</v>
      </c>
      <c r="L33" s="306"/>
      <c r="M33" s="306"/>
      <c r="N33" s="306"/>
      <c r="O33" s="306"/>
      <c r="P33" s="306"/>
      <c r="Q33" s="306"/>
      <c r="R33" s="305"/>
    </row>
    <row r="34" spans="1:18" x14ac:dyDescent="0.2">
      <c r="A34" s="1">
        <v>0</v>
      </c>
      <c r="B34" s="4">
        <v>19.567489999999999</v>
      </c>
      <c r="C34" s="5">
        <v>10.281739999999999</v>
      </c>
      <c r="D34" s="5">
        <v>18.709109999999999</v>
      </c>
      <c r="E34" s="5">
        <v>9.7422280000000008</v>
      </c>
      <c r="F34" s="5">
        <v>14.42315</v>
      </c>
      <c r="G34" s="5">
        <v>9.8094239999999999</v>
      </c>
      <c r="H34" s="5">
        <v>21.678180000000001</v>
      </c>
      <c r="I34" s="5">
        <v>15.011810000000001</v>
      </c>
      <c r="J34" s="5">
        <v>11.37701</v>
      </c>
      <c r="K34" s="4">
        <v>15.469060000000001</v>
      </c>
      <c r="L34" s="5">
        <v>25.04373</v>
      </c>
      <c r="M34" s="5">
        <v>11.850110000000001</v>
      </c>
      <c r="N34" s="5">
        <v>12.66273</v>
      </c>
      <c r="O34" s="5">
        <v>10.12923</v>
      </c>
      <c r="P34" s="5">
        <v>7.8332629999999996</v>
      </c>
      <c r="Q34" s="5">
        <v>5.9345869999999996</v>
      </c>
      <c r="R34" s="6">
        <v>10.334210000000001</v>
      </c>
    </row>
    <row r="35" spans="1:18" x14ac:dyDescent="0.2">
      <c r="A35" s="1">
        <v>3</v>
      </c>
      <c r="B35" s="4">
        <v>39.709000000000003</v>
      </c>
      <c r="C35" s="5">
        <v>29.782959999999999</v>
      </c>
      <c r="D35" s="5">
        <v>92.425659999999993</v>
      </c>
      <c r="E35" s="5">
        <v>22.42962</v>
      </c>
      <c r="F35" s="5">
        <v>98.125</v>
      </c>
      <c r="G35" s="5">
        <v>39.19117</v>
      </c>
      <c r="H35" s="5">
        <v>63.354849999999999</v>
      </c>
      <c r="I35" s="5">
        <v>69.507679999999993</v>
      </c>
      <c r="J35" s="5">
        <v>37.969920000000002</v>
      </c>
      <c r="K35" s="4">
        <v>21.934560000000001</v>
      </c>
      <c r="L35" s="5">
        <v>56.179659999999998</v>
      </c>
      <c r="M35" s="5">
        <v>30.434290000000001</v>
      </c>
      <c r="N35" s="5">
        <v>25.760909999999999</v>
      </c>
      <c r="O35" s="5">
        <v>33.290489999999998</v>
      </c>
      <c r="P35" s="5">
        <v>5.2757389999999997</v>
      </c>
      <c r="Q35" s="5">
        <v>5.66</v>
      </c>
      <c r="R35" s="6">
        <v>10.9375</v>
      </c>
    </row>
    <row r="36" spans="1:18" x14ac:dyDescent="0.2">
      <c r="A36" s="1">
        <v>6</v>
      </c>
      <c r="B36" s="4">
        <v>55.219059999999999</v>
      </c>
      <c r="C36" s="5">
        <v>167.45009999999999</v>
      </c>
      <c r="D36" s="5">
        <v>321.28719999999998</v>
      </c>
      <c r="E36" s="5">
        <v>120.89449999999999</v>
      </c>
      <c r="F36" s="5">
        <v>340.79910000000001</v>
      </c>
      <c r="G36" s="5">
        <v>35.346699999999998</v>
      </c>
      <c r="H36" s="5">
        <v>299.21800000000002</v>
      </c>
      <c r="I36" s="5">
        <v>165.01329999999999</v>
      </c>
      <c r="J36" s="5">
        <v>56.920400000000001</v>
      </c>
      <c r="K36" s="4">
        <v>65.460669999999993</v>
      </c>
      <c r="L36" s="5">
        <v>140.28800000000001</v>
      </c>
      <c r="M36" s="5">
        <v>47.026760000000003</v>
      </c>
      <c r="N36" s="5">
        <v>35.957709999999999</v>
      </c>
      <c r="O36" s="5">
        <v>50.491509999999998</v>
      </c>
      <c r="P36" s="5">
        <v>4</v>
      </c>
      <c r="Q36" s="5">
        <v>8.0343999999999998</v>
      </c>
      <c r="R36" s="6">
        <v>48.028700000000001</v>
      </c>
    </row>
    <row r="37" spans="1:18" x14ac:dyDescent="0.2">
      <c r="A37" s="1">
        <v>9</v>
      </c>
      <c r="B37" s="4">
        <v>456.22129999999999</v>
      </c>
      <c r="C37" s="5">
        <v>470.85750000000002</v>
      </c>
      <c r="D37" s="5">
        <v>981.68960000000004</v>
      </c>
      <c r="E37" s="5">
        <v>448.75450000000001</v>
      </c>
      <c r="F37" s="5">
        <v>1000</v>
      </c>
      <c r="G37" s="5">
        <v>279.95479999999998</v>
      </c>
      <c r="H37" s="5">
        <v>784.71280000000002</v>
      </c>
      <c r="I37" s="5">
        <v>539.16219999999998</v>
      </c>
      <c r="J37" s="5">
        <v>464.8571</v>
      </c>
      <c r="K37" s="4">
        <v>190.1234</v>
      </c>
      <c r="L37" s="5">
        <v>342.459</v>
      </c>
      <c r="M37" s="5">
        <v>113.47750000000001</v>
      </c>
      <c r="N37" s="5">
        <v>113.535</v>
      </c>
      <c r="O37" s="5">
        <v>209.2713</v>
      </c>
      <c r="P37" s="5">
        <v>0</v>
      </c>
      <c r="Q37" s="5">
        <v>4</v>
      </c>
      <c r="R37" s="6">
        <v>233.08340000000001</v>
      </c>
    </row>
    <row r="38" spans="1:18" x14ac:dyDescent="0.2">
      <c r="A38" s="1">
        <v>12</v>
      </c>
      <c r="B38" s="4">
        <v>479.79579999999999</v>
      </c>
      <c r="C38" s="5">
        <v>1000</v>
      </c>
      <c r="D38" s="5">
        <v>1000</v>
      </c>
      <c r="E38" s="5">
        <v>968.08979999999997</v>
      </c>
      <c r="F38" s="5">
        <v>1000</v>
      </c>
      <c r="G38" s="5">
        <v>479.75220000000002</v>
      </c>
      <c r="H38" s="5">
        <v>1000</v>
      </c>
      <c r="I38" s="5">
        <v>735.98919999999998</v>
      </c>
      <c r="J38" s="5">
        <v>1000</v>
      </c>
      <c r="K38" s="4">
        <v>350.35739999999998</v>
      </c>
      <c r="L38" s="5">
        <v>748.90170000000001</v>
      </c>
      <c r="M38" s="5">
        <v>450.34750000000003</v>
      </c>
      <c r="N38" s="5">
        <v>487.58390000000003</v>
      </c>
      <c r="O38" s="5">
        <v>994.62540000000001</v>
      </c>
      <c r="P38" s="5">
        <v>0</v>
      </c>
      <c r="Q38" s="5">
        <v>0</v>
      </c>
      <c r="R38" s="6">
        <v>594.87239999999997</v>
      </c>
    </row>
    <row r="39" spans="1:18" x14ac:dyDescent="0.2">
      <c r="A39" s="1">
        <v>15</v>
      </c>
      <c r="B39" s="4">
        <v>1000</v>
      </c>
      <c r="C39" s="5">
        <v>1000</v>
      </c>
      <c r="D39" s="5">
        <v>1000</v>
      </c>
      <c r="E39" s="5">
        <v>1000</v>
      </c>
      <c r="F39" s="5">
        <v>1000</v>
      </c>
      <c r="G39" s="5">
        <v>1000</v>
      </c>
      <c r="H39" s="5">
        <v>1000</v>
      </c>
      <c r="I39" s="5">
        <v>1000</v>
      </c>
      <c r="J39" s="5">
        <v>1000</v>
      </c>
      <c r="K39" s="4">
        <v>598.63689999999997</v>
      </c>
      <c r="L39" s="5">
        <v>1000</v>
      </c>
      <c r="M39" s="5">
        <v>984.38559999999995</v>
      </c>
      <c r="N39" s="5">
        <v>816.53060000000005</v>
      </c>
      <c r="O39" s="5">
        <v>1000</v>
      </c>
      <c r="P39" s="5">
        <v>0</v>
      </c>
      <c r="Q39" s="5">
        <v>0</v>
      </c>
      <c r="R39" s="6">
        <v>959.18989999999997</v>
      </c>
    </row>
    <row r="40" spans="1:18" x14ac:dyDescent="0.2">
      <c r="A40" s="1">
        <v>18</v>
      </c>
      <c r="B40" s="4">
        <v>1000</v>
      </c>
      <c r="C40" s="5">
        <v>1000</v>
      </c>
      <c r="D40" s="5">
        <v>1000</v>
      </c>
      <c r="E40" s="5">
        <v>1000</v>
      </c>
      <c r="F40" s="5">
        <v>1000</v>
      </c>
      <c r="G40" s="5">
        <v>1000</v>
      </c>
      <c r="H40" s="5">
        <v>1000</v>
      </c>
      <c r="I40" s="5">
        <v>1000</v>
      </c>
      <c r="J40" s="5">
        <v>1000</v>
      </c>
      <c r="K40" s="4">
        <v>1000</v>
      </c>
      <c r="L40" s="5">
        <v>1000</v>
      </c>
      <c r="M40" s="5">
        <v>1000</v>
      </c>
      <c r="N40" s="5">
        <v>1000</v>
      </c>
      <c r="O40" s="5">
        <v>1000</v>
      </c>
      <c r="P40" s="5">
        <v>0</v>
      </c>
      <c r="Q40" s="5">
        <v>0</v>
      </c>
      <c r="R40" s="6">
        <v>1000</v>
      </c>
    </row>
    <row r="41" spans="1:18" x14ac:dyDescent="0.2">
      <c r="A41" s="1">
        <v>21</v>
      </c>
      <c r="B41" s="7">
        <v>1000</v>
      </c>
      <c r="C41" s="8">
        <v>1000</v>
      </c>
      <c r="D41" s="8">
        <v>1000</v>
      </c>
      <c r="E41" s="8">
        <v>1000</v>
      </c>
      <c r="F41" s="8">
        <v>1000</v>
      </c>
      <c r="G41" s="8">
        <v>1000</v>
      </c>
      <c r="H41" s="8">
        <v>1000</v>
      </c>
      <c r="I41" s="8">
        <v>1000</v>
      </c>
      <c r="J41" s="8">
        <v>1000</v>
      </c>
      <c r="K41" s="7">
        <v>1000</v>
      </c>
      <c r="L41" s="8">
        <v>1000</v>
      </c>
      <c r="M41" s="8">
        <v>1000</v>
      </c>
      <c r="N41" s="8">
        <v>1000</v>
      </c>
      <c r="O41" s="8">
        <v>1000</v>
      </c>
      <c r="P41" s="8">
        <v>0</v>
      </c>
      <c r="Q41" s="8">
        <v>0</v>
      </c>
      <c r="R41" s="9">
        <v>1000</v>
      </c>
    </row>
    <row r="46" spans="1:18" x14ac:dyDescent="0.2">
      <c r="A46" t="s">
        <v>1008</v>
      </c>
    </row>
    <row r="47" spans="1:18" x14ac:dyDescent="0.2">
      <c r="A47" s="203" t="s">
        <v>1010</v>
      </c>
      <c r="B47" s="302" t="s">
        <v>1009</v>
      </c>
      <c r="C47" s="307"/>
      <c r="D47" s="307"/>
      <c r="E47" s="303"/>
      <c r="F47" s="302" t="s">
        <v>1012</v>
      </c>
      <c r="G47" s="307"/>
      <c r="H47" s="307"/>
      <c r="I47" s="303"/>
      <c r="J47" s="203"/>
      <c r="K47" s="203"/>
      <c r="L47" s="203"/>
      <c r="M47" s="203"/>
      <c r="N47" s="203"/>
      <c r="O47" s="203"/>
      <c r="P47" s="203"/>
    </row>
    <row r="48" spans="1:18" x14ac:dyDescent="0.2">
      <c r="A48" s="211">
        <v>25</v>
      </c>
      <c r="B48" s="205">
        <v>110.51609999999999</v>
      </c>
      <c r="C48" s="206">
        <v>22.352129999999999</v>
      </c>
      <c r="D48" s="206">
        <v>0</v>
      </c>
      <c r="E48" s="207">
        <v>113.1579</v>
      </c>
      <c r="F48" s="205">
        <v>130.8021</v>
      </c>
      <c r="G48" s="206">
        <v>71.484729999999999</v>
      </c>
      <c r="H48" s="206">
        <v>32.792969999999997</v>
      </c>
      <c r="I48" s="207">
        <v>61.407859999999999</v>
      </c>
      <c r="J48" s="202"/>
      <c r="K48" s="202"/>
      <c r="L48" s="202"/>
      <c r="M48" s="202"/>
      <c r="N48" s="202"/>
      <c r="O48" s="202"/>
    </row>
    <row r="49" spans="1:21" x14ac:dyDescent="0.2">
      <c r="A49" s="212">
        <v>29</v>
      </c>
      <c r="B49" s="205">
        <v>150.0547</v>
      </c>
      <c r="C49" s="206">
        <v>39.369729999999997</v>
      </c>
      <c r="D49" s="206">
        <v>83.672460000000001</v>
      </c>
      <c r="E49" s="207">
        <v>140.24690000000001</v>
      </c>
      <c r="F49" s="205">
        <v>341.89949999999999</v>
      </c>
      <c r="G49" s="206">
        <v>151.38</v>
      </c>
      <c r="H49" s="206">
        <v>38.27064</v>
      </c>
      <c r="I49" s="207">
        <v>85.255849999999995</v>
      </c>
      <c r="J49" s="202"/>
      <c r="K49" s="202"/>
      <c r="L49" s="202"/>
      <c r="M49" s="202"/>
      <c r="N49" s="202"/>
      <c r="O49" s="202"/>
    </row>
    <row r="50" spans="1:21" x14ac:dyDescent="0.2">
      <c r="A50" s="212">
        <v>34</v>
      </c>
      <c r="B50" s="205">
        <v>402.0591</v>
      </c>
      <c r="C50" s="206">
        <v>143.08009999999999</v>
      </c>
      <c r="D50" s="206">
        <v>254.35560000000001</v>
      </c>
      <c r="E50" s="207">
        <v>399.97669999999999</v>
      </c>
      <c r="F50" s="205">
        <v>811.30499999999995</v>
      </c>
      <c r="G50" s="206">
        <v>476.66770000000002</v>
      </c>
      <c r="H50" s="206">
        <v>75.993809999999996</v>
      </c>
      <c r="I50" s="207">
        <v>201.0694</v>
      </c>
      <c r="J50" s="202"/>
      <c r="K50" s="202"/>
      <c r="L50" s="202"/>
      <c r="M50" s="202"/>
      <c r="N50" s="202"/>
      <c r="O50" s="202"/>
    </row>
    <row r="51" spans="1:21" x14ac:dyDescent="0.2">
      <c r="A51" s="212">
        <v>37</v>
      </c>
      <c r="B51" s="205">
        <v>695.125</v>
      </c>
      <c r="C51" s="206">
        <v>179.3356</v>
      </c>
      <c r="D51" s="206">
        <v>296.7654</v>
      </c>
      <c r="E51" s="207">
        <v>620.5204</v>
      </c>
      <c r="F51" s="205">
        <v>1000</v>
      </c>
      <c r="G51" s="206">
        <v>662.87670000000003</v>
      </c>
      <c r="H51" s="206">
        <v>197.07810000000001</v>
      </c>
      <c r="I51" s="207">
        <v>197.1157</v>
      </c>
      <c r="J51" s="202"/>
      <c r="K51" s="202"/>
      <c r="L51" s="202"/>
      <c r="M51" s="202"/>
      <c r="N51" s="202"/>
      <c r="O51" s="202"/>
    </row>
    <row r="52" spans="1:21" x14ac:dyDescent="0.2">
      <c r="A52" s="212">
        <v>40</v>
      </c>
      <c r="B52" s="205">
        <v>927.83799999999997</v>
      </c>
      <c r="C52" s="206">
        <v>374.79509999999999</v>
      </c>
      <c r="D52" s="206">
        <v>594.28340000000003</v>
      </c>
      <c r="E52" s="207">
        <v>946.18290000000002</v>
      </c>
      <c r="F52" s="205">
        <v>1000</v>
      </c>
      <c r="G52" s="206">
        <v>1000</v>
      </c>
      <c r="H52" s="206">
        <v>130.9572</v>
      </c>
      <c r="I52" s="207">
        <v>536.17129999999997</v>
      </c>
      <c r="J52" s="202"/>
      <c r="K52" s="202"/>
      <c r="L52" s="202"/>
      <c r="M52" s="202"/>
      <c r="N52" s="202"/>
      <c r="O52" s="202"/>
    </row>
    <row r="53" spans="1:21" x14ac:dyDescent="0.2">
      <c r="A53" s="212">
        <v>42</v>
      </c>
      <c r="B53" s="205">
        <v>1000</v>
      </c>
      <c r="C53" s="206">
        <v>422.03140000000002</v>
      </c>
      <c r="D53" s="206">
        <v>938.97270000000003</v>
      </c>
      <c r="E53" s="207">
        <v>1000</v>
      </c>
      <c r="F53" s="205">
        <v>1000</v>
      </c>
      <c r="G53" s="206">
        <v>1000</v>
      </c>
      <c r="H53" s="206">
        <v>216.25890000000001</v>
      </c>
      <c r="I53" s="207">
        <v>634.38440000000003</v>
      </c>
      <c r="J53" s="202"/>
      <c r="K53" s="202"/>
      <c r="L53" s="202"/>
      <c r="M53" s="202"/>
      <c r="N53" s="202"/>
      <c r="O53" s="202"/>
    </row>
    <row r="54" spans="1:21" x14ac:dyDescent="0.2">
      <c r="A54" s="212">
        <v>44</v>
      </c>
      <c r="B54" s="205">
        <v>1000</v>
      </c>
      <c r="C54" s="206">
        <v>416.5573</v>
      </c>
      <c r="D54" s="206">
        <v>1000</v>
      </c>
      <c r="E54" s="207">
        <v>1000</v>
      </c>
      <c r="F54" s="205">
        <v>1000</v>
      </c>
      <c r="G54" s="206">
        <v>1000</v>
      </c>
      <c r="H54" s="206">
        <v>387.14120000000003</v>
      </c>
      <c r="I54" s="207">
        <v>886.80709999999999</v>
      </c>
      <c r="J54" s="202"/>
      <c r="K54" s="202"/>
      <c r="L54" s="202"/>
      <c r="M54" s="202"/>
      <c r="N54" s="202"/>
      <c r="O54" s="202"/>
    </row>
    <row r="55" spans="1:21" x14ac:dyDescent="0.2">
      <c r="A55" s="213">
        <v>47</v>
      </c>
      <c r="B55" s="208">
        <v>1000</v>
      </c>
      <c r="C55" s="209">
        <v>953.79049999999995</v>
      </c>
      <c r="D55" s="209">
        <v>1000</v>
      </c>
      <c r="E55" s="210">
        <v>1000</v>
      </c>
      <c r="F55" s="208">
        <v>1000</v>
      </c>
      <c r="G55" s="209">
        <v>1000</v>
      </c>
      <c r="H55" s="209">
        <v>313.73680000000002</v>
      </c>
      <c r="I55" s="210">
        <v>1000</v>
      </c>
      <c r="J55" s="202"/>
      <c r="K55" s="202"/>
      <c r="L55" s="202"/>
      <c r="M55" s="202"/>
      <c r="N55" s="202"/>
      <c r="O55" s="202"/>
    </row>
    <row r="56" spans="1:21" x14ac:dyDescent="0.2">
      <c r="A56" s="224"/>
      <c r="B56" s="224"/>
      <c r="C56" s="224"/>
      <c r="D56" s="224"/>
      <c r="E56" s="224"/>
      <c r="F56" s="202"/>
      <c r="G56" s="224"/>
      <c r="H56" s="224"/>
      <c r="I56" s="202"/>
      <c r="J56" s="224"/>
      <c r="K56" s="202"/>
      <c r="L56" s="202"/>
      <c r="M56" s="202"/>
      <c r="N56" s="202"/>
      <c r="O56" s="202"/>
      <c r="P56" s="202"/>
    </row>
    <row r="57" spans="1:21" x14ac:dyDescent="0.2">
      <c r="A57" s="202" t="s">
        <v>1011</v>
      </c>
      <c r="B57" s="224"/>
      <c r="C57" s="224"/>
      <c r="D57" s="224"/>
      <c r="E57" s="224"/>
      <c r="F57" s="202"/>
      <c r="G57" s="224"/>
      <c r="H57" s="224"/>
      <c r="I57" s="202"/>
      <c r="J57" s="224"/>
      <c r="K57" s="202"/>
      <c r="L57" s="202"/>
      <c r="M57" s="202"/>
      <c r="N57" s="202"/>
      <c r="O57" s="202"/>
      <c r="P57" s="202"/>
    </row>
    <row r="58" spans="1:21" x14ac:dyDescent="0.2">
      <c r="A58" s="203"/>
      <c r="B58" s="302" t="s">
        <v>1009</v>
      </c>
      <c r="C58" s="307"/>
      <c r="D58" s="307"/>
      <c r="E58" s="307"/>
      <c r="F58" s="307"/>
      <c r="G58" s="307"/>
      <c r="H58" s="307"/>
      <c r="I58" s="307"/>
      <c r="J58" s="307"/>
      <c r="K58" s="303"/>
      <c r="L58" s="308" t="s">
        <v>1012</v>
      </c>
      <c r="M58" s="307"/>
      <c r="N58" s="307"/>
      <c r="O58" s="307"/>
      <c r="P58" s="307"/>
      <c r="Q58" s="307"/>
      <c r="R58" s="307"/>
      <c r="S58" s="307"/>
      <c r="T58" s="307"/>
      <c r="U58" s="303"/>
    </row>
    <row r="59" spans="1:21" x14ac:dyDescent="0.2">
      <c r="A59" s="211">
        <v>25</v>
      </c>
      <c r="B59" s="205">
        <v>9.3953860000000002</v>
      </c>
      <c r="C59" s="206">
        <v>0.5</v>
      </c>
      <c r="D59" s="206">
        <v>63.955010000000001</v>
      </c>
      <c r="E59" s="206">
        <v>4</v>
      </c>
      <c r="F59" s="206">
        <v>75.025570000000002</v>
      </c>
      <c r="G59" s="206">
        <v>31.43037</v>
      </c>
      <c r="H59" s="206">
        <v>115.76519999999999</v>
      </c>
      <c r="I59" s="206">
        <v>232.0318</v>
      </c>
      <c r="J59" s="206">
        <v>135.6634</v>
      </c>
      <c r="K59" s="207">
        <v>141.95939999999999</v>
      </c>
      <c r="L59" s="205">
        <v>4</v>
      </c>
      <c r="M59" s="206">
        <v>0</v>
      </c>
      <c r="N59" s="206">
        <v>50.267940000000003</v>
      </c>
      <c r="O59" s="206">
        <v>65.61</v>
      </c>
      <c r="P59" s="206">
        <v>84.377549999999999</v>
      </c>
      <c r="Q59" s="206">
        <v>4</v>
      </c>
      <c r="R59" s="206">
        <v>13.876799999999999</v>
      </c>
      <c r="S59" s="206">
        <v>24.884399999999999</v>
      </c>
      <c r="T59" s="206">
        <v>484.6497</v>
      </c>
      <c r="U59" s="207">
        <v>264.65589999999997</v>
      </c>
    </row>
    <row r="60" spans="1:21" x14ac:dyDescent="0.2">
      <c r="A60" s="212">
        <v>29</v>
      </c>
      <c r="B60" s="205">
        <v>21.71386</v>
      </c>
      <c r="C60" s="206">
        <v>4</v>
      </c>
      <c r="D60" s="206">
        <v>117.7715</v>
      </c>
      <c r="E60" s="206">
        <v>119.8057</v>
      </c>
      <c r="F60" s="206">
        <v>184.04570000000001</v>
      </c>
      <c r="G60" s="206">
        <v>66.64349</v>
      </c>
      <c r="H60" s="206">
        <v>189.08840000000001</v>
      </c>
      <c r="I60" s="206">
        <v>402.5283</v>
      </c>
      <c r="J60" s="206">
        <v>244.40790000000001</v>
      </c>
      <c r="K60" s="207">
        <v>121.4778</v>
      </c>
      <c r="L60" s="205">
        <v>17.291530000000002</v>
      </c>
      <c r="M60" s="206">
        <v>0</v>
      </c>
      <c r="N60" s="206">
        <v>122.75709999999999</v>
      </c>
      <c r="O60" s="206">
        <v>10.665330000000001</v>
      </c>
      <c r="P60" s="206">
        <v>301.64879999999999</v>
      </c>
      <c r="Q60" s="206">
        <v>13.5</v>
      </c>
      <c r="R60" s="206">
        <v>21.65943</v>
      </c>
      <c r="S60" s="206">
        <v>85.517129999999995</v>
      </c>
      <c r="T60" s="206">
        <v>798.89689999999996</v>
      </c>
      <c r="U60" s="207">
        <v>525.10149999999999</v>
      </c>
    </row>
    <row r="61" spans="1:21" x14ac:dyDescent="0.2">
      <c r="A61" s="212">
        <v>34</v>
      </c>
      <c r="B61" s="205">
        <v>76.124960000000002</v>
      </c>
      <c r="C61" s="206">
        <v>8.65625</v>
      </c>
      <c r="D61" s="206">
        <v>362.44650000000001</v>
      </c>
      <c r="E61" s="206">
        <v>355.6925</v>
      </c>
      <c r="F61" s="206">
        <v>964.99689999999998</v>
      </c>
      <c r="G61" s="206">
        <v>143.79740000000001</v>
      </c>
      <c r="H61" s="206">
        <v>614.52269999999999</v>
      </c>
      <c r="I61" s="206">
        <v>1000</v>
      </c>
      <c r="J61" s="206">
        <v>1000</v>
      </c>
      <c r="K61" s="207">
        <v>650.29639999999995</v>
      </c>
      <c r="L61" s="205">
        <v>20.1355</v>
      </c>
      <c r="M61" s="206">
        <v>0</v>
      </c>
      <c r="N61" s="206">
        <v>300.85340000000002</v>
      </c>
      <c r="O61" s="206">
        <v>37.953789999999998</v>
      </c>
      <c r="P61" s="206">
        <v>859.19479999999999</v>
      </c>
      <c r="Q61" s="206">
        <v>35.604579999999999</v>
      </c>
      <c r="R61" s="206">
        <v>40.993490000000001</v>
      </c>
      <c r="S61" s="206">
        <v>137.82380000000001</v>
      </c>
      <c r="T61" s="206">
        <v>1000</v>
      </c>
      <c r="U61" s="207">
        <v>1000</v>
      </c>
    </row>
    <row r="62" spans="1:21" x14ac:dyDescent="0.2">
      <c r="A62" s="212">
        <v>37</v>
      </c>
      <c r="B62" s="205">
        <v>166.1003</v>
      </c>
      <c r="C62" s="206">
        <v>42.69267</v>
      </c>
      <c r="D62" s="206">
        <v>675.21960000000001</v>
      </c>
      <c r="E62" s="206">
        <v>1000</v>
      </c>
      <c r="F62" s="206">
        <v>1000</v>
      </c>
      <c r="G62" s="206">
        <v>360.7919</v>
      </c>
      <c r="H62" s="206">
        <v>1000</v>
      </c>
      <c r="I62" s="206">
        <v>1000</v>
      </c>
      <c r="J62" s="206">
        <v>1000</v>
      </c>
      <c r="K62" s="207">
        <v>860.45370000000003</v>
      </c>
      <c r="L62" s="205">
        <v>33.162149999999997</v>
      </c>
      <c r="M62" s="206">
        <v>0</v>
      </c>
      <c r="N62" s="206">
        <v>258.95850000000002</v>
      </c>
      <c r="O62" s="206">
        <v>35.938809999999997</v>
      </c>
      <c r="P62" s="206">
        <v>1000</v>
      </c>
      <c r="Q62" s="206">
        <v>34.526699999999998</v>
      </c>
      <c r="R62" s="206">
        <v>56.569139999999997</v>
      </c>
      <c r="S62" s="206">
        <v>180.23509999999999</v>
      </c>
      <c r="T62" s="206">
        <v>1000</v>
      </c>
      <c r="U62" s="207">
        <v>1000</v>
      </c>
    </row>
    <row r="63" spans="1:21" x14ac:dyDescent="0.2">
      <c r="A63" s="212">
        <v>40</v>
      </c>
      <c r="B63" s="205">
        <v>417.43579999999997</v>
      </c>
      <c r="C63" s="206">
        <v>46.473750000000003</v>
      </c>
      <c r="D63" s="206">
        <v>1000</v>
      </c>
      <c r="E63" s="206">
        <v>1000</v>
      </c>
      <c r="F63" s="206">
        <v>1000</v>
      </c>
      <c r="G63" s="206">
        <v>388.7688</v>
      </c>
      <c r="H63" s="206">
        <v>1000</v>
      </c>
      <c r="I63" s="206">
        <v>1000</v>
      </c>
      <c r="J63" s="206">
        <v>1000</v>
      </c>
      <c r="K63" s="207">
        <v>1000</v>
      </c>
      <c r="L63" s="205">
        <v>62.538849999999996</v>
      </c>
      <c r="M63" s="206">
        <v>0</v>
      </c>
      <c r="N63" s="206">
        <v>427.39890000000003</v>
      </c>
      <c r="O63" s="206">
        <v>53.140790000000003</v>
      </c>
      <c r="P63" s="206">
        <v>1000</v>
      </c>
      <c r="Q63" s="206">
        <v>64.666650000000004</v>
      </c>
      <c r="R63" s="206">
        <v>72.801760000000002</v>
      </c>
      <c r="S63" s="206">
        <v>221.04310000000001</v>
      </c>
      <c r="T63" s="206">
        <v>1000</v>
      </c>
      <c r="U63" s="207">
        <v>1000</v>
      </c>
    </row>
    <row r="64" spans="1:21" x14ac:dyDescent="0.2">
      <c r="A64" s="212">
        <v>42</v>
      </c>
      <c r="B64" s="205">
        <v>407.33440000000002</v>
      </c>
      <c r="C64" s="206">
        <v>93.525379999999998</v>
      </c>
      <c r="D64" s="206">
        <v>1000</v>
      </c>
      <c r="E64" s="206">
        <v>1000</v>
      </c>
      <c r="F64" s="206">
        <v>1000</v>
      </c>
      <c r="G64" s="206">
        <v>664.38329999999996</v>
      </c>
      <c r="H64" s="206">
        <v>1000</v>
      </c>
      <c r="I64" s="206">
        <v>1000</v>
      </c>
      <c r="J64" s="206">
        <v>1000</v>
      </c>
      <c r="K64" s="207">
        <v>1000</v>
      </c>
      <c r="L64" s="205">
        <v>66.428219999999996</v>
      </c>
      <c r="M64" s="206">
        <v>0</v>
      </c>
      <c r="N64" s="206">
        <v>501.7346</v>
      </c>
      <c r="O64" s="206">
        <v>45.785409999999999</v>
      </c>
      <c r="P64" s="206">
        <v>1000</v>
      </c>
      <c r="Q64" s="206">
        <v>87.25</v>
      </c>
      <c r="R64" s="206">
        <v>79.756929999999997</v>
      </c>
      <c r="S64" s="206">
        <v>315.1728</v>
      </c>
      <c r="T64" s="206">
        <v>1000</v>
      </c>
      <c r="U64" s="207">
        <v>1000</v>
      </c>
    </row>
    <row r="65" spans="1:21" x14ac:dyDescent="0.2">
      <c r="A65" s="212">
        <v>44</v>
      </c>
      <c r="B65" s="205">
        <v>410.85919999999999</v>
      </c>
      <c r="C65" s="206">
        <v>103.6448</v>
      </c>
      <c r="D65" s="206">
        <v>1000</v>
      </c>
      <c r="E65" s="206">
        <v>1000</v>
      </c>
      <c r="F65" s="206">
        <v>1000</v>
      </c>
      <c r="G65" s="206">
        <v>1000</v>
      </c>
      <c r="H65" s="206">
        <v>1000</v>
      </c>
      <c r="I65" s="206">
        <v>1000</v>
      </c>
      <c r="J65" s="206">
        <v>1000</v>
      </c>
      <c r="K65" s="207">
        <v>1000</v>
      </c>
      <c r="L65" s="205">
        <v>89.786349999999999</v>
      </c>
      <c r="M65" s="206">
        <v>0</v>
      </c>
      <c r="N65" s="206">
        <v>1000</v>
      </c>
      <c r="O65" s="206">
        <v>60.598100000000002</v>
      </c>
      <c r="P65" s="206">
        <v>1000</v>
      </c>
      <c r="Q65" s="206">
        <v>158.28020000000001</v>
      </c>
      <c r="R65" s="206">
        <v>183.00489999999999</v>
      </c>
      <c r="S65" s="206">
        <v>411.79759999999999</v>
      </c>
      <c r="T65" s="206">
        <v>1000</v>
      </c>
      <c r="U65" s="207">
        <v>1000</v>
      </c>
    </row>
    <row r="66" spans="1:21" x14ac:dyDescent="0.2">
      <c r="A66" s="212">
        <v>47</v>
      </c>
      <c r="B66" s="205">
        <v>992.98699999999997</v>
      </c>
      <c r="C66" s="206">
        <v>121.5613</v>
      </c>
      <c r="D66" s="206">
        <v>1000</v>
      </c>
      <c r="E66" s="206">
        <v>1000</v>
      </c>
      <c r="F66" s="206">
        <v>1000</v>
      </c>
      <c r="G66" s="206">
        <v>1000</v>
      </c>
      <c r="H66" s="206">
        <v>1000</v>
      </c>
      <c r="I66" s="206">
        <v>1000</v>
      </c>
      <c r="J66" s="206">
        <v>1000</v>
      </c>
      <c r="K66" s="207">
        <v>1000</v>
      </c>
      <c r="L66" s="205">
        <v>167.69030000000001</v>
      </c>
      <c r="M66" s="206">
        <v>0</v>
      </c>
      <c r="N66" s="206">
        <v>1000</v>
      </c>
      <c r="O66" s="206">
        <v>113.88330000000001</v>
      </c>
      <c r="P66" s="206">
        <v>1000</v>
      </c>
      <c r="Q66" s="206">
        <v>308.14240000000001</v>
      </c>
      <c r="R66" s="206">
        <v>381.59640000000002</v>
      </c>
      <c r="S66" s="206">
        <v>457.24720000000002</v>
      </c>
      <c r="T66" s="206">
        <v>1000</v>
      </c>
      <c r="U66" s="207">
        <v>1000</v>
      </c>
    </row>
    <row r="67" spans="1:21" x14ac:dyDescent="0.2">
      <c r="A67" s="212">
        <v>49</v>
      </c>
      <c r="B67" s="205">
        <v>904.02809999999999</v>
      </c>
      <c r="C67" s="206">
        <v>157.01830000000001</v>
      </c>
      <c r="D67" s="206">
        <v>1000</v>
      </c>
      <c r="E67" s="206">
        <v>1000</v>
      </c>
      <c r="F67" s="206">
        <v>1000</v>
      </c>
      <c r="G67" s="206">
        <v>1000</v>
      </c>
      <c r="H67" s="206">
        <v>1000</v>
      </c>
      <c r="I67" s="206">
        <v>1000</v>
      </c>
      <c r="J67" s="206">
        <v>1000</v>
      </c>
      <c r="K67" s="207">
        <v>1000</v>
      </c>
      <c r="L67" s="205">
        <v>176.5401</v>
      </c>
      <c r="M67" s="206">
        <v>0</v>
      </c>
      <c r="N67" s="206">
        <v>728.92669999999998</v>
      </c>
      <c r="O67" s="206">
        <v>159.8347</v>
      </c>
      <c r="P67" s="206">
        <v>1000</v>
      </c>
      <c r="Q67" s="206">
        <v>470.63319999999999</v>
      </c>
      <c r="R67" s="206">
        <v>262.0958</v>
      </c>
      <c r="S67" s="206">
        <v>531.92719999999997</v>
      </c>
      <c r="T67" s="206">
        <v>1000</v>
      </c>
      <c r="U67" s="207">
        <v>1000</v>
      </c>
    </row>
    <row r="68" spans="1:21" x14ac:dyDescent="0.2">
      <c r="A68" s="213">
        <v>51</v>
      </c>
      <c r="B68" s="208">
        <v>1000</v>
      </c>
      <c r="C68" s="209">
        <v>306.03649999999999</v>
      </c>
      <c r="D68" s="209">
        <v>1000</v>
      </c>
      <c r="E68" s="209">
        <v>1000</v>
      </c>
      <c r="F68" s="209">
        <v>1000</v>
      </c>
      <c r="G68" s="209">
        <v>1000</v>
      </c>
      <c r="H68" s="209">
        <v>1000</v>
      </c>
      <c r="I68" s="209">
        <v>1000</v>
      </c>
      <c r="J68" s="209">
        <v>1000</v>
      </c>
      <c r="K68" s="210">
        <v>1000</v>
      </c>
      <c r="L68" s="208">
        <v>201.87569999999999</v>
      </c>
      <c r="M68" s="209">
        <v>0</v>
      </c>
      <c r="N68" s="209">
        <v>1000</v>
      </c>
      <c r="O68" s="209">
        <v>241.5855</v>
      </c>
      <c r="P68" s="209">
        <v>1000</v>
      </c>
      <c r="Q68" s="209">
        <v>562.67759999999998</v>
      </c>
      <c r="R68" s="209">
        <v>477.15730000000002</v>
      </c>
      <c r="S68" s="209">
        <v>973.87289999999996</v>
      </c>
      <c r="T68" s="209">
        <v>1000</v>
      </c>
      <c r="U68" s="210">
        <v>1000</v>
      </c>
    </row>
  </sheetData>
  <mergeCells count="12">
    <mergeCell ref="B58:K58"/>
    <mergeCell ref="L58:U58"/>
    <mergeCell ref="B47:E47"/>
    <mergeCell ref="F47:I47"/>
    <mergeCell ref="B33:J33"/>
    <mergeCell ref="K33:R33"/>
    <mergeCell ref="B3:J3"/>
    <mergeCell ref="K3:R3"/>
    <mergeCell ref="B12:J12"/>
    <mergeCell ref="K12:R12"/>
    <mergeCell ref="B22:J22"/>
    <mergeCell ref="K22:R22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11140B-6916-994D-A036-31AE84FF6DB8}">
  <sheetPr codeName="Sheet15"/>
  <dimension ref="A1:BD104"/>
  <sheetViews>
    <sheetView topLeftCell="X62" zoomScaleNormal="100" workbookViewId="0">
      <selection activeCell="C104" sqref="C104"/>
    </sheetView>
  </sheetViews>
  <sheetFormatPr baseColWidth="10" defaultRowHeight="16" x14ac:dyDescent="0.2"/>
  <sheetData>
    <row r="1" spans="1:28" x14ac:dyDescent="0.2">
      <c r="A1" s="90"/>
      <c r="B1" s="90"/>
      <c r="C1" s="90"/>
      <c r="D1" s="90"/>
      <c r="L1" t="s">
        <v>277</v>
      </c>
      <c r="T1" t="s">
        <v>278</v>
      </c>
    </row>
    <row r="2" spans="1:28" x14ac:dyDescent="0.2">
      <c r="A2" t="s">
        <v>122</v>
      </c>
      <c r="B2" t="s">
        <v>279</v>
      </c>
      <c r="D2" t="s">
        <v>17</v>
      </c>
      <c r="E2" t="s">
        <v>15</v>
      </c>
      <c r="F2" t="s">
        <v>98</v>
      </c>
      <c r="G2" t="s">
        <v>100</v>
      </c>
      <c r="H2" t="s">
        <v>139</v>
      </c>
      <c r="I2" t="s">
        <v>102</v>
      </c>
      <c r="J2" t="s">
        <v>10</v>
      </c>
      <c r="K2" t="s">
        <v>103</v>
      </c>
      <c r="L2" t="s">
        <v>17</v>
      </c>
      <c r="M2" t="s">
        <v>15</v>
      </c>
      <c r="N2" t="s">
        <v>98</v>
      </c>
      <c r="O2" t="s">
        <v>100</v>
      </c>
      <c r="P2" t="s">
        <v>139</v>
      </c>
      <c r="Q2" t="s">
        <v>102</v>
      </c>
      <c r="R2" t="s">
        <v>10</v>
      </c>
      <c r="S2" t="s">
        <v>103</v>
      </c>
      <c r="T2" t="s">
        <v>17</v>
      </c>
      <c r="U2" t="s">
        <v>15</v>
      </c>
      <c r="V2" t="s">
        <v>98</v>
      </c>
      <c r="W2" t="s">
        <v>100</v>
      </c>
      <c r="X2" t="s">
        <v>139</v>
      </c>
      <c r="Y2" t="s">
        <v>102</v>
      </c>
      <c r="Z2" t="s">
        <v>10</v>
      </c>
      <c r="AA2" t="s">
        <v>103</v>
      </c>
    </row>
    <row r="3" spans="1:28" x14ac:dyDescent="0.2">
      <c r="A3" t="s">
        <v>280</v>
      </c>
      <c r="B3">
        <v>1</v>
      </c>
      <c r="C3" t="s">
        <v>7</v>
      </c>
      <c r="D3">
        <v>21.78</v>
      </c>
      <c r="E3">
        <v>2027.89</v>
      </c>
      <c r="F3">
        <v>23.17</v>
      </c>
      <c r="G3">
        <v>17.7</v>
      </c>
      <c r="H3" s="118">
        <v>2.12</v>
      </c>
      <c r="I3">
        <v>2.92</v>
      </c>
      <c r="J3">
        <v>29.52</v>
      </c>
      <c r="K3">
        <v>18.239999999999998</v>
      </c>
      <c r="L3">
        <f t="shared" ref="L3:S3" si="0">MAX(D3:D10)</f>
        <v>538.25</v>
      </c>
      <c r="M3">
        <f t="shared" si="0"/>
        <v>9814.25</v>
      </c>
      <c r="N3">
        <f t="shared" si="0"/>
        <v>11941.29</v>
      </c>
      <c r="O3">
        <f t="shared" si="0"/>
        <v>1064.03</v>
      </c>
      <c r="P3">
        <f t="shared" si="0"/>
        <v>846.62</v>
      </c>
      <c r="Q3">
        <f t="shared" si="0"/>
        <v>32.56</v>
      </c>
      <c r="R3">
        <f t="shared" si="0"/>
        <v>1436.08</v>
      </c>
      <c r="S3">
        <f t="shared" si="0"/>
        <v>216.17</v>
      </c>
      <c r="T3">
        <f>D3/L$3*100</f>
        <v>4.0464468183929405</v>
      </c>
      <c r="U3">
        <f t="shared" ref="U3:AA10" si="1">E3/M$3*100</f>
        <v>20.662709835188629</v>
      </c>
      <c r="V3">
        <f t="shared" si="1"/>
        <v>0.19403263801482085</v>
      </c>
      <c r="W3">
        <f t="shared" si="1"/>
        <v>1.663486931759443</v>
      </c>
      <c r="X3">
        <f t="shared" si="1"/>
        <v>0.25040750277574353</v>
      </c>
      <c r="Y3">
        <f t="shared" si="1"/>
        <v>8.9680589680589673</v>
      </c>
      <c r="Z3">
        <f t="shared" si="1"/>
        <v>2.0555957885354577</v>
      </c>
      <c r="AA3">
        <f t="shared" si="1"/>
        <v>8.437803580515336</v>
      </c>
      <c r="AB3" t="s">
        <v>7</v>
      </c>
    </row>
    <row r="4" spans="1:28" x14ac:dyDescent="0.2">
      <c r="A4" t="s">
        <v>281</v>
      </c>
      <c r="B4">
        <v>1</v>
      </c>
      <c r="C4" t="s">
        <v>104</v>
      </c>
      <c r="D4">
        <v>95.36</v>
      </c>
      <c r="E4">
        <v>8429.1299999999992</v>
      </c>
      <c r="F4">
        <v>471.72</v>
      </c>
      <c r="G4">
        <v>1064.03</v>
      </c>
      <c r="H4">
        <v>846.62</v>
      </c>
      <c r="I4">
        <v>17.059999999999999</v>
      </c>
      <c r="J4">
        <v>1436.08</v>
      </c>
      <c r="K4">
        <v>70.400000000000006</v>
      </c>
      <c r="T4">
        <f t="shared" ref="T4:T10" si="2">D4/L$3*100</f>
        <v>17.716674407803065</v>
      </c>
      <c r="U4">
        <f t="shared" si="1"/>
        <v>85.886644420103408</v>
      </c>
      <c r="V4">
        <f t="shared" si="1"/>
        <v>3.9503269747238363</v>
      </c>
      <c r="W4">
        <f t="shared" si="1"/>
        <v>100</v>
      </c>
      <c r="X4">
        <f t="shared" si="1"/>
        <v>100</v>
      </c>
      <c r="Y4">
        <f t="shared" si="1"/>
        <v>52.395577395577384</v>
      </c>
      <c r="Z4">
        <f t="shared" si="1"/>
        <v>100</v>
      </c>
      <c r="AA4">
        <f t="shared" si="1"/>
        <v>32.566961187953929</v>
      </c>
      <c r="AB4" t="s">
        <v>104</v>
      </c>
    </row>
    <row r="5" spans="1:28" x14ac:dyDescent="0.2">
      <c r="A5" t="s">
        <v>282</v>
      </c>
      <c r="B5">
        <v>1</v>
      </c>
      <c r="C5" t="s">
        <v>283</v>
      </c>
      <c r="D5">
        <v>24.08</v>
      </c>
      <c r="E5">
        <v>797.52</v>
      </c>
      <c r="F5">
        <v>210.23</v>
      </c>
      <c r="G5">
        <v>508.32</v>
      </c>
      <c r="H5">
        <v>76.510000000000005</v>
      </c>
      <c r="I5">
        <v>6.67</v>
      </c>
      <c r="J5">
        <v>547.02</v>
      </c>
      <c r="K5">
        <v>208.56</v>
      </c>
      <c r="T5">
        <f t="shared" si="2"/>
        <v>4.4737575476079883</v>
      </c>
      <c r="U5">
        <f t="shared" si="1"/>
        <v>8.1261431082354747</v>
      </c>
      <c r="V5">
        <f t="shared" si="1"/>
        <v>1.7605300599851437</v>
      </c>
      <c r="W5">
        <f t="shared" si="1"/>
        <v>47.773089104630515</v>
      </c>
      <c r="X5">
        <f t="shared" si="1"/>
        <v>9.0371122817793115</v>
      </c>
      <c r="Y5">
        <f t="shared" si="1"/>
        <v>20.485257985257984</v>
      </c>
      <c r="Z5">
        <f t="shared" si="1"/>
        <v>38.091192691214978</v>
      </c>
      <c r="AA5">
        <f t="shared" si="1"/>
        <v>96.479622519313509</v>
      </c>
      <c r="AB5" t="s">
        <v>283</v>
      </c>
    </row>
    <row r="6" spans="1:28" x14ac:dyDescent="0.2">
      <c r="A6" t="s">
        <v>284</v>
      </c>
      <c r="B6">
        <v>1</v>
      </c>
      <c r="C6" t="s">
        <v>285</v>
      </c>
      <c r="D6">
        <v>81.05</v>
      </c>
      <c r="E6">
        <v>1011.17</v>
      </c>
      <c r="F6">
        <v>74.069999999999993</v>
      </c>
      <c r="G6">
        <v>97.54</v>
      </c>
      <c r="H6" s="118">
        <v>2.12</v>
      </c>
      <c r="I6">
        <v>6.06</v>
      </c>
      <c r="J6">
        <v>94.76</v>
      </c>
      <c r="K6">
        <v>216.17</v>
      </c>
      <c r="T6">
        <f t="shared" si="2"/>
        <v>15.058058522991175</v>
      </c>
      <c r="U6">
        <f t="shared" si="1"/>
        <v>10.303079705530223</v>
      </c>
      <c r="V6">
        <f t="shared" si="1"/>
        <v>0.62028474310564419</v>
      </c>
      <c r="W6">
        <f t="shared" si="1"/>
        <v>9.167034764057405</v>
      </c>
      <c r="X6">
        <f t="shared" si="1"/>
        <v>0.25040750277574353</v>
      </c>
      <c r="Y6">
        <f t="shared" si="1"/>
        <v>18.611793611793608</v>
      </c>
      <c r="Z6">
        <f t="shared" si="1"/>
        <v>6.5985181884017612</v>
      </c>
      <c r="AA6">
        <f t="shared" si="1"/>
        <v>100</v>
      </c>
      <c r="AB6" t="s">
        <v>285</v>
      </c>
    </row>
    <row r="7" spans="1:28" x14ac:dyDescent="0.2">
      <c r="A7" t="s">
        <v>286</v>
      </c>
      <c r="B7">
        <v>1</v>
      </c>
      <c r="C7" t="s">
        <v>287</v>
      </c>
      <c r="D7">
        <v>44.46</v>
      </c>
      <c r="E7">
        <v>9814.25</v>
      </c>
      <c r="F7">
        <v>3235.54</v>
      </c>
      <c r="G7">
        <v>562.14</v>
      </c>
      <c r="H7" s="118">
        <v>2.12</v>
      </c>
      <c r="I7">
        <v>11.27</v>
      </c>
      <c r="J7">
        <v>739.65</v>
      </c>
      <c r="K7">
        <v>94.01</v>
      </c>
      <c r="T7">
        <f t="shared" si="2"/>
        <v>8.2601021830004644</v>
      </c>
      <c r="U7">
        <f t="shared" si="1"/>
        <v>100</v>
      </c>
      <c r="V7">
        <f t="shared" si="1"/>
        <v>27.095397565924618</v>
      </c>
      <c r="W7">
        <f t="shared" si="1"/>
        <v>52.831217164929555</v>
      </c>
      <c r="X7">
        <f t="shared" si="1"/>
        <v>0.25040750277574353</v>
      </c>
      <c r="Y7">
        <f t="shared" si="1"/>
        <v>34.613022113022105</v>
      </c>
      <c r="Z7">
        <f t="shared" si="1"/>
        <v>51.504790819452964</v>
      </c>
      <c r="AA7">
        <f t="shared" si="1"/>
        <v>43.488920756811773</v>
      </c>
      <c r="AB7" t="s">
        <v>287</v>
      </c>
    </row>
    <row r="8" spans="1:28" x14ac:dyDescent="0.2">
      <c r="A8" t="s">
        <v>288</v>
      </c>
      <c r="B8">
        <v>1</v>
      </c>
      <c r="C8" t="s">
        <v>289</v>
      </c>
      <c r="D8">
        <v>18.8</v>
      </c>
      <c r="E8">
        <v>343.14</v>
      </c>
      <c r="F8">
        <v>44.2</v>
      </c>
      <c r="G8">
        <v>57.82</v>
      </c>
      <c r="H8" s="118">
        <v>2.12</v>
      </c>
      <c r="I8" s="118">
        <v>2.04</v>
      </c>
      <c r="J8">
        <v>62.16</v>
      </c>
      <c r="K8">
        <v>49.68</v>
      </c>
      <c r="T8">
        <f t="shared" si="2"/>
        <v>3.4928007431490946</v>
      </c>
      <c r="U8">
        <f t="shared" si="1"/>
        <v>3.4963446009628854</v>
      </c>
      <c r="V8">
        <f t="shared" si="1"/>
        <v>0.37014426414566598</v>
      </c>
      <c r="W8">
        <f t="shared" si="1"/>
        <v>5.4340573104141798</v>
      </c>
      <c r="X8">
        <f t="shared" si="1"/>
        <v>0.25040750277574353</v>
      </c>
      <c r="Y8">
        <f t="shared" si="1"/>
        <v>6.2653562653562647</v>
      </c>
      <c r="Z8">
        <f t="shared" si="1"/>
        <v>4.3284496685421425</v>
      </c>
      <c r="AA8">
        <f t="shared" si="1"/>
        <v>22.981912383772034</v>
      </c>
      <c r="AB8" t="s">
        <v>289</v>
      </c>
    </row>
    <row r="9" spans="1:28" x14ac:dyDescent="0.2">
      <c r="A9" t="s">
        <v>290</v>
      </c>
      <c r="B9">
        <v>1</v>
      </c>
      <c r="C9" t="s">
        <v>106</v>
      </c>
      <c r="D9">
        <v>35.85</v>
      </c>
      <c r="E9">
        <v>2740.13</v>
      </c>
      <c r="F9">
        <v>596.42999999999995</v>
      </c>
      <c r="G9">
        <v>63.01</v>
      </c>
      <c r="H9" s="118">
        <v>2.12</v>
      </c>
      <c r="I9">
        <v>3.44</v>
      </c>
      <c r="J9">
        <v>57.65</v>
      </c>
      <c r="K9">
        <v>72.95</v>
      </c>
      <c r="T9">
        <f t="shared" si="2"/>
        <v>6.6604737575476083</v>
      </c>
      <c r="U9">
        <f t="shared" si="1"/>
        <v>27.919912372315764</v>
      </c>
      <c r="V9">
        <f t="shared" si="1"/>
        <v>4.9946865037194463</v>
      </c>
      <c r="W9">
        <f t="shared" si="1"/>
        <v>5.9218255124385593</v>
      </c>
      <c r="X9">
        <f t="shared" si="1"/>
        <v>0.25040750277574353</v>
      </c>
      <c r="Y9">
        <f t="shared" si="1"/>
        <v>10.565110565110563</v>
      </c>
      <c r="Z9">
        <f t="shared" si="1"/>
        <v>4.0144003119603369</v>
      </c>
      <c r="AA9">
        <f t="shared" si="1"/>
        <v>33.746588333256241</v>
      </c>
      <c r="AB9" t="s">
        <v>106</v>
      </c>
    </row>
    <row r="10" spans="1:28" x14ac:dyDescent="0.2">
      <c r="A10" t="s">
        <v>291</v>
      </c>
      <c r="B10">
        <v>1</v>
      </c>
      <c r="C10" t="s">
        <v>9</v>
      </c>
      <c r="D10">
        <v>538.25</v>
      </c>
      <c r="E10">
        <v>9814.25</v>
      </c>
      <c r="F10">
        <v>11941.29</v>
      </c>
      <c r="G10">
        <v>559.89</v>
      </c>
      <c r="H10" s="118">
        <v>2.12</v>
      </c>
      <c r="I10">
        <v>32.56</v>
      </c>
      <c r="J10">
        <v>667.29</v>
      </c>
      <c r="K10">
        <v>102.67</v>
      </c>
      <c r="T10">
        <f t="shared" si="2"/>
        <v>100</v>
      </c>
      <c r="U10">
        <f t="shared" si="1"/>
        <v>100</v>
      </c>
      <c r="V10">
        <f t="shared" si="1"/>
        <v>100</v>
      </c>
      <c r="W10">
        <f t="shared" si="1"/>
        <v>52.619756961739803</v>
      </c>
      <c r="X10">
        <f t="shared" si="1"/>
        <v>0.25040750277574353</v>
      </c>
      <c r="Y10">
        <f t="shared" si="1"/>
        <v>100</v>
      </c>
      <c r="Z10">
        <f t="shared" si="1"/>
        <v>46.466074313408726</v>
      </c>
      <c r="AA10">
        <f t="shared" si="1"/>
        <v>47.495027062034509</v>
      </c>
      <c r="AB10" t="s">
        <v>9</v>
      </c>
    </row>
    <row r="11" spans="1:28" x14ac:dyDescent="0.2">
      <c r="D11" t="s">
        <v>17</v>
      </c>
      <c r="E11" t="s">
        <v>15</v>
      </c>
      <c r="F11" t="s">
        <v>98</v>
      </c>
      <c r="G11" t="s">
        <v>100</v>
      </c>
      <c r="H11" t="s">
        <v>139</v>
      </c>
      <c r="I11" t="s">
        <v>102</v>
      </c>
      <c r="J11" t="s">
        <v>10</v>
      </c>
      <c r="K11" t="s">
        <v>103</v>
      </c>
      <c r="L11" t="s">
        <v>17</v>
      </c>
      <c r="M11" t="s">
        <v>15</v>
      </c>
      <c r="N11" t="s">
        <v>98</v>
      </c>
      <c r="O11" t="s">
        <v>100</v>
      </c>
      <c r="P11" t="s">
        <v>139</v>
      </c>
      <c r="Q11" t="s">
        <v>102</v>
      </c>
      <c r="R11" t="s">
        <v>10</v>
      </c>
      <c r="S11" t="s">
        <v>103</v>
      </c>
      <c r="T11" t="s">
        <v>17</v>
      </c>
      <c r="U11" t="s">
        <v>15</v>
      </c>
      <c r="V11" t="s">
        <v>98</v>
      </c>
      <c r="W11" t="s">
        <v>100</v>
      </c>
      <c r="X11" t="s">
        <v>139</v>
      </c>
      <c r="Y11" t="s">
        <v>102</v>
      </c>
      <c r="Z11" t="s">
        <v>10</v>
      </c>
      <c r="AA11" t="s">
        <v>103</v>
      </c>
    </row>
    <row r="12" spans="1:28" x14ac:dyDescent="0.2">
      <c r="A12" t="s">
        <v>292</v>
      </c>
      <c r="B12">
        <v>2</v>
      </c>
      <c r="C12" t="s">
        <v>293</v>
      </c>
      <c r="D12">
        <v>12.08</v>
      </c>
      <c r="E12">
        <v>1077.29</v>
      </c>
      <c r="F12">
        <v>36.909999999999997</v>
      </c>
      <c r="G12">
        <v>12.24</v>
      </c>
      <c r="H12" s="118">
        <v>2.12</v>
      </c>
      <c r="I12">
        <v>2.04</v>
      </c>
      <c r="J12">
        <v>6.56</v>
      </c>
      <c r="K12">
        <v>33.5</v>
      </c>
      <c r="L12">
        <f t="shared" ref="L12:S12" si="3">MAX(D12:D19)</f>
        <v>335.33</v>
      </c>
      <c r="M12">
        <f t="shared" si="3"/>
        <v>9814.25</v>
      </c>
      <c r="N12">
        <f t="shared" si="3"/>
        <v>11941.29</v>
      </c>
      <c r="O12">
        <f t="shared" si="3"/>
        <v>900.63</v>
      </c>
      <c r="P12">
        <f t="shared" si="3"/>
        <v>221.97</v>
      </c>
      <c r="Q12">
        <f t="shared" si="3"/>
        <v>48.8</v>
      </c>
      <c r="R12">
        <f t="shared" si="3"/>
        <v>1026.2</v>
      </c>
      <c r="S12">
        <f t="shared" si="3"/>
        <v>332.42</v>
      </c>
      <c r="T12">
        <f>D12/L$12*100</f>
        <v>3.6024214952434916</v>
      </c>
      <c r="U12">
        <f t="shared" ref="U12:AA19" si="4">E12/M$12*100</f>
        <v>10.976793947576228</v>
      </c>
      <c r="V12">
        <f t="shared" si="4"/>
        <v>0.3090955834754871</v>
      </c>
      <c r="W12">
        <f t="shared" si="4"/>
        <v>1.3590486659338463</v>
      </c>
      <c r="X12">
        <f t="shared" si="4"/>
        <v>0.95508402036311224</v>
      </c>
      <c r="Y12">
        <f t="shared" si="4"/>
        <v>4.1803278688524594</v>
      </c>
      <c r="Z12">
        <f t="shared" si="4"/>
        <v>0.63925160787370883</v>
      </c>
      <c r="AA12">
        <f t="shared" si="4"/>
        <v>10.077612658684796</v>
      </c>
      <c r="AB12" t="s">
        <v>293</v>
      </c>
    </row>
    <row r="13" spans="1:28" x14ac:dyDescent="0.2">
      <c r="A13" t="s">
        <v>294</v>
      </c>
      <c r="B13">
        <v>2</v>
      </c>
      <c r="C13" t="s">
        <v>295</v>
      </c>
      <c r="D13">
        <v>51.06</v>
      </c>
      <c r="E13">
        <v>5400.11</v>
      </c>
      <c r="F13">
        <v>548.13</v>
      </c>
      <c r="G13">
        <v>900.63</v>
      </c>
      <c r="H13">
        <v>221.97</v>
      </c>
      <c r="I13">
        <v>9.33</v>
      </c>
      <c r="J13">
        <v>1026.2</v>
      </c>
      <c r="K13">
        <v>91.75</v>
      </c>
      <c r="T13">
        <f t="shared" ref="T13:T19" si="5">D13/L$12*100</f>
        <v>15.226791518802374</v>
      </c>
      <c r="U13">
        <f t="shared" si="4"/>
        <v>55.023155106095722</v>
      </c>
      <c r="V13">
        <f t="shared" si="4"/>
        <v>4.590207590637192</v>
      </c>
      <c r="W13">
        <f t="shared" si="4"/>
        <v>100</v>
      </c>
      <c r="X13">
        <f t="shared" si="4"/>
        <v>100</v>
      </c>
      <c r="Y13">
        <f t="shared" si="4"/>
        <v>19.118852459016395</v>
      </c>
      <c r="Z13">
        <f t="shared" si="4"/>
        <v>100</v>
      </c>
      <c r="AA13">
        <f t="shared" si="4"/>
        <v>27.60062571445761</v>
      </c>
      <c r="AB13" t="s">
        <v>295</v>
      </c>
    </row>
    <row r="14" spans="1:28" x14ac:dyDescent="0.2">
      <c r="A14" t="s">
        <v>296</v>
      </c>
      <c r="B14">
        <v>2</v>
      </c>
      <c r="C14" t="s">
        <v>297</v>
      </c>
      <c r="D14">
        <v>28.44</v>
      </c>
      <c r="E14">
        <v>873.66</v>
      </c>
      <c r="F14">
        <v>166.98</v>
      </c>
      <c r="G14">
        <v>447.21</v>
      </c>
      <c r="H14">
        <v>204.76</v>
      </c>
      <c r="I14">
        <v>7.18</v>
      </c>
      <c r="J14">
        <v>494.1</v>
      </c>
      <c r="K14">
        <v>158.85</v>
      </c>
      <c r="T14">
        <f t="shared" si="5"/>
        <v>8.4811976262189486</v>
      </c>
      <c r="U14">
        <f t="shared" si="4"/>
        <v>8.9019537916804641</v>
      </c>
      <c r="V14">
        <f t="shared" si="4"/>
        <v>1.3983413852272242</v>
      </c>
      <c r="W14">
        <f t="shared" si="4"/>
        <v>49.655241331068254</v>
      </c>
      <c r="X14">
        <f t="shared" si="4"/>
        <v>92.246700004505115</v>
      </c>
      <c r="Y14">
        <f t="shared" si="4"/>
        <v>14.713114754098362</v>
      </c>
      <c r="Z14">
        <f t="shared" si="4"/>
        <v>48.148509062560905</v>
      </c>
      <c r="AA14">
        <f t="shared" si="4"/>
        <v>47.785933457674027</v>
      </c>
      <c r="AB14" t="s">
        <v>297</v>
      </c>
    </row>
    <row r="15" spans="1:28" x14ac:dyDescent="0.2">
      <c r="A15" t="s">
        <v>298</v>
      </c>
      <c r="B15">
        <v>2</v>
      </c>
      <c r="C15" t="s">
        <v>299</v>
      </c>
      <c r="D15">
        <v>52.35</v>
      </c>
      <c r="E15">
        <v>9814.25</v>
      </c>
      <c r="F15">
        <v>2529.4499999999998</v>
      </c>
      <c r="G15">
        <v>244.03</v>
      </c>
      <c r="H15" s="118">
        <v>2.12</v>
      </c>
      <c r="I15">
        <v>5.86</v>
      </c>
      <c r="J15">
        <v>278.20999999999998</v>
      </c>
      <c r="K15">
        <v>41.92</v>
      </c>
      <c r="T15">
        <f t="shared" si="5"/>
        <v>15.611487191721588</v>
      </c>
      <c r="U15">
        <f t="shared" si="4"/>
        <v>100</v>
      </c>
      <c r="V15">
        <f t="shared" si="4"/>
        <v>21.182384817720695</v>
      </c>
      <c r="W15">
        <f t="shared" si="4"/>
        <v>27.095477610117364</v>
      </c>
      <c r="X15">
        <f t="shared" si="4"/>
        <v>0.95508402036311224</v>
      </c>
      <c r="Y15">
        <f t="shared" si="4"/>
        <v>12.008196721311478</v>
      </c>
      <c r="Z15">
        <f t="shared" si="4"/>
        <v>27.110699668680567</v>
      </c>
      <c r="AA15">
        <f t="shared" si="4"/>
        <v>12.610552914987064</v>
      </c>
      <c r="AB15" t="s">
        <v>299</v>
      </c>
    </row>
    <row r="16" spans="1:28" x14ac:dyDescent="0.2">
      <c r="A16" t="s">
        <v>300</v>
      </c>
      <c r="B16">
        <v>2</v>
      </c>
      <c r="C16" t="s">
        <v>301</v>
      </c>
      <c r="D16">
        <v>55.22</v>
      </c>
      <c r="E16">
        <v>620.83000000000004</v>
      </c>
      <c r="F16">
        <v>50.73</v>
      </c>
      <c r="G16">
        <v>66.739999999999995</v>
      </c>
      <c r="H16" s="118">
        <v>2.12</v>
      </c>
      <c r="I16">
        <v>2.04</v>
      </c>
      <c r="J16">
        <v>53.93</v>
      </c>
      <c r="K16">
        <v>23.45</v>
      </c>
      <c r="T16">
        <f t="shared" si="5"/>
        <v>16.467360510541855</v>
      </c>
      <c r="U16">
        <f t="shared" si="4"/>
        <v>6.325801767837584</v>
      </c>
      <c r="V16">
        <f t="shared" si="4"/>
        <v>0.42482847330564782</v>
      </c>
      <c r="W16">
        <f t="shared" si="4"/>
        <v>7.4103682977471319</v>
      </c>
      <c r="X16">
        <f t="shared" si="4"/>
        <v>0.95508402036311224</v>
      </c>
      <c r="Y16">
        <f t="shared" si="4"/>
        <v>4.1803278688524594</v>
      </c>
      <c r="Z16">
        <f t="shared" si="4"/>
        <v>5.2553108555837067</v>
      </c>
      <c r="AA16">
        <f t="shared" si="4"/>
        <v>7.0543288610793562</v>
      </c>
      <c r="AB16" t="s">
        <v>301</v>
      </c>
    </row>
    <row r="17" spans="1:28" x14ac:dyDescent="0.2">
      <c r="A17" t="s">
        <v>302</v>
      </c>
      <c r="B17">
        <v>2</v>
      </c>
      <c r="C17" t="s">
        <v>303</v>
      </c>
      <c r="D17">
        <v>16.649999999999999</v>
      </c>
      <c r="E17">
        <v>394.96</v>
      </c>
      <c r="F17">
        <v>50.61</v>
      </c>
      <c r="G17">
        <v>53.61</v>
      </c>
      <c r="H17" s="118">
        <v>2.12</v>
      </c>
      <c r="I17" s="118">
        <v>2.04</v>
      </c>
      <c r="J17">
        <v>40.74</v>
      </c>
      <c r="K17">
        <v>21.1</v>
      </c>
      <c r="T17">
        <f t="shared" si="5"/>
        <v>4.9652581039572956</v>
      </c>
      <c r="U17">
        <f t="shared" si="4"/>
        <v>4.0243523448047478</v>
      </c>
      <c r="V17">
        <f t="shared" si="4"/>
        <v>0.42382355675140626</v>
      </c>
      <c r="W17">
        <f t="shared" si="4"/>
        <v>5.9524999167249595</v>
      </c>
      <c r="X17">
        <f t="shared" si="4"/>
        <v>0.95508402036311224</v>
      </c>
      <c r="Y17">
        <f t="shared" si="4"/>
        <v>4.1803278688524594</v>
      </c>
      <c r="Z17">
        <f t="shared" si="4"/>
        <v>3.9699863574351979</v>
      </c>
      <c r="AA17">
        <f t="shared" si="4"/>
        <v>6.3473918536790812</v>
      </c>
      <c r="AB17" t="s">
        <v>303</v>
      </c>
    </row>
    <row r="18" spans="1:28" x14ac:dyDescent="0.2">
      <c r="A18" t="s">
        <v>304</v>
      </c>
      <c r="B18">
        <v>2</v>
      </c>
      <c r="C18" t="s">
        <v>305</v>
      </c>
      <c r="D18">
        <v>10.07</v>
      </c>
      <c r="E18">
        <v>1285.6199999999999</v>
      </c>
      <c r="F18">
        <v>204.03</v>
      </c>
      <c r="G18">
        <v>28.12</v>
      </c>
      <c r="H18" s="118">
        <v>2.12</v>
      </c>
      <c r="I18">
        <v>2.04</v>
      </c>
      <c r="J18">
        <v>34.14</v>
      </c>
      <c r="K18">
        <v>27.2</v>
      </c>
      <c r="T18">
        <f t="shared" si="5"/>
        <v>3.0030119583693677</v>
      </c>
      <c r="U18">
        <f t="shared" si="4"/>
        <v>13.099523651832792</v>
      </c>
      <c r="V18">
        <f t="shared" si="4"/>
        <v>1.7086093713493264</v>
      </c>
      <c r="W18">
        <f t="shared" si="4"/>
        <v>3.1222588632401767</v>
      </c>
      <c r="X18">
        <f t="shared" si="4"/>
        <v>0.95508402036311224</v>
      </c>
      <c r="Y18">
        <f t="shared" si="4"/>
        <v>4.1803278688524594</v>
      </c>
      <c r="Z18">
        <f t="shared" si="4"/>
        <v>3.3268368739037228</v>
      </c>
      <c r="AA18">
        <f t="shared" si="4"/>
        <v>8.1824198303351174</v>
      </c>
      <c r="AB18" t="s">
        <v>305</v>
      </c>
    </row>
    <row r="19" spans="1:28" x14ac:dyDescent="0.2">
      <c r="A19" t="s">
        <v>306</v>
      </c>
      <c r="B19">
        <v>2</v>
      </c>
      <c r="C19" t="s">
        <v>307</v>
      </c>
      <c r="D19">
        <v>335.33</v>
      </c>
      <c r="E19">
        <v>9814.25</v>
      </c>
      <c r="F19" s="82">
        <v>11941.29</v>
      </c>
      <c r="G19">
        <v>634.35</v>
      </c>
      <c r="H19" s="118">
        <v>2.12</v>
      </c>
      <c r="I19">
        <v>48.8</v>
      </c>
      <c r="J19">
        <v>772.29</v>
      </c>
      <c r="K19">
        <v>332.42</v>
      </c>
      <c r="T19">
        <f t="shared" si="5"/>
        <v>100</v>
      </c>
      <c r="U19">
        <f t="shared" si="4"/>
        <v>100</v>
      </c>
      <c r="V19">
        <f t="shared" si="4"/>
        <v>100</v>
      </c>
      <c r="W19">
        <f t="shared" si="4"/>
        <v>70.434029512674471</v>
      </c>
      <c r="X19">
        <f t="shared" si="4"/>
        <v>0.95508402036311224</v>
      </c>
      <c r="Y19">
        <f t="shared" si="4"/>
        <v>100</v>
      </c>
      <c r="Z19">
        <f t="shared" si="4"/>
        <v>75.257259793412572</v>
      </c>
      <c r="AA19">
        <f t="shared" si="4"/>
        <v>100</v>
      </c>
      <c r="AB19" t="s">
        <v>307</v>
      </c>
    </row>
    <row r="20" spans="1:28" x14ac:dyDescent="0.2">
      <c r="A20" s="90"/>
      <c r="B20" s="90"/>
      <c r="C20" s="90"/>
      <c r="AB20" s="90"/>
    </row>
    <row r="21" spans="1:28" x14ac:dyDescent="0.2">
      <c r="A21" s="90"/>
      <c r="B21" s="90"/>
      <c r="C21" s="90"/>
    </row>
    <row r="22" spans="1:28" x14ac:dyDescent="0.2">
      <c r="A22" t="s">
        <v>122</v>
      </c>
      <c r="D22" t="s">
        <v>17</v>
      </c>
      <c r="E22" t="s">
        <v>15</v>
      </c>
      <c r="F22" t="s">
        <v>98</v>
      </c>
      <c r="G22" t="s">
        <v>100</v>
      </c>
      <c r="H22" t="s">
        <v>139</v>
      </c>
      <c r="I22" t="s">
        <v>102</v>
      </c>
      <c r="J22" t="s">
        <v>10</v>
      </c>
      <c r="K22" t="s">
        <v>103</v>
      </c>
      <c r="L22" t="s">
        <v>17</v>
      </c>
      <c r="M22" t="s">
        <v>15</v>
      </c>
      <c r="N22" t="s">
        <v>98</v>
      </c>
      <c r="O22" t="s">
        <v>100</v>
      </c>
      <c r="P22" t="s">
        <v>139</v>
      </c>
      <c r="Q22" t="s">
        <v>102</v>
      </c>
      <c r="R22" t="s">
        <v>10</v>
      </c>
      <c r="S22" t="s">
        <v>103</v>
      </c>
      <c r="T22" t="s">
        <v>17</v>
      </c>
      <c r="U22" t="s">
        <v>15</v>
      </c>
      <c r="V22" t="s">
        <v>98</v>
      </c>
      <c r="W22" t="s">
        <v>100</v>
      </c>
      <c r="X22" t="s">
        <v>139</v>
      </c>
      <c r="Y22" t="s">
        <v>102</v>
      </c>
      <c r="Z22" t="s">
        <v>10</v>
      </c>
      <c r="AA22" t="s">
        <v>103</v>
      </c>
    </row>
    <row r="23" spans="1:28" x14ac:dyDescent="0.2">
      <c r="A23" t="s">
        <v>308</v>
      </c>
      <c r="B23">
        <v>3</v>
      </c>
      <c r="C23" t="s">
        <v>7</v>
      </c>
      <c r="D23">
        <v>3.24</v>
      </c>
      <c r="E23">
        <v>421.25</v>
      </c>
      <c r="F23">
        <v>14.84</v>
      </c>
      <c r="G23">
        <v>22.22</v>
      </c>
      <c r="H23" s="118">
        <v>2.12</v>
      </c>
      <c r="I23">
        <v>6.12</v>
      </c>
      <c r="J23">
        <v>39.950000000000003</v>
      </c>
      <c r="K23">
        <v>9.81</v>
      </c>
      <c r="L23">
        <f t="shared" ref="L23:S23" si="6">MAX(D23:D32)</f>
        <v>214.21</v>
      </c>
      <c r="M23">
        <f t="shared" si="6"/>
        <v>9814.25</v>
      </c>
      <c r="N23">
        <f t="shared" si="6"/>
        <v>11941.29</v>
      </c>
      <c r="O23">
        <f t="shared" si="6"/>
        <v>11977.43</v>
      </c>
      <c r="P23">
        <f t="shared" si="6"/>
        <v>91.13</v>
      </c>
      <c r="Q23">
        <f t="shared" si="6"/>
        <v>88.22</v>
      </c>
      <c r="R23">
        <f t="shared" si="6"/>
        <v>11786.03</v>
      </c>
      <c r="S23">
        <f t="shared" si="6"/>
        <v>1519.58</v>
      </c>
      <c r="T23">
        <f>D23/L$23*100</f>
        <v>1.5125344288315206</v>
      </c>
      <c r="U23">
        <f t="shared" ref="U23:AA32" si="7">E23/M$23*100</f>
        <v>4.292228137656978</v>
      </c>
      <c r="V23">
        <f t="shared" si="7"/>
        <v>0.12427468054121454</v>
      </c>
      <c r="W23">
        <f t="shared" si="7"/>
        <v>0.18551559057326988</v>
      </c>
      <c r="X23">
        <f t="shared" si="7"/>
        <v>2.3263469768462639</v>
      </c>
      <c r="Y23">
        <f t="shared" si="7"/>
        <v>6.9372024484243937</v>
      </c>
      <c r="Z23">
        <f t="shared" si="7"/>
        <v>0.33896061693377666</v>
      </c>
      <c r="AA23">
        <f t="shared" si="7"/>
        <v>0.64557311888811397</v>
      </c>
      <c r="AB23" t="s">
        <v>7</v>
      </c>
    </row>
    <row r="24" spans="1:28" x14ac:dyDescent="0.2">
      <c r="A24" t="s">
        <v>309</v>
      </c>
      <c r="B24">
        <v>3</v>
      </c>
      <c r="C24" t="s">
        <v>104</v>
      </c>
      <c r="D24">
        <v>214.21</v>
      </c>
      <c r="E24" s="82">
        <v>9814.25</v>
      </c>
      <c r="F24" s="82">
        <v>11941.29</v>
      </c>
      <c r="G24" s="82">
        <v>11977.43</v>
      </c>
      <c r="H24">
        <v>81.66</v>
      </c>
      <c r="I24">
        <v>28.24</v>
      </c>
      <c r="J24">
        <v>2673.8</v>
      </c>
      <c r="K24">
        <v>41.56</v>
      </c>
      <c r="T24">
        <f t="shared" ref="T24:T32" si="8">D24/L$23*100</f>
        <v>100</v>
      </c>
      <c r="U24">
        <f t="shared" si="7"/>
        <v>100</v>
      </c>
      <c r="V24">
        <f t="shared" si="7"/>
        <v>100</v>
      </c>
      <c r="W24">
        <f t="shared" si="7"/>
        <v>100</v>
      </c>
      <c r="X24">
        <f t="shared" si="7"/>
        <v>89.608251947766931</v>
      </c>
      <c r="Y24">
        <f t="shared" si="7"/>
        <v>32.010881886193602</v>
      </c>
      <c r="Z24">
        <f t="shared" si="7"/>
        <v>22.686180164143483</v>
      </c>
      <c r="AA24">
        <f t="shared" si="7"/>
        <v>2.7349662406717647</v>
      </c>
      <c r="AB24" t="s">
        <v>104</v>
      </c>
    </row>
    <row r="25" spans="1:28" x14ac:dyDescent="0.2">
      <c r="A25" t="s">
        <v>310</v>
      </c>
      <c r="B25">
        <v>3</v>
      </c>
      <c r="C25" t="s">
        <v>283</v>
      </c>
      <c r="D25">
        <v>87.96</v>
      </c>
      <c r="E25">
        <v>5528.91</v>
      </c>
      <c r="F25" s="82">
        <v>11941.29</v>
      </c>
      <c r="G25" s="82">
        <v>11977.43</v>
      </c>
      <c r="H25">
        <v>91.13</v>
      </c>
      <c r="I25">
        <v>81.96</v>
      </c>
      <c r="J25" s="82">
        <v>11786.03</v>
      </c>
      <c r="K25">
        <v>1519.58</v>
      </c>
      <c r="T25">
        <f t="shared" si="8"/>
        <v>41.06250875309275</v>
      </c>
      <c r="U25">
        <f t="shared" si="7"/>
        <v>56.335532516493871</v>
      </c>
      <c r="V25">
        <f t="shared" si="7"/>
        <v>100</v>
      </c>
      <c r="W25">
        <f t="shared" si="7"/>
        <v>100</v>
      </c>
      <c r="X25">
        <f t="shared" si="7"/>
        <v>100</v>
      </c>
      <c r="Y25">
        <f t="shared" si="7"/>
        <v>92.90410337791883</v>
      </c>
      <c r="Z25">
        <f t="shared" si="7"/>
        <v>100</v>
      </c>
      <c r="AA25">
        <f t="shared" si="7"/>
        <v>100</v>
      </c>
      <c r="AB25" t="s">
        <v>283</v>
      </c>
    </row>
    <row r="26" spans="1:28" x14ac:dyDescent="0.2">
      <c r="A26" t="s">
        <v>311</v>
      </c>
      <c r="B26">
        <v>3</v>
      </c>
      <c r="C26" t="s">
        <v>105</v>
      </c>
      <c r="D26">
        <v>66.2</v>
      </c>
      <c r="E26" s="82">
        <v>9814.25</v>
      </c>
      <c r="F26" s="82">
        <v>11941.29</v>
      </c>
      <c r="G26">
        <v>5157.13</v>
      </c>
      <c r="H26" s="118">
        <v>2.12</v>
      </c>
      <c r="I26">
        <v>31.93</v>
      </c>
      <c r="J26">
        <v>4768.04</v>
      </c>
      <c r="K26">
        <v>626.54</v>
      </c>
      <c r="T26">
        <f t="shared" si="8"/>
        <v>30.904252836002055</v>
      </c>
      <c r="U26">
        <f t="shared" si="7"/>
        <v>100</v>
      </c>
      <c r="V26">
        <f t="shared" si="7"/>
        <v>100</v>
      </c>
      <c r="W26">
        <f t="shared" si="7"/>
        <v>43.057066499240655</v>
      </c>
      <c r="X26">
        <f t="shared" si="7"/>
        <v>2.3263469768462639</v>
      </c>
      <c r="Y26">
        <f t="shared" si="7"/>
        <v>36.193606891861258</v>
      </c>
      <c r="Z26">
        <f t="shared" si="7"/>
        <v>40.45501326570524</v>
      </c>
      <c r="AA26">
        <f t="shared" si="7"/>
        <v>41.231129654246566</v>
      </c>
      <c r="AB26" t="s">
        <v>105</v>
      </c>
    </row>
    <row r="27" spans="1:28" x14ac:dyDescent="0.2">
      <c r="A27" t="s">
        <v>312</v>
      </c>
      <c r="B27">
        <v>3</v>
      </c>
      <c r="C27" t="s">
        <v>313</v>
      </c>
      <c r="D27">
        <v>148.26</v>
      </c>
      <c r="E27">
        <v>2801.98</v>
      </c>
      <c r="F27" s="82">
        <v>11941.29</v>
      </c>
      <c r="G27">
        <v>677.72</v>
      </c>
      <c r="H27">
        <v>37.799999999999997</v>
      </c>
      <c r="I27">
        <v>36.229999999999997</v>
      </c>
      <c r="J27">
        <v>675.59</v>
      </c>
      <c r="K27">
        <v>206.91</v>
      </c>
      <c r="T27">
        <f t="shared" si="8"/>
        <v>69.212455067457157</v>
      </c>
      <c r="U27">
        <f t="shared" si="7"/>
        <v>28.550118450212704</v>
      </c>
      <c r="V27">
        <f t="shared" si="7"/>
        <v>100</v>
      </c>
      <c r="W27">
        <f t="shared" si="7"/>
        <v>5.658309002849526</v>
      </c>
      <c r="X27">
        <f t="shared" si="7"/>
        <v>41.479205530560733</v>
      </c>
      <c r="Y27">
        <f t="shared" si="7"/>
        <v>41.067785082747669</v>
      </c>
      <c r="Z27">
        <f t="shared" si="7"/>
        <v>5.7321252364027586</v>
      </c>
      <c r="AA27">
        <f t="shared" si="7"/>
        <v>13.616262388291503</v>
      </c>
      <c r="AB27" t="s">
        <v>313</v>
      </c>
    </row>
    <row r="28" spans="1:28" x14ac:dyDescent="0.2">
      <c r="A28" t="s">
        <v>314</v>
      </c>
      <c r="B28">
        <v>3</v>
      </c>
      <c r="C28" t="s">
        <v>289</v>
      </c>
      <c r="D28" s="119">
        <v>2.17</v>
      </c>
      <c r="E28">
        <v>357.05</v>
      </c>
      <c r="F28">
        <v>33.15</v>
      </c>
      <c r="G28">
        <v>17.329999999999998</v>
      </c>
      <c r="H28" s="118">
        <v>2.12</v>
      </c>
      <c r="I28">
        <v>11.57</v>
      </c>
      <c r="J28">
        <v>3.49</v>
      </c>
      <c r="K28" t="s">
        <v>315</v>
      </c>
      <c r="T28">
        <f t="shared" si="8"/>
        <v>1.0130246020260492</v>
      </c>
      <c r="U28">
        <f t="shared" si="7"/>
        <v>3.6380772855796417</v>
      </c>
      <c r="V28">
        <f t="shared" si="7"/>
        <v>0.27760819810924947</v>
      </c>
      <c r="W28">
        <f t="shared" si="7"/>
        <v>0.14468880218878338</v>
      </c>
      <c r="X28">
        <f t="shared" si="7"/>
        <v>2.3263469768462639</v>
      </c>
      <c r="Y28">
        <f t="shared" si="7"/>
        <v>13.114939922919975</v>
      </c>
      <c r="Z28">
        <f t="shared" si="7"/>
        <v>2.9611327987456339E-2</v>
      </c>
      <c r="AA28" t="e">
        <f t="shared" si="7"/>
        <v>#VALUE!</v>
      </c>
      <c r="AB28" t="s">
        <v>289</v>
      </c>
    </row>
    <row r="29" spans="1:28" x14ac:dyDescent="0.2">
      <c r="A29" t="s">
        <v>316</v>
      </c>
      <c r="B29">
        <v>3</v>
      </c>
      <c r="C29" t="s">
        <v>106</v>
      </c>
      <c r="D29" s="119">
        <v>2.17</v>
      </c>
      <c r="E29">
        <v>1075.8499999999999</v>
      </c>
      <c r="F29">
        <v>455.74</v>
      </c>
      <c r="G29">
        <v>1559.19</v>
      </c>
      <c r="H29" s="118">
        <v>2.12</v>
      </c>
      <c r="I29">
        <v>14.98</v>
      </c>
      <c r="J29">
        <v>1624.58</v>
      </c>
      <c r="K29">
        <v>5.85</v>
      </c>
      <c r="T29">
        <f t="shared" si="8"/>
        <v>1.0130246020260492</v>
      </c>
      <c r="U29">
        <f t="shared" si="7"/>
        <v>10.962121405099728</v>
      </c>
      <c r="V29">
        <f t="shared" si="7"/>
        <v>3.8165055869173266</v>
      </c>
      <c r="W29">
        <f t="shared" si="7"/>
        <v>13.01773418838599</v>
      </c>
      <c r="X29">
        <f t="shared" si="7"/>
        <v>2.3263469768462639</v>
      </c>
      <c r="Y29">
        <f t="shared" si="7"/>
        <v>16.980276581274087</v>
      </c>
      <c r="Z29">
        <f t="shared" si="7"/>
        <v>13.783945908842925</v>
      </c>
      <c r="AA29">
        <f t="shared" si="7"/>
        <v>0.38497479566722387</v>
      </c>
      <c r="AB29" t="s">
        <v>106</v>
      </c>
    </row>
    <row r="30" spans="1:28" x14ac:dyDescent="0.2">
      <c r="A30" t="s">
        <v>317</v>
      </c>
      <c r="B30">
        <v>3</v>
      </c>
      <c r="C30" t="s">
        <v>9</v>
      </c>
      <c r="D30">
        <v>34.369999999999997</v>
      </c>
      <c r="E30" s="82">
        <v>9814.25</v>
      </c>
      <c r="F30" s="82">
        <v>11941.29</v>
      </c>
      <c r="G30">
        <v>1700.49</v>
      </c>
      <c r="H30" s="118">
        <v>2.12</v>
      </c>
      <c r="I30">
        <v>88.22</v>
      </c>
      <c r="J30">
        <v>1567.12</v>
      </c>
      <c r="K30">
        <v>10.85</v>
      </c>
      <c r="T30">
        <f t="shared" si="8"/>
        <v>16.045002567573874</v>
      </c>
      <c r="U30">
        <f t="shared" si="7"/>
        <v>100</v>
      </c>
      <c r="V30">
        <f t="shared" si="7"/>
        <v>100</v>
      </c>
      <c r="W30">
        <f t="shared" si="7"/>
        <v>14.19745304293158</v>
      </c>
      <c r="X30">
        <f t="shared" si="7"/>
        <v>2.3263469768462639</v>
      </c>
      <c r="Y30">
        <f t="shared" si="7"/>
        <v>100</v>
      </c>
      <c r="Z30">
        <f t="shared" si="7"/>
        <v>13.296419574699875</v>
      </c>
      <c r="AA30">
        <f t="shared" si="7"/>
        <v>0.7140130825622869</v>
      </c>
      <c r="AB30" t="s">
        <v>9</v>
      </c>
    </row>
    <row r="31" spans="1:28" x14ac:dyDescent="0.2">
      <c r="A31" t="s">
        <v>318</v>
      </c>
      <c r="B31">
        <v>3</v>
      </c>
      <c r="C31" t="s">
        <v>319</v>
      </c>
      <c r="D31">
        <v>27.36</v>
      </c>
      <c r="E31">
        <v>997.9</v>
      </c>
      <c r="F31">
        <v>15.07</v>
      </c>
      <c r="G31">
        <v>29.5</v>
      </c>
      <c r="H31" s="118">
        <v>2.12</v>
      </c>
      <c r="I31">
        <v>25.92</v>
      </c>
      <c r="J31">
        <v>18.36</v>
      </c>
      <c r="K31">
        <v>6.39</v>
      </c>
      <c r="T31">
        <f t="shared" si="8"/>
        <v>12.772512954577284</v>
      </c>
      <c r="U31">
        <f t="shared" si="7"/>
        <v>10.167868150903022</v>
      </c>
      <c r="V31">
        <f t="shared" si="7"/>
        <v>0.12620077060351101</v>
      </c>
      <c r="W31">
        <f t="shared" si="7"/>
        <v>0.24629657614363012</v>
      </c>
      <c r="X31">
        <f t="shared" si="7"/>
        <v>2.3263469768462639</v>
      </c>
      <c r="Y31">
        <f t="shared" si="7"/>
        <v>29.381092722738611</v>
      </c>
      <c r="Z31">
        <f t="shared" si="7"/>
        <v>0.15577764522913989</v>
      </c>
      <c r="AA31">
        <f t="shared" si="7"/>
        <v>0.42051093065189071</v>
      </c>
      <c r="AB31" t="s">
        <v>319</v>
      </c>
    </row>
    <row r="32" spans="1:28" x14ac:dyDescent="0.2">
      <c r="A32" t="s">
        <v>320</v>
      </c>
      <c r="B32">
        <v>3</v>
      </c>
      <c r="C32" t="s">
        <v>1233</v>
      </c>
      <c r="D32">
        <v>14.95</v>
      </c>
      <c r="E32">
        <v>378</v>
      </c>
      <c r="F32">
        <v>4.08</v>
      </c>
      <c r="G32">
        <v>10.18</v>
      </c>
      <c r="H32" s="118">
        <v>2.12</v>
      </c>
      <c r="I32">
        <v>65.3</v>
      </c>
      <c r="J32">
        <v>6.49</v>
      </c>
      <c r="K32">
        <v>5.0599999999999996</v>
      </c>
      <c r="T32">
        <f t="shared" si="8"/>
        <v>6.9791326268614906</v>
      </c>
      <c r="U32">
        <f t="shared" si="7"/>
        <v>3.8515424000815139</v>
      </c>
      <c r="V32">
        <f t="shared" si="7"/>
        <v>3.4167162844215324E-2</v>
      </c>
      <c r="W32">
        <f t="shared" si="7"/>
        <v>8.4993191360751008E-2</v>
      </c>
      <c r="X32">
        <f t="shared" si="7"/>
        <v>2.3263469768462639</v>
      </c>
      <c r="Y32">
        <f t="shared" si="7"/>
        <v>74.019496712763541</v>
      </c>
      <c r="Z32">
        <f t="shared" si="7"/>
        <v>5.5065191586988999E-2</v>
      </c>
      <c r="AA32">
        <f t="shared" si="7"/>
        <v>0.33298674633780384</v>
      </c>
      <c r="AB32" t="s">
        <v>1233</v>
      </c>
    </row>
    <row r="33" spans="1:28" x14ac:dyDescent="0.2">
      <c r="A33" s="90"/>
      <c r="B33" s="90"/>
      <c r="C33" s="90"/>
      <c r="D33" t="s">
        <v>131</v>
      </c>
      <c r="E33" t="s">
        <v>15</v>
      </c>
      <c r="F33" t="s">
        <v>321</v>
      </c>
      <c r="G33" t="s">
        <v>100</v>
      </c>
      <c r="H33" t="s">
        <v>101</v>
      </c>
      <c r="I33" t="s">
        <v>102</v>
      </c>
      <c r="J33" t="s">
        <v>10</v>
      </c>
      <c r="K33" t="s">
        <v>103</v>
      </c>
      <c r="L33" t="s">
        <v>131</v>
      </c>
      <c r="M33" t="s">
        <v>15</v>
      </c>
      <c r="N33" t="s">
        <v>321</v>
      </c>
      <c r="O33" t="s">
        <v>100</v>
      </c>
      <c r="P33" t="s">
        <v>101</v>
      </c>
      <c r="Q33" t="s">
        <v>102</v>
      </c>
      <c r="R33" t="s">
        <v>10</v>
      </c>
      <c r="S33" t="s">
        <v>103</v>
      </c>
      <c r="T33" t="s">
        <v>17</v>
      </c>
      <c r="U33" t="s">
        <v>15</v>
      </c>
      <c r="V33" t="s">
        <v>98</v>
      </c>
      <c r="W33" t="s">
        <v>100</v>
      </c>
      <c r="X33" t="s">
        <v>139</v>
      </c>
      <c r="Y33" t="s">
        <v>102</v>
      </c>
      <c r="Z33" t="s">
        <v>10</v>
      </c>
      <c r="AA33" t="s">
        <v>103</v>
      </c>
      <c r="AB33" s="90"/>
    </row>
    <row r="34" spans="1:28" x14ac:dyDescent="0.2">
      <c r="A34" t="s">
        <v>322</v>
      </c>
      <c r="B34">
        <v>4</v>
      </c>
      <c r="C34" t="s">
        <v>7</v>
      </c>
      <c r="D34">
        <v>1.79</v>
      </c>
      <c r="E34">
        <v>332.92</v>
      </c>
      <c r="F34">
        <v>1.92</v>
      </c>
      <c r="G34">
        <v>4.1399999999999997</v>
      </c>
      <c r="H34">
        <v>0.93</v>
      </c>
      <c r="I34">
        <v>1.66</v>
      </c>
      <c r="J34">
        <v>16.32</v>
      </c>
      <c r="K34">
        <v>9.8000000000000007</v>
      </c>
      <c r="L34">
        <f t="shared" ref="L34:S34" si="9">MAX(D34:D41)</f>
        <v>65.31</v>
      </c>
      <c r="M34">
        <f t="shared" si="9"/>
        <v>10957.8</v>
      </c>
      <c r="N34">
        <f t="shared" si="9"/>
        <v>927.98</v>
      </c>
      <c r="O34">
        <f t="shared" si="9"/>
        <v>1019.81</v>
      </c>
      <c r="P34">
        <f t="shared" si="9"/>
        <v>1379.66</v>
      </c>
      <c r="Q34">
        <f t="shared" si="9"/>
        <v>267.45999999999998</v>
      </c>
      <c r="R34">
        <f t="shared" si="9"/>
        <v>50.39</v>
      </c>
      <c r="S34">
        <f t="shared" si="9"/>
        <v>31.42</v>
      </c>
      <c r="T34">
        <f>D34/L$34*100</f>
        <v>2.7407747664982391</v>
      </c>
      <c r="U34">
        <f t="shared" ref="U34:AA41" si="10">E34/M$34*100</f>
        <v>3.0382010987607004</v>
      </c>
      <c r="V34">
        <f t="shared" si="10"/>
        <v>0.2069010107976465</v>
      </c>
      <c r="W34">
        <f t="shared" si="10"/>
        <v>0.40595797256351673</v>
      </c>
      <c r="X34">
        <f t="shared" si="10"/>
        <v>6.7407912094284095E-2</v>
      </c>
      <c r="Y34">
        <f t="shared" si="10"/>
        <v>0.62065355567187619</v>
      </c>
      <c r="Z34">
        <f t="shared" si="10"/>
        <v>32.387378448104784</v>
      </c>
      <c r="AA34">
        <f t="shared" si="10"/>
        <v>31.190324633991089</v>
      </c>
      <c r="AB34" t="s">
        <v>7</v>
      </c>
    </row>
    <row r="35" spans="1:28" x14ac:dyDescent="0.2">
      <c r="A35" t="s">
        <v>323</v>
      </c>
      <c r="B35">
        <v>4</v>
      </c>
      <c r="C35" t="s">
        <v>104</v>
      </c>
      <c r="D35">
        <v>45.66</v>
      </c>
      <c r="E35">
        <v>1687.93</v>
      </c>
      <c r="F35">
        <v>560.67999999999995</v>
      </c>
      <c r="G35">
        <v>1019.81</v>
      </c>
      <c r="H35">
        <v>1379.66</v>
      </c>
      <c r="I35">
        <v>267.45999999999998</v>
      </c>
      <c r="J35">
        <v>29.24</v>
      </c>
      <c r="K35">
        <v>30.83</v>
      </c>
      <c r="T35">
        <f t="shared" ref="T35:T41" si="11">D35/L$34*100</f>
        <v>69.912723932016533</v>
      </c>
      <c r="U35">
        <f t="shared" si="10"/>
        <v>15.403913194254324</v>
      </c>
      <c r="V35">
        <f t="shared" si="10"/>
        <v>60.419405590637723</v>
      </c>
      <c r="W35">
        <f t="shared" si="10"/>
        <v>100</v>
      </c>
      <c r="X35">
        <f t="shared" si="10"/>
        <v>100</v>
      </c>
      <c r="Y35">
        <f t="shared" si="10"/>
        <v>100</v>
      </c>
      <c r="Z35">
        <f t="shared" si="10"/>
        <v>58.027386386187729</v>
      </c>
      <c r="AA35">
        <f t="shared" si="10"/>
        <v>98.122215149586239</v>
      </c>
      <c r="AB35" t="s">
        <v>104</v>
      </c>
    </row>
    <row r="36" spans="1:28" x14ac:dyDescent="0.2">
      <c r="A36" t="s">
        <v>324</v>
      </c>
      <c r="B36">
        <v>4</v>
      </c>
      <c r="C36" t="s">
        <v>283</v>
      </c>
      <c r="D36">
        <v>11.91</v>
      </c>
      <c r="E36">
        <v>233.5</v>
      </c>
      <c r="F36">
        <v>519.61</v>
      </c>
      <c r="G36">
        <v>188.45</v>
      </c>
      <c r="H36">
        <v>140.80000000000001</v>
      </c>
      <c r="I36">
        <v>76.239999999999995</v>
      </c>
      <c r="J36">
        <v>15.18</v>
      </c>
      <c r="K36">
        <v>31.42</v>
      </c>
      <c r="T36">
        <f t="shared" si="11"/>
        <v>18.236104731281578</v>
      </c>
      <c r="U36">
        <f t="shared" si="10"/>
        <v>2.1309021883954808</v>
      </c>
      <c r="V36">
        <f t="shared" si="10"/>
        <v>55.993663656544321</v>
      </c>
      <c r="W36">
        <f t="shared" si="10"/>
        <v>18.478932350143655</v>
      </c>
      <c r="X36">
        <f t="shared" si="10"/>
        <v>10.205412927822797</v>
      </c>
      <c r="Y36">
        <f t="shared" si="10"/>
        <v>28.505197038809545</v>
      </c>
      <c r="Z36">
        <f t="shared" si="10"/>
        <v>30.125024806509227</v>
      </c>
      <c r="AA36">
        <f t="shared" si="10"/>
        <v>100</v>
      </c>
      <c r="AB36" t="s">
        <v>283</v>
      </c>
    </row>
    <row r="37" spans="1:28" x14ac:dyDescent="0.2">
      <c r="A37" t="s">
        <v>325</v>
      </c>
      <c r="B37">
        <v>4</v>
      </c>
      <c r="C37" t="s">
        <v>105</v>
      </c>
      <c r="D37">
        <v>1.79</v>
      </c>
      <c r="E37">
        <v>5091.8100000000004</v>
      </c>
      <c r="F37">
        <v>927.98</v>
      </c>
      <c r="G37">
        <v>45.06</v>
      </c>
      <c r="H37">
        <v>0.93</v>
      </c>
      <c r="I37">
        <v>15.51</v>
      </c>
      <c r="J37">
        <v>50.39</v>
      </c>
      <c r="K37">
        <v>9.8000000000000007</v>
      </c>
      <c r="T37">
        <f t="shared" si="11"/>
        <v>2.7407747664982391</v>
      </c>
      <c r="U37">
        <f t="shared" si="10"/>
        <v>46.46744784537043</v>
      </c>
      <c r="V37">
        <f t="shared" si="10"/>
        <v>100</v>
      </c>
      <c r="W37">
        <f t="shared" si="10"/>
        <v>4.4184701071768275</v>
      </c>
      <c r="X37">
        <f t="shared" si="10"/>
        <v>6.7407912094284095E-2</v>
      </c>
      <c r="Y37">
        <f t="shared" si="10"/>
        <v>5.7989979810065062</v>
      </c>
      <c r="Z37">
        <f t="shared" si="10"/>
        <v>100</v>
      </c>
      <c r="AA37">
        <f t="shared" si="10"/>
        <v>31.190324633991089</v>
      </c>
      <c r="AB37" t="s">
        <v>105</v>
      </c>
    </row>
    <row r="38" spans="1:28" x14ac:dyDescent="0.2">
      <c r="A38" t="s">
        <v>326</v>
      </c>
      <c r="B38">
        <v>4</v>
      </c>
      <c r="C38" t="s">
        <v>313</v>
      </c>
      <c r="D38">
        <v>4.21</v>
      </c>
      <c r="E38">
        <v>155.04</v>
      </c>
      <c r="F38">
        <v>353</v>
      </c>
      <c r="G38">
        <v>82.41</v>
      </c>
      <c r="H38">
        <v>40.090000000000003</v>
      </c>
      <c r="I38">
        <v>7.3</v>
      </c>
      <c r="J38">
        <v>1.97</v>
      </c>
      <c r="K38">
        <v>9.8000000000000007</v>
      </c>
      <c r="T38">
        <f t="shared" si="11"/>
        <v>6.4461797580768643</v>
      </c>
      <c r="U38">
        <f t="shared" si="10"/>
        <v>1.4148825494168538</v>
      </c>
      <c r="V38">
        <f t="shared" si="10"/>
        <v>38.039612922692299</v>
      </c>
      <c r="W38">
        <f t="shared" si="10"/>
        <v>8.0809170335650755</v>
      </c>
      <c r="X38">
        <f t="shared" si="10"/>
        <v>2.9057883826449995</v>
      </c>
      <c r="Y38">
        <f t="shared" si="10"/>
        <v>2.7293800942196969</v>
      </c>
      <c r="Z38">
        <f t="shared" si="10"/>
        <v>3.9095058543361776</v>
      </c>
      <c r="AA38">
        <f t="shared" si="10"/>
        <v>31.190324633991089</v>
      </c>
      <c r="AB38" t="s">
        <v>313</v>
      </c>
    </row>
    <row r="39" spans="1:28" x14ac:dyDescent="0.2">
      <c r="A39" t="s">
        <v>327</v>
      </c>
      <c r="B39">
        <v>4</v>
      </c>
      <c r="C39" t="s">
        <v>9</v>
      </c>
      <c r="D39">
        <v>65.31</v>
      </c>
      <c r="E39">
        <v>10957.8</v>
      </c>
      <c r="F39">
        <v>440.38</v>
      </c>
      <c r="G39">
        <v>26.49</v>
      </c>
      <c r="H39">
        <v>0.93</v>
      </c>
      <c r="I39">
        <v>31.54</v>
      </c>
      <c r="J39">
        <v>9.11</v>
      </c>
      <c r="K39">
        <v>9.8000000000000007</v>
      </c>
      <c r="T39">
        <f t="shared" si="11"/>
        <v>100</v>
      </c>
      <c r="U39">
        <f t="shared" si="10"/>
        <v>100</v>
      </c>
      <c r="V39">
        <f t="shared" si="10"/>
        <v>47.45576413284769</v>
      </c>
      <c r="W39">
        <f t="shared" si="10"/>
        <v>2.597542679518734</v>
      </c>
      <c r="X39">
        <f t="shared" si="10"/>
        <v>6.7407912094284095E-2</v>
      </c>
      <c r="Y39">
        <f t="shared" si="10"/>
        <v>11.792417557765649</v>
      </c>
      <c r="Z39">
        <f t="shared" si="10"/>
        <v>18.078983925382019</v>
      </c>
      <c r="AA39">
        <f t="shared" si="10"/>
        <v>31.190324633991089</v>
      </c>
      <c r="AB39" t="s">
        <v>9</v>
      </c>
    </row>
    <row r="40" spans="1:28" x14ac:dyDescent="0.2">
      <c r="A40" t="s">
        <v>328</v>
      </c>
      <c r="B40">
        <v>4</v>
      </c>
      <c r="C40" t="s">
        <v>106</v>
      </c>
      <c r="D40">
        <v>1.79</v>
      </c>
      <c r="E40">
        <v>378.21</v>
      </c>
      <c r="F40">
        <v>3.77</v>
      </c>
      <c r="G40">
        <v>4.1399999999999997</v>
      </c>
      <c r="H40">
        <v>0.93</v>
      </c>
      <c r="I40">
        <v>1.66</v>
      </c>
      <c r="J40">
        <v>7.46</v>
      </c>
      <c r="K40">
        <v>9.8000000000000007</v>
      </c>
      <c r="T40">
        <f t="shared" si="11"/>
        <v>2.7407747664982391</v>
      </c>
      <c r="U40">
        <f t="shared" si="10"/>
        <v>3.451513990034496</v>
      </c>
      <c r="V40">
        <f t="shared" si="10"/>
        <v>0.40625875557662883</v>
      </c>
      <c r="W40">
        <f t="shared" si="10"/>
        <v>0.40595797256351673</v>
      </c>
      <c r="X40">
        <f t="shared" si="10"/>
        <v>6.7407912094284095E-2</v>
      </c>
      <c r="Y40">
        <f t="shared" si="10"/>
        <v>0.62065355567187619</v>
      </c>
      <c r="Z40">
        <f t="shared" si="10"/>
        <v>14.804524707283189</v>
      </c>
      <c r="AA40">
        <f t="shared" si="10"/>
        <v>31.190324633991089</v>
      </c>
      <c r="AB40" t="s">
        <v>106</v>
      </c>
    </row>
    <row r="41" spans="1:28" x14ac:dyDescent="0.2">
      <c r="A41" t="s">
        <v>329</v>
      </c>
      <c r="B41">
        <v>4</v>
      </c>
      <c r="C41" t="s">
        <v>330</v>
      </c>
      <c r="D41">
        <v>1.79</v>
      </c>
      <c r="E41">
        <v>956.91</v>
      </c>
      <c r="F41">
        <v>9.17</v>
      </c>
      <c r="G41">
        <v>4.1399999999999997</v>
      </c>
      <c r="H41">
        <v>0.93</v>
      </c>
      <c r="I41">
        <v>30.46</v>
      </c>
      <c r="J41">
        <v>5.37</v>
      </c>
      <c r="K41">
        <v>9.8000000000000007</v>
      </c>
      <c r="T41">
        <f t="shared" si="11"/>
        <v>2.7407747664982391</v>
      </c>
      <c r="U41">
        <f t="shared" si="10"/>
        <v>8.7326835678694632</v>
      </c>
      <c r="V41">
        <f t="shared" si="10"/>
        <v>0.9881678484450096</v>
      </c>
      <c r="W41">
        <f t="shared" si="10"/>
        <v>0.40595797256351673</v>
      </c>
      <c r="X41">
        <f t="shared" si="10"/>
        <v>6.7407912094284095E-2</v>
      </c>
      <c r="Y41">
        <f t="shared" si="10"/>
        <v>11.388618858894789</v>
      </c>
      <c r="Z41">
        <f t="shared" si="10"/>
        <v>10.656876364358007</v>
      </c>
      <c r="AA41">
        <f t="shared" si="10"/>
        <v>31.190324633991089</v>
      </c>
      <c r="AB41" t="s">
        <v>330</v>
      </c>
    </row>
    <row r="42" spans="1:28" x14ac:dyDescent="0.2">
      <c r="L42" t="s">
        <v>131</v>
      </c>
      <c r="M42" t="s">
        <v>15</v>
      </c>
      <c r="N42" t="s">
        <v>321</v>
      </c>
      <c r="O42" t="s">
        <v>100</v>
      </c>
      <c r="P42" t="s">
        <v>101</v>
      </c>
      <c r="Q42" t="s">
        <v>102</v>
      </c>
      <c r="R42" t="s">
        <v>10</v>
      </c>
      <c r="S42" t="s">
        <v>103</v>
      </c>
      <c r="T42" t="s">
        <v>17</v>
      </c>
      <c r="U42" t="s">
        <v>15</v>
      </c>
      <c r="V42" t="s">
        <v>98</v>
      </c>
      <c r="W42" t="s">
        <v>100</v>
      </c>
      <c r="X42" t="s">
        <v>139</v>
      </c>
      <c r="Y42" t="s">
        <v>102</v>
      </c>
      <c r="Z42" t="s">
        <v>10</v>
      </c>
      <c r="AA42" t="s">
        <v>103</v>
      </c>
    </row>
    <row r="43" spans="1:28" x14ac:dyDescent="0.2">
      <c r="A43" t="s">
        <v>331</v>
      </c>
      <c r="B43">
        <v>5</v>
      </c>
      <c r="C43" t="s">
        <v>332</v>
      </c>
      <c r="D43">
        <v>1.79</v>
      </c>
      <c r="E43">
        <v>342.73</v>
      </c>
      <c r="F43">
        <v>45.39</v>
      </c>
      <c r="G43">
        <v>4.1399999999999997</v>
      </c>
      <c r="H43">
        <v>0.93</v>
      </c>
      <c r="I43">
        <v>8.0399999999999991</v>
      </c>
      <c r="J43">
        <v>5.03</v>
      </c>
      <c r="K43">
        <v>9.8000000000000007</v>
      </c>
      <c r="L43">
        <f t="shared" ref="L43:S43" si="12">MAX(D43:D50)</f>
        <v>51.09</v>
      </c>
      <c r="M43">
        <f t="shared" si="12"/>
        <v>10957.8</v>
      </c>
      <c r="N43">
        <f t="shared" si="12"/>
        <v>2550.59</v>
      </c>
      <c r="O43">
        <f t="shared" si="12"/>
        <v>1135.98</v>
      </c>
      <c r="P43">
        <f t="shared" si="12"/>
        <v>1595.5</v>
      </c>
      <c r="Q43">
        <f t="shared" si="12"/>
        <v>308.97000000000003</v>
      </c>
      <c r="R43">
        <f t="shared" si="12"/>
        <v>45.24</v>
      </c>
      <c r="S43">
        <f t="shared" si="12"/>
        <v>30.39</v>
      </c>
      <c r="T43">
        <f>D43/L$43*100</f>
        <v>3.5036210608729688</v>
      </c>
      <c r="U43">
        <f t="shared" ref="U43:AA50" si="13">E43/M$43*100</f>
        <v>3.1277263684316199</v>
      </c>
      <c r="V43">
        <f t="shared" si="13"/>
        <v>1.7795882521298994</v>
      </c>
      <c r="W43">
        <f t="shared" si="13"/>
        <v>0.36444303596894306</v>
      </c>
      <c r="X43">
        <f t="shared" si="13"/>
        <v>5.8288937637104354E-2</v>
      </c>
      <c r="Y43">
        <f t="shared" si="13"/>
        <v>2.6021943878046407</v>
      </c>
      <c r="Z43">
        <f t="shared" si="13"/>
        <v>11.118479221927497</v>
      </c>
      <c r="AA43">
        <f t="shared" si="13"/>
        <v>32.247449819019415</v>
      </c>
      <c r="AB43" t="s">
        <v>332</v>
      </c>
    </row>
    <row r="44" spans="1:28" x14ac:dyDescent="0.2">
      <c r="A44" t="s">
        <v>333</v>
      </c>
      <c r="B44">
        <v>5</v>
      </c>
      <c r="C44" t="s">
        <v>104</v>
      </c>
      <c r="D44">
        <v>51.09</v>
      </c>
      <c r="E44">
        <v>939.35</v>
      </c>
      <c r="F44">
        <v>1037.29</v>
      </c>
      <c r="G44">
        <v>1135.98</v>
      </c>
      <c r="H44">
        <v>1595.5</v>
      </c>
      <c r="I44">
        <v>308.97000000000003</v>
      </c>
      <c r="J44">
        <v>18.940000000000001</v>
      </c>
      <c r="K44">
        <v>30.39</v>
      </c>
      <c r="T44">
        <f t="shared" ref="T44:T50" si="14">D44/L$43*100</f>
        <v>100</v>
      </c>
      <c r="U44">
        <f t="shared" si="13"/>
        <v>8.5724324225665747</v>
      </c>
      <c r="V44">
        <f t="shared" si="13"/>
        <v>40.668629611187995</v>
      </c>
      <c r="W44">
        <f t="shared" si="13"/>
        <v>100</v>
      </c>
      <c r="X44">
        <f t="shared" si="13"/>
        <v>100</v>
      </c>
      <c r="Y44">
        <f t="shared" si="13"/>
        <v>100</v>
      </c>
      <c r="Z44">
        <f t="shared" si="13"/>
        <v>41.865605658709107</v>
      </c>
      <c r="AA44">
        <f t="shared" si="13"/>
        <v>100</v>
      </c>
      <c r="AB44" t="s">
        <v>104</v>
      </c>
    </row>
    <row r="45" spans="1:28" x14ac:dyDescent="0.2">
      <c r="A45" t="s">
        <v>334</v>
      </c>
      <c r="B45">
        <v>5</v>
      </c>
      <c r="C45" t="s">
        <v>283</v>
      </c>
      <c r="D45">
        <v>25.72</v>
      </c>
      <c r="E45">
        <v>304.06</v>
      </c>
      <c r="F45">
        <v>1312.9</v>
      </c>
      <c r="G45">
        <v>238.49</v>
      </c>
      <c r="H45">
        <v>216.05</v>
      </c>
      <c r="I45">
        <v>89.26</v>
      </c>
      <c r="J45">
        <v>8.7899999999999991</v>
      </c>
      <c r="K45">
        <v>18.41</v>
      </c>
      <c r="T45">
        <f t="shared" si="14"/>
        <v>50.342532785280866</v>
      </c>
      <c r="U45">
        <f t="shared" si="13"/>
        <v>2.7748270638266805</v>
      </c>
      <c r="V45">
        <f t="shared" si="13"/>
        <v>51.474364754821437</v>
      </c>
      <c r="W45">
        <f t="shared" si="13"/>
        <v>20.994207644500783</v>
      </c>
      <c r="X45">
        <f t="shared" si="13"/>
        <v>13.541209652146662</v>
      </c>
      <c r="Y45">
        <f t="shared" si="13"/>
        <v>28.889536200925654</v>
      </c>
      <c r="Z45">
        <f t="shared" si="13"/>
        <v>19.429708222811666</v>
      </c>
      <c r="AA45">
        <f t="shared" si="13"/>
        <v>60.579137874300756</v>
      </c>
      <c r="AB45" t="s">
        <v>283</v>
      </c>
    </row>
    <row r="46" spans="1:28" x14ac:dyDescent="0.2">
      <c r="A46" t="s">
        <v>335</v>
      </c>
      <c r="B46">
        <v>5</v>
      </c>
      <c r="C46" t="s">
        <v>105</v>
      </c>
      <c r="D46">
        <v>1.79</v>
      </c>
      <c r="E46">
        <v>4116.1000000000004</v>
      </c>
      <c r="F46">
        <v>2262.91</v>
      </c>
      <c r="G46">
        <v>26.07</v>
      </c>
      <c r="H46">
        <v>0.93</v>
      </c>
      <c r="I46">
        <v>30.17</v>
      </c>
      <c r="J46">
        <v>45.24</v>
      </c>
      <c r="K46">
        <v>9.8000000000000007</v>
      </c>
      <c r="T46">
        <f t="shared" si="14"/>
        <v>3.5036210608729688</v>
      </c>
      <c r="U46">
        <f t="shared" si="13"/>
        <v>37.563196992096962</v>
      </c>
      <c r="V46">
        <f t="shared" si="13"/>
        <v>88.721041014039884</v>
      </c>
      <c r="W46">
        <f t="shared" si="13"/>
        <v>2.2949347699783447</v>
      </c>
      <c r="X46">
        <f t="shared" si="13"/>
        <v>5.8288937637104354E-2</v>
      </c>
      <c r="Y46">
        <f t="shared" si="13"/>
        <v>9.7647020746350766</v>
      </c>
      <c r="Z46">
        <f t="shared" si="13"/>
        <v>100</v>
      </c>
      <c r="AA46">
        <f t="shared" si="13"/>
        <v>32.247449819019415</v>
      </c>
      <c r="AB46" t="s">
        <v>105</v>
      </c>
    </row>
    <row r="47" spans="1:28" x14ac:dyDescent="0.2">
      <c r="A47" t="s">
        <v>336</v>
      </c>
      <c r="B47">
        <v>5</v>
      </c>
      <c r="C47" t="s">
        <v>313</v>
      </c>
      <c r="D47">
        <v>1.79</v>
      </c>
      <c r="E47">
        <v>176.57</v>
      </c>
      <c r="F47">
        <v>201.53</v>
      </c>
      <c r="G47">
        <v>26.55</v>
      </c>
      <c r="H47">
        <v>21.1</v>
      </c>
      <c r="I47">
        <v>19.71</v>
      </c>
      <c r="J47">
        <v>1.97</v>
      </c>
      <c r="K47">
        <v>9.8000000000000007</v>
      </c>
      <c r="T47">
        <f t="shared" si="14"/>
        <v>3.5036210608729688</v>
      </c>
      <c r="U47">
        <f t="shared" si="13"/>
        <v>1.6113635948821845</v>
      </c>
      <c r="V47">
        <f t="shared" si="13"/>
        <v>7.9013091088728489</v>
      </c>
      <c r="W47">
        <f t="shared" si="13"/>
        <v>2.3371890350182225</v>
      </c>
      <c r="X47">
        <f t="shared" si="13"/>
        <v>1.3224694453149484</v>
      </c>
      <c r="Y47">
        <f t="shared" si="13"/>
        <v>6.3792601223419743</v>
      </c>
      <c r="Z47">
        <f t="shared" si="13"/>
        <v>4.3545534924845271</v>
      </c>
      <c r="AA47">
        <f t="shared" si="13"/>
        <v>32.247449819019415</v>
      </c>
      <c r="AB47" t="s">
        <v>313</v>
      </c>
    </row>
    <row r="48" spans="1:28" x14ac:dyDescent="0.2">
      <c r="A48" t="s">
        <v>337</v>
      </c>
      <c r="B48">
        <v>5</v>
      </c>
      <c r="C48" t="s">
        <v>9</v>
      </c>
      <c r="D48">
        <v>11.49</v>
      </c>
      <c r="E48">
        <v>10957.8</v>
      </c>
      <c r="F48">
        <v>2550.59</v>
      </c>
      <c r="G48">
        <v>344.29</v>
      </c>
      <c r="H48">
        <v>0.93</v>
      </c>
      <c r="I48">
        <v>39.979999999999997</v>
      </c>
      <c r="J48">
        <v>37</v>
      </c>
      <c r="K48">
        <v>10.23</v>
      </c>
      <c r="T48">
        <f t="shared" si="14"/>
        <v>22.489724016441574</v>
      </c>
      <c r="U48">
        <f t="shared" si="13"/>
        <v>100</v>
      </c>
      <c r="V48">
        <f t="shared" si="13"/>
        <v>100</v>
      </c>
      <c r="W48">
        <f t="shared" si="13"/>
        <v>30.30775189704044</v>
      </c>
      <c r="X48">
        <f t="shared" si="13"/>
        <v>5.8288937637104354E-2</v>
      </c>
      <c r="Y48">
        <f t="shared" si="13"/>
        <v>12.939767614978798</v>
      </c>
      <c r="Z48">
        <f t="shared" si="13"/>
        <v>81.78603006189212</v>
      </c>
      <c r="AA48">
        <f t="shared" si="13"/>
        <v>33.662388943731493</v>
      </c>
      <c r="AB48" t="s">
        <v>9</v>
      </c>
    </row>
    <row r="49" spans="1:28" x14ac:dyDescent="0.2">
      <c r="A49" t="s">
        <v>338</v>
      </c>
      <c r="B49">
        <v>5</v>
      </c>
      <c r="C49" t="s">
        <v>106</v>
      </c>
      <c r="D49">
        <v>1.79</v>
      </c>
      <c r="E49">
        <v>453.7</v>
      </c>
      <c r="F49">
        <v>112.34</v>
      </c>
      <c r="G49">
        <v>4.1399999999999997</v>
      </c>
      <c r="H49">
        <v>0.93</v>
      </c>
      <c r="I49">
        <v>22.6</v>
      </c>
      <c r="J49">
        <v>4.68</v>
      </c>
      <c r="K49">
        <v>9.8000000000000007</v>
      </c>
      <c r="T49">
        <f t="shared" si="14"/>
        <v>3.5036210608729688</v>
      </c>
      <c r="U49">
        <f t="shared" si="13"/>
        <v>4.1404296482870651</v>
      </c>
      <c r="V49">
        <f t="shared" si="13"/>
        <v>4.4044711223677657</v>
      </c>
      <c r="W49">
        <f t="shared" si="13"/>
        <v>0.36444303596894306</v>
      </c>
      <c r="X49">
        <f t="shared" si="13"/>
        <v>5.8288937637104354E-2</v>
      </c>
      <c r="Y49">
        <f t="shared" si="13"/>
        <v>7.3146260154707567</v>
      </c>
      <c r="Z49">
        <f t="shared" si="13"/>
        <v>10.344827586206895</v>
      </c>
      <c r="AA49">
        <f t="shared" si="13"/>
        <v>32.247449819019415</v>
      </c>
      <c r="AB49" t="s">
        <v>106</v>
      </c>
    </row>
    <row r="50" spans="1:28" x14ac:dyDescent="0.2">
      <c r="A50" t="s">
        <v>339</v>
      </c>
      <c r="B50">
        <v>5</v>
      </c>
      <c r="C50" t="s">
        <v>330</v>
      </c>
      <c r="D50">
        <v>1.79</v>
      </c>
      <c r="E50">
        <v>260.72000000000003</v>
      </c>
      <c r="F50">
        <v>10.95</v>
      </c>
      <c r="G50">
        <v>4.1399999999999997</v>
      </c>
      <c r="H50">
        <v>0.93</v>
      </c>
      <c r="I50">
        <v>4.37</v>
      </c>
      <c r="J50">
        <v>1.97</v>
      </c>
      <c r="K50">
        <v>9.8000000000000007</v>
      </c>
      <c r="T50">
        <f t="shared" si="14"/>
        <v>3.5036210608729688</v>
      </c>
      <c r="U50">
        <f t="shared" si="13"/>
        <v>2.3793097154538323</v>
      </c>
      <c r="V50">
        <f t="shared" si="13"/>
        <v>0.42931243359379584</v>
      </c>
      <c r="W50">
        <f t="shared" si="13"/>
        <v>0.36444303596894306</v>
      </c>
      <c r="X50">
        <f t="shared" si="13"/>
        <v>5.8288937637104354E-2</v>
      </c>
      <c r="Y50">
        <f t="shared" si="13"/>
        <v>1.4143768003366022</v>
      </c>
      <c r="Z50">
        <f t="shared" si="13"/>
        <v>4.3545534924845271</v>
      </c>
      <c r="AA50">
        <f t="shared" si="13"/>
        <v>32.247449819019415</v>
      </c>
      <c r="AB50" t="s">
        <v>330</v>
      </c>
    </row>
    <row r="52" spans="1:28" x14ac:dyDescent="0.2">
      <c r="A52" s="90"/>
      <c r="B52" s="90"/>
      <c r="C52" s="90"/>
      <c r="D52" s="90"/>
      <c r="AB52" s="90"/>
    </row>
    <row r="53" spans="1:28" x14ac:dyDescent="0.2">
      <c r="A53" t="s">
        <v>340</v>
      </c>
      <c r="D53" t="s">
        <v>131</v>
      </c>
      <c r="E53" t="s">
        <v>15</v>
      </c>
      <c r="F53" t="s">
        <v>321</v>
      </c>
      <c r="G53" t="s">
        <v>100</v>
      </c>
      <c r="H53" t="s">
        <v>101</v>
      </c>
      <c r="I53" t="s">
        <v>102</v>
      </c>
      <c r="J53" t="s">
        <v>10</v>
      </c>
      <c r="K53" t="s">
        <v>103</v>
      </c>
      <c r="L53" t="s">
        <v>131</v>
      </c>
      <c r="M53" t="s">
        <v>15</v>
      </c>
      <c r="N53" t="s">
        <v>321</v>
      </c>
      <c r="O53" t="s">
        <v>100</v>
      </c>
      <c r="P53" t="s">
        <v>101</v>
      </c>
      <c r="Q53" t="s">
        <v>102</v>
      </c>
      <c r="R53" t="s">
        <v>10</v>
      </c>
      <c r="S53" t="s">
        <v>103</v>
      </c>
      <c r="T53" t="s">
        <v>17</v>
      </c>
      <c r="U53" t="s">
        <v>15</v>
      </c>
      <c r="V53" t="s">
        <v>98</v>
      </c>
      <c r="W53" t="s">
        <v>100</v>
      </c>
      <c r="X53" t="s">
        <v>139</v>
      </c>
      <c r="Y53" t="s">
        <v>102</v>
      </c>
      <c r="Z53" t="s">
        <v>10</v>
      </c>
      <c r="AA53" t="s">
        <v>103</v>
      </c>
    </row>
    <row r="54" spans="1:28" x14ac:dyDescent="0.2">
      <c r="A54" t="s">
        <v>341</v>
      </c>
      <c r="B54">
        <v>6</v>
      </c>
      <c r="C54" t="s">
        <v>7</v>
      </c>
      <c r="D54">
        <v>2.4900000000000002</v>
      </c>
      <c r="E54">
        <v>3925.65</v>
      </c>
      <c r="F54">
        <v>261.36</v>
      </c>
      <c r="G54">
        <v>4.41</v>
      </c>
      <c r="H54" s="118">
        <v>0.93</v>
      </c>
      <c r="I54">
        <v>25.75</v>
      </c>
      <c r="J54">
        <v>15.65</v>
      </c>
      <c r="K54">
        <v>192.1</v>
      </c>
      <c r="L54">
        <f t="shared" ref="L54:S54" si="15">MAX(D54:D63)</f>
        <v>220.41</v>
      </c>
      <c r="M54">
        <f t="shared" si="15"/>
        <v>10957.82</v>
      </c>
      <c r="N54">
        <f t="shared" si="15"/>
        <v>11872.86</v>
      </c>
      <c r="O54">
        <f t="shared" si="15"/>
        <v>2713.72</v>
      </c>
      <c r="P54">
        <f t="shared" si="15"/>
        <v>1947.84</v>
      </c>
      <c r="Q54">
        <f t="shared" si="15"/>
        <v>1431.79</v>
      </c>
      <c r="R54">
        <f t="shared" si="15"/>
        <v>330.86</v>
      </c>
      <c r="S54">
        <f t="shared" si="15"/>
        <v>6201.06</v>
      </c>
      <c r="T54">
        <f>D54/L$54*100</f>
        <v>1.1297128079488228</v>
      </c>
      <c r="U54">
        <f t="shared" ref="U54:AA63" si="16">E54/M$54*100</f>
        <v>35.825100248042041</v>
      </c>
      <c r="V54">
        <f t="shared" si="16"/>
        <v>2.2013230173690248</v>
      </c>
      <c r="W54">
        <f t="shared" si="16"/>
        <v>0.16250755420603452</v>
      </c>
      <c r="X54">
        <f t="shared" si="16"/>
        <v>4.7745194677180886E-2</v>
      </c>
      <c r="Y54">
        <f t="shared" si="16"/>
        <v>1.7984480964387237</v>
      </c>
      <c r="Z54">
        <f t="shared" si="16"/>
        <v>4.7300973221302067</v>
      </c>
      <c r="AA54">
        <f t="shared" si="16"/>
        <v>3.0978574630788924</v>
      </c>
      <c r="AB54" t="s">
        <v>7</v>
      </c>
    </row>
    <row r="55" spans="1:28" x14ac:dyDescent="0.2">
      <c r="A55" t="s">
        <v>342</v>
      </c>
      <c r="B55">
        <v>6</v>
      </c>
      <c r="C55" t="s">
        <v>104</v>
      </c>
      <c r="D55">
        <v>21.05</v>
      </c>
      <c r="E55">
        <v>3777.05</v>
      </c>
      <c r="F55">
        <v>693.43</v>
      </c>
      <c r="G55">
        <v>1015.42</v>
      </c>
      <c r="H55">
        <v>977.22</v>
      </c>
      <c r="I55">
        <v>213.24</v>
      </c>
      <c r="J55">
        <v>25.34</v>
      </c>
      <c r="K55">
        <v>1227.29</v>
      </c>
      <c r="T55">
        <f t="shared" ref="T55:T63" si="17">D55/L$54*100</f>
        <v>9.5503833764348265</v>
      </c>
      <c r="U55">
        <f t="shared" si="16"/>
        <v>34.468991094944066</v>
      </c>
      <c r="V55">
        <f t="shared" si="16"/>
        <v>5.8404630392340176</v>
      </c>
      <c r="W55">
        <f t="shared" si="16"/>
        <v>37.418009227186303</v>
      </c>
      <c r="X55">
        <f t="shared" si="16"/>
        <v>50.169418432725486</v>
      </c>
      <c r="Y55">
        <f t="shared" si="16"/>
        <v>14.893245517848289</v>
      </c>
      <c r="Z55">
        <f t="shared" si="16"/>
        <v>7.6588285075258415</v>
      </c>
      <c r="AA55">
        <f t="shared" si="16"/>
        <v>19.791616272056711</v>
      </c>
      <c r="AB55" t="s">
        <v>104</v>
      </c>
    </row>
    <row r="56" spans="1:28" x14ac:dyDescent="0.2">
      <c r="A56" t="s">
        <v>343</v>
      </c>
      <c r="B56">
        <v>6</v>
      </c>
      <c r="C56" t="s">
        <v>344</v>
      </c>
      <c r="D56">
        <v>141.28</v>
      </c>
      <c r="E56">
        <v>8059.74</v>
      </c>
      <c r="F56">
        <v>8076.95</v>
      </c>
      <c r="G56">
        <v>2713.72</v>
      </c>
      <c r="H56">
        <v>1947.84</v>
      </c>
      <c r="I56">
        <v>1431.79</v>
      </c>
      <c r="J56">
        <v>120.41</v>
      </c>
      <c r="K56">
        <v>6201.06</v>
      </c>
      <c r="T56">
        <f t="shared" si="17"/>
        <v>64.098725103216736</v>
      </c>
      <c r="U56">
        <f t="shared" si="16"/>
        <v>73.552403671533213</v>
      </c>
      <c r="V56">
        <f t="shared" si="16"/>
        <v>68.028680536955704</v>
      </c>
      <c r="W56">
        <f t="shared" si="16"/>
        <v>100</v>
      </c>
      <c r="X56">
        <f t="shared" si="16"/>
        <v>100</v>
      </c>
      <c r="Y56">
        <f t="shared" si="16"/>
        <v>100</v>
      </c>
      <c r="Z56">
        <f t="shared" si="16"/>
        <v>36.393036329565369</v>
      </c>
      <c r="AA56">
        <f t="shared" si="16"/>
        <v>100</v>
      </c>
      <c r="AB56" t="s">
        <v>344</v>
      </c>
    </row>
    <row r="57" spans="1:28" x14ac:dyDescent="0.2">
      <c r="A57" t="s">
        <v>345</v>
      </c>
      <c r="B57">
        <v>6</v>
      </c>
      <c r="C57" t="s">
        <v>105</v>
      </c>
      <c r="D57">
        <v>12.81</v>
      </c>
      <c r="E57">
        <v>9251.14</v>
      </c>
      <c r="F57">
        <v>1642.62</v>
      </c>
      <c r="G57">
        <v>255.72</v>
      </c>
      <c r="H57">
        <v>36.729999999999997</v>
      </c>
      <c r="I57">
        <v>49.8</v>
      </c>
      <c r="J57">
        <v>100.24</v>
      </c>
      <c r="K57">
        <v>1584.46</v>
      </c>
      <c r="T57">
        <f t="shared" si="17"/>
        <v>5.8118960119776784</v>
      </c>
      <c r="U57">
        <f t="shared" si="16"/>
        <v>84.425004243544791</v>
      </c>
      <c r="V57">
        <f t="shared" si="16"/>
        <v>13.835082701219417</v>
      </c>
      <c r="W57">
        <f t="shared" si="16"/>
        <v>9.4232271568179478</v>
      </c>
      <c r="X57">
        <f t="shared" si="16"/>
        <v>1.8856784951536061</v>
      </c>
      <c r="Y57">
        <f t="shared" si="16"/>
        <v>3.4781636971902308</v>
      </c>
      <c r="Z57">
        <f t="shared" si="16"/>
        <v>30.296802272864653</v>
      </c>
      <c r="AA57">
        <f t="shared" si="16"/>
        <v>25.551437979958262</v>
      </c>
      <c r="AB57" t="s">
        <v>105</v>
      </c>
    </row>
    <row r="58" spans="1:28" x14ac:dyDescent="0.2">
      <c r="A58" t="s">
        <v>346</v>
      </c>
      <c r="B58">
        <v>6</v>
      </c>
      <c r="C58" t="s">
        <v>287</v>
      </c>
      <c r="D58">
        <v>220.41</v>
      </c>
      <c r="E58">
        <v>6508.58</v>
      </c>
      <c r="F58">
        <v>2761.25</v>
      </c>
      <c r="G58">
        <v>1083.04</v>
      </c>
      <c r="H58">
        <v>402.33</v>
      </c>
      <c r="I58">
        <v>154.19999999999999</v>
      </c>
      <c r="J58">
        <v>42.74</v>
      </c>
      <c r="K58">
        <v>959.41</v>
      </c>
      <c r="T58">
        <f t="shared" si="17"/>
        <v>100</v>
      </c>
      <c r="U58">
        <f t="shared" si="16"/>
        <v>59.396668315413102</v>
      </c>
      <c r="V58">
        <f t="shared" si="16"/>
        <v>23.256822703207146</v>
      </c>
      <c r="W58">
        <f t="shared" si="16"/>
        <v>39.909791725012163</v>
      </c>
      <c r="X58">
        <f t="shared" si="16"/>
        <v>20.655187284376538</v>
      </c>
      <c r="Y58">
        <f t="shared" si="16"/>
        <v>10.769735785275774</v>
      </c>
      <c r="Z58">
        <f t="shared" si="16"/>
        <v>12.917850450341534</v>
      </c>
      <c r="AA58">
        <f t="shared" si="16"/>
        <v>15.471709675442586</v>
      </c>
      <c r="AB58" t="s">
        <v>287</v>
      </c>
    </row>
    <row r="59" spans="1:28" x14ac:dyDescent="0.2">
      <c r="A59" t="s">
        <v>347</v>
      </c>
      <c r="B59">
        <v>6</v>
      </c>
      <c r="C59" t="s">
        <v>289</v>
      </c>
      <c r="D59">
        <v>1.79</v>
      </c>
      <c r="E59">
        <v>1893.64</v>
      </c>
      <c r="F59">
        <v>162.77000000000001</v>
      </c>
      <c r="G59">
        <v>5.05</v>
      </c>
      <c r="H59">
        <v>0.93</v>
      </c>
      <c r="I59">
        <v>34.020000000000003</v>
      </c>
      <c r="J59">
        <v>13.84</v>
      </c>
      <c r="K59">
        <v>300.62</v>
      </c>
      <c r="T59">
        <f t="shared" si="17"/>
        <v>0.81212286193911354</v>
      </c>
      <c r="U59">
        <f t="shared" si="16"/>
        <v>17.28117454019139</v>
      </c>
      <c r="V59">
        <f t="shared" si="16"/>
        <v>1.3709417949845277</v>
      </c>
      <c r="W59">
        <f t="shared" si="16"/>
        <v>0.18609141694795336</v>
      </c>
      <c r="X59">
        <f t="shared" si="16"/>
        <v>4.7745194677180886E-2</v>
      </c>
      <c r="Y59">
        <f t="shared" si="16"/>
        <v>2.3760467666347722</v>
      </c>
      <c r="Z59">
        <f t="shared" si="16"/>
        <v>4.1830381430212169</v>
      </c>
      <c r="AA59">
        <f t="shared" si="16"/>
        <v>4.8478808461779117</v>
      </c>
      <c r="AB59" t="s">
        <v>289</v>
      </c>
    </row>
    <row r="60" spans="1:28" x14ac:dyDescent="0.2">
      <c r="A60" t="s">
        <v>348</v>
      </c>
      <c r="B60">
        <v>6</v>
      </c>
      <c r="C60" t="s">
        <v>9</v>
      </c>
      <c r="D60">
        <v>128.47999999999999</v>
      </c>
      <c r="E60" s="82">
        <v>10957.82</v>
      </c>
      <c r="F60">
        <v>11872.86</v>
      </c>
      <c r="G60">
        <v>384.92</v>
      </c>
      <c r="H60" s="118">
        <v>0.93</v>
      </c>
      <c r="I60">
        <v>30.68</v>
      </c>
      <c r="J60">
        <v>330.86</v>
      </c>
      <c r="K60">
        <v>4567.22</v>
      </c>
      <c r="T60">
        <f t="shared" si="17"/>
        <v>58.291366090467754</v>
      </c>
      <c r="U60">
        <f t="shared" si="16"/>
        <v>100</v>
      </c>
      <c r="V60">
        <f t="shared" si="16"/>
        <v>100</v>
      </c>
      <c r="W60">
        <f t="shared" si="16"/>
        <v>14.184219447842816</v>
      </c>
      <c r="X60">
        <f t="shared" si="16"/>
        <v>4.7745194677180886E-2</v>
      </c>
      <c r="Y60">
        <f t="shared" si="16"/>
        <v>2.142772333931652</v>
      </c>
      <c r="Z60">
        <f t="shared" si="16"/>
        <v>100</v>
      </c>
      <c r="AA60">
        <f t="shared" si="16"/>
        <v>73.652246551396047</v>
      </c>
      <c r="AB60" t="s">
        <v>9</v>
      </c>
    </row>
    <row r="61" spans="1:28" x14ac:dyDescent="0.2">
      <c r="A61" t="s">
        <v>349</v>
      </c>
      <c r="B61">
        <v>6</v>
      </c>
      <c r="C61" t="s">
        <v>106</v>
      </c>
      <c r="D61">
        <v>3.3</v>
      </c>
      <c r="E61">
        <v>4029</v>
      </c>
      <c r="F61">
        <v>354.84</v>
      </c>
      <c r="G61">
        <v>43.18</v>
      </c>
      <c r="H61" s="118">
        <v>0.93</v>
      </c>
      <c r="I61">
        <v>9.14</v>
      </c>
      <c r="J61">
        <v>49</v>
      </c>
      <c r="K61">
        <v>324.24</v>
      </c>
      <c r="T61">
        <f t="shared" si="17"/>
        <v>1.4972097454743432</v>
      </c>
      <c r="U61">
        <f t="shared" si="16"/>
        <v>36.768262300348063</v>
      </c>
      <c r="V61">
        <f t="shared" si="16"/>
        <v>2.9886649046649243</v>
      </c>
      <c r="W61">
        <f t="shared" si="16"/>
        <v>1.5911737393688368</v>
      </c>
      <c r="X61">
        <f t="shared" si="16"/>
        <v>4.7745194677180886E-2</v>
      </c>
      <c r="Y61">
        <f t="shared" si="16"/>
        <v>0.63836177093009461</v>
      </c>
      <c r="Z61">
        <f t="shared" si="16"/>
        <v>14.809889379193617</v>
      </c>
      <c r="AA61">
        <f t="shared" si="16"/>
        <v>5.2287834660525778</v>
      </c>
      <c r="AB61" t="s">
        <v>106</v>
      </c>
    </row>
    <row r="62" spans="1:28" x14ac:dyDescent="0.2">
      <c r="A62" t="s">
        <v>350</v>
      </c>
      <c r="B62">
        <v>6</v>
      </c>
      <c r="C62" t="s">
        <v>330</v>
      </c>
      <c r="D62">
        <v>9.5399999999999991</v>
      </c>
      <c r="E62">
        <v>4422.82</v>
      </c>
      <c r="F62">
        <v>531.9</v>
      </c>
      <c r="G62">
        <v>4.41</v>
      </c>
      <c r="H62" s="118">
        <v>0.93</v>
      </c>
      <c r="I62">
        <v>46.41</v>
      </c>
      <c r="J62">
        <v>68</v>
      </c>
      <c r="K62">
        <v>102.6</v>
      </c>
      <c r="T62">
        <f t="shared" si="17"/>
        <v>4.3282972641894641</v>
      </c>
      <c r="U62">
        <f t="shared" si="16"/>
        <v>40.362225333141076</v>
      </c>
      <c r="V62">
        <f t="shared" si="16"/>
        <v>4.4799652316291096</v>
      </c>
      <c r="W62">
        <f t="shared" si="16"/>
        <v>0.16250755420603452</v>
      </c>
      <c r="X62">
        <f t="shared" si="16"/>
        <v>4.7745194677180886E-2</v>
      </c>
      <c r="Y62">
        <f t="shared" si="16"/>
        <v>3.241397132261016</v>
      </c>
      <c r="Z62">
        <f t="shared" si="16"/>
        <v>20.552499546636039</v>
      </c>
      <c r="AA62">
        <f t="shared" si="16"/>
        <v>1.6545558340025734</v>
      </c>
      <c r="AB62" t="s">
        <v>330</v>
      </c>
    </row>
    <row r="63" spans="1:28" x14ac:dyDescent="0.2">
      <c r="A63" t="s">
        <v>351</v>
      </c>
      <c r="B63">
        <v>6</v>
      </c>
      <c r="C63" t="s">
        <v>352</v>
      </c>
      <c r="D63">
        <v>1.79</v>
      </c>
      <c r="E63">
        <v>3710</v>
      </c>
      <c r="F63">
        <v>233.22</v>
      </c>
      <c r="G63">
        <v>4.5199999999999996</v>
      </c>
      <c r="H63">
        <v>501.47</v>
      </c>
      <c r="I63">
        <v>34.6</v>
      </c>
      <c r="J63">
        <v>25.34</v>
      </c>
      <c r="K63">
        <v>97.1</v>
      </c>
      <c r="T63">
        <f t="shared" si="17"/>
        <v>0.81212286193911354</v>
      </c>
      <c r="U63">
        <f t="shared" si="16"/>
        <v>33.857099313549597</v>
      </c>
      <c r="V63">
        <f t="shared" si="16"/>
        <v>1.9643118844153806</v>
      </c>
      <c r="W63">
        <f t="shared" si="16"/>
        <v>0.16656103061480182</v>
      </c>
      <c r="X63">
        <f t="shared" si="16"/>
        <v>25.744927714802042</v>
      </c>
      <c r="Y63">
        <f t="shared" si="16"/>
        <v>2.4165555004574695</v>
      </c>
      <c r="Z63">
        <f t="shared" si="16"/>
        <v>7.6588285075258415</v>
      </c>
      <c r="AA63">
        <f t="shared" si="16"/>
        <v>1.5658613204839171</v>
      </c>
      <c r="AB63" t="s">
        <v>352</v>
      </c>
    </row>
    <row r="64" spans="1:28" x14ac:dyDescent="0.2">
      <c r="L64" t="s">
        <v>131</v>
      </c>
      <c r="M64" t="s">
        <v>15</v>
      </c>
      <c r="N64" t="s">
        <v>321</v>
      </c>
      <c r="O64" t="s">
        <v>100</v>
      </c>
      <c r="P64" t="s">
        <v>101</v>
      </c>
      <c r="Q64" t="s">
        <v>102</v>
      </c>
      <c r="R64" t="s">
        <v>10</v>
      </c>
      <c r="S64" t="s">
        <v>103</v>
      </c>
      <c r="T64" t="s">
        <v>17</v>
      </c>
      <c r="U64" t="s">
        <v>15</v>
      </c>
      <c r="V64" t="s">
        <v>98</v>
      </c>
      <c r="W64" t="s">
        <v>100</v>
      </c>
      <c r="X64" t="s">
        <v>139</v>
      </c>
      <c r="Y64" t="s">
        <v>102</v>
      </c>
      <c r="Z64" t="s">
        <v>10</v>
      </c>
      <c r="AA64" t="s">
        <v>103</v>
      </c>
    </row>
    <row r="65" spans="1:56" x14ac:dyDescent="0.2">
      <c r="A65" t="s">
        <v>353</v>
      </c>
      <c r="B65">
        <v>7</v>
      </c>
      <c r="C65" t="s">
        <v>354</v>
      </c>
      <c r="D65">
        <v>1.79</v>
      </c>
      <c r="E65">
        <v>1892.07</v>
      </c>
      <c r="F65">
        <v>321.14</v>
      </c>
      <c r="G65">
        <v>4.1399999999999997</v>
      </c>
      <c r="H65" s="118">
        <v>0.93</v>
      </c>
      <c r="I65">
        <v>16.04</v>
      </c>
      <c r="J65">
        <v>23.09</v>
      </c>
      <c r="K65">
        <v>213.47</v>
      </c>
      <c r="L65">
        <f t="shared" ref="L65:S65" si="18">MAX(D65:D74)</f>
        <v>194.77</v>
      </c>
      <c r="M65">
        <f t="shared" si="18"/>
        <v>10957.82</v>
      </c>
      <c r="N65">
        <f t="shared" si="18"/>
        <v>11872.86</v>
      </c>
      <c r="O65">
        <f t="shared" si="18"/>
        <v>2204.7199999999998</v>
      </c>
      <c r="P65">
        <f t="shared" si="18"/>
        <v>1033.8800000000001</v>
      </c>
      <c r="Q65">
        <f t="shared" si="18"/>
        <v>561.52</v>
      </c>
      <c r="R65">
        <f t="shared" si="18"/>
        <v>518.69000000000005</v>
      </c>
      <c r="S65">
        <f t="shared" si="18"/>
        <v>5047.3</v>
      </c>
      <c r="T65">
        <f>D65/L$65*100</f>
        <v>0.91903270524208036</v>
      </c>
      <c r="U65">
        <f t="shared" ref="U65:AA74" si="19">E65/M$65*100</f>
        <v>17.266846872826893</v>
      </c>
      <c r="V65">
        <f t="shared" si="19"/>
        <v>2.7048242799123376</v>
      </c>
      <c r="W65">
        <f t="shared" si="19"/>
        <v>0.18777894698646541</v>
      </c>
      <c r="X65">
        <f t="shared" si="19"/>
        <v>8.9952412272217272E-2</v>
      </c>
      <c r="Y65">
        <f t="shared" si="19"/>
        <v>2.8565322695540676</v>
      </c>
      <c r="Z65">
        <f t="shared" si="19"/>
        <v>4.4515992211147308</v>
      </c>
      <c r="AA65">
        <f t="shared" si="19"/>
        <v>4.2293899708755172</v>
      </c>
      <c r="AB65" t="s">
        <v>354</v>
      </c>
    </row>
    <row r="66" spans="1:56" x14ac:dyDescent="0.2">
      <c r="A66" t="s">
        <v>355</v>
      </c>
      <c r="B66">
        <v>7</v>
      </c>
      <c r="C66" t="s">
        <v>356</v>
      </c>
      <c r="D66">
        <v>8.2899999999999991</v>
      </c>
      <c r="E66">
        <v>2863.51</v>
      </c>
      <c r="F66">
        <v>648.86</v>
      </c>
      <c r="G66">
        <v>1069.58</v>
      </c>
      <c r="H66">
        <v>1033.8800000000001</v>
      </c>
      <c r="I66">
        <v>163.32</v>
      </c>
      <c r="J66">
        <v>32.89</v>
      </c>
      <c r="K66">
        <v>373.64</v>
      </c>
      <c r="T66">
        <f t="shared" ref="T66:T74" si="20">D66/L$65*100</f>
        <v>4.2563023052831532</v>
      </c>
      <c r="U66">
        <f t="shared" si="19"/>
        <v>26.132113869364531</v>
      </c>
      <c r="V66">
        <f t="shared" si="19"/>
        <v>5.4650690735004028</v>
      </c>
      <c r="W66">
        <f t="shared" si="19"/>
        <v>48.513189883522621</v>
      </c>
      <c r="X66">
        <f t="shared" si="19"/>
        <v>100</v>
      </c>
      <c r="Y66">
        <f t="shared" si="19"/>
        <v>29.08533979199316</v>
      </c>
      <c r="Z66">
        <f t="shared" si="19"/>
        <v>6.3409743777593546</v>
      </c>
      <c r="AA66">
        <f t="shared" si="19"/>
        <v>7.4027697977136295</v>
      </c>
      <c r="AB66" t="s">
        <v>356</v>
      </c>
    </row>
    <row r="67" spans="1:56" x14ac:dyDescent="0.2">
      <c r="A67" t="s">
        <v>357</v>
      </c>
      <c r="B67">
        <v>7</v>
      </c>
      <c r="C67" t="s">
        <v>297</v>
      </c>
      <c r="D67">
        <v>73.36</v>
      </c>
      <c r="E67">
        <v>3115.91</v>
      </c>
      <c r="F67">
        <v>6946.98</v>
      </c>
      <c r="G67">
        <v>2204.7199999999998</v>
      </c>
      <c r="H67">
        <v>810.01</v>
      </c>
      <c r="I67">
        <v>561.52</v>
      </c>
      <c r="J67">
        <v>28.82</v>
      </c>
      <c r="K67">
        <v>1148.53</v>
      </c>
      <c r="T67">
        <f t="shared" si="20"/>
        <v>37.664938132155875</v>
      </c>
      <c r="U67">
        <f t="shared" si="19"/>
        <v>28.435491731019489</v>
      </c>
      <c r="V67">
        <f t="shared" si="19"/>
        <v>58.51142858586725</v>
      </c>
      <c r="W67">
        <f t="shared" si="19"/>
        <v>100</v>
      </c>
      <c r="X67">
        <f t="shared" si="19"/>
        <v>78.346616628622272</v>
      </c>
      <c r="Y67">
        <f t="shared" si="19"/>
        <v>100</v>
      </c>
      <c r="Z67">
        <f t="shared" si="19"/>
        <v>5.5563053076018427</v>
      </c>
      <c r="AA67">
        <f t="shared" si="19"/>
        <v>22.755334535296097</v>
      </c>
      <c r="AB67" t="s">
        <v>297</v>
      </c>
    </row>
    <row r="68" spans="1:56" x14ac:dyDescent="0.2">
      <c r="A68" t="s">
        <v>358</v>
      </c>
      <c r="B68">
        <v>7</v>
      </c>
      <c r="C68" t="s">
        <v>299</v>
      </c>
      <c r="D68">
        <v>15.85</v>
      </c>
      <c r="E68" s="82">
        <v>10957.82</v>
      </c>
      <c r="F68">
        <v>2275.41</v>
      </c>
      <c r="G68">
        <v>49.62</v>
      </c>
      <c r="H68">
        <v>0.93</v>
      </c>
      <c r="I68">
        <v>59.44</v>
      </c>
      <c r="J68">
        <v>101.15</v>
      </c>
      <c r="K68">
        <v>2024.39</v>
      </c>
      <c r="T68">
        <f t="shared" si="20"/>
        <v>8.13780356317708</v>
      </c>
      <c r="U68">
        <f t="shared" si="19"/>
        <v>100</v>
      </c>
      <c r="V68">
        <f t="shared" si="19"/>
        <v>19.164801067308126</v>
      </c>
      <c r="W68">
        <f t="shared" si="19"/>
        <v>2.2506259298232885</v>
      </c>
      <c r="X68">
        <f t="shared" si="19"/>
        <v>8.9952412272217272E-2</v>
      </c>
      <c r="Y68">
        <f t="shared" si="19"/>
        <v>10.585553497649238</v>
      </c>
      <c r="Z68">
        <f t="shared" si="19"/>
        <v>19.501050723939155</v>
      </c>
      <c r="AA68">
        <f t="shared" si="19"/>
        <v>40.108374774631983</v>
      </c>
      <c r="AB68" t="s">
        <v>299</v>
      </c>
    </row>
    <row r="69" spans="1:56" x14ac:dyDescent="0.2">
      <c r="A69" t="s">
        <v>359</v>
      </c>
      <c r="B69">
        <v>7</v>
      </c>
      <c r="C69" t="s">
        <v>301</v>
      </c>
      <c r="D69">
        <v>91.59</v>
      </c>
      <c r="E69">
        <v>1788.84</v>
      </c>
      <c r="F69">
        <v>990.74</v>
      </c>
      <c r="G69">
        <v>664.07</v>
      </c>
      <c r="H69">
        <v>97.53</v>
      </c>
      <c r="I69">
        <v>53.2</v>
      </c>
      <c r="J69">
        <v>7.09</v>
      </c>
      <c r="K69">
        <v>5047.3</v>
      </c>
      <c r="T69">
        <f t="shared" si="20"/>
        <v>47.024695795040309</v>
      </c>
      <c r="U69">
        <f t="shared" si="19"/>
        <v>16.324779928854461</v>
      </c>
      <c r="V69">
        <f t="shared" si="19"/>
        <v>8.3445774649073599</v>
      </c>
      <c r="W69">
        <f t="shared" si="19"/>
        <v>30.12037809789906</v>
      </c>
      <c r="X69">
        <f t="shared" si="19"/>
        <v>9.4333965257089787</v>
      </c>
      <c r="Y69">
        <f t="shared" si="19"/>
        <v>9.4742840860521458</v>
      </c>
      <c r="Z69">
        <f t="shared" si="19"/>
        <v>1.3669050878173858</v>
      </c>
      <c r="AA69">
        <f t="shared" si="19"/>
        <v>100</v>
      </c>
      <c r="AB69" t="s">
        <v>301</v>
      </c>
    </row>
    <row r="70" spans="1:56" x14ac:dyDescent="0.2">
      <c r="A70" t="s">
        <v>360</v>
      </c>
      <c r="B70">
        <v>7</v>
      </c>
      <c r="C70" t="s">
        <v>361</v>
      </c>
      <c r="D70">
        <v>6.91</v>
      </c>
      <c r="E70">
        <v>6068.68</v>
      </c>
      <c r="F70">
        <v>612.74</v>
      </c>
      <c r="G70">
        <v>21.21</v>
      </c>
      <c r="H70">
        <v>1.1100000000000001</v>
      </c>
      <c r="I70">
        <v>149.78</v>
      </c>
      <c r="J70">
        <v>73.31</v>
      </c>
      <c r="K70">
        <v>1596.11</v>
      </c>
      <c r="T70">
        <f t="shared" si="20"/>
        <v>3.5477742978898186</v>
      </c>
      <c r="U70">
        <f t="shared" si="19"/>
        <v>55.382183682520804</v>
      </c>
      <c r="V70">
        <f t="shared" si="19"/>
        <v>5.1608458282166216</v>
      </c>
      <c r="W70">
        <f t="shared" si="19"/>
        <v>0.96202692405384826</v>
      </c>
      <c r="X70">
        <f t="shared" si="19"/>
        <v>0.107362556582969</v>
      </c>
      <c r="Y70">
        <f t="shared" si="19"/>
        <v>26.674027639264853</v>
      </c>
      <c r="Z70">
        <f t="shared" si="19"/>
        <v>14.133682932001774</v>
      </c>
      <c r="AA70">
        <f t="shared" si="19"/>
        <v>31.623045984982067</v>
      </c>
      <c r="AB70" t="s">
        <v>361</v>
      </c>
    </row>
    <row r="71" spans="1:56" x14ac:dyDescent="0.2">
      <c r="A71" t="s">
        <v>362</v>
      </c>
      <c r="B71">
        <v>7</v>
      </c>
      <c r="C71" t="s">
        <v>363</v>
      </c>
      <c r="D71">
        <v>194.77</v>
      </c>
      <c r="E71" s="82">
        <v>10957.82</v>
      </c>
      <c r="F71">
        <v>11872.86</v>
      </c>
      <c r="G71">
        <v>347.16</v>
      </c>
      <c r="H71" s="118">
        <v>0.93</v>
      </c>
      <c r="I71">
        <v>31.62</v>
      </c>
      <c r="J71">
        <v>518.69000000000005</v>
      </c>
      <c r="K71">
        <v>3092.81</v>
      </c>
      <c r="T71">
        <f t="shared" si="20"/>
        <v>100</v>
      </c>
      <c r="U71">
        <f t="shared" si="19"/>
        <v>100</v>
      </c>
      <c r="V71">
        <f t="shared" si="19"/>
        <v>100</v>
      </c>
      <c r="W71">
        <f t="shared" si="19"/>
        <v>15.74621720672013</v>
      </c>
      <c r="X71">
        <f t="shared" si="19"/>
        <v>8.9952412272217272E-2</v>
      </c>
      <c r="Y71">
        <f t="shared" si="19"/>
        <v>5.631144037612196</v>
      </c>
      <c r="Z71">
        <f t="shared" si="19"/>
        <v>100</v>
      </c>
      <c r="AA71">
        <f t="shared" si="19"/>
        <v>61.276524082182547</v>
      </c>
      <c r="AB71" t="s">
        <v>363</v>
      </c>
    </row>
    <row r="72" spans="1:56" x14ac:dyDescent="0.2">
      <c r="A72" t="s">
        <v>364</v>
      </c>
      <c r="B72">
        <v>7</v>
      </c>
      <c r="C72" t="s">
        <v>365</v>
      </c>
      <c r="D72">
        <v>4.78</v>
      </c>
      <c r="E72">
        <v>7063.98</v>
      </c>
      <c r="F72">
        <v>758.91</v>
      </c>
      <c r="G72">
        <v>46.29</v>
      </c>
      <c r="H72" s="118">
        <v>0.93</v>
      </c>
      <c r="I72">
        <v>37.619999999999997</v>
      </c>
      <c r="J72">
        <v>67.27</v>
      </c>
      <c r="K72">
        <v>664.73</v>
      </c>
      <c r="T72">
        <f t="shared" si="20"/>
        <v>2.4541767212609744</v>
      </c>
      <c r="U72">
        <f t="shared" si="19"/>
        <v>64.465194719387611</v>
      </c>
      <c r="V72">
        <f t="shared" si="19"/>
        <v>6.391972953441714</v>
      </c>
      <c r="W72">
        <f t="shared" si="19"/>
        <v>2.0995863420298271</v>
      </c>
      <c r="X72">
        <f t="shared" si="19"/>
        <v>8.9952412272217272E-2</v>
      </c>
      <c r="Y72">
        <f t="shared" si="19"/>
        <v>6.6996723179940156</v>
      </c>
      <c r="Z72">
        <f t="shared" si="19"/>
        <v>12.969210896682023</v>
      </c>
      <c r="AA72">
        <f t="shared" si="19"/>
        <v>13.170011689418104</v>
      </c>
      <c r="AB72" t="s">
        <v>365</v>
      </c>
    </row>
    <row r="73" spans="1:56" x14ac:dyDescent="0.2">
      <c r="A73" t="s">
        <v>366</v>
      </c>
      <c r="B73">
        <v>7</v>
      </c>
      <c r="C73" t="s">
        <v>367</v>
      </c>
      <c r="D73">
        <v>4.7300000000000004</v>
      </c>
      <c r="E73">
        <v>3451.88</v>
      </c>
      <c r="F73">
        <v>391.59</v>
      </c>
      <c r="G73">
        <v>4.1399999999999997</v>
      </c>
      <c r="H73" s="118">
        <v>0.93</v>
      </c>
      <c r="I73">
        <v>19.100000000000001</v>
      </c>
      <c r="J73">
        <v>47.43</v>
      </c>
      <c r="K73">
        <v>34.26</v>
      </c>
      <c r="T73">
        <f t="shared" si="20"/>
        <v>2.4285054166452742</v>
      </c>
      <c r="U73">
        <f t="shared" si="19"/>
        <v>31.501521287993416</v>
      </c>
      <c r="V73">
        <f t="shared" si="19"/>
        <v>3.2981943693431908</v>
      </c>
      <c r="W73">
        <f t="shared" si="19"/>
        <v>0.18777894698646541</v>
      </c>
      <c r="X73">
        <f t="shared" si="19"/>
        <v>8.9952412272217272E-2</v>
      </c>
      <c r="Y73">
        <f t="shared" si="19"/>
        <v>3.4014816925487965</v>
      </c>
      <c r="Z73">
        <f t="shared" si="19"/>
        <v>9.1441901713933174</v>
      </c>
      <c r="AA73">
        <f t="shared" si="19"/>
        <v>0.67877875299665158</v>
      </c>
      <c r="AB73" t="s">
        <v>367</v>
      </c>
    </row>
    <row r="74" spans="1:56" x14ac:dyDescent="0.2">
      <c r="A74" t="s">
        <v>368</v>
      </c>
      <c r="B74">
        <v>7</v>
      </c>
      <c r="C74" t="s">
        <v>369</v>
      </c>
      <c r="D74">
        <v>1.79</v>
      </c>
      <c r="E74">
        <v>4406.3900000000003</v>
      </c>
      <c r="F74">
        <v>329.45</v>
      </c>
      <c r="G74">
        <v>4.5199999999999996</v>
      </c>
      <c r="H74">
        <v>511.18</v>
      </c>
      <c r="I74">
        <v>28.02</v>
      </c>
      <c r="J74">
        <v>42.32</v>
      </c>
      <c r="K74">
        <v>93.52</v>
      </c>
      <c r="T74">
        <f t="shared" si="20"/>
        <v>0.91903270524208036</v>
      </c>
      <c r="U74">
        <f t="shared" si="19"/>
        <v>40.212286750466788</v>
      </c>
      <c r="V74">
        <f t="shared" si="19"/>
        <v>2.7748158404967294</v>
      </c>
      <c r="W74">
        <f t="shared" si="19"/>
        <v>0.2050146957436772</v>
      </c>
      <c r="X74">
        <f t="shared" si="19"/>
        <v>49.442875382055938</v>
      </c>
      <c r="Y74">
        <f t="shared" si="19"/>
        <v>4.9900270693831033</v>
      </c>
      <c r="Z74">
        <f t="shared" si="19"/>
        <v>8.1590159825714768</v>
      </c>
      <c r="AA74">
        <f t="shared" si="19"/>
        <v>1.8528718324648821</v>
      </c>
      <c r="AB74" t="s">
        <v>369</v>
      </c>
    </row>
    <row r="75" spans="1:56" x14ac:dyDescent="0.2">
      <c r="B75" s="159" t="s">
        <v>751</v>
      </c>
      <c r="C75" t="s">
        <v>752</v>
      </c>
    </row>
    <row r="76" spans="1:56" x14ac:dyDescent="0.2">
      <c r="B76" s="82" t="s">
        <v>753</v>
      </c>
      <c r="C76" t="s">
        <v>754</v>
      </c>
    </row>
    <row r="79" spans="1:56" x14ac:dyDescent="0.2">
      <c r="A79" t="s">
        <v>1111</v>
      </c>
    </row>
    <row r="80" spans="1:56" x14ac:dyDescent="0.2">
      <c r="A80" s="3"/>
      <c r="B80" s="304" t="s">
        <v>7</v>
      </c>
      <c r="C80" s="306"/>
      <c r="D80" s="306"/>
      <c r="E80" s="306"/>
      <c r="F80" s="306"/>
      <c r="G80" s="306"/>
      <c r="H80" s="305"/>
      <c r="I80" s="304" t="s">
        <v>272</v>
      </c>
      <c r="J80" s="306"/>
      <c r="K80" s="306"/>
      <c r="L80" s="306"/>
      <c r="M80" s="306"/>
      <c r="N80" s="306"/>
      <c r="O80" s="305"/>
      <c r="P80" s="304" t="s">
        <v>273</v>
      </c>
      <c r="Q80" s="306"/>
      <c r="R80" s="306"/>
      <c r="S80" s="306"/>
      <c r="T80" s="306"/>
      <c r="U80" s="306"/>
      <c r="V80" s="305"/>
      <c r="W80" s="304" t="s">
        <v>274</v>
      </c>
      <c r="X80" s="306"/>
      <c r="Y80" s="306"/>
      <c r="Z80" s="306"/>
      <c r="AA80" s="306"/>
      <c r="AB80" s="305"/>
      <c r="AC80" s="304" t="s">
        <v>9</v>
      </c>
      <c r="AD80" s="306"/>
      <c r="AE80" s="306"/>
      <c r="AF80" s="306"/>
      <c r="AG80" s="306"/>
      <c r="AH80" s="306"/>
      <c r="AI80" s="305"/>
      <c r="AJ80" s="304" t="s">
        <v>106</v>
      </c>
      <c r="AK80" s="306"/>
      <c r="AL80" s="306"/>
      <c r="AM80" s="306"/>
      <c r="AN80" s="306"/>
      <c r="AO80" s="306"/>
      <c r="AP80" s="305"/>
      <c r="AQ80" s="304" t="s">
        <v>275</v>
      </c>
      <c r="AR80" s="306"/>
      <c r="AS80" s="306"/>
      <c r="AT80" s="306"/>
      <c r="AU80" s="306"/>
      <c r="AV80" s="306"/>
      <c r="AW80" s="305"/>
      <c r="AX80" s="304" t="s">
        <v>138</v>
      </c>
      <c r="AY80" s="306"/>
      <c r="AZ80" s="306"/>
      <c r="BA80" s="306"/>
      <c r="BB80" s="306"/>
      <c r="BC80" s="306"/>
      <c r="BD80" s="305"/>
    </row>
    <row r="81" spans="1:56" x14ac:dyDescent="0.2">
      <c r="A81" s="15" t="s">
        <v>11</v>
      </c>
      <c r="B81" s="4">
        <v>5.8288939999999997E-2</v>
      </c>
      <c r="C81" s="5">
        <v>0.25040750000000001</v>
      </c>
      <c r="D81" s="5">
        <v>2.3263469799999998</v>
      </c>
      <c r="E81" s="5">
        <v>6.7407910000000001E-2</v>
      </c>
      <c r="F81" s="5">
        <v>4.774519E-2</v>
      </c>
      <c r="G81" s="5">
        <v>8.9952409999999997E-2</v>
      </c>
      <c r="H81" s="6">
        <v>0.95508402000000003</v>
      </c>
      <c r="I81" s="4">
        <v>100</v>
      </c>
      <c r="J81" s="5">
        <v>89.608251899999999</v>
      </c>
      <c r="K81" s="5">
        <v>100</v>
      </c>
      <c r="L81" s="5">
        <v>100</v>
      </c>
      <c r="M81" s="5">
        <v>50.169418399999998</v>
      </c>
      <c r="N81" s="5">
        <v>100</v>
      </c>
      <c r="O81" s="6">
        <v>100</v>
      </c>
      <c r="P81" s="4">
        <v>9.0371122800000006</v>
      </c>
      <c r="Q81" s="5">
        <v>100</v>
      </c>
      <c r="R81" s="5">
        <v>10.205412900000001</v>
      </c>
      <c r="S81" s="5">
        <v>13.5412097</v>
      </c>
      <c r="T81" s="5">
        <v>100</v>
      </c>
      <c r="U81" s="5">
        <v>92.246700000000004</v>
      </c>
      <c r="V81" s="6">
        <v>78.346616600000004</v>
      </c>
      <c r="W81" s="4">
        <v>2.3263469799999998</v>
      </c>
      <c r="X81" s="5">
        <v>6.7407910000000001E-2</v>
      </c>
      <c r="Y81" s="5">
        <v>5.8288939999999997E-2</v>
      </c>
      <c r="Z81" s="5">
        <v>1.8856785</v>
      </c>
      <c r="AA81" s="5">
        <v>0.25040750000000001</v>
      </c>
      <c r="AB81" s="6">
        <v>8.9952409999999997E-2</v>
      </c>
      <c r="AC81" s="4">
        <v>0.25040750000000001</v>
      </c>
      <c r="AD81" s="5">
        <v>2.3263469799999998</v>
      </c>
      <c r="AE81" s="5">
        <v>6.7407910000000001E-2</v>
      </c>
      <c r="AF81" s="5">
        <v>5.8288939999999997E-2</v>
      </c>
      <c r="AG81" s="5">
        <v>4.774519E-2</v>
      </c>
      <c r="AH81" s="5">
        <v>8.9952409999999997E-2</v>
      </c>
      <c r="AI81" s="6">
        <v>0.95508402000000003</v>
      </c>
      <c r="AJ81" s="4">
        <v>0.25040750000000001</v>
      </c>
      <c r="AK81" s="5">
        <v>2.3263469799999998</v>
      </c>
      <c r="AL81" s="5">
        <v>6.7407910000000001E-2</v>
      </c>
      <c r="AM81" s="5">
        <v>5.8288939999999997E-2</v>
      </c>
      <c r="AN81" s="5">
        <v>4.774519E-2</v>
      </c>
      <c r="AO81" s="5">
        <v>8.9952409999999997E-2</v>
      </c>
      <c r="AP81" s="6">
        <v>0.95508402000000003</v>
      </c>
      <c r="AQ81" s="4">
        <v>6.7407910000000001E-2</v>
      </c>
      <c r="AR81" s="5">
        <v>5.8288939999999997E-2</v>
      </c>
      <c r="AS81" s="5">
        <v>4.774519E-2</v>
      </c>
      <c r="AT81" s="5">
        <v>8.9952409999999997E-2</v>
      </c>
      <c r="AU81" s="5">
        <v>2.3263469799999998</v>
      </c>
      <c r="AV81" s="5">
        <v>2.3263469799999998</v>
      </c>
      <c r="AW81" s="6"/>
      <c r="AX81" s="116" t="s">
        <v>1234</v>
      </c>
      <c r="AY81" s="117"/>
      <c r="AZ81" s="5"/>
      <c r="BA81" s="5"/>
      <c r="BB81" s="5"/>
      <c r="BC81" s="5"/>
      <c r="BD81" s="6"/>
    </row>
    <row r="82" spans="1:56" x14ac:dyDescent="0.2">
      <c r="A82" s="15" t="s">
        <v>12</v>
      </c>
      <c r="B82" s="4">
        <v>2.6021943900000002</v>
      </c>
      <c r="C82" s="5">
        <v>8.9680589699999995</v>
      </c>
      <c r="D82" s="5">
        <v>6.93720245</v>
      </c>
      <c r="E82" s="5">
        <v>0.62065356000000005</v>
      </c>
      <c r="F82" s="5">
        <v>1.7984481000000001</v>
      </c>
      <c r="G82" s="5">
        <v>2.8565322700000002</v>
      </c>
      <c r="H82" s="6">
        <v>4.1803278700000002</v>
      </c>
      <c r="I82" s="4">
        <v>52.395577400000001</v>
      </c>
      <c r="J82" s="5">
        <v>32.010881900000001</v>
      </c>
      <c r="K82" s="5">
        <v>100</v>
      </c>
      <c r="L82" s="5">
        <v>100</v>
      </c>
      <c r="M82" s="5">
        <v>14.893245500000001</v>
      </c>
      <c r="N82" s="5">
        <v>29.0853398</v>
      </c>
      <c r="O82" s="6">
        <v>19.118852499999999</v>
      </c>
      <c r="P82" s="4">
        <v>20.485258000000002</v>
      </c>
      <c r="Q82" s="5">
        <v>92.904103399999997</v>
      </c>
      <c r="R82" s="5">
        <v>28.505196999999999</v>
      </c>
      <c r="S82" s="5">
        <v>28.889536199999998</v>
      </c>
      <c r="T82" s="5">
        <v>100</v>
      </c>
      <c r="U82" s="5">
        <v>14.7131148</v>
      </c>
      <c r="V82" s="6">
        <v>100</v>
      </c>
      <c r="W82" s="4">
        <v>36.193606899999999</v>
      </c>
      <c r="X82" s="5">
        <v>5.7989979800000002</v>
      </c>
      <c r="Y82" s="5">
        <v>9.7647020700000002</v>
      </c>
      <c r="Z82" s="5">
        <v>3.4781637000000001</v>
      </c>
      <c r="AA82" s="5">
        <v>18.611793599999999</v>
      </c>
      <c r="AB82" s="6">
        <v>10.5855535</v>
      </c>
      <c r="AC82" s="4">
        <v>100</v>
      </c>
      <c r="AD82" s="5">
        <v>100</v>
      </c>
      <c r="AE82" s="5">
        <v>11.7924176</v>
      </c>
      <c r="AF82" s="5">
        <v>12.9397676</v>
      </c>
      <c r="AG82" s="5">
        <v>2.1427723300000001</v>
      </c>
      <c r="AH82" s="5">
        <v>5.6311440399999997</v>
      </c>
      <c r="AI82" s="6">
        <v>100</v>
      </c>
      <c r="AJ82" s="4">
        <v>10.565110600000001</v>
      </c>
      <c r="AK82" s="5">
        <v>16.9802766</v>
      </c>
      <c r="AL82" s="5">
        <v>0.62065356000000005</v>
      </c>
      <c r="AM82" s="5">
        <v>7.3146260200000004</v>
      </c>
      <c r="AN82" s="5">
        <v>0.63836177000000005</v>
      </c>
      <c r="AO82" s="5">
        <v>6.6996723200000003</v>
      </c>
      <c r="AP82" s="6">
        <v>4.1803278700000002</v>
      </c>
      <c r="AQ82" s="4">
        <v>11.388618900000001</v>
      </c>
      <c r="AR82" s="5">
        <v>1.4143768000000001</v>
      </c>
      <c r="AS82" s="5">
        <v>3.2413971300000002</v>
      </c>
      <c r="AT82" s="5">
        <v>3.4014816899999998</v>
      </c>
      <c r="AU82" s="5">
        <v>29.3810927</v>
      </c>
      <c r="AV82" s="5">
        <v>74.019496700000005</v>
      </c>
      <c r="AW82" s="6"/>
      <c r="AX82" s="4">
        <v>2.4165554999999999</v>
      </c>
      <c r="AY82" s="5">
        <v>4.99002707</v>
      </c>
      <c r="AZ82" s="5"/>
      <c r="BA82" s="5"/>
      <c r="BB82" s="5"/>
      <c r="BC82" s="5"/>
      <c r="BD82" s="6"/>
    </row>
    <row r="83" spans="1:56" x14ac:dyDescent="0.2">
      <c r="A83" s="15" t="s">
        <v>276</v>
      </c>
      <c r="B83" s="4">
        <v>0.36444304</v>
      </c>
      <c r="C83" s="5">
        <v>1.6634869299999999</v>
      </c>
      <c r="D83" s="5">
        <v>0.18551559000000001</v>
      </c>
      <c r="E83" s="5">
        <v>0.40595797</v>
      </c>
      <c r="F83" s="5">
        <v>0.16250755</v>
      </c>
      <c r="G83" s="5">
        <v>0.18777895</v>
      </c>
      <c r="H83" s="6">
        <v>1.35904867</v>
      </c>
      <c r="I83" s="4">
        <v>100</v>
      </c>
      <c r="J83" s="5">
        <v>100</v>
      </c>
      <c r="K83" s="5">
        <v>100</v>
      </c>
      <c r="L83" s="5">
        <v>100</v>
      </c>
      <c r="M83" s="5">
        <v>37.4180092</v>
      </c>
      <c r="N83" s="5">
        <v>48.5131899</v>
      </c>
      <c r="O83" s="6">
        <v>100</v>
      </c>
      <c r="P83" s="4">
        <v>47.7730891</v>
      </c>
      <c r="Q83" s="5">
        <v>100</v>
      </c>
      <c r="R83" s="5">
        <v>18.478932400000001</v>
      </c>
      <c r="S83" s="5">
        <v>20.994207599999999</v>
      </c>
      <c r="T83" s="5">
        <v>100</v>
      </c>
      <c r="U83" s="5">
        <v>49.6552413</v>
      </c>
      <c r="V83" s="6">
        <v>100</v>
      </c>
      <c r="W83" s="4">
        <v>43.057066499999998</v>
      </c>
      <c r="X83" s="5">
        <v>4.4184701100000003</v>
      </c>
      <c r="Y83" s="5">
        <v>2.2949347699999998</v>
      </c>
      <c r="Z83" s="5">
        <v>9.4232271599999997</v>
      </c>
      <c r="AA83" s="5">
        <v>9.1670347599999999</v>
      </c>
      <c r="AB83" s="6">
        <v>2.25062593</v>
      </c>
      <c r="AC83" s="4">
        <v>52.619757</v>
      </c>
      <c r="AD83" s="5">
        <v>14.197452999999999</v>
      </c>
      <c r="AE83" s="5">
        <v>2.5975426800000001</v>
      </c>
      <c r="AF83" s="5">
        <v>30.3077519</v>
      </c>
      <c r="AG83" s="5">
        <v>14.1842194</v>
      </c>
      <c r="AH83" s="5">
        <v>15.7462172</v>
      </c>
      <c r="AI83" s="6">
        <v>70.434029499999994</v>
      </c>
      <c r="AJ83" s="4">
        <v>5.9218255099999997</v>
      </c>
      <c r="AK83" s="5">
        <v>13.0177342</v>
      </c>
      <c r="AL83" s="5">
        <v>0.40595797</v>
      </c>
      <c r="AM83" s="5">
        <v>0.36444304</v>
      </c>
      <c r="AN83" s="5">
        <v>1.5911737399999999</v>
      </c>
      <c r="AO83" s="5">
        <v>2.0995863400000001</v>
      </c>
      <c r="AP83" s="6">
        <v>3.1222588600000001</v>
      </c>
      <c r="AQ83" s="4">
        <v>0.40595797</v>
      </c>
      <c r="AR83" s="5">
        <v>0.36444304</v>
      </c>
      <c r="AS83" s="5">
        <v>0.16250755</v>
      </c>
      <c r="AT83" s="5">
        <v>0.18777895</v>
      </c>
      <c r="AU83" s="5">
        <v>0.24629657999999999</v>
      </c>
      <c r="AV83" s="5">
        <v>8.4993189999999996E-2</v>
      </c>
      <c r="AW83" s="6"/>
      <c r="AX83" s="4">
        <v>0.16656103</v>
      </c>
      <c r="AY83" s="5">
        <v>0.20501469999999999</v>
      </c>
      <c r="AZ83" s="5"/>
      <c r="BA83" s="5"/>
      <c r="BB83" s="5"/>
      <c r="BC83" s="5"/>
      <c r="BD83" s="6"/>
    </row>
    <row r="84" spans="1:56" x14ac:dyDescent="0.2">
      <c r="A84" s="15" t="s">
        <v>13</v>
      </c>
      <c r="B84" s="4">
        <v>1.77958825</v>
      </c>
      <c r="C84" s="5">
        <v>0.19403264000000001</v>
      </c>
      <c r="D84" s="5">
        <v>0.12427468</v>
      </c>
      <c r="E84" s="5">
        <v>0.20690101</v>
      </c>
      <c r="F84" s="5">
        <v>2.2013230199999998</v>
      </c>
      <c r="G84" s="5">
        <v>2.70482428</v>
      </c>
      <c r="H84" s="6">
        <v>0.30909557999999998</v>
      </c>
      <c r="I84" s="4">
        <v>3.9503269699999999</v>
      </c>
      <c r="J84" s="5">
        <v>100</v>
      </c>
      <c r="K84" s="5">
        <v>60.419405599999997</v>
      </c>
      <c r="L84" s="5">
        <v>40.668629600000003</v>
      </c>
      <c r="M84" s="5">
        <v>5.8404630400000004</v>
      </c>
      <c r="N84" s="5">
        <v>5.4650690700000002</v>
      </c>
      <c r="O84" s="6">
        <v>4.5902075900000003</v>
      </c>
      <c r="P84" s="4">
        <v>1.76053006</v>
      </c>
      <c r="Q84" s="5">
        <v>100</v>
      </c>
      <c r="R84" s="5">
        <v>55.993663699999999</v>
      </c>
      <c r="S84" s="5">
        <v>51.474364799999996</v>
      </c>
      <c r="T84" s="5">
        <v>68.028680499999993</v>
      </c>
      <c r="U84" s="5">
        <v>1.3983413899999999</v>
      </c>
      <c r="V84" s="6">
        <v>58.511428600000002</v>
      </c>
      <c r="W84" s="4">
        <v>100</v>
      </c>
      <c r="X84" s="5">
        <v>100</v>
      </c>
      <c r="Y84" s="5">
        <v>88.721041</v>
      </c>
      <c r="Z84" s="5">
        <v>13.835082699999999</v>
      </c>
      <c r="AA84" s="5">
        <v>0.62028474</v>
      </c>
      <c r="AB84" s="6">
        <v>19.164801099999998</v>
      </c>
      <c r="AC84" s="4">
        <v>100</v>
      </c>
      <c r="AD84" s="5">
        <v>100</v>
      </c>
      <c r="AE84" s="5">
        <v>47.455764100000003</v>
      </c>
      <c r="AF84" s="5">
        <v>100</v>
      </c>
      <c r="AG84" s="5">
        <v>100</v>
      </c>
      <c r="AH84" s="5">
        <v>100</v>
      </c>
      <c r="AI84" s="6">
        <v>100</v>
      </c>
      <c r="AJ84" s="4">
        <v>4.9946865000000003</v>
      </c>
      <c r="AK84" s="5">
        <v>3.8165055899999998</v>
      </c>
      <c r="AL84" s="5">
        <v>0.40625876</v>
      </c>
      <c r="AM84" s="5">
        <v>4.4044711200000002</v>
      </c>
      <c r="AN84" s="5">
        <v>2.9886648999999998</v>
      </c>
      <c r="AO84" s="5">
        <v>6.3919729500000004</v>
      </c>
      <c r="AP84" s="6">
        <v>1.70860937</v>
      </c>
      <c r="AQ84" s="4">
        <v>0.98816784999999996</v>
      </c>
      <c r="AR84" s="5">
        <v>0.42931243000000002</v>
      </c>
      <c r="AS84" s="5">
        <v>4.4799652300000004</v>
      </c>
      <c r="AT84" s="5">
        <v>3.29819437</v>
      </c>
      <c r="AU84" s="5">
        <v>0.12620076999999999</v>
      </c>
      <c r="AV84" s="5">
        <v>3.4167160000000002E-2</v>
      </c>
      <c r="AW84" s="6"/>
      <c r="AX84" s="4">
        <v>1.9643118799999999</v>
      </c>
      <c r="AY84" s="5">
        <v>2.77481584</v>
      </c>
      <c r="AZ84" s="5"/>
      <c r="BA84" s="5"/>
      <c r="BB84" s="5"/>
      <c r="BC84" s="5"/>
      <c r="BD84" s="6"/>
    </row>
    <row r="85" spans="1:56" x14ac:dyDescent="0.2">
      <c r="A85" s="15" t="s">
        <v>14</v>
      </c>
      <c r="B85" s="4">
        <v>3.50362106</v>
      </c>
      <c r="C85" s="5">
        <v>4.0464468199999999</v>
      </c>
      <c r="D85" s="5">
        <v>1.5125344300000001</v>
      </c>
      <c r="E85" s="5">
        <v>2.7407747699999998</v>
      </c>
      <c r="F85" s="5">
        <v>1.12971281</v>
      </c>
      <c r="G85" s="5">
        <v>0.91903270999999997</v>
      </c>
      <c r="H85" s="6">
        <v>3.6024215000000002</v>
      </c>
      <c r="I85" s="4">
        <v>17.716674399999999</v>
      </c>
      <c r="J85" s="5">
        <v>100</v>
      </c>
      <c r="K85" s="5">
        <v>69.912723900000003</v>
      </c>
      <c r="L85" s="5">
        <v>100</v>
      </c>
      <c r="M85" s="5">
        <v>9.5503833799999995</v>
      </c>
      <c r="N85" s="5">
        <v>4.2563023099999997</v>
      </c>
      <c r="O85" s="6">
        <v>15.226791499999999</v>
      </c>
      <c r="P85" s="4">
        <v>4.4737575500000002</v>
      </c>
      <c r="Q85" s="5">
        <v>41.062508800000003</v>
      </c>
      <c r="R85" s="5">
        <v>18.236104699999999</v>
      </c>
      <c r="S85" s="5">
        <v>50.342532800000001</v>
      </c>
      <c r="T85" s="5">
        <v>64.098725099999996</v>
      </c>
      <c r="U85" s="5">
        <v>8.4811976300000005</v>
      </c>
      <c r="V85" s="6">
        <v>37.664938100000001</v>
      </c>
      <c r="W85" s="4">
        <v>30.904252799999998</v>
      </c>
      <c r="X85" s="5">
        <v>2.7407747699999998</v>
      </c>
      <c r="Y85" s="5">
        <v>3.50362106</v>
      </c>
      <c r="Z85" s="5">
        <v>5.8118960099999999</v>
      </c>
      <c r="AA85" s="5">
        <v>15.0580585</v>
      </c>
      <c r="AB85" s="6">
        <v>8.13780356</v>
      </c>
      <c r="AC85" s="4">
        <v>100</v>
      </c>
      <c r="AD85" s="5">
        <v>16.0450026</v>
      </c>
      <c r="AE85" s="5">
        <v>100</v>
      </c>
      <c r="AF85" s="5">
        <v>22.489723999999999</v>
      </c>
      <c r="AG85" s="5">
        <v>58.291366099999998</v>
      </c>
      <c r="AH85" s="5">
        <v>100</v>
      </c>
      <c r="AI85" s="6">
        <v>100</v>
      </c>
      <c r="AJ85" s="4">
        <v>6.6604737600000004</v>
      </c>
      <c r="AK85" s="5">
        <v>1.0130246000000001</v>
      </c>
      <c r="AL85" s="5">
        <v>2.7407747699999998</v>
      </c>
      <c r="AM85" s="5">
        <v>3.50362106</v>
      </c>
      <c r="AN85" s="5">
        <v>1.4972097499999999</v>
      </c>
      <c r="AO85" s="5">
        <v>2.45417672</v>
      </c>
      <c r="AP85" s="6">
        <v>3.0030119599999998</v>
      </c>
      <c r="AQ85" s="4">
        <v>2.7407747699999998</v>
      </c>
      <c r="AR85" s="5">
        <v>3.50362106</v>
      </c>
      <c r="AS85" s="5">
        <v>4.3282972600000003</v>
      </c>
      <c r="AT85" s="5">
        <v>2.42850542</v>
      </c>
      <c r="AU85" s="5">
        <v>12.772513</v>
      </c>
      <c r="AV85" s="5">
        <v>6.9791326299999996</v>
      </c>
      <c r="AW85" s="6"/>
      <c r="AX85" s="4">
        <v>0.81212286</v>
      </c>
      <c r="AY85" s="5">
        <v>0.91903270999999997</v>
      </c>
      <c r="AZ85" s="5"/>
      <c r="BA85" s="5"/>
      <c r="BB85" s="5"/>
      <c r="BC85" s="5"/>
      <c r="BD85" s="6"/>
    </row>
    <row r="86" spans="1:56" x14ac:dyDescent="0.2">
      <c r="A86" s="15" t="s">
        <v>15</v>
      </c>
      <c r="B86" s="4">
        <v>3.12772637</v>
      </c>
      <c r="C86" s="5">
        <v>20.662709799999998</v>
      </c>
      <c r="D86" s="5">
        <v>4.2922281399999997</v>
      </c>
      <c r="E86" s="5">
        <v>3.0382011000000002</v>
      </c>
      <c r="F86" s="5">
        <v>35.825100200000001</v>
      </c>
      <c r="G86" s="5">
        <v>17.266846900000001</v>
      </c>
      <c r="H86" s="6">
        <v>10.976793900000001</v>
      </c>
      <c r="I86" s="4">
        <v>85.886644399999994</v>
      </c>
      <c r="J86" s="5">
        <v>100</v>
      </c>
      <c r="K86" s="5">
        <v>15.4039132</v>
      </c>
      <c r="L86" s="5">
        <v>8.5724324200000002</v>
      </c>
      <c r="M86" s="5">
        <v>34.468991099999997</v>
      </c>
      <c r="N86" s="5">
        <v>26.1321139</v>
      </c>
      <c r="O86" s="6">
        <v>55.023155099999997</v>
      </c>
      <c r="P86" s="4">
        <v>8.1261431099999992</v>
      </c>
      <c r="Q86" s="5">
        <v>56.335532499999999</v>
      </c>
      <c r="R86" s="5">
        <v>2.13090219</v>
      </c>
      <c r="S86" s="5">
        <v>2.7748270599999998</v>
      </c>
      <c r="T86" s="5">
        <v>73.552403699999999</v>
      </c>
      <c r="U86" s="5">
        <v>8.9019537900000003</v>
      </c>
      <c r="V86" s="6">
        <v>28.4354917</v>
      </c>
      <c r="W86" s="4">
        <v>100</v>
      </c>
      <c r="X86" s="5">
        <v>46.467447800000002</v>
      </c>
      <c r="Y86" s="5">
        <v>37.563197000000002</v>
      </c>
      <c r="Z86" s="5">
        <v>84.425004200000004</v>
      </c>
      <c r="AA86" s="5">
        <v>10.3030797</v>
      </c>
      <c r="AB86" s="6">
        <v>100</v>
      </c>
      <c r="AC86" s="4">
        <v>100</v>
      </c>
      <c r="AD86" s="5">
        <v>100</v>
      </c>
      <c r="AE86" s="5">
        <v>100</v>
      </c>
      <c r="AF86" s="5">
        <v>100</v>
      </c>
      <c r="AG86" s="5">
        <v>100</v>
      </c>
      <c r="AH86" s="5">
        <v>100</v>
      </c>
      <c r="AI86" s="6">
        <v>100</v>
      </c>
      <c r="AJ86" s="4">
        <v>27.919912400000001</v>
      </c>
      <c r="AK86" s="5">
        <v>10.962121399999999</v>
      </c>
      <c r="AL86" s="5">
        <v>3.45151399</v>
      </c>
      <c r="AM86" s="5">
        <v>4.1404296499999997</v>
      </c>
      <c r="AN86" s="5">
        <v>36.768262300000004</v>
      </c>
      <c r="AO86" s="5">
        <v>64.465194699999998</v>
      </c>
      <c r="AP86" s="6">
        <v>13.099523700000001</v>
      </c>
      <c r="AQ86" s="4">
        <v>8.7326835700000007</v>
      </c>
      <c r="AR86" s="5">
        <v>2.3793097200000002</v>
      </c>
      <c r="AS86" s="5">
        <v>40.362225299999999</v>
      </c>
      <c r="AT86" s="5">
        <v>31.5015213</v>
      </c>
      <c r="AU86" s="5">
        <v>10.167868199999999</v>
      </c>
      <c r="AV86" s="5">
        <v>3.8515424</v>
      </c>
      <c r="AW86" s="6"/>
      <c r="AX86" s="4">
        <v>33.857099300000002</v>
      </c>
      <c r="AY86" s="5">
        <v>40.212286800000001</v>
      </c>
      <c r="AZ86" s="5"/>
      <c r="BA86" s="5"/>
      <c r="BB86" s="5"/>
      <c r="BC86" s="5"/>
      <c r="BD86" s="6"/>
    </row>
    <row r="87" spans="1:56" x14ac:dyDescent="0.2">
      <c r="A87" s="15" t="s">
        <v>10</v>
      </c>
      <c r="B87" s="7">
        <v>11.118479199999999</v>
      </c>
      <c r="C87" s="8">
        <v>2.0555957899999999</v>
      </c>
      <c r="D87" s="8">
        <v>0.33896061999999999</v>
      </c>
      <c r="E87" s="8">
        <v>32.387378400000003</v>
      </c>
      <c r="F87" s="8">
        <v>4.7300973199999996</v>
      </c>
      <c r="G87" s="8">
        <v>4.4515992200000003</v>
      </c>
      <c r="H87" s="9">
        <v>0.63925160999999997</v>
      </c>
      <c r="I87" s="7">
        <v>100</v>
      </c>
      <c r="J87" s="8">
        <v>22.686180199999999</v>
      </c>
      <c r="K87" s="8">
        <v>58.027386399999997</v>
      </c>
      <c r="L87" s="8">
        <v>41.865605700000003</v>
      </c>
      <c r="M87" s="8">
        <v>7.6588285100000002</v>
      </c>
      <c r="N87" s="8">
        <v>6.3409743799999996</v>
      </c>
      <c r="O87" s="9">
        <v>100</v>
      </c>
      <c r="P87" s="7">
        <v>38.091192700000001</v>
      </c>
      <c r="Q87" s="8">
        <v>100</v>
      </c>
      <c r="R87" s="8">
        <v>30.125024799999998</v>
      </c>
      <c r="S87" s="8">
        <v>19.4297082</v>
      </c>
      <c r="T87" s="8">
        <v>36.393036299999999</v>
      </c>
      <c r="U87" s="8">
        <v>48.148509099999998</v>
      </c>
      <c r="V87" s="9">
        <v>5.5563053099999999</v>
      </c>
      <c r="W87" s="7">
        <v>40.455013299999997</v>
      </c>
      <c r="X87" s="8">
        <v>100</v>
      </c>
      <c r="Y87" s="8">
        <v>100</v>
      </c>
      <c r="Z87" s="8">
        <v>30.2968023</v>
      </c>
      <c r="AA87" s="8">
        <v>6.5985181900000001</v>
      </c>
      <c r="AB87" s="9">
        <v>19.5010507</v>
      </c>
      <c r="AC87" s="7">
        <v>46.466074300000002</v>
      </c>
      <c r="AD87" s="8">
        <v>13.2964196</v>
      </c>
      <c r="AE87" s="8">
        <v>18.078983900000001</v>
      </c>
      <c r="AF87" s="8">
        <v>81.786030100000005</v>
      </c>
      <c r="AG87" s="8">
        <v>100</v>
      </c>
      <c r="AH87" s="8">
        <v>100</v>
      </c>
      <c r="AI87" s="9">
        <v>75.2572598</v>
      </c>
      <c r="AJ87" s="7">
        <v>4.0144003100000001</v>
      </c>
      <c r="AK87" s="8">
        <v>13.783945900000001</v>
      </c>
      <c r="AL87" s="8">
        <v>14.8045247</v>
      </c>
      <c r="AM87" s="8">
        <v>10.3448276</v>
      </c>
      <c r="AN87" s="8">
        <v>14.809889399999999</v>
      </c>
      <c r="AO87" s="8">
        <v>12.9692109</v>
      </c>
      <c r="AP87" s="9">
        <v>3.3268368700000002</v>
      </c>
      <c r="AQ87" s="7">
        <v>10.6568764</v>
      </c>
      <c r="AR87" s="8">
        <v>4.3545534899999998</v>
      </c>
      <c r="AS87" s="8">
        <v>20.5524995</v>
      </c>
      <c r="AT87" s="8">
        <v>9.1441901699999999</v>
      </c>
      <c r="AU87" s="8">
        <v>0.15577764999999999</v>
      </c>
      <c r="AV87" s="8">
        <v>5.506519E-2</v>
      </c>
      <c r="AW87" s="9"/>
      <c r="AX87" s="7">
        <v>7.6588285100000002</v>
      </c>
      <c r="AY87" s="8">
        <v>8.1590159799999995</v>
      </c>
      <c r="AZ87" s="8"/>
      <c r="BA87" s="8"/>
      <c r="BB87" s="8"/>
      <c r="BC87" s="8"/>
      <c r="BD87" s="9"/>
    </row>
    <row r="88" spans="1:56" x14ac:dyDescent="0.2">
      <c r="A88" s="15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  <c r="AA88" s="1"/>
      <c r="AB88" s="1"/>
      <c r="AC88" s="1"/>
      <c r="AD88" s="1"/>
      <c r="AE88" s="1"/>
      <c r="AF88" s="1"/>
      <c r="AG88" s="1"/>
      <c r="AH88" s="1"/>
      <c r="AI88" s="1"/>
      <c r="AJ88" s="1"/>
      <c r="AK88" s="1"/>
      <c r="AL88" s="1"/>
      <c r="AM88" s="1"/>
      <c r="AN88" s="1"/>
      <c r="AO88" s="1"/>
      <c r="AP88" s="1"/>
      <c r="AQ88" s="1"/>
      <c r="AR88" s="1"/>
      <c r="AS88" s="1"/>
      <c r="AT88" s="1"/>
      <c r="AU88" s="1"/>
      <c r="AV88" s="1"/>
      <c r="AW88" s="1"/>
      <c r="AX88" s="1"/>
      <c r="AY88" s="1"/>
      <c r="AZ88" s="1"/>
      <c r="BA88" s="1"/>
      <c r="BB88" s="1"/>
      <c r="BC88" s="1"/>
      <c r="BD88" s="1"/>
    </row>
    <row r="89" spans="1:56" x14ac:dyDescent="0.2">
      <c r="A89" s="59" t="s">
        <v>1257</v>
      </c>
    </row>
    <row r="90" spans="1:56" x14ac:dyDescent="0.2">
      <c r="A90" s="59" t="s">
        <v>1176</v>
      </c>
      <c r="B90" t="s">
        <v>1127</v>
      </c>
      <c r="C90" s="235" t="s">
        <v>7</v>
      </c>
    </row>
    <row r="91" spans="1:56" x14ac:dyDescent="0.2">
      <c r="A91" s="15" t="s">
        <v>11</v>
      </c>
      <c r="B91" t="s">
        <v>272</v>
      </c>
      <c r="C91" t="s">
        <v>1131</v>
      </c>
    </row>
    <row r="92" spans="1:56" x14ac:dyDescent="0.2">
      <c r="B92" t="s">
        <v>9</v>
      </c>
      <c r="C92" t="s">
        <v>1133</v>
      </c>
    </row>
    <row r="93" spans="1:56" x14ac:dyDescent="0.2">
      <c r="A93" s="15" t="s">
        <v>12</v>
      </c>
      <c r="B93" t="s">
        <v>272</v>
      </c>
      <c r="C93">
        <v>3.6400000000000002E-2</v>
      </c>
    </row>
    <row r="94" spans="1:56" x14ac:dyDescent="0.2">
      <c r="B94" t="s">
        <v>9</v>
      </c>
      <c r="C94">
        <v>0.151</v>
      </c>
    </row>
    <row r="95" spans="1:56" x14ac:dyDescent="0.2">
      <c r="A95" s="15" t="s">
        <v>276</v>
      </c>
      <c r="B95" t="s">
        <v>272</v>
      </c>
      <c r="C95" t="s">
        <v>1131</v>
      </c>
    </row>
    <row r="96" spans="1:56" x14ac:dyDescent="0.2">
      <c r="B96" t="s">
        <v>9</v>
      </c>
      <c r="C96">
        <v>8.3599999999999994E-2</v>
      </c>
    </row>
    <row r="97" spans="1:3" x14ac:dyDescent="0.2">
      <c r="A97" s="15" t="s">
        <v>13</v>
      </c>
      <c r="B97" t="s">
        <v>272</v>
      </c>
      <c r="C97">
        <v>0.19389999999999999</v>
      </c>
    </row>
    <row r="98" spans="1:3" x14ac:dyDescent="0.2">
      <c r="B98" t="s">
        <v>9</v>
      </c>
      <c r="C98" t="s">
        <v>1131</v>
      </c>
    </row>
    <row r="99" spans="1:3" x14ac:dyDescent="0.2">
      <c r="A99" s="15" t="s">
        <v>14</v>
      </c>
      <c r="B99" t="s">
        <v>272</v>
      </c>
      <c r="C99">
        <v>1.0200000000000001E-2</v>
      </c>
    </row>
    <row r="100" spans="1:3" x14ac:dyDescent="0.2">
      <c r="B100" t="s">
        <v>9</v>
      </c>
      <c r="C100" t="s">
        <v>1131</v>
      </c>
    </row>
    <row r="101" spans="1:3" x14ac:dyDescent="0.2">
      <c r="A101" s="15" t="s">
        <v>15</v>
      </c>
      <c r="B101" t="s">
        <v>272</v>
      </c>
      <c r="C101">
        <v>8.7499999999999994E-2</v>
      </c>
    </row>
    <row r="102" spans="1:3" x14ac:dyDescent="0.2">
      <c r="B102" t="s">
        <v>9</v>
      </c>
      <c r="C102" t="s">
        <v>1131</v>
      </c>
    </row>
    <row r="103" spans="1:3" x14ac:dyDescent="0.2">
      <c r="A103" t="s">
        <v>10</v>
      </c>
      <c r="B103" t="s">
        <v>272</v>
      </c>
      <c r="C103">
        <v>5.7500000000000002E-2</v>
      </c>
    </row>
    <row r="104" spans="1:3" x14ac:dyDescent="0.2">
      <c r="B104" t="s">
        <v>9</v>
      </c>
      <c r="C104">
        <v>4.8999999999999998E-3</v>
      </c>
    </row>
  </sheetData>
  <mergeCells count="8">
    <mergeCell ref="AQ80:AW80"/>
    <mergeCell ref="AX80:BD80"/>
    <mergeCell ref="B80:H80"/>
    <mergeCell ref="I80:O80"/>
    <mergeCell ref="P80:V80"/>
    <mergeCell ref="W80:AB80"/>
    <mergeCell ref="AC80:AI80"/>
    <mergeCell ref="AJ80:AP80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A620D7-3304-3040-B499-0E9286B57068}">
  <dimension ref="A1:H6"/>
  <sheetViews>
    <sheetView zoomScale="83" zoomScaleNormal="83" workbookViewId="0">
      <selection activeCell="K30" sqref="K30"/>
    </sheetView>
  </sheetViews>
  <sheetFormatPr baseColWidth="10" defaultRowHeight="16" x14ac:dyDescent="0.2"/>
  <sheetData>
    <row r="1" spans="1:8" x14ac:dyDescent="0.2">
      <c r="A1" t="s">
        <v>1026</v>
      </c>
    </row>
    <row r="2" spans="1:8" x14ac:dyDescent="0.2">
      <c r="A2" s="203" t="s">
        <v>7</v>
      </c>
      <c r="B2" s="203" t="s">
        <v>104</v>
      </c>
      <c r="C2" s="203" t="s">
        <v>273</v>
      </c>
      <c r="D2" s="203" t="s">
        <v>105</v>
      </c>
      <c r="E2" s="203" t="s">
        <v>106</v>
      </c>
      <c r="F2" s="203" t="s">
        <v>9</v>
      </c>
      <c r="G2" s="203" t="s">
        <v>275</v>
      </c>
      <c r="H2" s="203" t="s">
        <v>1025</v>
      </c>
    </row>
    <row r="3" spans="1:8" x14ac:dyDescent="0.2">
      <c r="A3" s="202">
        <v>100</v>
      </c>
      <c r="B3" s="202">
        <v>72.935779999999994</v>
      </c>
      <c r="C3" s="202">
        <v>40.596330000000002</v>
      </c>
      <c r="D3" s="202">
        <v>77.752290000000002</v>
      </c>
      <c r="E3" s="202">
        <v>95.642200000000003</v>
      </c>
      <c r="F3" s="202">
        <v>138.30279999999999</v>
      </c>
      <c r="G3" s="202">
        <v>100.2294</v>
      </c>
      <c r="H3" s="202">
        <v>120.2559</v>
      </c>
    </row>
    <row r="4" spans="1:8" x14ac:dyDescent="0.2">
      <c r="A4" s="202">
        <v>100</v>
      </c>
      <c r="B4" s="202">
        <v>73.059359999999998</v>
      </c>
      <c r="C4" s="202">
        <v>40.639270000000003</v>
      </c>
      <c r="D4" s="202">
        <v>77.853880000000004</v>
      </c>
      <c r="E4" s="202">
        <v>95.890410000000003</v>
      </c>
      <c r="F4" s="202">
        <v>138.81280000000001</v>
      </c>
      <c r="G4" s="202">
        <v>100.45659999999999</v>
      </c>
      <c r="H4" s="202"/>
    </row>
    <row r="5" spans="1:8" x14ac:dyDescent="0.2">
      <c r="A5" s="202">
        <v>100</v>
      </c>
      <c r="B5" s="202">
        <v>50.476190000000003</v>
      </c>
      <c r="C5" s="202">
        <v>0</v>
      </c>
      <c r="D5" s="202">
        <v>215.2381</v>
      </c>
      <c r="E5" s="202">
        <v>122.8571</v>
      </c>
      <c r="F5" s="202">
        <v>12.38095</v>
      </c>
      <c r="G5" s="202">
        <v>80.952380000000005</v>
      </c>
      <c r="H5" s="202"/>
    </row>
    <row r="6" spans="1:8" x14ac:dyDescent="0.2">
      <c r="A6" s="202">
        <v>100</v>
      </c>
      <c r="B6" s="202">
        <v>60.980809999999998</v>
      </c>
      <c r="C6" s="202">
        <v>33.688699999999997</v>
      </c>
      <c r="D6" s="202">
        <v>88.912580000000005</v>
      </c>
      <c r="E6" s="202">
        <v>105.3305</v>
      </c>
      <c r="F6" s="202">
        <v>126.226</v>
      </c>
      <c r="G6" s="202">
        <v>143.07040000000001</v>
      </c>
      <c r="H6" s="202"/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D603A-F2FC-214F-8A5C-C80A29D86308}">
  <dimension ref="A1:N45"/>
  <sheetViews>
    <sheetView workbookViewId="0">
      <selection activeCell="M27" sqref="M27"/>
    </sheetView>
  </sheetViews>
  <sheetFormatPr baseColWidth="10" defaultRowHeight="16" x14ac:dyDescent="0.2"/>
  <sheetData>
    <row r="1" spans="1:12" x14ac:dyDescent="0.2">
      <c r="A1" t="s">
        <v>1189</v>
      </c>
    </row>
    <row r="2" spans="1:12" x14ac:dyDescent="0.2">
      <c r="I2" t="s">
        <v>1188</v>
      </c>
    </row>
    <row r="3" spans="1:12" x14ac:dyDescent="0.2">
      <c r="A3" t="s">
        <v>1122</v>
      </c>
      <c r="B3" s="235" t="s">
        <v>1141</v>
      </c>
      <c r="C3" t="s">
        <v>272</v>
      </c>
      <c r="D3" t="s">
        <v>273</v>
      </c>
      <c r="E3" t="s">
        <v>274</v>
      </c>
      <c r="F3" t="s">
        <v>9</v>
      </c>
      <c r="G3" t="s">
        <v>106</v>
      </c>
      <c r="H3" t="s">
        <v>275</v>
      </c>
    </row>
    <row r="4" spans="1:12" x14ac:dyDescent="0.2">
      <c r="A4" t="s">
        <v>139</v>
      </c>
      <c r="B4" t="s">
        <v>7</v>
      </c>
      <c r="C4" s="122" t="s">
        <v>1131</v>
      </c>
      <c r="D4" s="122" t="s">
        <v>1131</v>
      </c>
      <c r="E4" s="122" t="s">
        <v>1133</v>
      </c>
      <c r="F4" s="122" t="s">
        <v>1133</v>
      </c>
      <c r="G4" s="122" t="s">
        <v>1133</v>
      </c>
      <c r="H4" s="122" t="s">
        <v>1133</v>
      </c>
      <c r="I4" s="122"/>
      <c r="J4" s="122"/>
    </row>
    <row r="5" spans="1:12" x14ac:dyDescent="0.2">
      <c r="B5" t="s">
        <v>272</v>
      </c>
      <c r="C5" s="258"/>
      <c r="D5" s="122">
        <v>2.1399999999999999E-2</v>
      </c>
      <c r="E5" s="122" t="s">
        <v>1131</v>
      </c>
      <c r="F5" s="122" t="s">
        <v>1131</v>
      </c>
      <c r="G5" s="122" t="s">
        <v>1131</v>
      </c>
      <c r="H5" s="122" t="s">
        <v>1131</v>
      </c>
    </row>
    <row r="6" spans="1:12" x14ac:dyDescent="0.2">
      <c r="B6" t="s">
        <v>273</v>
      </c>
      <c r="C6" s="258"/>
      <c r="D6" s="258"/>
      <c r="E6" s="122" t="s">
        <v>1131</v>
      </c>
      <c r="F6" s="122" t="s">
        <v>1131</v>
      </c>
      <c r="G6" s="122" t="s">
        <v>1131</v>
      </c>
      <c r="H6" s="122" t="s">
        <v>1131</v>
      </c>
    </row>
    <row r="7" spans="1:12" x14ac:dyDescent="0.2">
      <c r="B7" t="s">
        <v>274</v>
      </c>
      <c r="C7" s="258"/>
      <c r="D7" s="258"/>
      <c r="E7" s="258"/>
      <c r="F7" s="122" t="s">
        <v>1133</v>
      </c>
      <c r="G7" s="122" t="s">
        <v>1133</v>
      </c>
      <c r="H7" s="122" t="s">
        <v>1133</v>
      </c>
    </row>
    <row r="8" spans="1:12" x14ac:dyDescent="0.2">
      <c r="B8" t="s">
        <v>9</v>
      </c>
      <c r="C8" s="258"/>
      <c r="D8" s="258"/>
      <c r="E8" s="258"/>
      <c r="F8" s="258"/>
      <c r="G8" s="122" t="s">
        <v>1133</v>
      </c>
      <c r="H8" s="122" t="s">
        <v>1133</v>
      </c>
    </row>
    <row r="9" spans="1:12" x14ac:dyDescent="0.2">
      <c r="B9" t="s">
        <v>106</v>
      </c>
      <c r="C9" s="258"/>
      <c r="D9" s="258"/>
      <c r="E9" s="258"/>
      <c r="F9" s="258"/>
      <c r="G9" s="258"/>
      <c r="H9" s="122" t="s">
        <v>1133</v>
      </c>
    </row>
    <row r="10" spans="1:12" x14ac:dyDescent="0.2">
      <c r="B10" t="s">
        <v>275</v>
      </c>
      <c r="C10" s="258"/>
      <c r="D10" s="258"/>
      <c r="E10" s="258"/>
      <c r="F10" s="258"/>
      <c r="G10" s="258"/>
      <c r="H10" s="258"/>
    </row>
    <row r="11" spans="1:12" x14ac:dyDescent="0.2">
      <c r="A11" t="s">
        <v>1153</v>
      </c>
      <c r="B11" s="235" t="s">
        <v>1141</v>
      </c>
      <c r="C11" t="s">
        <v>272</v>
      </c>
      <c r="D11" t="s">
        <v>273</v>
      </c>
      <c r="E11" t="s">
        <v>274</v>
      </c>
      <c r="F11" t="s">
        <v>9</v>
      </c>
      <c r="G11" t="s">
        <v>106</v>
      </c>
      <c r="H11" t="s">
        <v>275</v>
      </c>
      <c r="K11" s="122"/>
    </row>
    <row r="12" spans="1:12" x14ac:dyDescent="0.2">
      <c r="B12" t="s">
        <v>7</v>
      </c>
      <c r="C12" s="273">
        <v>9.1999999999999998E-2</v>
      </c>
      <c r="D12" s="273">
        <v>4.1599999999999998E-2</v>
      </c>
      <c r="E12" s="122">
        <v>0.99619999999999997</v>
      </c>
      <c r="F12" s="122">
        <v>0.1229</v>
      </c>
      <c r="G12" s="122" t="s">
        <v>1133</v>
      </c>
      <c r="H12" s="122">
        <v>0.95469999999999999</v>
      </c>
      <c r="I12" s="122"/>
      <c r="K12" s="122"/>
    </row>
    <row r="13" spans="1:12" x14ac:dyDescent="0.2">
      <c r="D13" s="122"/>
      <c r="K13" s="122"/>
      <c r="L13" s="122"/>
    </row>
    <row r="14" spans="1:12" x14ac:dyDescent="0.2">
      <c r="A14" t="s">
        <v>1151</v>
      </c>
      <c r="B14" s="235" t="s">
        <v>1141</v>
      </c>
      <c r="C14" t="s">
        <v>272</v>
      </c>
      <c r="D14" t="s">
        <v>273</v>
      </c>
      <c r="E14" t="s">
        <v>274</v>
      </c>
      <c r="F14" t="s">
        <v>9</v>
      </c>
      <c r="G14" t="s">
        <v>106</v>
      </c>
      <c r="H14" t="s">
        <v>275</v>
      </c>
      <c r="K14" s="122"/>
      <c r="L14" s="122"/>
    </row>
    <row r="15" spans="1:12" x14ac:dyDescent="0.2">
      <c r="B15" t="s">
        <v>7</v>
      </c>
      <c r="C15" s="122" t="s">
        <v>1131</v>
      </c>
      <c r="D15" s="122" t="s">
        <v>1131</v>
      </c>
      <c r="E15" s="122">
        <v>0.89480000000000004</v>
      </c>
      <c r="F15" s="122">
        <v>0.1898</v>
      </c>
      <c r="G15" s="122" t="s">
        <v>1133</v>
      </c>
      <c r="H15" s="122" t="s">
        <v>1133</v>
      </c>
      <c r="I15" s="122"/>
      <c r="J15" s="122"/>
      <c r="K15" s="122"/>
      <c r="L15" s="122"/>
    </row>
    <row r="16" spans="1:12" x14ac:dyDescent="0.2">
      <c r="B16" t="s">
        <v>272</v>
      </c>
      <c r="C16" s="258"/>
      <c r="D16" s="122">
        <v>0.49480000000000002</v>
      </c>
      <c r="E16" s="122" t="s">
        <v>1131</v>
      </c>
      <c r="F16" s="122">
        <v>2.9999999999999997E-4</v>
      </c>
      <c r="G16" s="122" t="s">
        <v>1131</v>
      </c>
      <c r="H16" s="122" t="s">
        <v>1131</v>
      </c>
      <c r="I16" s="122"/>
      <c r="J16" s="122"/>
      <c r="K16" s="122"/>
      <c r="L16" s="122"/>
    </row>
    <row r="17" spans="1:14" x14ac:dyDescent="0.2">
      <c r="B17" t="s">
        <v>273</v>
      </c>
      <c r="C17" s="258"/>
      <c r="D17" s="258"/>
      <c r="E17" s="122">
        <v>1.8E-3</v>
      </c>
      <c r="F17" s="122">
        <v>6.1600000000000002E-2</v>
      </c>
      <c r="G17" s="122">
        <v>1E-4</v>
      </c>
      <c r="H17" s="122" t="s">
        <v>1131</v>
      </c>
      <c r="I17" s="122"/>
      <c r="J17" s="122"/>
      <c r="K17" s="122"/>
      <c r="L17" s="122"/>
    </row>
    <row r="18" spans="1:14" x14ac:dyDescent="0.2">
      <c r="B18" t="s">
        <v>274</v>
      </c>
      <c r="C18" s="258"/>
      <c r="D18" s="258"/>
      <c r="E18" s="258"/>
      <c r="F18" s="122">
        <v>0.84699999999999998</v>
      </c>
      <c r="G18" s="122">
        <v>0.96960000000000002</v>
      </c>
      <c r="H18" s="122">
        <v>0.90010000000000001</v>
      </c>
      <c r="I18" s="122"/>
      <c r="J18" s="122"/>
      <c r="L18" s="122"/>
    </row>
    <row r="19" spans="1:14" x14ac:dyDescent="0.2">
      <c r="B19" t="s">
        <v>9</v>
      </c>
      <c r="C19" s="258"/>
      <c r="D19" s="258"/>
      <c r="E19" s="258"/>
      <c r="F19" s="258"/>
      <c r="G19" s="122">
        <v>0.314</v>
      </c>
      <c r="H19" s="122">
        <v>0.21490000000000001</v>
      </c>
      <c r="I19" s="122"/>
      <c r="J19" s="122"/>
    </row>
    <row r="20" spans="1:14" x14ac:dyDescent="0.2">
      <c r="B20" t="s">
        <v>106</v>
      </c>
      <c r="C20" s="258"/>
      <c r="D20" s="258"/>
      <c r="E20" s="258"/>
      <c r="F20" s="258"/>
      <c r="G20" s="258"/>
      <c r="H20" s="122" t="s">
        <v>1133</v>
      </c>
      <c r="I20" s="122"/>
      <c r="J20" s="122"/>
      <c r="K20" s="122"/>
    </row>
    <row r="21" spans="1:14" x14ac:dyDescent="0.2">
      <c r="J21" s="122"/>
      <c r="K21" s="122"/>
      <c r="L21" s="122"/>
    </row>
    <row r="22" spans="1:14" x14ac:dyDescent="0.2">
      <c r="A22" t="s">
        <v>321</v>
      </c>
      <c r="B22" s="235" t="s">
        <v>1141</v>
      </c>
      <c r="C22" t="s">
        <v>272</v>
      </c>
      <c r="D22" t="s">
        <v>273</v>
      </c>
      <c r="E22" t="s">
        <v>274</v>
      </c>
      <c r="F22" t="s">
        <v>9</v>
      </c>
      <c r="G22" t="s">
        <v>106</v>
      </c>
      <c r="H22" t="s">
        <v>275</v>
      </c>
      <c r="J22" s="122"/>
      <c r="K22" s="122"/>
      <c r="L22" s="122"/>
    </row>
    <row r="23" spans="1:14" x14ac:dyDescent="0.2">
      <c r="B23" t="s">
        <v>7</v>
      </c>
      <c r="C23" s="122">
        <v>0.37619999999999998</v>
      </c>
      <c r="D23" s="122">
        <v>3.61E-2</v>
      </c>
      <c r="E23" s="122">
        <v>3.0800000000000001E-2</v>
      </c>
      <c r="F23" s="122" t="s">
        <v>1131</v>
      </c>
      <c r="G23" s="122" t="s">
        <v>1133</v>
      </c>
      <c r="H23" s="122" t="s">
        <v>1133</v>
      </c>
      <c r="I23" s="122"/>
      <c r="J23" s="122"/>
      <c r="K23" s="122"/>
      <c r="L23" s="122"/>
    </row>
    <row r="24" spans="1:14" x14ac:dyDescent="0.2">
      <c r="B24" t="s">
        <v>272</v>
      </c>
      <c r="C24" s="258"/>
      <c r="D24" s="122">
        <v>0.91190000000000004</v>
      </c>
      <c r="E24" s="122">
        <v>0.88939999999999997</v>
      </c>
      <c r="F24" s="122">
        <v>2.5999999999999999E-3</v>
      </c>
      <c r="G24" s="122">
        <v>0.47699999999999998</v>
      </c>
      <c r="H24" s="122">
        <v>0.44340000000000002</v>
      </c>
      <c r="I24" s="122"/>
      <c r="K24" s="122"/>
    </row>
    <row r="25" spans="1:14" x14ac:dyDescent="0.2">
      <c r="B25" t="s">
        <v>273</v>
      </c>
      <c r="C25" s="258"/>
      <c r="D25" s="258"/>
      <c r="E25" s="122" t="s">
        <v>1133</v>
      </c>
      <c r="F25" s="273">
        <v>5.74E-2</v>
      </c>
      <c r="G25" s="122">
        <v>5.45E-2</v>
      </c>
      <c r="H25" s="122">
        <v>5.33E-2</v>
      </c>
      <c r="I25" s="122"/>
      <c r="K25" s="122"/>
      <c r="N25" s="122"/>
    </row>
    <row r="26" spans="1:14" x14ac:dyDescent="0.2">
      <c r="B26" t="s">
        <v>274</v>
      </c>
      <c r="C26" s="258"/>
      <c r="D26" s="258"/>
      <c r="E26" s="258"/>
      <c r="F26" s="273">
        <v>6.6500000000000004E-2</v>
      </c>
      <c r="G26" s="122">
        <v>4.6899999999999997E-2</v>
      </c>
      <c r="H26" s="122">
        <v>4.6100000000000002E-2</v>
      </c>
      <c r="I26" s="122"/>
      <c r="J26" s="122"/>
      <c r="K26" s="122"/>
      <c r="M26" s="122"/>
      <c r="N26" s="122"/>
    </row>
    <row r="27" spans="1:14" x14ac:dyDescent="0.2">
      <c r="B27" t="s">
        <v>9</v>
      </c>
      <c r="C27" s="258"/>
      <c r="D27" s="258"/>
      <c r="E27" s="258"/>
      <c r="F27" s="258"/>
      <c r="G27" s="122" t="s">
        <v>1131</v>
      </c>
      <c r="H27" s="122" t="s">
        <v>1131</v>
      </c>
      <c r="I27" s="122"/>
      <c r="J27" s="122"/>
      <c r="K27" s="122"/>
      <c r="M27" s="122"/>
      <c r="N27" s="122"/>
    </row>
    <row r="28" spans="1:14" x14ac:dyDescent="0.2">
      <c r="B28" t="s">
        <v>106</v>
      </c>
      <c r="C28" s="258"/>
      <c r="D28" s="258"/>
      <c r="E28" s="258"/>
      <c r="F28" s="258"/>
      <c r="G28" s="258"/>
      <c r="H28" s="122" t="s">
        <v>1133</v>
      </c>
      <c r="I28" s="122"/>
      <c r="J28" s="122"/>
      <c r="K28" s="122"/>
      <c r="M28" s="122"/>
    </row>
    <row r="29" spans="1:14" x14ac:dyDescent="0.2">
      <c r="J29" s="122"/>
      <c r="M29" s="122"/>
    </row>
    <row r="30" spans="1:14" x14ac:dyDescent="0.2">
      <c r="A30" t="s">
        <v>1154</v>
      </c>
      <c r="B30" s="235" t="s">
        <v>1141</v>
      </c>
      <c r="C30" t="s">
        <v>272</v>
      </c>
      <c r="D30" t="s">
        <v>273</v>
      </c>
      <c r="E30" t="s">
        <v>274</v>
      </c>
      <c r="F30" t="s">
        <v>9</v>
      </c>
      <c r="G30" t="s">
        <v>106</v>
      </c>
      <c r="H30" t="s">
        <v>275</v>
      </c>
      <c r="J30" s="122"/>
      <c r="M30" s="122"/>
    </row>
    <row r="31" spans="1:14" x14ac:dyDescent="0.2">
      <c r="B31" t="s">
        <v>7</v>
      </c>
      <c r="C31" s="122">
        <v>2.8899999999999999E-2</v>
      </c>
      <c r="D31" s="122">
        <v>0.27079999999999999</v>
      </c>
      <c r="E31" s="122">
        <v>0.99099999999999999</v>
      </c>
      <c r="F31" s="122" t="s">
        <v>1131</v>
      </c>
      <c r="G31" s="122" t="s">
        <v>1133</v>
      </c>
      <c r="H31" s="122" t="s">
        <v>1133</v>
      </c>
      <c r="I31" s="122"/>
      <c r="J31" s="122"/>
      <c r="K31" s="122"/>
      <c r="M31" s="122"/>
    </row>
    <row r="32" spans="1:14" x14ac:dyDescent="0.2">
      <c r="K32" s="122"/>
      <c r="L32" s="122"/>
      <c r="M32" s="122"/>
    </row>
    <row r="33" spans="1:12" x14ac:dyDescent="0.2">
      <c r="A33" t="s">
        <v>15</v>
      </c>
      <c r="B33" s="235" t="s">
        <v>1141</v>
      </c>
      <c r="C33" t="s">
        <v>272</v>
      </c>
      <c r="D33" t="s">
        <v>273</v>
      </c>
      <c r="E33" t="s">
        <v>274</v>
      </c>
      <c r="F33" t="s">
        <v>9</v>
      </c>
      <c r="G33" t="s">
        <v>106</v>
      </c>
      <c r="H33" t="s">
        <v>275</v>
      </c>
      <c r="K33" s="122"/>
      <c r="L33" s="122"/>
    </row>
    <row r="34" spans="1:12" x14ac:dyDescent="0.2">
      <c r="B34" t="s">
        <v>7</v>
      </c>
      <c r="C34" s="122">
        <v>0.1971</v>
      </c>
      <c r="D34" s="122">
        <v>0.96850000000000003</v>
      </c>
      <c r="E34" s="122">
        <v>3.2000000000000002E-3</v>
      </c>
      <c r="F34" s="122" t="s">
        <v>1131</v>
      </c>
      <c r="G34" s="122">
        <v>0.99160000000000004</v>
      </c>
      <c r="H34" s="122" t="s">
        <v>1133</v>
      </c>
      <c r="I34" s="122"/>
      <c r="K34" s="122"/>
      <c r="L34" s="122"/>
    </row>
    <row r="35" spans="1:12" x14ac:dyDescent="0.2">
      <c r="K35" s="122"/>
    </row>
    <row r="36" spans="1:12" x14ac:dyDescent="0.2">
      <c r="A36" t="s">
        <v>10</v>
      </c>
      <c r="B36" s="235" t="s">
        <v>1141</v>
      </c>
      <c r="C36" t="s">
        <v>272</v>
      </c>
      <c r="D36" t="s">
        <v>273</v>
      </c>
      <c r="E36" t="s">
        <v>274</v>
      </c>
      <c r="F36" t="s">
        <v>9</v>
      </c>
      <c r="G36" t="s">
        <v>106</v>
      </c>
      <c r="H36" t="s">
        <v>275</v>
      </c>
      <c r="K36" s="122"/>
    </row>
    <row r="37" spans="1:12" x14ac:dyDescent="0.2">
      <c r="B37" t="s">
        <v>7</v>
      </c>
      <c r="C37" s="122">
        <v>0.1376</v>
      </c>
      <c r="D37" s="122">
        <v>0.3745</v>
      </c>
      <c r="E37" s="122">
        <v>0.17499999999999999</v>
      </c>
      <c r="F37" s="122">
        <v>1.46E-2</v>
      </c>
      <c r="G37" s="122" t="s">
        <v>1133</v>
      </c>
      <c r="H37" s="122" t="s">
        <v>1133</v>
      </c>
      <c r="I37" s="122"/>
      <c r="K37" s="122"/>
    </row>
    <row r="38" spans="1:12" x14ac:dyDescent="0.2">
      <c r="K38" s="122"/>
    </row>
    <row r="39" spans="1:12" x14ac:dyDescent="0.2">
      <c r="D39" s="122"/>
      <c r="K39" s="122"/>
    </row>
    <row r="40" spans="1:12" x14ac:dyDescent="0.2">
      <c r="D40" s="122"/>
      <c r="K40" s="122"/>
    </row>
    <row r="41" spans="1:12" x14ac:dyDescent="0.2">
      <c r="D41" s="122"/>
    </row>
    <row r="42" spans="1:12" x14ac:dyDescent="0.2">
      <c r="D42" s="122"/>
    </row>
    <row r="43" spans="1:12" x14ac:dyDescent="0.2">
      <c r="D43" s="122"/>
    </row>
    <row r="44" spans="1:12" x14ac:dyDescent="0.2">
      <c r="D44" s="122"/>
    </row>
    <row r="45" spans="1:12" x14ac:dyDescent="0.2">
      <c r="D45" s="122"/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AEB985-88F1-FB44-8D69-48639F51559B}">
  <dimension ref="A1:V68"/>
  <sheetViews>
    <sheetView topLeftCell="A20" zoomScale="82" zoomScaleNormal="82" workbookViewId="0">
      <selection activeCell="F53" sqref="F53"/>
    </sheetView>
  </sheetViews>
  <sheetFormatPr baseColWidth="10" defaultRowHeight="16" x14ac:dyDescent="0.2"/>
  <sheetData>
    <row r="1" spans="1:22" x14ac:dyDescent="0.2">
      <c r="J1" t="s">
        <v>1112</v>
      </c>
      <c r="Q1" t="s">
        <v>1113</v>
      </c>
    </row>
    <row r="2" spans="1:22" x14ac:dyDescent="0.2">
      <c r="A2" t="s">
        <v>155</v>
      </c>
      <c r="B2" s="225" t="s">
        <v>876</v>
      </c>
      <c r="C2" s="225" t="s">
        <v>423</v>
      </c>
      <c r="D2" s="225" t="s">
        <v>891</v>
      </c>
      <c r="E2" s="225" t="s">
        <v>386</v>
      </c>
      <c r="F2" s="225" t="s">
        <v>387</v>
      </c>
      <c r="G2" s="225" t="s">
        <v>892</v>
      </c>
      <c r="H2" s="47" t="s">
        <v>893</v>
      </c>
      <c r="I2" s="225" t="s">
        <v>1027</v>
      </c>
      <c r="J2" s="225" t="s">
        <v>423</v>
      </c>
      <c r="K2" s="225" t="s">
        <v>891</v>
      </c>
      <c r="L2" s="225" t="s">
        <v>386</v>
      </c>
      <c r="M2" s="225" t="s">
        <v>387</v>
      </c>
      <c r="N2" s="225" t="s">
        <v>892</v>
      </c>
      <c r="O2" s="47" t="s">
        <v>893</v>
      </c>
      <c r="P2" s="225" t="s">
        <v>1027</v>
      </c>
      <c r="Q2" s="225" t="s">
        <v>423</v>
      </c>
      <c r="R2" s="225" t="s">
        <v>891</v>
      </c>
      <c r="S2" s="225" t="s">
        <v>386</v>
      </c>
      <c r="T2" s="225" t="s">
        <v>387</v>
      </c>
      <c r="U2" s="225" t="s">
        <v>892</v>
      </c>
      <c r="V2" s="47" t="s">
        <v>893</v>
      </c>
    </row>
    <row r="3" spans="1:22" x14ac:dyDescent="0.2">
      <c r="A3" t="s">
        <v>180</v>
      </c>
      <c r="B3">
        <v>1</v>
      </c>
      <c r="C3">
        <v>252</v>
      </c>
      <c r="D3">
        <v>3010</v>
      </c>
      <c r="E3">
        <v>3441</v>
      </c>
      <c r="F3">
        <v>13114</v>
      </c>
      <c r="G3">
        <v>11171</v>
      </c>
      <c r="H3" s="10">
        <v>2957</v>
      </c>
      <c r="I3" s="16" t="s">
        <v>7</v>
      </c>
      <c r="J3">
        <f>C3/(MAX(C$3:C$12))*100</f>
        <v>4.0909090909090908</v>
      </c>
      <c r="K3">
        <f t="shared" ref="K3:O12" si="0">D3/(MAX(D$3:D$12))*100</f>
        <v>28.650295069484105</v>
      </c>
      <c r="L3">
        <f t="shared" si="0"/>
        <v>39.12895155788037</v>
      </c>
      <c r="M3">
        <f t="shared" si="0"/>
        <v>15.326897454477455</v>
      </c>
      <c r="N3">
        <f t="shared" si="0"/>
        <v>26.319385543304119</v>
      </c>
      <c r="O3" s="10">
        <f t="shared" si="0"/>
        <v>39.015701279852223</v>
      </c>
      <c r="P3" s="16" t="s">
        <v>7</v>
      </c>
      <c r="Q3" s="16">
        <f t="shared" ref="Q3:V12" si="1">J3-J$3</f>
        <v>0</v>
      </c>
      <c r="R3" s="16">
        <f t="shared" si="1"/>
        <v>0</v>
      </c>
      <c r="S3" s="16">
        <f t="shared" si="1"/>
        <v>0</v>
      </c>
      <c r="T3" s="16">
        <f t="shared" si="1"/>
        <v>0</v>
      </c>
      <c r="U3" s="16">
        <f t="shared" si="1"/>
        <v>0</v>
      </c>
      <c r="V3" s="16">
        <f t="shared" si="1"/>
        <v>0</v>
      </c>
    </row>
    <row r="4" spans="1:22" x14ac:dyDescent="0.2">
      <c r="A4" t="s">
        <v>1028</v>
      </c>
      <c r="B4">
        <v>1</v>
      </c>
      <c r="C4">
        <v>6160</v>
      </c>
      <c r="D4">
        <v>7126</v>
      </c>
      <c r="E4">
        <v>8794</v>
      </c>
      <c r="F4">
        <v>85562</v>
      </c>
      <c r="G4">
        <v>42444</v>
      </c>
      <c r="H4" s="10">
        <v>7579</v>
      </c>
      <c r="I4" s="16" t="s">
        <v>104</v>
      </c>
      <c r="J4">
        <f t="shared" ref="J4:J12" si="2">C4/(MAX(C$3:C$12))*100</f>
        <v>100</v>
      </c>
      <c r="K4">
        <f t="shared" si="0"/>
        <v>67.827907862174001</v>
      </c>
      <c r="L4">
        <f t="shared" si="0"/>
        <v>100</v>
      </c>
      <c r="M4">
        <f t="shared" si="0"/>
        <v>100</v>
      </c>
      <c r="N4">
        <f t="shared" si="0"/>
        <v>100</v>
      </c>
      <c r="O4" s="10">
        <f t="shared" si="0"/>
        <v>100</v>
      </c>
      <c r="P4" s="16" t="s">
        <v>104</v>
      </c>
      <c r="Q4" s="16">
        <f t="shared" si="1"/>
        <v>95.909090909090907</v>
      </c>
      <c r="R4" s="16">
        <f t="shared" si="1"/>
        <v>39.177612792689899</v>
      </c>
      <c r="S4" s="16">
        <f t="shared" si="1"/>
        <v>60.87104844211963</v>
      </c>
      <c r="T4" s="16">
        <f t="shared" si="1"/>
        <v>84.673102545522539</v>
      </c>
      <c r="U4" s="16">
        <f t="shared" si="1"/>
        <v>73.680614456695878</v>
      </c>
      <c r="V4" s="16">
        <f t="shared" si="1"/>
        <v>60.984298720147777</v>
      </c>
    </row>
    <row r="5" spans="1:22" x14ac:dyDescent="0.2">
      <c r="A5" t="s">
        <v>1029</v>
      </c>
      <c r="B5">
        <v>1</v>
      </c>
      <c r="C5">
        <v>4219</v>
      </c>
      <c r="D5">
        <v>7158</v>
      </c>
      <c r="E5">
        <v>8639</v>
      </c>
      <c r="F5">
        <v>7512</v>
      </c>
      <c r="G5">
        <v>10699</v>
      </c>
      <c r="H5" s="10">
        <v>1860</v>
      </c>
      <c r="I5" s="16" t="s">
        <v>273</v>
      </c>
      <c r="J5">
        <f t="shared" si="2"/>
        <v>68.490259740259745</v>
      </c>
      <c r="K5">
        <f t="shared" si="0"/>
        <v>68.132495716733303</v>
      </c>
      <c r="L5">
        <f t="shared" si="0"/>
        <v>98.237434614509894</v>
      </c>
      <c r="M5">
        <f t="shared" si="0"/>
        <v>8.7795984198592834</v>
      </c>
      <c r="N5">
        <f t="shared" si="0"/>
        <v>25.207332013947791</v>
      </c>
      <c r="O5" s="10">
        <f t="shared" si="0"/>
        <v>24.541496239609447</v>
      </c>
      <c r="P5" s="16" t="s">
        <v>273</v>
      </c>
      <c r="Q5" s="16">
        <f t="shared" si="1"/>
        <v>64.399350649350652</v>
      </c>
      <c r="R5" s="16">
        <f t="shared" si="1"/>
        <v>39.482200647249201</v>
      </c>
      <c r="S5" s="16">
        <f t="shared" si="1"/>
        <v>59.108483056629524</v>
      </c>
      <c r="T5" s="16">
        <f t="shared" si="1"/>
        <v>-6.5472990346181721</v>
      </c>
      <c r="U5" s="16">
        <f t="shared" si="1"/>
        <v>-1.1120535293563272</v>
      </c>
      <c r="V5" s="16">
        <f t="shared" si="1"/>
        <v>-14.474205040242776</v>
      </c>
    </row>
    <row r="6" spans="1:22" x14ac:dyDescent="0.2">
      <c r="A6" t="s">
        <v>1030</v>
      </c>
      <c r="B6">
        <v>1</v>
      </c>
      <c r="C6">
        <v>740</v>
      </c>
      <c r="D6">
        <v>4556</v>
      </c>
      <c r="E6">
        <v>3504</v>
      </c>
      <c r="F6">
        <v>3792</v>
      </c>
      <c r="G6">
        <v>7646</v>
      </c>
      <c r="H6" s="10">
        <v>2128</v>
      </c>
      <c r="I6" s="16" t="s">
        <v>285</v>
      </c>
      <c r="J6">
        <f t="shared" si="2"/>
        <v>12.012987012987013</v>
      </c>
      <c r="K6">
        <f t="shared" si="0"/>
        <v>43.36569579288026</v>
      </c>
      <c r="L6">
        <f t="shared" si="0"/>
        <v>39.845349101660219</v>
      </c>
      <c r="M6">
        <f t="shared" si="0"/>
        <v>4.4318739627404691</v>
      </c>
      <c r="N6">
        <f t="shared" si="0"/>
        <v>18.014324757327302</v>
      </c>
      <c r="O6" s="10">
        <f t="shared" si="0"/>
        <v>28.077582794563927</v>
      </c>
      <c r="P6" s="16" t="s">
        <v>285</v>
      </c>
      <c r="Q6" s="16">
        <f t="shared" si="1"/>
        <v>7.9220779220779223</v>
      </c>
      <c r="R6" s="16">
        <f t="shared" si="1"/>
        <v>14.715400723396154</v>
      </c>
      <c r="S6" s="16">
        <f t="shared" si="1"/>
        <v>0.71639754377984843</v>
      </c>
      <c r="T6" s="16">
        <f t="shared" si="1"/>
        <v>-10.895023491736985</v>
      </c>
      <c r="U6" s="16">
        <f t="shared" si="1"/>
        <v>-8.3050607859768171</v>
      </c>
      <c r="V6" s="16">
        <f t="shared" si="1"/>
        <v>-10.938118485288296</v>
      </c>
    </row>
    <row r="7" spans="1:22" x14ac:dyDescent="0.2">
      <c r="A7" t="s">
        <v>1031</v>
      </c>
      <c r="B7">
        <v>1</v>
      </c>
      <c r="C7">
        <v>3663</v>
      </c>
      <c r="D7">
        <v>9054</v>
      </c>
      <c r="E7">
        <v>7529</v>
      </c>
      <c r="F7">
        <v>7111</v>
      </c>
      <c r="G7">
        <v>11936</v>
      </c>
      <c r="H7" s="10">
        <v>1892</v>
      </c>
      <c r="I7" s="16" t="s">
        <v>1032</v>
      </c>
      <c r="J7">
        <f t="shared" si="2"/>
        <v>59.464285714285715</v>
      </c>
      <c r="K7">
        <f t="shared" si="0"/>
        <v>86.179326099371792</v>
      </c>
      <c r="L7">
        <f t="shared" si="0"/>
        <v>85.615192176483973</v>
      </c>
      <c r="M7">
        <f t="shared" si="0"/>
        <v>8.3109324232720141</v>
      </c>
      <c r="N7">
        <f t="shared" si="0"/>
        <v>28.121760437282067</v>
      </c>
      <c r="O7" s="10">
        <f t="shared" si="0"/>
        <v>24.963715529753266</v>
      </c>
      <c r="P7" s="16" t="s">
        <v>1032</v>
      </c>
      <c r="Q7" s="16">
        <f t="shared" si="1"/>
        <v>55.373376623376622</v>
      </c>
      <c r="R7" s="16">
        <f t="shared" si="1"/>
        <v>57.52903102988769</v>
      </c>
      <c r="S7" s="16">
        <f t="shared" si="1"/>
        <v>46.486240618603603</v>
      </c>
      <c r="T7" s="16">
        <f t="shared" si="1"/>
        <v>-7.0159650312054413</v>
      </c>
      <c r="U7" s="16">
        <f t="shared" si="1"/>
        <v>1.802374893977948</v>
      </c>
      <c r="V7" s="16">
        <f t="shared" si="1"/>
        <v>-14.051985750098957</v>
      </c>
    </row>
    <row r="8" spans="1:22" x14ac:dyDescent="0.2">
      <c r="A8" t="s">
        <v>1033</v>
      </c>
      <c r="B8">
        <v>1</v>
      </c>
      <c r="C8">
        <v>1906</v>
      </c>
      <c r="D8">
        <v>10506</v>
      </c>
      <c r="E8">
        <v>4944</v>
      </c>
      <c r="F8">
        <v>5427</v>
      </c>
      <c r="G8">
        <v>8677</v>
      </c>
      <c r="H8" s="10">
        <v>1835</v>
      </c>
      <c r="I8" s="16" t="s">
        <v>9</v>
      </c>
      <c r="J8">
        <f t="shared" si="2"/>
        <v>30.941558441558442</v>
      </c>
      <c r="K8">
        <f t="shared" si="0"/>
        <v>100</v>
      </c>
      <c r="L8">
        <f t="shared" si="0"/>
        <v>56.220150102342501</v>
      </c>
      <c r="M8">
        <f t="shared" si="0"/>
        <v>6.3427689862322056</v>
      </c>
      <c r="N8">
        <f t="shared" si="0"/>
        <v>20.443407784374706</v>
      </c>
      <c r="O8" s="10">
        <f t="shared" si="0"/>
        <v>24.211637419184591</v>
      </c>
      <c r="P8" s="16" t="s">
        <v>9</v>
      </c>
      <c r="Q8" s="16">
        <f t="shared" si="1"/>
        <v>26.850649350649352</v>
      </c>
      <c r="R8" s="16">
        <f t="shared" si="1"/>
        <v>71.349704930515898</v>
      </c>
      <c r="S8" s="16">
        <f t="shared" si="1"/>
        <v>17.091198544462131</v>
      </c>
      <c r="T8" s="16">
        <f t="shared" si="1"/>
        <v>-8.9841284682452489</v>
      </c>
      <c r="U8" s="16">
        <f t="shared" si="1"/>
        <v>-5.8759777589294124</v>
      </c>
      <c r="V8" s="16">
        <f t="shared" si="1"/>
        <v>-14.804063860667632</v>
      </c>
    </row>
    <row r="9" spans="1:22" x14ac:dyDescent="0.2">
      <c r="A9" t="s">
        <v>1034</v>
      </c>
      <c r="B9">
        <v>1</v>
      </c>
      <c r="C9">
        <v>471</v>
      </c>
      <c r="D9">
        <v>4556</v>
      </c>
      <c r="E9">
        <v>5688</v>
      </c>
      <c r="F9">
        <v>5071</v>
      </c>
      <c r="G9">
        <v>9115</v>
      </c>
      <c r="H9" s="10">
        <v>1935</v>
      </c>
      <c r="I9" s="16" t="s">
        <v>289</v>
      </c>
      <c r="J9">
        <f t="shared" si="2"/>
        <v>7.646103896103897</v>
      </c>
      <c r="K9">
        <f t="shared" si="0"/>
        <v>43.36569579288026</v>
      </c>
      <c r="L9">
        <f t="shared" si="0"/>
        <v>64.680463952695021</v>
      </c>
      <c r="M9">
        <f t="shared" si="0"/>
        <v>5.9266964306584704</v>
      </c>
      <c r="N9">
        <f t="shared" si="0"/>
        <v>21.475355762887567</v>
      </c>
      <c r="O9" s="10">
        <f t="shared" si="0"/>
        <v>25.531072700884021</v>
      </c>
      <c r="P9" s="16" t="s">
        <v>289</v>
      </c>
      <c r="Q9" s="16">
        <f t="shared" si="1"/>
        <v>3.5551948051948061</v>
      </c>
      <c r="R9" s="16">
        <f t="shared" si="1"/>
        <v>14.715400723396154</v>
      </c>
      <c r="S9" s="16">
        <f t="shared" si="1"/>
        <v>25.551512394814651</v>
      </c>
      <c r="T9" s="16">
        <f t="shared" si="1"/>
        <v>-9.400201023818985</v>
      </c>
      <c r="U9" s="16">
        <f t="shared" si="1"/>
        <v>-4.8440297804165517</v>
      </c>
      <c r="V9" s="16">
        <f t="shared" si="1"/>
        <v>-13.484628578968202</v>
      </c>
    </row>
    <row r="10" spans="1:22" x14ac:dyDescent="0.2">
      <c r="A10" t="s">
        <v>1035</v>
      </c>
      <c r="B10">
        <v>1</v>
      </c>
      <c r="C10">
        <v>1950</v>
      </c>
      <c r="D10">
        <v>6881</v>
      </c>
      <c r="E10">
        <v>5787</v>
      </c>
      <c r="F10">
        <v>5359</v>
      </c>
      <c r="G10">
        <v>7446</v>
      </c>
      <c r="H10" s="10">
        <v>1646</v>
      </c>
      <c r="I10" s="16" t="s">
        <v>106</v>
      </c>
      <c r="J10">
        <f t="shared" si="2"/>
        <v>31.655844155844154</v>
      </c>
      <c r="K10">
        <f t="shared" si="0"/>
        <v>65.495907100704358</v>
      </c>
      <c r="L10">
        <f t="shared" si="0"/>
        <v>65.806231521491938</v>
      </c>
      <c r="M10">
        <f t="shared" si="0"/>
        <v>6.2632944531450878</v>
      </c>
      <c r="N10">
        <f t="shared" si="0"/>
        <v>17.543115634718689</v>
      </c>
      <c r="O10" s="10">
        <f t="shared" si="0"/>
        <v>21.71790473677266</v>
      </c>
      <c r="P10" s="16" t="s">
        <v>106</v>
      </c>
      <c r="Q10" s="16">
        <f t="shared" si="1"/>
        <v>27.564935064935064</v>
      </c>
      <c r="R10" s="16">
        <f t="shared" si="1"/>
        <v>36.845612031220256</v>
      </c>
      <c r="S10" s="16">
        <f t="shared" si="1"/>
        <v>26.677279963611568</v>
      </c>
      <c r="T10" s="16">
        <f t="shared" si="1"/>
        <v>-9.0636030013323676</v>
      </c>
      <c r="U10" s="16">
        <f t="shared" si="1"/>
        <v>-8.7762699085854301</v>
      </c>
      <c r="V10" s="16">
        <f t="shared" si="1"/>
        <v>-17.297796543079563</v>
      </c>
    </row>
    <row r="11" spans="1:22" x14ac:dyDescent="0.2">
      <c r="A11" t="s">
        <v>1036</v>
      </c>
      <c r="B11">
        <v>1</v>
      </c>
      <c r="C11">
        <v>-27</v>
      </c>
      <c r="D11">
        <v>3575</v>
      </c>
      <c r="E11">
        <v>2981</v>
      </c>
      <c r="F11">
        <v>3716</v>
      </c>
      <c r="G11">
        <v>6041</v>
      </c>
      <c r="H11" s="10">
        <v>1459</v>
      </c>
      <c r="I11" s="16" t="s">
        <v>1037</v>
      </c>
      <c r="J11">
        <f t="shared" si="2"/>
        <v>-0.43831168831168826</v>
      </c>
      <c r="K11">
        <f t="shared" si="0"/>
        <v>34.02817437654673</v>
      </c>
      <c r="L11">
        <f t="shared" si="0"/>
        <v>33.898112349329089</v>
      </c>
      <c r="M11">
        <f t="shared" si="0"/>
        <v>4.3430494845842782</v>
      </c>
      <c r="N11">
        <f t="shared" si="0"/>
        <v>14.232871548393177</v>
      </c>
      <c r="O11" s="10">
        <f t="shared" si="0"/>
        <v>19.250560759994723</v>
      </c>
      <c r="P11" s="16" t="s">
        <v>1037</v>
      </c>
      <c r="Q11" s="16">
        <f t="shared" si="1"/>
        <v>-4.529220779220779</v>
      </c>
      <c r="R11" s="16">
        <f t="shared" si="1"/>
        <v>5.3778793070626243</v>
      </c>
      <c r="S11" s="16">
        <f t="shared" si="1"/>
        <v>-5.2308392085512807</v>
      </c>
      <c r="T11" s="16">
        <f t="shared" si="1"/>
        <v>-10.983847969893176</v>
      </c>
      <c r="U11" s="16">
        <f t="shared" si="1"/>
        <v>-12.086513994910941</v>
      </c>
      <c r="V11" s="16">
        <f t="shared" si="1"/>
        <v>-19.7651405198575</v>
      </c>
    </row>
    <row r="12" spans="1:22" x14ac:dyDescent="0.2">
      <c r="A12" t="s">
        <v>1038</v>
      </c>
      <c r="B12">
        <v>1</v>
      </c>
      <c r="C12">
        <v>873</v>
      </c>
      <c r="D12">
        <v>4903</v>
      </c>
      <c r="E12">
        <v>5235</v>
      </c>
      <c r="F12">
        <v>4731</v>
      </c>
      <c r="G12">
        <v>8755</v>
      </c>
      <c r="H12" s="10">
        <v>2123</v>
      </c>
      <c r="I12" s="16" t="s">
        <v>352</v>
      </c>
      <c r="J12">
        <f t="shared" si="2"/>
        <v>14.172077922077921</v>
      </c>
      <c r="K12">
        <f t="shared" si="0"/>
        <v>46.668570340757668</v>
      </c>
      <c r="L12">
        <f t="shared" si="0"/>
        <v>59.529224471230378</v>
      </c>
      <c r="M12">
        <f t="shared" si="0"/>
        <v>5.5293237652228795</v>
      </c>
      <c r="N12">
        <f t="shared" si="0"/>
        <v>20.627179342192065</v>
      </c>
      <c r="O12" s="10">
        <f t="shared" si="0"/>
        <v>28.011611030478957</v>
      </c>
      <c r="P12" s="16" t="s">
        <v>352</v>
      </c>
      <c r="Q12" s="16">
        <f t="shared" si="1"/>
        <v>10.081168831168831</v>
      </c>
      <c r="R12" s="16">
        <f t="shared" si="1"/>
        <v>18.018275271273563</v>
      </c>
      <c r="S12" s="16">
        <f t="shared" si="1"/>
        <v>20.400272913350008</v>
      </c>
      <c r="T12" s="16">
        <f t="shared" si="1"/>
        <v>-9.7975736892545768</v>
      </c>
      <c r="U12" s="16">
        <f t="shared" si="1"/>
        <v>-5.6922062011120538</v>
      </c>
      <c r="V12" s="16">
        <f t="shared" si="1"/>
        <v>-11.004090249373267</v>
      </c>
    </row>
    <row r="13" spans="1:22" x14ac:dyDescent="0.2">
      <c r="H13" s="10"/>
      <c r="I13" s="16"/>
      <c r="O13" s="10"/>
      <c r="P13" s="16"/>
    </row>
    <row r="14" spans="1:22" x14ac:dyDescent="0.2">
      <c r="A14" t="s">
        <v>1039</v>
      </c>
      <c r="B14">
        <v>2</v>
      </c>
      <c r="C14">
        <v>203</v>
      </c>
      <c r="D14">
        <v>3077</v>
      </c>
      <c r="E14">
        <v>3372</v>
      </c>
      <c r="F14">
        <v>13023</v>
      </c>
      <c r="G14">
        <v>10412</v>
      </c>
      <c r="H14" s="10">
        <v>2766</v>
      </c>
      <c r="I14" s="16" t="s">
        <v>7</v>
      </c>
      <c r="J14">
        <f t="shared" ref="J14:O20" si="3">C14/(MAX(C$14:C$20))*100</f>
        <v>4.4743222393652191</v>
      </c>
      <c r="K14">
        <f t="shared" si="3"/>
        <v>34.215500945179585</v>
      </c>
      <c r="L14">
        <f t="shared" si="3"/>
        <v>44.199764058198973</v>
      </c>
      <c r="M14">
        <f t="shared" si="3"/>
        <v>15.370180221647841</v>
      </c>
      <c r="N14">
        <f t="shared" si="3"/>
        <v>25.683275777010362</v>
      </c>
      <c r="O14" s="10">
        <f t="shared" si="3"/>
        <v>39.758516601983615</v>
      </c>
      <c r="P14" s="16" t="s">
        <v>7</v>
      </c>
      <c r="Q14" s="16">
        <f t="shared" ref="Q14:V20" si="4">J14-J$14</f>
        <v>0</v>
      </c>
      <c r="R14" s="16">
        <f t="shared" si="4"/>
        <v>0</v>
      </c>
      <c r="S14" s="16">
        <f t="shared" si="4"/>
        <v>0</v>
      </c>
      <c r="T14" s="16">
        <f t="shared" si="4"/>
        <v>0</v>
      </c>
      <c r="U14" s="16">
        <f t="shared" si="4"/>
        <v>0</v>
      </c>
      <c r="V14" s="16">
        <f t="shared" si="4"/>
        <v>0</v>
      </c>
    </row>
    <row r="15" spans="1:22" x14ac:dyDescent="0.2">
      <c r="A15" t="s">
        <v>1040</v>
      </c>
      <c r="B15">
        <v>2</v>
      </c>
      <c r="C15">
        <v>4537</v>
      </c>
      <c r="D15">
        <v>6146</v>
      </c>
      <c r="E15">
        <v>7629</v>
      </c>
      <c r="F15">
        <v>84729</v>
      </c>
      <c r="G15">
        <v>40540</v>
      </c>
      <c r="H15" s="10">
        <v>6957</v>
      </c>
      <c r="I15" s="16" t="s">
        <v>104</v>
      </c>
      <c r="J15">
        <f t="shared" si="3"/>
        <v>100</v>
      </c>
      <c r="K15">
        <f t="shared" si="3"/>
        <v>68.342043811853657</v>
      </c>
      <c r="L15">
        <f t="shared" si="3"/>
        <v>100</v>
      </c>
      <c r="M15">
        <f t="shared" si="3"/>
        <v>100</v>
      </c>
      <c r="N15">
        <f t="shared" si="3"/>
        <v>100</v>
      </c>
      <c r="O15" s="10">
        <f t="shared" si="3"/>
        <v>100</v>
      </c>
      <c r="P15" s="16" t="s">
        <v>104</v>
      </c>
      <c r="Q15" s="16">
        <f t="shared" si="4"/>
        <v>95.525677760634778</v>
      </c>
      <c r="R15" s="16">
        <f t="shared" si="4"/>
        <v>34.126542866674072</v>
      </c>
      <c r="S15" s="16">
        <f t="shared" si="4"/>
        <v>55.800235941801027</v>
      </c>
      <c r="T15" s="16">
        <f t="shared" si="4"/>
        <v>84.629819778352157</v>
      </c>
      <c r="U15" s="16">
        <f t="shared" si="4"/>
        <v>74.316724222989635</v>
      </c>
      <c r="V15" s="16">
        <f t="shared" si="4"/>
        <v>60.241483398016385</v>
      </c>
    </row>
    <row r="16" spans="1:22" x14ac:dyDescent="0.2">
      <c r="A16" t="s">
        <v>1041</v>
      </c>
      <c r="B16">
        <v>2</v>
      </c>
      <c r="C16">
        <v>3113</v>
      </c>
      <c r="D16">
        <v>4934</v>
      </c>
      <c r="E16">
        <v>5202</v>
      </c>
      <c r="F16">
        <v>48372</v>
      </c>
      <c r="G16">
        <v>25038</v>
      </c>
      <c r="H16" s="10">
        <v>4308</v>
      </c>
      <c r="I16" s="16" t="s">
        <v>273</v>
      </c>
      <c r="J16">
        <f t="shared" si="3"/>
        <v>68.613621335684371</v>
      </c>
      <c r="K16">
        <f t="shared" si="3"/>
        <v>54.864894918269769</v>
      </c>
      <c r="L16">
        <f t="shared" si="3"/>
        <v>68.18718049547779</v>
      </c>
      <c r="M16">
        <f t="shared" si="3"/>
        <v>57.090252451935001</v>
      </c>
      <c r="N16">
        <f t="shared" si="3"/>
        <v>61.76122348297978</v>
      </c>
      <c r="O16" s="10">
        <f t="shared" si="3"/>
        <v>61.923242777059073</v>
      </c>
      <c r="P16" s="16" t="s">
        <v>273</v>
      </c>
      <c r="Q16" s="16">
        <f t="shared" si="4"/>
        <v>64.139299096319149</v>
      </c>
      <c r="R16" s="16">
        <f t="shared" si="4"/>
        <v>20.649393973090184</v>
      </c>
      <c r="S16" s="16">
        <f t="shared" si="4"/>
        <v>23.987416437278817</v>
      </c>
      <c r="T16" s="16">
        <f t="shared" si="4"/>
        <v>41.720072230287158</v>
      </c>
      <c r="U16" s="16">
        <f t="shared" si="4"/>
        <v>36.077947705969422</v>
      </c>
      <c r="V16" s="16">
        <f t="shared" si="4"/>
        <v>22.164726175075458</v>
      </c>
    </row>
    <row r="17" spans="1:22" x14ac:dyDescent="0.2">
      <c r="A17" t="s">
        <v>1042</v>
      </c>
      <c r="B17">
        <v>2</v>
      </c>
      <c r="C17">
        <v>1946</v>
      </c>
      <c r="D17">
        <v>6588</v>
      </c>
      <c r="E17">
        <v>3870</v>
      </c>
      <c r="F17">
        <v>46872</v>
      </c>
      <c r="G17">
        <v>23206</v>
      </c>
      <c r="H17" s="10">
        <v>4652</v>
      </c>
      <c r="I17" s="16" t="s">
        <v>1043</v>
      </c>
      <c r="J17">
        <f t="shared" si="3"/>
        <v>42.891778708397624</v>
      </c>
      <c r="K17">
        <f t="shared" si="3"/>
        <v>73.256977649282774</v>
      </c>
      <c r="L17">
        <f t="shared" si="3"/>
        <v>50.72748721981911</v>
      </c>
      <c r="M17">
        <f t="shared" si="3"/>
        <v>55.319902276670327</v>
      </c>
      <c r="N17">
        <f t="shared" si="3"/>
        <v>57.242229896398619</v>
      </c>
      <c r="O17" s="10">
        <f t="shared" si="3"/>
        <v>66.867902831680325</v>
      </c>
      <c r="P17" s="16" t="s">
        <v>1043</v>
      </c>
      <c r="Q17" s="16">
        <f t="shared" si="4"/>
        <v>38.417456469032402</v>
      </c>
      <c r="R17" s="16">
        <f t="shared" si="4"/>
        <v>39.041476704103189</v>
      </c>
      <c r="S17" s="16">
        <f t="shared" si="4"/>
        <v>6.5277231616201377</v>
      </c>
      <c r="T17" s="16">
        <f t="shared" si="4"/>
        <v>39.949722055022484</v>
      </c>
      <c r="U17" s="16">
        <f t="shared" si="4"/>
        <v>31.558954119388257</v>
      </c>
      <c r="V17" s="16">
        <f t="shared" si="4"/>
        <v>27.10938622969671</v>
      </c>
    </row>
    <row r="18" spans="1:22" x14ac:dyDescent="0.2">
      <c r="A18" s="226" t="s">
        <v>1044</v>
      </c>
      <c r="B18" s="226">
        <v>2</v>
      </c>
      <c r="C18" s="226">
        <v>2461</v>
      </c>
      <c r="D18" s="226">
        <v>5521</v>
      </c>
      <c r="E18" s="226">
        <v>5474</v>
      </c>
      <c r="F18" s="226">
        <v>46758</v>
      </c>
      <c r="G18" s="226">
        <v>23876</v>
      </c>
      <c r="H18" s="227">
        <v>4781</v>
      </c>
      <c r="I18" s="226" t="s">
        <v>313</v>
      </c>
      <c r="J18">
        <f t="shared" si="3"/>
        <v>54.242891778708405</v>
      </c>
      <c r="K18">
        <f t="shared" si="3"/>
        <v>61.392193928611135</v>
      </c>
      <c r="L18">
        <f t="shared" si="3"/>
        <v>71.752523266483166</v>
      </c>
      <c r="M18">
        <f t="shared" si="3"/>
        <v>55.185355663350208</v>
      </c>
      <c r="N18">
        <f t="shared" si="3"/>
        <v>58.89491859891465</v>
      </c>
      <c r="O18" s="10">
        <f t="shared" si="3"/>
        <v>68.722150352163297</v>
      </c>
      <c r="P18" s="226" t="s">
        <v>313</v>
      </c>
      <c r="Q18" s="16">
        <f t="shared" si="4"/>
        <v>49.768569539343183</v>
      </c>
      <c r="R18" s="16">
        <f t="shared" si="4"/>
        <v>27.17669298343155</v>
      </c>
      <c r="S18" s="16">
        <f t="shared" si="4"/>
        <v>27.552759208284193</v>
      </c>
      <c r="T18" s="16">
        <f t="shared" si="4"/>
        <v>39.815175441702365</v>
      </c>
      <c r="U18" s="16">
        <f t="shared" si="4"/>
        <v>33.211642821904292</v>
      </c>
      <c r="V18" s="16">
        <f t="shared" si="4"/>
        <v>28.963633750179682</v>
      </c>
    </row>
    <row r="19" spans="1:22" x14ac:dyDescent="0.2">
      <c r="A19" t="s">
        <v>1045</v>
      </c>
      <c r="B19">
        <v>2</v>
      </c>
      <c r="C19">
        <v>2219</v>
      </c>
      <c r="D19">
        <v>8993</v>
      </c>
      <c r="E19">
        <v>3583</v>
      </c>
      <c r="F19">
        <v>61231</v>
      </c>
      <c r="G19">
        <v>29588</v>
      </c>
      <c r="H19" s="10">
        <v>5664</v>
      </c>
      <c r="I19" s="16" t="s">
        <v>9</v>
      </c>
      <c r="J19">
        <f t="shared" si="3"/>
        <v>48.908970685474983</v>
      </c>
      <c r="K19">
        <f t="shared" si="3"/>
        <v>100</v>
      </c>
      <c r="L19">
        <f t="shared" si="3"/>
        <v>46.965526281295055</v>
      </c>
      <c r="M19">
        <f t="shared" si="3"/>
        <v>72.266874387753901</v>
      </c>
      <c r="N19">
        <f t="shared" si="3"/>
        <v>72.98470646275284</v>
      </c>
      <c r="O19" s="10">
        <f t="shared" si="3"/>
        <v>81.414402759810272</v>
      </c>
      <c r="P19" s="16" t="s">
        <v>9</v>
      </c>
      <c r="Q19" s="16">
        <f t="shared" si="4"/>
        <v>44.434648446109762</v>
      </c>
      <c r="R19" s="16">
        <f t="shared" si="4"/>
        <v>65.784499054820415</v>
      </c>
      <c r="S19" s="16">
        <f t="shared" si="4"/>
        <v>2.7657622230960826</v>
      </c>
      <c r="T19" s="16">
        <f t="shared" si="4"/>
        <v>56.896694166106059</v>
      </c>
      <c r="U19" s="16">
        <f t="shared" si="4"/>
        <v>47.301430685742474</v>
      </c>
      <c r="V19" s="16">
        <f t="shared" si="4"/>
        <v>41.655886157826657</v>
      </c>
    </row>
    <row r="20" spans="1:22" x14ac:dyDescent="0.2">
      <c r="A20" t="s">
        <v>1046</v>
      </c>
      <c r="B20">
        <v>2</v>
      </c>
      <c r="C20">
        <v>332</v>
      </c>
      <c r="D20">
        <v>3746</v>
      </c>
      <c r="E20">
        <v>4771</v>
      </c>
      <c r="F20">
        <v>14151</v>
      </c>
      <c r="G20">
        <v>11719</v>
      </c>
      <c r="H20" s="10">
        <v>3052</v>
      </c>
      <c r="I20" s="16" t="s">
        <v>1047</v>
      </c>
      <c r="J20">
        <f t="shared" si="3"/>
        <v>7.3176107560061707</v>
      </c>
      <c r="K20">
        <f t="shared" si="3"/>
        <v>41.654620260202378</v>
      </c>
      <c r="L20">
        <f t="shared" si="3"/>
        <v>62.537685148774415</v>
      </c>
      <c r="M20">
        <f t="shared" si="3"/>
        <v>16.70148355344687</v>
      </c>
      <c r="N20">
        <f t="shared" si="3"/>
        <v>28.907252096694624</v>
      </c>
      <c r="O20" s="10">
        <f t="shared" si="3"/>
        <v>43.869483972976859</v>
      </c>
      <c r="P20" s="16" t="s">
        <v>1047</v>
      </c>
      <c r="Q20" s="16">
        <f t="shared" si="4"/>
        <v>2.8432885166409516</v>
      </c>
      <c r="R20" s="16">
        <f t="shared" si="4"/>
        <v>7.4391193150227934</v>
      </c>
      <c r="S20" s="16">
        <f t="shared" si="4"/>
        <v>18.337921090575442</v>
      </c>
      <c r="T20" s="16">
        <f t="shared" si="4"/>
        <v>1.3313033317990293</v>
      </c>
      <c r="U20" s="16">
        <f t="shared" si="4"/>
        <v>3.2239763196842617</v>
      </c>
      <c r="V20" s="16">
        <f t="shared" si="4"/>
        <v>4.1109673709932437</v>
      </c>
    </row>
    <row r="21" spans="1:22" x14ac:dyDescent="0.2">
      <c r="H21" s="10"/>
      <c r="I21" s="16"/>
      <c r="O21" s="10"/>
      <c r="P21" s="16"/>
    </row>
    <row r="22" spans="1:22" x14ac:dyDescent="0.2">
      <c r="A22" t="s">
        <v>180</v>
      </c>
      <c r="B22">
        <v>3</v>
      </c>
      <c r="C22">
        <v>409</v>
      </c>
      <c r="D22">
        <v>1652</v>
      </c>
      <c r="E22">
        <v>1138</v>
      </c>
      <c r="F22">
        <v>9996</v>
      </c>
      <c r="G22">
        <v>7064</v>
      </c>
      <c r="H22" s="10">
        <v>858</v>
      </c>
      <c r="I22" s="16" t="s">
        <v>7</v>
      </c>
      <c r="J22">
        <f t="shared" ref="J22:O31" si="5">C22/(MAX(C$22:C$31))*100</f>
        <v>7.6677915260592417</v>
      </c>
      <c r="K22">
        <f t="shared" si="5"/>
        <v>28.123935989104528</v>
      </c>
      <c r="L22">
        <f t="shared" si="5"/>
        <v>17.502306982466934</v>
      </c>
      <c r="M22">
        <f t="shared" si="5"/>
        <v>10.134950166786645</v>
      </c>
      <c r="N22">
        <f t="shared" si="5"/>
        <v>14.674477543728448</v>
      </c>
      <c r="O22" s="10">
        <f t="shared" si="5"/>
        <v>15.574514430931202</v>
      </c>
      <c r="P22" s="16" t="s">
        <v>7</v>
      </c>
      <c r="Q22" s="16">
        <f t="shared" ref="Q22:V31" si="6">J22-J$22</f>
        <v>0</v>
      </c>
      <c r="R22" s="16">
        <f t="shared" si="6"/>
        <v>0</v>
      </c>
      <c r="S22" s="16">
        <f t="shared" si="6"/>
        <v>0</v>
      </c>
      <c r="T22" s="16">
        <f t="shared" si="6"/>
        <v>0</v>
      </c>
      <c r="U22" s="16">
        <f t="shared" si="6"/>
        <v>0</v>
      </c>
      <c r="V22" s="16">
        <f t="shared" si="6"/>
        <v>0</v>
      </c>
    </row>
    <row r="23" spans="1:22" x14ac:dyDescent="0.2">
      <c r="A23" t="s">
        <v>182</v>
      </c>
      <c r="B23">
        <v>3</v>
      </c>
      <c r="C23">
        <v>4696</v>
      </c>
      <c r="D23">
        <v>4643</v>
      </c>
      <c r="E23">
        <v>4811</v>
      </c>
      <c r="F23">
        <v>98629</v>
      </c>
      <c r="G23">
        <v>48138</v>
      </c>
      <c r="H23" s="10">
        <v>5509</v>
      </c>
      <c r="I23" s="16" t="s">
        <v>104</v>
      </c>
      <c r="J23">
        <f t="shared" si="5"/>
        <v>88.038995125609304</v>
      </c>
      <c r="K23">
        <f t="shared" si="5"/>
        <v>79.043241402791963</v>
      </c>
      <c r="L23">
        <f t="shared" si="5"/>
        <v>73.992617656105821</v>
      </c>
      <c r="M23">
        <f t="shared" si="5"/>
        <v>100</v>
      </c>
      <c r="N23">
        <f t="shared" si="5"/>
        <v>100</v>
      </c>
      <c r="O23" s="10">
        <f t="shared" si="5"/>
        <v>100</v>
      </c>
      <c r="P23" s="16" t="s">
        <v>104</v>
      </c>
      <c r="Q23" s="16">
        <f t="shared" si="6"/>
        <v>80.371203599550057</v>
      </c>
      <c r="R23" s="16">
        <f t="shared" si="6"/>
        <v>50.919305413687439</v>
      </c>
      <c r="S23" s="16">
        <f t="shared" si="6"/>
        <v>56.490310673638888</v>
      </c>
      <c r="T23" s="16">
        <f t="shared" si="6"/>
        <v>89.865049833213362</v>
      </c>
      <c r="U23" s="16">
        <f t="shared" si="6"/>
        <v>85.325522456271557</v>
      </c>
      <c r="V23" s="16">
        <f t="shared" si="6"/>
        <v>84.425485569068798</v>
      </c>
    </row>
    <row r="24" spans="1:22" x14ac:dyDescent="0.2">
      <c r="A24" t="s">
        <v>1048</v>
      </c>
      <c r="B24">
        <v>3</v>
      </c>
      <c r="C24">
        <v>5334</v>
      </c>
      <c r="D24">
        <v>4965</v>
      </c>
      <c r="E24">
        <v>5114</v>
      </c>
      <c r="F24">
        <v>89418</v>
      </c>
      <c r="G24">
        <v>42650</v>
      </c>
      <c r="H24" s="10">
        <v>4831</v>
      </c>
      <c r="I24" s="16" t="s">
        <v>273</v>
      </c>
      <c r="J24">
        <f t="shared" si="5"/>
        <v>100</v>
      </c>
      <c r="K24">
        <f t="shared" si="5"/>
        <v>84.525025536261495</v>
      </c>
      <c r="L24">
        <f t="shared" si="5"/>
        <v>78.652722239310975</v>
      </c>
      <c r="M24">
        <f t="shared" si="5"/>
        <v>90.660961786087256</v>
      </c>
      <c r="N24">
        <f t="shared" si="5"/>
        <v>88.599443267273259</v>
      </c>
      <c r="O24" s="10">
        <f t="shared" si="5"/>
        <v>87.692866218914503</v>
      </c>
      <c r="P24" s="16" t="s">
        <v>273</v>
      </c>
      <c r="Q24" s="16">
        <f t="shared" si="6"/>
        <v>92.332208473940753</v>
      </c>
      <c r="R24" s="16">
        <f t="shared" si="6"/>
        <v>56.401089547156971</v>
      </c>
      <c r="S24" s="16">
        <f t="shared" si="6"/>
        <v>61.150415256844042</v>
      </c>
      <c r="T24" s="16">
        <f t="shared" si="6"/>
        <v>80.526011619300618</v>
      </c>
      <c r="U24" s="16">
        <f t="shared" si="6"/>
        <v>73.924965723544815</v>
      </c>
      <c r="V24" s="16">
        <f t="shared" si="6"/>
        <v>72.1183517879833</v>
      </c>
    </row>
    <row r="25" spans="1:22" x14ac:dyDescent="0.2">
      <c r="A25" t="s">
        <v>1049</v>
      </c>
      <c r="B25">
        <v>3</v>
      </c>
      <c r="C25">
        <v>1305</v>
      </c>
      <c r="D25">
        <v>3641</v>
      </c>
      <c r="E25">
        <v>2998</v>
      </c>
      <c r="F25">
        <v>42342</v>
      </c>
      <c r="G25">
        <v>21820</v>
      </c>
      <c r="H25" s="10">
        <v>2466</v>
      </c>
      <c r="I25" s="16" t="s">
        <v>285</v>
      </c>
      <c r="J25">
        <f t="shared" si="5"/>
        <v>24.465691788526435</v>
      </c>
      <c r="K25">
        <f t="shared" si="5"/>
        <v>61.985018726591754</v>
      </c>
      <c r="L25">
        <f t="shared" si="5"/>
        <v>46.108889572439246</v>
      </c>
      <c r="M25">
        <f t="shared" si="5"/>
        <v>42.930578227499012</v>
      </c>
      <c r="N25">
        <f t="shared" si="5"/>
        <v>45.328015289376381</v>
      </c>
      <c r="O25" s="10">
        <f t="shared" si="5"/>
        <v>44.763114902886187</v>
      </c>
      <c r="P25" s="16" t="s">
        <v>285</v>
      </c>
      <c r="Q25" s="16">
        <f t="shared" si="6"/>
        <v>16.797900262467195</v>
      </c>
      <c r="R25" s="16">
        <f t="shared" si="6"/>
        <v>33.861082737487223</v>
      </c>
      <c r="S25" s="16">
        <f t="shared" si="6"/>
        <v>28.606582589972312</v>
      </c>
      <c r="T25" s="16">
        <f t="shared" si="6"/>
        <v>32.795628060712367</v>
      </c>
      <c r="U25" s="16">
        <f t="shared" si="6"/>
        <v>30.653537745647931</v>
      </c>
      <c r="V25" s="16">
        <f t="shared" si="6"/>
        <v>29.188600471954985</v>
      </c>
    </row>
    <row r="26" spans="1:22" x14ac:dyDescent="0.2">
      <c r="A26" t="s">
        <v>1050</v>
      </c>
      <c r="B26">
        <v>3</v>
      </c>
      <c r="C26">
        <v>4410</v>
      </c>
      <c r="D26">
        <v>5874</v>
      </c>
      <c r="E26">
        <v>6502</v>
      </c>
      <c r="F26">
        <v>65556</v>
      </c>
      <c r="G26">
        <v>34914</v>
      </c>
      <c r="H26" s="10">
        <v>3483</v>
      </c>
      <c r="I26" s="16" t="s">
        <v>1032</v>
      </c>
      <c r="J26">
        <f t="shared" si="5"/>
        <v>82.677165354330711</v>
      </c>
      <c r="K26">
        <f t="shared" si="5"/>
        <v>100</v>
      </c>
      <c r="L26">
        <f t="shared" si="5"/>
        <v>100</v>
      </c>
      <c r="M26">
        <f t="shared" si="5"/>
        <v>66.467266219874475</v>
      </c>
      <c r="N26">
        <f t="shared" si="5"/>
        <v>72.528979184843578</v>
      </c>
      <c r="O26" s="10">
        <f t="shared" si="5"/>
        <v>63.223815574514433</v>
      </c>
      <c r="P26" s="16" t="s">
        <v>1032</v>
      </c>
      <c r="Q26" s="16">
        <f t="shared" si="6"/>
        <v>75.009373828271464</v>
      </c>
      <c r="R26" s="16">
        <f t="shared" si="6"/>
        <v>71.876064010895476</v>
      </c>
      <c r="S26" s="16">
        <f t="shared" si="6"/>
        <v>82.497693017533066</v>
      </c>
      <c r="T26" s="16">
        <f t="shared" si="6"/>
        <v>56.33231605308783</v>
      </c>
      <c r="U26" s="16">
        <f t="shared" si="6"/>
        <v>57.854501641115128</v>
      </c>
      <c r="V26" s="16">
        <f t="shared" si="6"/>
        <v>47.64930114358323</v>
      </c>
    </row>
    <row r="27" spans="1:22" x14ac:dyDescent="0.2">
      <c r="A27" t="s">
        <v>1051</v>
      </c>
      <c r="B27">
        <v>3</v>
      </c>
      <c r="C27">
        <v>1354</v>
      </c>
      <c r="D27">
        <v>5568</v>
      </c>
      <c r="E27">
        <v>1561</v>
      </c>
      <c r="F27">
        <v>72987</v>
      </c>
      <c r="G27">
        <v>34167</v>
      </c>
      <c r="H27" s="10">
        <v>4219</v>
      </c>
      <c r="I27" s="16" t="s">
        <v>9</v>
      </c>
      <c r="J27">
        <f t="shared" si="5"/>
        <v>25.38432695913011</v>
      </c>
      <c r="K27">
        <f t="shared" si="5"/>
        <v>94.790602655771195</v>
      </c>
      <c r="L27">
        <f t="shared" si="5"/>
        <v>24.0079975392187</v>
      </c>
      <c r="M27">
        <f t="shared" si="5"/>
        <v>74.001561406888442</v>
      </c>
      <c r="N27">
        <f t="shared" si="5"/>
        <v>70.977190577090866</v>
      </c>
      <c r="O27" s="10">
        <f t="shared" si="5"/>
        <v>76.583772009439102</v>
      </c>
      <c r="P27" s="16" t="s">
        <v>9</v>
      </c>
      <c r="Q27" s="16">
        <f t="shared" si="6"/>
        <v>17.716535433070867</v>
      </c>
      <c r="R27" s="16">
        <f t="shared" si="6"/>
        <v>66.666666666666671</v>
      </c>
      <c r="S27" s="16">
        <f t="shared" si="6"/>
        <v>6.505690556751766</v>
      </c>
      <c r="T27" s="16">
        <f t="shared" si="6"/>
        <v>63.866611240101797</v>
      </c>
      <c r="U27" s="16">
        <f t="shared" si="6"/>
        <v>56.302713033362416</v>
      </c>
      <c r="V27" s="16">
        <f t="shared" si="6"/>
        <v>61.009257578507899</v>
      </c>
    </row>
    <row r="28" spans="1:22" x14ac:dyDescent="0.2">
      <c r="A28" t="s">
        <v>1052</v>
      </c>
      <c r="B28">
        <v>3</v>
      </c>
      <c r="C28">
        <v>316</v>
      </c>
      <c r="D28">
        <v>1794</v>
      </c>
      <c r="E28">
        <v>1492</v>
      </c>
      <c r="F28">
        <v>7852</v>
      </c>
      <c r="G28">
        <v>6146</v>
      </c>
      <c r="H28" s="10">
        <v>642</v>
      </c>
      <c r="I28" s="16" t="s">
        <v>289</v>
      </c>
      <c r="J28">
        <f t="shared" si="5"/>
        <v>5.9242594675665536</v>
      </c>
      <c r="K28">
        <f t="shared" si="5"/>
        <v>30.541368743615934</v>
      </c>
      <c r="L28">
        <f t="shared" si="5"/>
        <v>22.946785604429408</v>
      </c>
      <c r="M28">
        <f t="shared" si="5"/>
        <v>7.9611473298928299</v>
      </c>
      <c r="N28">
        <f t="shared" si="5"/>
        <v>12.767460218538368</v>
      </c>
      <c r="O28" s="10">
        <f t="shared" si="5"/>
        <v>11.653657651116355</v>
      </c>
      <c r="P28" s="16" t="s">
        <v>289</v>
      </c>
      <c r="Q28" s="16">
        <f t="shared" si="6"/>
        <v>-1.7435320584926881</v>
      </c>
      <c r="R28" s="16">
        <f t="shared" si="6"/>
        <v>2.417432754511406</v>
      </c>
      <c r="S28" s="16">
        <f t="shared" si="6"/>
        <v>5.4444786219624746</v>
      </c>
      <c r="T28" s="16">
        <f t="shared" si="6"/>
        <v>-2.1738028368938149</v>
      </c>
      <c r="U28" s="16">
        <f t="shared" si="6"/>
        <v>-1.9070173251900808</v>
      </c>
      <c r="V28" s="16">
        <f t="shared" si="6"/>
        <v>-3.9208567798148479</v>
      </c>
    </row>
    <row r="29" spans="1:22" x14ac:dyDescent="0.2">
      <c r="A29" t="s">
        <v>1053</v>
      </c>
      <c r="B29">
        <v>3</v>
      </c>
      <c r="C29">
        <v>1758</v>
      </c>
      <c r="D29">
        <v>3808</v>
      </c>
      <c r="E29">
        <v>4955</v>
      </c>
      <c r="F29">
        <v>52278</v>
      </c>
      <c r="G29">
        <v>25763</v>
      </c>
      <c r="H29" s="10">
        <v>2917</v>
      </c>
      <c r="I29" s="16" t="s">
        <v>106</v>
      </c>
      <c r="J29">
        <f t="shared" si="5"/>
        <v>32.958380202474693</v>
      </c>
      <c r="K29">
        <f t="shared" si="5"/>
        <v>64.828055839291792</v>
      </c>
      <c r="L29">
        <f t="shared" si="5"/>
        <v>76.20732082436173</v>
      </c>
      <c r="M29">
        <f t="shared" si="5"/>
        <v>53.004694359671092</v>
      </c>
      <c r="N29">
        <f t="shared" si="5"/>
        <v>53.519049399642697</v>
      </c>
      <c r="O29" s="10">
        <f t="shared" si="5"/>
        <v>52.949718642221825</v>
      </c>
      <c r="P29" s="16" t="s">
        <v>106</v>
      </c>
      <c r="Q29" s="16">
        <f t="shared" si="6"/>
        <v>25.290588676415453</v>
      </c>
      <c r="R29" s="16">
        <f t="shared" si="6"/>
        <v>36.704119850187269</v>
      </c>
      <c r="S29" s="16">
        <f t="shared" si="6"/>
        <v>58.705013841894797</v>
      </c>
      <c r="T29" s="16">
        <f t="shared" si="6"/>
        <v>42.869744192884447</v>
      </c>
      <c r="U29" s="16">
        <f t="shared" si="6"/>
        <v>38.844571855914246</v>
      </c>
      <c r="V29" s="16">
        <f t="shared" si="6"/>
        <v>37.375204211290622</v>
      </c>
    </row>
    <row r="30" spans="1:22" x14ac:dyDescent="0.2">
      <c r="A30" t="s">
        <v>1054</v>
      </c>
      <c r="B30">
        <v>3</v>
      </c>
      <c r="C30">
        <v>186</v>
      </c>
      <c r="D30">
        <v>2210</v>
      </c>
      <c r="E30">
        <v>1312</v>
      </c>
      <c r="F30">
        <v>20569</v>
      </c>
      <c r="G30">
        <v>11455</v>
      </c>
      <c r="H30" s="10">
        <v>1481</v>
      </c>
      <c r="I30" s="16" t="s">
        <v>1037</v>
      </c>
      <c r="J30">
        <f t="shared" si="5"/>
        <v>3.4870641169853771</v>
      </c>
      <c r="K30">
        <f t="shared" si="5"/>
        <v>37.623425263874708</v>
      </c>
      <c r="L30">
        <f t="shared" si="5"/>
        <v>20.178406644109508</v>
      </c>
      <c r="M30">
        <f t="shared" si="5"/>
        <v>20.854920966450031</v>
      </c>
      <c r="N30">
        <f t="shared" si="5"/>
        <v>23.796169346462253</v>
      </c>
      <c r="O30" s="10">
        <f t="shared" si="5"/>
        <v>26.883281902341622</v>
      </c>
      <c r="P30" s="16" t="s">
        <v>1037</v>
      </c>
      <c r="Q30" s="16">
        <f t="shared" si="6"/>
        <v>-4.1807274090738646</v>
      </c>
      <c r="R30" s="16">
        <f t="shared" si="6"/>
        <v>9.4994892747701805</v>
      </c>
      <c r="S30" s="16">
        <f t="shared" si="6"/>
        <v>2.6760996616425743</v>
      </c>
      <c r="T30" s="16">
        <f t="shared" si="6"/>
        <v>10.719970799663386</v>
      </c>
      <c r="U30" s="16">
        <f t="shared" si="6"/>
        <v>9.121691802733805</v>
      </c>
      <c r="V30" s="16">
        <f t="shared" si="6"/>
        <v>11.30876747141042</v>
      </c>
    </row>
    <row r="31" spans="1:22" x14ac:dyDescent="0.2">
      <c r="A31" t="s">
        <v>1055</v>
      </c>
      <c r="B31">
        <v>3</v>
      </c>
      <c r="C31">
        <v>638</v>
      </c>
      <c r="D31">
        <v>1835</v>
      </c>
      <c r="E31">
        <v>2048</v>
      </c>
      <c r="F31">
        <v>17085</v>
      </c>
      <c r="G31">
        <v>10435</v>
      </c>
      <c r="H31" s="10">
        <v>1046</v>
      </c>
      <c r="I31" s="16" t="s">
        <v>352</v>
      </c>
      <c r="J31">
        <f t="shared" si="5"/>
        <v>11.961004874390701</v>
      </c>
      <c r="K31">
        <f t="shared" si="5"/>
        <v>31.239359891045282</v>
      </c>
      <c r="L31">
        <f t="shared" si="5"/>
        <v>31.498000615195327</v>
      </c>
      <c r="M31">
        <f t="shared" si="5"/>
        <v>17.322491356497583</v>
      </c>
      <c r="N31">
        <f t="shared" si="5"/>
        <v>21.677261207362168</v>
      </c>
      <c r="O31" s="10">
        <f t="shared" si="5"/>
        <v>18.987111998547832</v>
      </c>
      <c r="P31" s="16" t="s">
        <v>352</v>
      </c>
      <c r="Q31" s="16">
        <f t="shared" si="6"/>
        <v>4.2932133483314594</v>
      </c>
      <c r="R31" s="16">
        <f t="shared" si="6"/>
        <v>3.1154239019407548</v>
      </c>
      <c r="S31" s="16">
        <f t="shared" si="6"/>
        <v>13.995693632728393</v>
      </c>
      <c r="T31" s="16">
        <f t="shared" si="6"/>
        <v>7.187541189710938</v>
      </c>
      <c r="U31" s="16">
        <f t="shared" si="6"/>
        <v>7.0027836636337195</v>
      </c>
      <c r="V31" s="16">
        <f t="shared" si="6"/>
        <v>3.4125975676166291</v>
      </c>
    </row>
    <row r="32" spans="1:22" x14ac:dyDescent="0.2">
      <c r="H32" s="10"/>
      <c r="I32" s="16"/>
      <c r="O32" s="10"/>
      <c r="P32" s="16"/>
    </row>
    <row r="33" spans="1:22" x14ac:dyDescent="0.2">
      <c r="A33" t="s">
        <v>1056</v>
      </c>
      <c r="B33">
        <v>4</v>
      </c>
      <c r="C33">
        <v>220</v>
      </c>
      <c r="D33">
        <v>1287</v>
      </c>
      <c r="E33">
        <v>954</v>
      </c>
      <c r="F33">
        <v>4852</v>
      </c>
      <c r="G33">
        <v>4416</v>
      </c>
      <c r="H33" s="10">
        <v>543</v>
      </c>
      <c r="I33" s="16" t="s">
        <v>7</v>
      </c>
      <c r="J33">
        <f t="shared" ref="J33:O39" si="7">C33/(MAX(C$33:C$39))*100</f>
        <v>4.7691307175373936</v>
      </c>
      <c r="K33">
        <f t="shared" si="7"/>
        <v>17.245075706820316</v>
      </c>
      <c r="L33">
        <f t="shared" si="7"/>
        <v>16.136671177266575</v>
      </c>
      <c r="M33">
        <f t="shared" si="7"/>
        <v>4.9923345234543</v>
      </c>
      <c r="N33">
        <f t="shared" si="7"/>
        <v>9.7228032321275233</v>
      </c>
      <c r="O33" s="10">
        <f t="shared" si="7"/>
        <v>10.24141833270464</v>
      </c>
      <c r="P33" s="16" t="s">
        <v>7</v>
      </c>
      <c r="Q33" s="16">
        <f t="shared" ref="Q33:V39" si="8">J33-J$33</f>
        <v>0</v>
      </c>
      <c r="R33" s="16">
        <f t="shared" si="8"/>
        <v>0</v>
      </c>
      <c r="S33" s="16">
        <f t="shared" si="8"/>
        <v>0</v>
      </c>
      <c r="T33" s="16">
        <f t="shared" si="8"/>
        <v>0</v>
      </c>
      <c r="U33" s="16">
        <f t="shared" si="8"/>
        <v>0</v>
      </c>
      <c r="V33" s="16">
        <f t="shared" si="8"/>
        <v>0</v>
      </c>
    </row>
    <row r="34" spans="1:22" x14ac:dyDescent="0.2">
      <c r="A34" t="s">
        <v>1057</v>
      </c>
      <c r="B34">
        <v>4</v>
      </c>
      <c r="C34">
        <v>4264</v>
      </c>
      <c r="D34">
        <v>4594</v>
      </c>
      <c r="E34">
        <v>5279</v>
      </c>
      <c r="F34">
        <v>96476</v>
      </c>
      <c r="G34">
        <v>45419</v>
      </c>
      <c r="H34" s="10">
        <v>5302</v>
      </c>
      <c r="I34" s="16" t="s">
        <v>104</v>
      </c>
      <c r="J34">
        <f t="shared" si="7"/>
        <v>92.434424452633863</v>
      </c>
      <c r="K34">
        <f t="shared" si="7"/>
        <v>61.55701460538657</v>
      </c>
      <c r="L34">
        <f t="shared" si="7"/>
        <v>89.292963464140726</v>
      </c>
      <c r="M34">
        <f t="shared" si="7"/>
        <v>99.266377882270632</v>
      </c>
      <c r="N34">
        <f t="shared" si="7"/>
        <v>100</v>
      </c>
      <c r="O34" s="10">
        <f t="shared" si="7"/>
        <v>100</v>
      </c>
      <c r="P34" s="16" t="s">
        <v>104</v>
      </c>
      <c r="Q34" s="16">
        <f t="shared" si="8"/>
        <v>87.665293735096469</v>
      </c>
      <c r="R34" s="16">
        <f t="shared" si="8"/>
        <v>44.311938898566254</v>
      </c>
      <c r="S34" s="16">
        <f t="shared" si="8"/>
        <v>73.156292286874148</v>
      </c>
      <c r="T34" s="16">
        <f t="shared" si="8"/>
        <v>94.274043358816328</v>
      </c>
      <c r="U34" s="16">
        <f t="shared" si="8"/>
        <v>90.277196767872482</v>
      </c>
      <c r="V34" s="16">
        <f t="shared" si="8"/>
        <v>89.75858166729536</v>
      </c>
    </row>
    <row r="35" spans="1:22" x14ac:dyDescent="0.2">
      <c r="A35" t="s">
        <v>1058</v>
      </c>
      <c r="B35">
        <v>4</v>
      </c>
      <c r="C35">
        <v>4613</v>
      </c>
      <c r="D35">
        <v>5050</v>
      </c>
      <c r="E35">
        <v>5912</v>
      </c>
      <c r="F35">
        <v>97189</v>
      </c>
      <c r="G35">
        <v>45090</v>
      </c>
      <c r="H35" s="10">
        <v>5158</v>
      </c>
      <c r="I35" s="16" t="s">
        <v>273</v>
      </c>
      <c r="J35">
        <f t="shared" si="7"/>
        <v>100</v>
      </c>
      <c r="K35">
        <f t="shared" si="7"/>
        <v>67.667157979364873</v>
      </c>
      <c r="L35">
        <f t="shared" si="7"/>
        <v>100</v>
      </c>
      <c r="M35">
        <f t="shared" si="7"/>
        <v>100</v>
      </c>
      <c r="N35">
        <f t="shared" si="7"/>
        <v>99.275633545432527</v>
      </c>
      <c r="O35" s="10">
        <f t="shared" si="7"/>
        <v>97.284043757072808</v>
      </c>
      <c r="P35" s="16" t="s">
        <v>273</v>
      </c>
      <c r="Q35" s="16">
        <f t="shared" si="8"/>
        <v>95.230869282462606</v>
      </c>
      <c r="R35" s="16">
        <f t="shared" si="8"/>
        <v>50.422082272544557</v>
      </c>
      <c r="S35" s="16">
        <f t="shared" si="8"/>
        <v>83.863328822733422</v>
      </c>
      <c r="T35" s="16">
        <f t="shared" si="8"/>
        <v>95.007665476545696</v>
      </c>
      <c r="U35" s="16">
        <f t="shared" si="8"/>
        <v>89.552830313305009</v>
      </c>
      <c r="V35" s="16">
        <f t="shared" si="8"/>
        <v>87.042625424368168</v>
      </c>
    </row>
    <row r="36" spans="1:22" x14ac:dyDescent="0.2">
      <c r="A36" t="s">
        <v>1059</v>
      </c>
      <c r="B36">
        <v>4</v>
      </c>
      <c r="C36">
        <v>1727</v>
      </c>
      <c r="D36">
        <v>4281</v>
      </c>
      <c r="E36">
        <v>3597</v>
      </c>
      <c r="F36">
        <v>63510</v>
      </c>
      <c r="G36">
        <v>30450</v>
      </c>
      <c r="H36" s="10">
        <v>3597</v>
      </c>
      <c r="I36" s="16" t="s">
        <v>1043</v>
      </c>
      <c r="J36">
        <f t="shared" si="7"/>
        <v>37.437676132668543</v>
      </c>
      <c r="K36">
        <f t="shared" si="7"/>
        <v>57.362990754388321</v>
      </c>
      <c r="L36">
        <f t="shared" si="7"/>
        <v>60.842354533152907</v>
      </c>
      <c r="M36">
        <f t="shared" si="7"/>
        <v>65.346901398306386</v>
      </c>
      <c r="N36">
        <f t="shared" si="7"/>
        <v>67.042427178053231</v>
      </c>
      <c r="O36" s="10">
        <f t="shared" si="7"/>
        <v>67.84232365145229</v>
      </c>
      <c r="P36" s="16" t="s">
        <v>1043</v>
      </c>
      <c r="Q36" s="16">
        <f t="shared" si="8"/>
        <v>32.668545415131149</v>
      </c>
      <c r="R36" s="16">
        <f t="shared" si="8"/>
        <v>40.117915047568005</v>
      </c>
      <c r="S36" s="16">
        <f t="shared" si="8"/>
        <v>44.705683355886336</v>
      </c>
      <c r="T36" s="16">
        <f t="shared" si="8"/>
        <v>60.354566874852082</v>
      </c>
      <c r="U36" s="16">
        <f t="shared" si="8"/>
        <v>57.319623945925706</v>
      </c>
      <c r="V36" s="16">
        <f t="shared" si="8"/>
        <v>57.60090531874765</v>
      </c>
    </row>
    <row r="37" spans="1:22" x14ac:dyDescent="0.2">
      <c r="A37" s="226" t="s">
        <v>1060</v>
      </c>
      <c r="B37" s="226">
        <v>4</v>
      </c>
      <c r="C37" s="226">
        <v>1750</v>
      </c>
      <c r="D37" s="226">
        <v>2928</v>
      </c>
      <c r="E37" s="226">
        <v>2025</v>
      </c>
      <c r="F37" s="226">
        <v>37892</v>
      </c>
      <c r="G37" s="226">
        <v>19347</v>
      </c>
      <c r="H37" s="227">
        <v>2048</v>
      </c>
      <c r="I37" s="226" t="s">
        <v>313</v>
      </c>
      <c r="J37">
        <f t="shared" si="7"/>
        <v>37.936267071320188</v>
      </c>
      <c r="K37">
        <f t="shared" si="7"/>
        <v>39.233552190807984</v>
      </c>
      <c r="L37">
        <f t="shared" si="7"/>
        <v>34.252368064952634</v>
      </c>
      <c r="M37">
        <f t="shared" si="7"/>
        <v>38.987951311362394</v>
      </c>
      <c r="N37">
        <f t="shared" si="7"/>
        <v>42.59671062771087</v>
      </c>
      <c r="O37" s="10">
        <f t="shared" si="7"/>
        <v>38.62693323274236</v>
      </c>
      <c r="P37" s="226" t="s">
        <v>313</v>
      </c>
      <c r="Q37" s="16">
        <f t="shared" si="8"/>
        <v>33.167136353782794</v>
      </c>
      <c r="R37" s="16">
        <f t="shared" si="8"/>
        <v>21.988476483987668</v>
      </c>
      <c r="S37" s="16">
        <f t="shared" si="8"/>
        <v>18.11569688768606</v>
      </c>
      <c r="T37" s="16">
        <f t="shared" si="8"/>
        <v>33.995616787908091</v>
      </c>
      <c r="U37" s="16">
        <f t="shared" si="8"/>
        <v>32.873907395583345</v>
      </c>
      <c r="V37" s="16">
        <f t="shared" si="8"/>
        <v>28.38551490003772</v>
      </c>
    </row>
    <row r="38" spans="1:22" x14ac:dyDescent="0.2">
      <c r="A38" t="s">
        <v>1061</v>
      </c>
      <c r="B38">
        <v>4</v>
      </c>
      <c r="C38">
        <v>1763</v>
      </c>
      <c r="D38">
        <v>7463</v>
      </c>
      <c r="E38">
        <v>4852</v>
      </c>
      <c r="F38">
        <v>76083</v>
      </c>
      <c r="G38">
        <v>37348</v>
      </c>
      <c r="H38" s="10">
        <v>4518</v>
      </c>
      <c r="I38" s="16" t="s">
        <v>9</v>
      </c>
      <c r="J38">
        <f t="shared" si="7"/>
        <v>38.218079340992844</v>
      </c>
      <c r="K38">
        <f t="shared" si="7"/>
        <v>100</v>
      </c>
      <c r="L38">
        <f t="shared" si="7"/>
        <v>82.070365358592696</v>
      </c>
      <c r="M38">
        <f t="shared" si="7"/>
        <v>78.283550607579045</v>
      </c>
      <c r="N38">
        <f t="shared" si="7"/>
        <v>82.229903784759685</v>
      </c>
      <c r="O38" s="10">
        <f t="shared" si="7"/>
        <v>85.213127121840813</v>
      </c>
      <c r="P38" s="16" t="s">
        <v>9</v>
      </c>
      <c r="Q38" s="16">
        <f t="shared" si="8"/>
        <v>33.448948623455451</v>
      </c>
      <c r="R38" s="16">
        <f t="shared" si="8"/>
        <v>82.754924293179684</v>
      </c>
      <c r="S38" s="16">
        <f t="shared" si="8"/>
        <v>65.933694181326118</v>
      </c>
      <c r="T38" s="16">
        <f t="shared" si="8"/>
        <v>73.291216084124741</v>
      </c>
      <c r="U38" s="16">
        <f t="shared" si="8"/>
        <v>72.507100552632167</v>
      </c>
      <c r="V38" s="16">
        <f t="shared" si="8"/>
        <v>74.971708789136173</v>
      </c>
    </row>
    <row r="39" spans="1:22" x14ac:dyDescent="0.2">
      <c r="A39" t="s">
        <v>1062</v>
      </c>
      <c r="B39">
        <v>4</v>
      </c>
      <c r="C39">
        <v>504</v>
      </c>
      <c r="D39">
        <v>1621</v>
      </c>
      <c r="E39">
        <v>1136</v>
      </c>
      <c r="F39">
        <v>6321</v>
      </c>
      <c r="G39">
        <v>5462</v>
      </c>
      <c r="H39" s="10">
        <v>636</v>
      </c>
      <c r="I39" s="16" t="s">
        <v>1047</v>
      </c>
      <c r="J39">
        <f t="shared" si="7"/>
        <v>10.925644916540213</v>
      </c>
      <c r="K39">
        <f t="shared" si="7"/>
        <v>21.72048773951494</v>
      </c>
      <c r="L39">
        <f t="shared" si="7"/>
        <v>19.215155615696887</v>
      </c>
      <c r="M39">
        <f t="shared" si="7"/>
        <v>6.5038224490425876</v>
      </c>
      <c r="N39">
        <f t="shared" si="7"/>
        <v>12.025804178867874</v>
      </c>
      <c r="O39" s="10">
        <f t="shared" si="7"/>
        <v>11.995473406261787</v>
      </c>
      <c r="P39" s="16" t="s">
        <v>1047</v>
      </c>
      <c r="Q39" s="16">
        <f t="shared" si="8"/>
        <v>6.1565141990028192</v>
      </c>
      <c r="R39" s="16">
        <f t="shared" si="8"/>
        <v>4.4754120326946243</v>
      </c>
      <c r="S39" s="16">
        <f t="shared" si="8"/>
        <v>3.0784844384303121</v>
      </c>
      <c r="T39" s="16">
        <f t="shared" si="8"/>
        <v>1.5114879255882876</v>
      </c>
      <c r="U39" s="16">
        <f t="shared" si="8"/>
        <v>2.3030009467403509</v>
      </c>
      <c r="V39" s="16">
        <f t="shared" si="8"/>
        <v>1.7540550735571472</v>
      </c>
    </row>
    <row r="41" spans="1:22" x14ac:dyDescent="0.2">
      <c r="A41" t="s">
        <v>1134</v>
      </c>
    </row>
    <row r="42" spans="1:22" x14ac:dyDescent="0.2">
      <c r="A42" t="s">
        <v>1187</v>
      </c>
    </row>
    <row r="43" spans="1:22" x14ac:dyDescent="0.2">
      <c r="A43" s="17"/>
      <c r="B43" s="18"/>
      <c r="C43" s="18" t="s">
        <v>1186</v>
      </c>
      <c r="D43" s="18"/>
      <c r="E43" s="18"/>
      <c r="F43" s="19"/>
    </row>
    <row r="44" spans="1:22" x14ac:dyDescent="0.2">
      <c r="A44" s="20"/>
      <c r="B44" s="21"/>
      <c r="C44" s="21" t="s">
        <v>272</v>
      </c>
      <c r="D44" s="21" t="s">
        <v>273</v>
      </c>
      <c r="E44" s="21" t="s">
        <v>381</v>
      </c>
      <c r="F44" s="10" t="s">
        <v>1177</v>
      </c>
    </row>
    <row r="45" spans="1:22" x14ac:dyDescent="0.2">
      <c r="A45" s="20" t="s">
        <v>423</v>
      </c>
      <c r="B45" s="21" t="s">
        <v>7</v>
      </c>
      <c r="C45" s="125" t="s">
        <v>1131</v>
      </c>
      <c r="D45" s="125" t="s">
        <v>1131</v>
      </c>
      <c r="E45" s="125">
        <v>7.3099999999999998E-2</v>
      </c>
      <c r="F45" s="126">
        <v>1.4500000000000001E-2</v>
      </c>
      <c r="G45" s="122"/>
      <c r="J45" s="122"/>
    </row>
    <row r="46" spans="1:22" x14ac:dyDescent="0.2">
      <c r="A46" s="20"/>
      <c r="B46" s="21" t="s">
        <v>272</v>
      </c>
      <c r="C46" s="274"/>
      <c r="D46" s="125">
        <v>0.68130000000000002</v>
      </c>
      <c r="E46" s="125" t="s">
        <v>1131</v>
      </c>
      <c r="F46" s="126" t="s">
        <v>1131</v>
      </c>
      <c r="G46" s="122"/>
      <c r="I46" s="122"/>
      <c r="J46" s="122"/>
    </row>
    <row r="47" spans="1:22" x14ac:dyDescent="0.2">
      <c r="A47" s="20"/>
      <c r="B47" s="21" t="s">
        <v>273</v>
      </c>
      <c r="C47" s="260"/>
      <c r="D47" s="260"/>
      <c r="E47" s="125" t="s">
        <v>1131</v>
      </c>
      <c r="F47" s="126">
        <v>2.0000000000000001E-4</v>
      </c>
      <c r="G47" s="122"/>
      <c r="I47" s="122"/>
      <c r="J47" s="122"/>
    </row>
    <row r="48" spans="1:22" x14ac:dyDescent="0.2">
      <c r="A48" s="20"/>
      <c r="B48" s="21" t="s">
        <v>381</v>
      </c>
      <c r="C48" s="260"/>
      <c r="D48" s="260"/>
      <c r="E48" s="260"/>
      <c r="F48" s="126">
        <v>0.9224</v>
      </c>
      <c r="G48" s="122"/>
      <c r="J48" s="122"/>
      <c r="K48" s="122"/>
    </row>
    <row r="49" spans="1:11" x14ac:dyDescent="0.2">
      <c r="A49" s="20" t="s">
        <v>891</v>
      </c>
      <c r="B49" s="21" t="s">
        <v>7</v>
      </c>
      <c r="C49" s="125">
        <v>2.0000000000000001E-4</v>
      </c>
      <c r="D49" s="125">
        <v>2.0000000000000001E-4</v>
      </c>
      <c r="E49" s="125">
        <v>3.2000000000000002E-3</v>
      </c>
      <c r="F49" s="126" t="s">
        <v>1131</v>
      </c>
      <c r="G49" s="122"/>
      <c r="H49" s="122"/>
      <c r="J49" s="122"/>
      <c r="K49" s="122"/>
    </row>
    <row r="50" spans="1:11" x14ac:dyDescent="0.2">
      <c r="A50" s="20"/>
      <c r="B50" s="21" t="s">
        <v>272</v>
      </c>
      <c r="C50" s="274"/>
      <c r="D50" s="125" t="s">
        <v>1133</v>
      </c>
      <c r="E50" s="125">
        <v>0.61040000000000005</v>
      </c>
      <c r="F50" s="126">
        <v>6.1000000000000004E-3</v>
      </c>
      <c r="H50" s="122"/>
    </row>
    <row r="51" spans="1:11" x14ac:dyDescent="0.2">
      <c r="A51" s="20"/>
      <c r="B51" s="21" t="s">
        <v>273</v>
      </c>
      <c r="C51" s="260"/>
      <c r="D51" s="260"/>
      <c r="E51" s="125">
        <v>0.64349999999999996</v>
      </c>
      <c r="F51" s="126">
        <v>5.4999999999999997E-3</v>
      </c>
      <c r="H51" s="122"/>
      <c r="I51" s="122"/>
    </row>
    <row r="52" spans="1:11" x14ac:dyDescent="0.2">
      <c r="A52" s="20"/>
      <c r="B52" s="21" t="s">
        <v>381</v>
      </c>
      <c r="C52" s="260"/>
      <c r="D52" s="260"/>
      <c r="E52" s="260"/>
      <c r="F52" s="126">
        <v>4.0000000000000002E-4</v>
      </c>
      <c r="H52" s="122"/>
      <c r="I52" s="122"/>
    </row>
    <row r="53" spans="1:11" x14ac:dyDescent="0.2">
      <c r="A53" s="20" t="s">
        <v>386</v>
      </c>
      <c r="B53" s="21" t="s">
        <v>7</v>
      </c>
      <c r="C53" s="125">
        <v>3.8999999999999998E-3</v>
      </c>
      <c r="D53" s="125">
        <v>7.3000000000000001E-3</v>
      </c>
      <c r="E53" s="125">
        <v>0.61009999999999998</v>
      </c>
      <c r="F53" s="126">
        <v>0.48730000000000001</v>
      </c>
      <c r="H53" s="122"/>
      <c r="I53" s="122"/>
      <c r="J53" s="122"/>
    </row>
    <row r="54" spans="1:11" x14ac:dyDescent="0.2">
      <c r="A54" s="20"/>
      <c r="B54" s="21" t="s">
        <v>272</v>
      </c>
      <c r="C54" s="274"/>
      <c r="D54" s="125">
        <v>0.99729999999999996</v>
      </c>
      <c r="E54" s="125">
        <v>6.1699999999999998E-2</v>
      </c>
      <c r="F54" s="126">
        <v>9.0399999999999994E-2</v>
      </c>
      <c r="H54" s="122"/>
      <c r="I54" s="122"/>
      <c r="J54" s="122"/>
    </row>
    <row r="55" spans="1:11" x14ac:dyDescent="0.2">
      <c r="A55" s="20"/>
      <c r="B55" s="21" t="s">
        <v>273</v>
      </c>
      <c r="C55" s="260"/>
      <c r="D55" s="260"/>
      <c r="E55" s="125">
        <v>0.1109</v>
      </c>
      <c r="F55" s="126">
        <v>0.1588</v>
      </c>
      <c r="H55" s="122"/>
      <c r="I55" s="122"/>
      <c r="J55" s="122"/>
    </row>
    <row r="56" spans="1:11" x14ac:dyDescent="0.2">
      <c r="A56" s="20"/>
      <c r="B56" s="21" t="s">
        <v>381</v>
      </c>
      <c r="C56" s="260"/>
      <c r="D56" s="260"/>
      <c r="E56" s="260"/>
      <c r="F56" s="126">
        <v>0.99950000000000006</v>
      </c>
      <c r="H56" s="122"/>
      <c r="I56" s="122"/>
    </row>
    <row r="57" spans="1:11" x14ac:dyDescent="0.2">
      <c r="A57" s="20" t="s">
        <v>1023</v>
      </c>
      <c r="B57" s="21" t="s">
        <v>7</v>
      </c>
      <c r="C57" s="125">
        <v>5.7000000000000002E-3</v>
      </c>
      <c r="D57" s="125">
        <v>0.1394</v>
      </c>
      <c r="E57" s="125">
        <v>0.60229999999999995</v>
      </c>
      <c r="F57" s="126">
        <v>0.22900000000000001</v>
      </c>
      <c r="I57" s="122"/>
      <c r="J57" s="122"/>
    </row>
    <row r="58" spans="1:11" x14ac:dyDescent="0.2">
      <c r="A58" s="20"/>
      <c r="B58" s="21" t="s">
        <v>272</v>
      </c>
      <c r="C58" s="274"/>
      <c r="D58" s="125">
        <v>0.46079999999999999</v>
      </c>
      <c r="E58" s="125">
        <v>9.0999999999999998E-2</v>
      </c>
      <c r="F58" s="126">
        <v>0.308</v>
      </c>
      <c r="I58" s="122"/>
      <c r="J58" s="122"/>
    </row>
    <row r="59" spans="1:11" x14ac:dyDescent="0.2">
      <c r="A59" s="20"/>
      <c r="B59" s="21" t="s">
        <v>273</v>
      </c>
      <c r="C59" s="260"/>
      <c r="D59" s="260"/>
      <c r="E59" s="125">
        <v>0.82540000000000002</v>
      </c>
      <c r="F59" s="126">
        <v>0.99790000000000001</v>
      </c>
      <c r="J59" s="122"/>
    </row>
    <row r="60" spans="1:11" x14ac:dyDescent="0.2">
      <c r="A60" s="20"/>
      <c r="B60" s="21" t="s">
        <v>381</v>
      </c>
      <c r="C60" s="260"/>
      <c r="D60" s="260"/>
      <c r="E60" s="260"/>
      <c r="F60" s="126">
        <v>0.94079999999999997</v>
      </c>
      <c r="I60" s="122"/>
    </row>
    <row r="61" spans="1:11" x14ac:dyDescent="0.2">
      <c r="A61" s="20" t="s">
        <v>892</v>
      </c>
      <c r="B61" s="21" t="s">
        <v>7</v>
      </c>
      <c r="C61" s="125">
        <v>5.1999999999999998E-3</v>
      </c>
      <c r="D61" s="125">
        <v>0.1173</v>
      </c>
      <c r="E61" s="125">
        <v>0.59799999999999998</v>
      </c>
      <c r="F61" s="126">
        <v>0.217</v>
      </c>
      <c r="I61" s="122"/>
    </row>
    <row r="62" spans="1:11" x14ac:dyDescent="0.2">
      <c r="A62" s="20"/>
      <c r="B62" s="21" t="s">
        <v>272</v>
      </c>
      <c r="C62" s="274"/>
      <c r="D62" s="125">
        <v>0.49109999999999998</v>
      </c>
      <c r="E62" s="125">
        <v>8.4900000000000003E-2</v>
      </c>
      <c r="F62" s="126">
        <v>0.3029</v>
      </c>
      <c r="I62" s="122"/>
    </row>
    <row r="63" spans="1:11" x14ac:dyDescent="0.2">
      <c r="A63" s="20"/>
      <c r="B63" s="21" t="s">
        <v>273</v>
      </c>
      <c r="C63" s="260"/>
      <c r="D63" s="260"/>
      <c r="E63" s="125">
        <v>0.77859999999999996</v>
      </c>
      <c r="F63" s="126">
        <v>0.99550000000000005</v>
      </c>
    </row>
    <row r="64" spans="1:11" x14ac:dyDescent="0.2">
      <c r="A64" s="20"/>
      <c r="B64" s="21" t="s">
        <v>381</v>
      </c>
      <c r="C64" s="260"/>
      <c r="D64" s="260"/>
      <c r="E64" s="260"/>
      <c r="F64" s="126">
        <v>0.93320000000000003</v>
      </c>
    </row>
    <row r="65" spans="1:6" x14ac:dyDescent="0.2">
      <c r="A65" s="20" t="s">
        <v>893</v>
      </c>
      <c r="B65" s="21" t="s">
        <v>7</v>
      </c>
      <c r="C65" s="125">
        <v>2.8500000000000001E-2</v>
      </c>
      <c r="D65" s="125">
        <v>0.35270000000000001</v>
      </c>
      <c r="E65" s="125">
        <v>0.76229999999999998</v>
      </c>
      <c r="F65" s="126">
        <v>0.37519999999999998</v>
      </c>
    </row>
    <row r="66" spans="1:6" x14ac:dyDescent="0.2">
      <c r="A66" s="20"/>
      <c r="B66" s="21" t="s">
        <v>272</v>
      </c>
      <c r="C66" s="274"/>
      <c r="D66" s="125">
        <v>0.59360000000000002</v>
      </c>
      <c r="E66" s="125">
        <v>0.2301</v>
      </c>
      <c r="F66" s="126">
        <v>0.56640000000000001</v>
      </c>
    </row>
    <row r="67" spans="1:6" x14ac:dyDescent="0.2">
      <c r="A67" s="20"/>
      <c r="B67" s="21" t="s">
        <v>273</v>
      </c>
      <c r="C67" s="260"/>
      <c r="D67" s="260"/>
      <c r="E67" s="125">
        <v>0.94550000000000001</v>
      </c>
      <c r="F67" s="126" t="s">
        <v>1133</v>
      </c>
    </row>
    <row r="68" spans="1:6" x14ac:dyDescent="0.2">
      <c r="A68" s="28"/>
      <c r="B68" s="26" t="s">
        <v>381</v>
      </c>
      <c r="C68" s="271"/>
      <c r="D68" s="271"/>
      <c r="E68" s="271"/>
      <c r="F68" s="129">
        <v>0.95650000000000002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B46D8B-FB87-244B-ABE1-42D95AFAFA4E}">
  <sheetPr codeName="Sheet16"/>
  <dimension ref="A1:R102"/>
  <sheetViews>
    <sheetView zoomScale="65" zoomScaleNormal="65" workbookViewId="0">
      <selection activeCell="U59" sqref="U59"/>
    </sheetView>
  </sheetViews>
  <sheetFormatPr baseColWidth="10" defaultRowHeight="16" x14ac:dyDescent="0.2"/>
  <sheetData>
    <row r="1" spans="1:18" x14ac:dyDescent="0.2">
      <c r="B1" t="s">
        <v>570</v>
      </c>
      <c r="K1" t="s">
        <v>569</v>
      </c>
    </row>
    <row r="2" spans="1:18" x14ac:dyDescent="0.2">
      <c r="A2" s="17"/>
      <c r="B2" s="18" t="s">
        <v>131</v>
      </c>
      <c r="C2" s="18" t="s">
        <v>15</v>
      </c>
      <c r="D2" s="18" t="s">
        <v>321</v>
      </c>
      <c r="E2" s="18" t="s">
        <v>100</v>
      </c>
      <c r="F2" s="18" t="s">
        <v>101</v>
      </c>
      <c r="G2" s="18" t="s">
        <v>102</v>
      </c>
      <c r="H2" s="18" t="s">
        <v>10</v>
      </c>
      <c r="I2" s="19" t="s">
        <v>103</v>
      </c>
      <c r="J2" s="17"/>
      <c r="K2" s="18" t="s">
        <v>131</v>
      </c>
      <c r="L2" s="18" t="s">
        <v>15</v>
      </c>
      <c r="M2" s="18" t="s">
        <v>321</v>
      </c>
      <c r="N2" s="18" t="s">
        <v>100</v>
      </c>
      <c r="O2" s="18" t="s">
        <v>101</v>
      </c>
      <c r="P2" s="18" t="s">
        <v>102</v>
      </c>
      <c r="Q2" s="18" t="s">
        <v>10</v>
      </c>
      <c r="R2" s="19" t="s">
        <v>103</v>
      </c>
    </row>
    <row r="3" spans="1:18" x14ac:dyDescent="0.2">
      <c r="A3" s="20" t="s">
        <v>515</v>
      </c>
      <c r="B3" s="21">
        <v>2.0499999999999998</v>
      </c>
      <c r="C3" s="21">
        <v>491.84</v>
      </c>
      <c r="D3" s="21">
        <v>18.23</v>
      </c>
      <c r="E3" s="21">
        <v>2.14</v>
      </c>
      <c r="F3" s="21">
        <v>9.8000000000000007</v>
      </c>
      <c r="G3" s="21">
        <v>9.8000000000000007</v>
      </c>
      <c r="H3" s="21">
        <v>20.84</v>
      </c>
      <c r="I3" s="10">
        <v>3.8</v>
      </c>
      <c r="J3" s="20" t="s">
        <v>515</v>
      </c>
      <c r="K3" s="21">
        <v>21.421107628004176</v>
      </c>
      <c r="L3" s="21">
        <v>10.259469629808866</v>
      </c>
      <c r="M3" s="21">
        <v>0.34902376731238294</v>
      </c>
      <c r="N3" s="21">
        <v>3.6093776353516613</v>
      </c>
      <c r="O3" s="21">
        <v>17.81494273768406</v>
      </c>
      <c r="P3" s="21">
        <v>17.150857542877144</v>
      </c>
      <c r="Q3" s="21">
        <v>24.718301506345629</v>
      </c>
      <c r="R3" s="10">
        <v>67.857142857142861</v>
      </c>
    </row>
    <row r="4" spans="1:18" x14ac:dyDescent="0.2">
      <c r="A4" s="20" t="s">
        <v>516</v>
      </c>
      <c r="B4" s="21">
        <v>2.0499999999999998</v>
      </c>
      <c r="C4" s="21">
        <v>610.6</v>
      </c>
      <c r="D4" s="21">
        <v>27.11</v>
      </c>
      <c r="E4" s="21">
        <v>2.14</v>
      </c>
      <c r="F4" s="21">
        <v>9.8000000000000007</v>
      </c>
      <c r="G4" s="21">
        <v>9.8000000000000007</v>
      </c>
      <c r="H4" s="21">
        <v>24.11</v>
      </c>
      <c r="I4" s="10">
        <v>3.74</v>
      </c>
      <c r="J4" s="20" t="s">
        <v>516</v>
      </c>
      <c r="K4" s="21">
        <v>21.421107628004176</v>
      </c>
      <c r="L4" s="21">
        <v>12.736727708119089</v>
      </c>
      <c r="M4" s="21">
        <v>0.51903644168067486</v>
      </c>
      <c r="N4" s="21">
        <v>3.6093776353516613</v>
      </c>
      <c r="O4" s="21">
        <v>17.81494273768406</v>
      </c>
      <c r="P4" s="21">
        <v>17.150857542877144</v>
      </c>
      <c r="Q4" s="21">
        <v>28.596844976871072</v>
      </c>
      <c r="R4" s="10">
        <v>66.785714285714292</v>
      </c>
    </row>
    <row r="5" spans="1:18" x14ac:dyDescent="0.2">
      <c r="A5" s="20" t="s">
        <v>517</v>
      </c>
      <c r="B5" s="21">
        <v>2.0499999999999998</v>
      </c>
      <c r="C5" s="21">
        <v>526.99</v>
      </c>
      <c r="D5" s="21">
        <v>21.81</v>
      </c>
      <c r="E5" s="21">
        <v>2.14</v>
      </c>
      <c r="F5" s="21">
        <v>9.8000000000000007</v>
      </c>
      <c r="G5" s="21">
        <v>9.8000000000000007</v>
      </c>
      <c r="H5" s="21">
        <v>22.06</v>
      </c>
      <c r="I5" s="10">
        <v>4</v>
      </c>
      <c r="J5" s="20" t="s">
        <v>517</v>
      </c>
      <c r="K5" s="21">
        <v>21.421107628004176</v>
      </c>
      <c r="L5" s="21">
        <v>10.992676277271011</v>
      </c>
      <c r="M5" s="21">
        <v>0.41756491305996007</v>
      </c>
      <c r="N5" s="21">
        <v>3.6093776353516613</v>
      </c>
      <c r="O5" s="21">
        <v>17.81494273768406</v>
      </c>
      <c r="P5" s="21">
        <v>17.150857542877144</v>
      </c>
      <c r="Q5" s="21">
        <v>26.165342189538602</v>
      </c>
      <c r="R5" s="10">
        <v>71.428571428571431</v>
      </c>
    </row>
    <row r="6" spans="1:18" x14ac:dyDescent="0.2">
      <c r="A6" s="20" t="s">
        <v>518</v>
      </c>
      <c r="B6" s="21">
        <v>2.0499999999999998</v>
      </c>
      <c r="C6" s="21">
        <v>414.51</v>
      </c>
      <c r="D6" s="21">
        <v>46.79</v>
      </c>
      <c r="E6" s="21">
        <v>33.54</v>
      </c>
      <c r="F6" s="21">
        <v>15.3</v>
      </c>
      <c r="G6" s="21">
        <v>9.8000000000000007</v>
      </c>
      <c r="H6" s="21">
        <v>14.4</v>
      </c>
      <c r="I6" s="10">
        <v>3.49</v>
      </c>
      <c r="J6" s="20" t="s">
        <v>518</v>
      </c>
      <c r="K6" s="21">
        <v>21.421107628004176</v>
      </c>
      <c r="L6" s="21">
        <v>8.6464150053921447</v>
      </c>
      <c r="M6" s="21">
        <v>0.89582128757797019</v>
      </c>
      <c r="N6" s="21">
        <v>56.569404621352668</v>
      </c>
      <c r="O6" s="21">
        <v>27.813124886384294</v>
      </c>
      <c r="P6" s="21">
        <v>17.150857542877144</v>
      </c>
      <c r="Q6" s="21">
        <v>17.079824457359745</v>
      </c>
      <c r="R6" s="10">
        <v>62.321428571428584</v>
      </c>
    </row>
    <row r="7" spans="1:18" x14ac:dyDescent="0.2">
      <c r="A7" s="20" t="s">
        <v>519</v>
      </c>
      <c r="B7" s="21">
        <v>3.15</v>
      </c>
      <c r="C7" s="21">
        <v>704.17</v>
      </c>
      <c r="D7" s="21">
        <v>62.28</v>
      </c>
      <c r="E7" s="21">
        <v>39.56</v>
      </c>
      <c r="F7" s="21">
        <v>18.36</v>
      </c>
      <c r="G7" s="21">
        <v>14.23</v>
      </c>
      <c r="H7" s="21">
        <v>16.07</v>
      </c>
      <c r="I7" s="10">
        <v>4.41</v>
      </c>
      <c r="J7" s="20" t="s">
        <v>519</v>
      </c>
      <c r="K7" s="21">
        <v>32.915360501567399</v>
      </c>
      <c r="L7" s="21">
        <v>14.688538405218177</v>
      </c>
      <c r="M7" s="21">
        <v>1.1923861891505876</v>
      </c>
      <c r="N7" s="21">
        <v>66.722887502108279</v>
      </c>
      <c r="O7" s="21">
        <v>33.375749863661156</v>
      </c>
      <c r="P7" s="21">
        <v>24.903745187259364</v>
      </c>
      <c r="Q7" s="21">
        <v>19.060609654845216</v>
      </c>
      <c r="R7" s="10">
        <v>78.750000000000014</v>
      </c>
    </row>
    <row r="8" spans="1:18" x14ac:dyDescent="0.2">
      <c r="A8" s="20" t="s">
        <v>520</v>
      </c>
      <c r="B8" s="21">
        <v>4.26</v>
      </c>
      <c r="C8" s="21">
        <v>660.92</v>
      </c>
      <c r="D8" s="21">
        <v>33.93</v>
      </c>
      <c r="E8" s="21">
        <v>40.92</v>
      </c>
      <c r="F8" s="21">
        <v>55.01</v>
      </c>
      <c r="G8" s="21">
        <v>12.49</v>
      </c>
      <c r="H8" s="21">
        <v>18.920000000000002</v>
      </c>
      <c r="I8" s="10">
        <v>5.0599999999999996</v>
      </c>
      <c r="J8" s="20" t="s">
        <v>520</v>
      </c>
      <c r="K8" s="21">
        <v>44.514106583072099</v>
      </c>
      <c r="L8" s="21">
        <v>13.786370908696476</v>
      </c>
      <c r="M8" s="21">
        <v>0.6496092388869531</v>
      </c>
      <c r="N8" s="21">
        <v>69.016697588126164</v>
      </c>
      <c r="O8" s="21">
        <v>100</v>
      </c>
      <c r="P8" s="21">
        <v>21.858592929646484</v>
      </c>
      <c r="Q8" s="21">
        <v>22.440991578697663</v>
      </c>
      <c r="R8" s="10">
        <v>90.357142857142861</v>
      </c>
    </row>
    <row r="9" spans="1:18" x14ac:dyDescent="0.2">
      <c r="A9" s="20" t="s">
        <v>521</v>
      </c>
      <c r="B9" s="21">
        <v>2.0499999999999998</v>
      </c>
      <c r="C9" s="21">
        <v>434.9</v>
      </c>
      <c r="D9" s="21">
        <v>10.86</v>
      </c>
      <c r="E9" s="21">
        <v>2.14</v>
      </c>
      <c r="F9" s="21">
        <v>9.8000000000000007</v>
      </c>
      <c r="G9" s="21">
        <v>9.8000000000000007</v>
      </c>
      <c r="H9" s="21">
        <v>23.27</v>
      </c>
      <c r="I9" s="10">
        <v>2.92</v>
      </c>
      <c r="J9" s="20" t="s">
        <v>521</v>
      </c>
      <c r="K9" s="21">
        <v>21.421107628004176</v>
      </c>
      <c r="L9" s="21">
        <v>9.0717374390124341</v>
      </c>
      <c r="M9" s="21">
        <v>0.20792090581527584</v>
      </c>
      <c r="N9" s="21">
        <v>3.6093776353516613</v>
      </c>
      <c r="O9" s="21">
        <v>17.81494273768406</v>
      </c>
      <c r="P9" s="21">
        <v>17.150857542877144</v>
      </c>
      <c r="Q9" s="21">
        <v>27.600521883525087</v>
      </c>
      <c r="R9" s="10">
        <v>52.142857142857146</v>
      </c>
    </row>
    <row r="10" spans="1:18" x14ac:dyDescent="0.2">
      <c r="A10" s="20" t="s">
        <v>522</v>
      </c>
      <c r="B10" s="21">
        <v>2.0499999999999998</v>
      </c>
      <c r="C10" s="21">
        <v>648.26</v>
      </c>
      <c r="D10" s="21">
        <v>439.74</v>
      </c>
      <c r="E10" s="21">
        <v>2.14</v>
      </c>
      <c r="F10" s="21">
        <v>9.8000000000000007</v>
      </c>
      <c r="G10" s="21">
        <v>9.8000000000000007</v>
      </c>
      <c r="H10" s="21">
        <v>48.71</v>
      </c>
      <c r="I10" s="10">
        <v>3.57</v>
      </c>
      <c r="J10" s="20" t="s">
        <v>522</v>
      </c>
      <c r="K10" s="21">
        <v>21.421107628004176</v>
      </c>
      <c r="L10" s="21">
        <v>13.522291359425614</v>
      </c>
      <c r="M10" s="21">
        <v>8.4190735840892632</v>
      </c>
      <c r="N10" s="21">
        <v>3.6093776353516613</v>
      </c>
      <c r="O10" s="21">
        <v>17.81494273768406</v>
      </c>
      <c r="P10" s="21">
        <v>17.150857542877144</v>
      </c>
      <c r="Q10" s="21">
        <v>57.774878424860631</v>
      </c>
      <c r="R10" s="10">
        <v>63.750000000000007</v>
      </c>
    </row>
    <row r="11" spans="1:18" x14ac:dyDescent="0.2">
      <c r="A11" s="20" t="s">
        <v>523</v>
      </c>
      <c r="B11" s="21">
        <v>3.17</v>
      </c>
      <c r="C11" s="21">
        <v>3747.17</v>
      </c>
      <c r="D11" s="21">
        <v>5223.1400000000003</v>
      </c>
      <c r="E11" s="21">
        <v>48.38</v>
      </c>
      <c r="F11" s="21">
        <v>9.8000000000000007</v>
      </c>
      <c r="G11" s="21">
        <v>57.14</v>
      </c>
      <c r="H11" s="21">
        <v>66.36</v>
      </c>
      <c r="I11" s="10">
        <v>5.5</v>
      </c>
      <c r="J11" s="20" t="s">
        <v>523</v>
      </c>
      <c r="K11" s="21">
        <v>33.124346917450367</v>
      </c>
      <c r="L11" s="21">
        <v>78.163583304999364</v>
      </c>
      <c r="M11" s="21">
        <v>100</v>
      </c>
      <c r="N11" s="21">
        <v>81.598920559959538</v>
      </c>
      <c r="O11" s="21">
        <v>17.81494273768406</v>
      </c>
      <c r="P11" s="21">
        <v>100</v>
      </c>
      <c r="Q11" s="21">
        <v>78.709524374332815</v>
      </c>
      <c r="R11" s="10">
        <v>98.214285714285722</v>
      </c>
    </row>
    <row r="12" spans="1:18" x14ac:dyDescent="0.2">
      <c r="A12" s="20" t="s">
        <v>524</v>
      </c>
      <c r="B12" s="21">
        <v>2.08</v>
      </c>
      <c r="C12" s="21">
        <v>1919.78</v>
      </c>
      <c r="D12" s="21">
        <v>1064.5</v>
      </c>
      <c r="E12" s="21">
        <v>59.29</v>
      </c>
      <c r="F12" s="21">
        <v>9.8000000000000007</v>
      </c>
      <c r="G12" s="21">
        <v>35.33</v>
      </c>
      <c r="H12" s="21">
        <v>23.18</v>
      </c>
      <c r="I12" s="10">
        <v>4.62</v>
      </c>
      <c r="J12" s="20" t="s">
        <v>524</v>
      </c>
      <c r="K12" s="21">
        <v>21.734587251828632</v>
      </c>
      <c r="L12" s="21">
        <v>40.045389976241182</v>
      </c>
      <c r="M12" s="21">
        <v>20.380460795613363</v>
      </c>
      <c r="N12" s="21">
        <v>100</v>
      </c>
      <c r="O12" s="21">
        <v>17.81494273768406</v>
      </c>
      <c r="P12" s="21">
        <v>61.830591529576473</v>
      </c>
      <c r="Q12" s="21">
        <v>27.493772980666588</v>
      </c>
      <c r="R12" s="10">
        <v>82.5</v>
      </c>
    </row>
    <row r="13" spans="1:18" x14ac:dyDescent="0.2">
      <c r="A13" s="20" t="s">
        <v>525</v>
      </c>
      <c r="B13" s="21">
        <v>4.57</v>
      </c>
      <c r="C13" s="21">
        <v>2671.06</v>
      </c>
      <c r="D13" s="21">
        <v>569.76</v>
      </c>
      <c r="E13" s="21">
        <v>48.95</v>
      </c>
      <c r="F13" s="21">
        <v>9.8000000000000007</v>
      </c>
      <c r="G13" s="21">
        <v>19.5</v>
      </c>
      <c r="H13" s="21">
        <v>33.04</v>
      </c>
      <c r="I13" s="10">
        <v>4.43</v>
      </c>
      <c r="J13" s="20" t="s">
        <v>525</v>
      </c>
      <c r="K13" s="21">
        <v>47.753396029258099</v>
      </c>
      <c r="L13" s="21">
        <v>55.71661302333537</v>
      </c>
      <c r="M13" s="21">
        <v>10.908380782441213</v>
      </c>
      <c r="N13" s="21">
        <v>82.560296846011141</v>
      </c>
      <c r="O13" s="21">
        <v>17.81494273768406</v>
      </c>
      <c r="P13" s="21">
        <v>34.126706335316761</v>
      </c>
      <c r="Q13" s="21">
        <v>39.188708338275404</v>
      </c>
      <c r="R13" s="10">
        <v>79.107142857142847</v>
      </c>
    </row>
    <row r="14" spans="1:18" x14ac:dyDescent="0.2">
      <c r="A14" s="20" t="s">
        <v>526</v>
      </c>
      <c r="B14" s="21">
        <v>9.57</v>
      </c>
      <c r="C14" s="21">
        <v>4794.01</v>
      </c>
      <c r="D14" s="21">
        <v>310.93</v>
      </c>
      <c r="E14" s="21">
        <v>14.22</v>
      </c>
      <c r="F14" s="21">
        <v>9.8000000000000007</v>
      </c>
      <c r="G14" s="21">
        <v>11.41</v>
      </c>
      <c r="H14" s="21">
        <v>84.31</v>
      </c>
      <c r="I14" s="10">
        <v>4.51</v>
      </c>
      <c r="J14" s="20" t="s">
        <v>526</v>
      </c>
      <c r="K14" s="21">
        <v>100</v>
      </c>
      <c r="L14" s="21">
        <v>100</v>
      </c>
      <c r="M14" s="21">
        <v>5.9529325271771381</v>
      </c>
      <c r="N14" s="21">
        <v>23.983808399392817</v>
      </c>
      <c r="O14" s="21">
        <v>17.81494273768406</v>
      </c>
      <c r="P14" s="21">
        <v>19.968498424921247</v>
      </c>
      <c r="Q14" s="21">
        <v>100</v>
      </c>
      <c r="R14" s="10">
        <v>80.535714285714292</v>
      </c>
    </row>
    <row r="15" spans="1:18" x14ac:dyDescent="0.2">
      <c r="A15" s="20" t="s">
        <v>527</v>
      </c>
      <c r="B15" s="21">
        <v>2.0499999999999998</v>
      </c>
      <c r="C15" s="21">
        <v>796.56</v>
      </c>
      <c r="D15" s="21">
        <v>31.49</v>
      </c>
      <c r="E15" s="21">
        <v>2.14</v>
      </c>
      <c r="F15" s="21">
        <v>9.8000000000000007</v>
      </c>
      <c r="G15" s="21">
        <v>9.8000000000000007</v>
      </c>
      <c r="H15" s="21">
        <v>35.72</v>
      </c>
      <c r="I15" s="10">
        <v>3.47</v>
      </c>
      <c r="J15" s="20" t="s">
        <v>527</v>
      </c>
      <c r="K15" s="21">
        <v>21.421107628004176</v>
      </c>
      <c r="L15" s="21">
        <v>16.615735052701179</v>
      </c>
      <c r="M15" s="21">
        <v>0.60289404457854845</v>
      </c>
      <c r="N15" s="21">
        <v>3.6093776353516613</v>
      </c>
      <c r="O15" s="21" t="s">
        <v>1235</v>
      </c>
      <c r="P15" s="21">
        <v>17.150857542877144</v>
      </c>
      <c r="Q15" s="21">
        <v>42.367453445617365</v>
      </c>
      <c r="R15" s="10">
        <v>61.964285714285715</v>
      </c>
    </row>
    <row r="16" spans="1:18" x14ac:dyDescent="0.2">
      <c r="A16" s="20" t="s">
        <v>528</v>
      </c>
      <c r="B16" s="21">
        <v>2.0499999999999998</v>
      </c>
      <c r="C16" s="21">
        <v>887.58</v>
      </c>
      <c r="D16" s="21">
        <v>36.81</v>
      </c>
      <c r="E16" s="21">
        <v>2.14</v>
      </c>
      <c r="F16" s="21">
        <v>145.65</v>
      </c>
      <c r="G16" s="21">
        <v>9.93</v>
      </c>
      <c r="H16" s="21">
        <v>35.950000000000003</v>
      </c>
      <c r="I16" s="10">
        <v>3.96</v>
      </c>
      <c r="J16" s="20" t="s">
        <v>528</v>
      </c>
      <c r="K16" s="21">
        <v>21.421107628004176</v>
      </c>
      <c r="L16" s="21">
        <v>18.514354371392631</v>
      </c>
      <c r="M16" s="21">
        <v>0.70474848462802075</v>
      </c>
      <c r="N16" s="21">
        <v>3.6093776353516613</v>
      </c>
      <c r="O16" s="21"/>
      <c r="P16" s="21">
        <v>17.378368918445922</v>
      </c>
      <c r="Q16" s="21">
        <v>42.64025619736686</v>
      </c>
      <c r="R16" s="10">
        <v>70.714285714285722</v>
      </c>
    </row>
    <row r="17" spans="1:18" x14ac:dyDescent="0.2">
      <c r="A17" s="20" t="s">
        <v>529</v>
      </c>
      <c r="B17" s="21">
        <v>2.0499999999999998</v>
      </c>
      <c r="C17" s="21">
        <v>668.67</v>
      </c>
      <c r="D17" s="21">
        <v>14.1</v>
      </c>
      <c r="E17" s="21">
        <v>2.14</v>
      </c>
      <c r="F17" s="21">
        <v>117.62</v>
      </c>
      <c r="G17" s="21">
        <v>9.8000000000000007</v>
      </c>
      <c r="H17" s="21">
        <v>23.63</v>
      </c>
      <c r="I17" s="10">
        <v>3.76</v>
      </c>
      <c r="J17" s="20" t="s">
        <v>529</v>
      </c>
      <c r="K17" s="21">
        <v>21.421107628004176</v>
      </c>
      <c r="L17" s="21">
        <v>13.948030980327534</v>
      </c>
      <c r="M17" s="21">
        <v>0.26995255727397693</v>
      </c>
      <c r="N17" s="21">
        <v>3.6093776353516613</v>
      </c>
      <c r="O17" s="21"/>
      <c r="P17" s="21">
        <v>17.150857542877144</v>
      </c>
      <c r="Q17" s="21">
        <v>28.027517494959074</v>
      </c>
      <c r="R17" s="10">
        <v>67.142857142857153</v>
      </c>
    </row>
    <row r="18" spans="1:18" x14ac:dyDescent="0.2">
      <c r="A18" s="20" t="s">
        <v>530</v>
      </c>
      <c r="B18" s="21">
        <v>2.0499999999999998</v>
      </c>
      <c r="C18" s="21">
        <v>550.36</v>
      </c>
      <c r="D18" s="21">
        <v>10.89</v>
      </c>
      <c r="E18" s="21">
        <v>2.14</v>
      </c>
      <c r="F18" s="21">
        <v>100.61</v>
      </c>
      <c r="G18" s="21">
        <v>9.8000000000000007</v>
      </c>
      <c r="H18" s="21">
        <v>19.940000000000001</v>
      </c>
      <c r="I18" s="10">
        <v>3.7</v>
      </c>
      <c r="J18" s="20" t="s">
        <v>530</v>
      </c>
      <c r="K18" s="21">
        <v>21.421107628004176</v>
      </c>
      <c r="L18" s="21">
        <v>11.480159615853951</v>
      </c>
      <c r="M18" s="21">
        <v>0.20849527295841197</v>
      </c>
      <c r="N18" s="21">
        <v>3.6093776353516613</v>
      </c>
      <c r="O18" s="21"/>
      <c r="P18" s="21">
        <v>17.150857542877144</v>
      </c>
      <c r="Q18" s="21">
        <v>23.650812477760645</v>
      </c>
      <c r="R18" s="10">
        <v>66.071428571428584</v>
      </c>
    </row>
    <row r="19" spans="1:18" x14ac:dyDescent="0.2">
      <c r="A19" s="20" t="s">
        <v>531</v>
      </c>
      <c r="B19" s="21">
        <v>2.0499999999999998</v>
      </c>
      <c r="C19" s="21">
        <v>347.46</v>
      </c>
      <c r="D19" s="21">
        <v>23.46</v>
      </c>
      <c r="E19" s="21">
        <v>2.14</v>
      </c>
      <c r="F19" s="21">
        <v>89.76</v>
      </c>
      <c r="G19" s="21">
        <v>9.8000000000000007</v>
      </c>
      <c r="H19" s="21">
        <v>14.53</v>
      </c>
      <c r="I19" s="10">
        <v>3.31</v>
      </c>
      <c r="J19" s="20" t="s">
        <v>531</v>
      </c>
      <c r="K19" s="21">
        <v>21.421107628004176</v>
      </c>
      <c r="L19" s="21">
        <v>7.2477946437324903</v>
      </c>
      <c r="M19" s="21">
        <v>0.44915510593244679</v>
      </c>
      <c r="N19" s="21">
        <v>3.6093776353516613</v>
      </c>
      <c r="O19" s="21"/>
      <c r="P19" s="21">
        <v>17.150857542877144</v>
      </c>
      <c r="Q19" s="21">
        <v>17.234017317044241</v>
      </c>
      <c r="R19" s="10">
        <v>59.107142857142861</v>
      </c>
    </row>
    <row r="20" spans="1:18" x14ac:dyDescent="0.2">
      <c r="A20" s="20" t="s">
        <v>532</v>
      </c>
      <c r="B20" s="21">
        <v>2.0499999999999998</v>
      </c>
      <c r="C20" s="21">
        <v>445.12</v>
      </c>
      <c r="D20" s="21">
        <v>23.23</v>
      </c>
      <c r="E20" s="21">
        <v>2.14</v>
      </c>
      <c r="F20" s="21">
        <v>417.05</v>
      </c>
      <c r="G20" s="21">
        <v>10.54</v>
      </c>
      <c r="H20" s="21">
        <v>18.920000000000002</v>
      </c>
      <c r="I20" s="10">
        <v>3.78</v>
      </c>
      <c r="J20" s="20" t="s">
        <v>532</v>
      </c>
      <c r="K20" s="21">
        <v>21.421107628004176</v>
      </c>
      <c r="L20" s="21">
        <v>9.2849201399246137</v>
      </c>
      <c r="M20" s="21">
        <v>0.4447516245017365</v>
      </c>
      <c r="N20" s="21">
        <v>3.6093776353516613</v>
      </c>
      <c r="O20" s="21"/>
      <c r="P20" s="21">
        <v>18.445922296114801</v>
      </c>
      <c r="Q20" s="21">
        <v>22.440991578697663</v>
      </c>
      <c r="R20" s="10">
        <v>67.5</v>
      </c>
    </row>
    <row r="21" spans="1:18" x14ac:dyDescent="0.2">
      <c r="A21" s="20"/>
      <c r="B21" s="21"/>
      <c r="C21" s="21"/>
      <c r="D21" s="21"/>
      <c r="E21" s="21"/>
      <c r="F21" s="21"/>
      <c r="G21" s="21"/>
      <c r="H21" s="21"/>
      <c r="I21" s="10"/>
      <c r="J21" s="20"/>
      <c r="K21" s="21" t="s">
        <v>514</v>
      </c>
      <c r="L21" s="21"/>
      <c r="M21" s="21"/>
      <c r="N21" s="21"/>
      <c r="O21" s="21"/>
      <c r="P21" s="21"/>
      <c r="Q21" s="21"/>
      <c r="R21" s="10"/>
    </row>
    <row r="22" spans="1:18" x14ac:dyDescent="0.2">
      <c r="A22" s="20"/>
      <c r="B22" s="21" t="s">
        <v>131</v>
      </c>
      <c r="C22" s="21" t="s">
        <v>15</v>
      </c>
      <c r="D22" s="21" t="s">
        <v>321</v>
      </c>
      <c r="E22" s="21" t="s">
        <v>100</v>
      </c>
      <c r="F22" s="21" t="s">
        <v>101</v>
      </c>
      <c r="G22" s="21" t="s">
        <v>102</v>
      </c>
      <c r="H22" s="21" t="s">
        <v>10</v>
      </c>
      <c r="I22" s="10" t="s">
        <v>103</v>
      </c>
      <c r="J22" s="20"/>
      <c r="K22" s="21" t="s">
        <v>131</v>
      </c>
      <c r="L22" s="21" t="s">
        <v>15</v>
      </c>
      <c r="M22" s="21" t="s">
        <v>321</v>
      </c>
      <c r="N22" s="21" t="s">
        <v>100</v>
      </c>
      <c r="O22" s="21" t="s">
        <v>101</v>
      </c>
      <c r="P22" s="21" t="s">
        <v>102</v>
      </c>
      <c r="Q22" s="21" t="s">
        <v>10</v>
      </c>
      <c r="R22" s="10" t="s">
        <v>103</v>
      </c>
    </row>
    <row r="23" spans="1:18" x14ac:dyDescent="0.2">
      <c r="A23" s="20" t="s">
        <v>515</v>
      </c>
      <c r="B23" s="21">
        <v>2.37</v>
      </c>
      <c r="C23" s="21">
        <v>639.97</v>
      </c>
      <c r="D23" s="21">
        <v>6.03</v>
      </c>
      <c r="E23" s="21">
        <v>4.1399999999999997</v>
      </c>
      <c r="F23" s="21">
        <v>0.93</v>
      </c>
      <c r="G23" s="21">
        <v>1.66</v>
      </c>
      <c r="H23" s="21">
        <v>89.09</v>
      </c>
      <c r="I23" s="10">
        <v>9.8000000000000007</v>
      </c>
      <c r="J23" s="20" t="s">
        <v>515</v>
      </c>
      <c r="K23" s="21">
        <v>0.24915633771722331</v>
      </c>
      <c r="L23" s="21">
        <v>5.8403040020734061</v>
      </c>
      <c r="M23" s="21">
        <v>5.0788099918637974E-2</v>
      </c>
      <c r="N23" s="21">
        <v>0.39389557010199416</v>
      </c>
      <c r="O23" s="21">
        <v>6.0868654606382695E-2</v>
      </c>
      <c r="P23" s="21">
        <v>9.712657464996402E-2</v>
      </c>
      <c r="Q23" s="21">
        <v>7.243619451829808</v>
      </c>
      <c r="R23" s="10">
        <v>1.2033989881624834</v>
      </c>
    </row>
    <row r="24" spans="1:18" x14ac:dyDescent="0.2">
      <c r="A24" s="20" t="s">
        <v>516</v>
      </c>
      <c r="B24" s="21">
        <v>164.9</v>
      </c>
      <c r="C24" s="21">
        <v>820.28</v>
      </c>
      <c r="D24" s="21">
        <v>716.1</v>
      </c>
      <c r="E24" s="21">
        <v>4.1399999999999997</v>
      </c>
      <c r="F24" s="21">
        <v>0.93</v>
      </c>
      <c r="G24" s="21">
        <v>11.32</v>
      </c>
      <c r="H24" s="21">
        <v>188.45</v>
      </c>
      <c r="I24" s="10">
        <v>10.33</v>
      </c>
      <c r="J24" s="20" t="s">
        <v>516</v>
      </c>
      <c r="K24" s="21">
        <v>17.335814383784864</v>
      </c>
      <c r="L24" s="21">
        <v>7.485795532323035</v>
      </c>
      <c r="M24" s="21">
        <v>6.031402711730788</v>
      </c>
      <c r="N24" s="21">
        <v>0.39389557010199416</v>
      </c>
      <c r="O24" s="21">
        <v>6.0868654606382695E-2</v>
      </c>
      <c r="P24" s="21">
        <v>0.66233302713108</v>
      </c>
      <c r="Q24" s="21">
        <v>15.322259352310329</v>
      </c>
      <c r="R24" s="10">
        <v>1.2684807701753524</v>
      </c>
    </row>
    <row r="25" spans="1:18" x14ac:dyDescent="0.2">
      <c r="A25" s="20" t="s">
        <v>517</v>
      </c>
      <c r="B25" s="21">
        <v>101.92</v>
      </c>
      <c r="C25" s="21">
        <v>633.97</v>
      </c>
      <c r="D25" s="21">
        <v>475.87</v>
      </c>
      <c r="E25" s="21">
        <v>4.1399999999999997</v>
      </c>
      <c r="F25" s="21">
        <v>0.93</v>
      </c>
      <c r="G25" s="21">
        <v>1.98</v>
      </c>
      <c r="H25" s="21">
        <v>230.55</v>
      </c>
      <c r="I25" s="10">
        <v>9.8000000000000007</v>
      </c>
      <c r="J25" s="20" t="s">
        <v>517</v>
      </c>
      <c r="K25" s="21">
        <v>10.714773814404809</v>
      </c>
      <c r="L25" s="21">
        <v>5.7855485853938102</v>
      </c>
      <c r="M25" s="21">
        <v>4.0080486083386813</v>
      </c>
      <c r="N25" s="21">
        <v>0.39389557010199416</v>
      </c>
      <c r="O25" s="21">
        <v>6.0868654606382695E-2</v>
      </c>
      <c r="P25" s="21">
        <v>0.1158497697632101</v>
      </c>
      <c r="Q25" s="21">
        <v>18.745274044442276</v>
      </c>
      <c r="R25" s="10">
        <v>1.2033989881624834</v>
      </c>
    </row>
    <row r="26" spans="1:18" x14ac:dyDescent="0.2">
      <c r="A26" s="20" t="s">
        <v>518</v>
      </c>
      <c r="B26" s="21">
        <v>86.24</v>
      </c>
      <c r="C26" s="21">
        <v>2401.42</v>
      </c>
      <c r="D26" s="21">
        <v>2114.96</v>
      </c>
      <c r="E26" s="21">
        <v>1051.04</v>
      </c>
      <c r="F26" s="21">
        <v>1527.88</v>
      </c>
      <c r="G26" s="21">
        <v>881.08</v>
      </c>
      <c r="H26" s="21">
        <v>218.81</v>
      </c>
      <c r="I26" s="10">
        <v>650.24</v>
      </c>
      <c r="J26" s="20" t="s">
        <v>518</v>
      </c>
      <c r="K26" s="21">
        <v>9.0663470737271457</v>
      </c>
      <c r="L26" s="21">
        <v>21.915125453785517</v>
      </c>
      <c r="M26" s="21">
        <v>17.813399635808054</v>
      </c>
      <c r="N26" s="21">
        <v>100</v>
      </c>
      <c r="O26" s="21">
        <v>100</v>
      </c>
      <c r="P26" s="21">
        <v>51.551977344933917</v>
      </c>
      <c r="Q26" s="21">
        <v>17.790732655234933</v>
      </c>
      <c r="R26" s="10">
        <v>79.846750822731963</v>
      </c>
    </row>
    <row r="27" spans="1:18" x14ac:dyDescent="0.2">
      <c r="A27" s="20" t="s">
        <v>519</v>
      </c>
      <c r="B27" s="21">
        <v>44.01</v>
      </c>
      <c r="C27" s="21">
        <v>1353.52</v>
      </c>
      <c r="D27" s="21">
        <v>521.75</v>
      </c>
      <c r="E27" s="21">
        <v>560.23</v>
      </c>
      <c r="F27" s="21">
        <v>946.45</v>
      </c>
      <c r="G27" s="21">
        <v>218.24</v>
      </c>
      <c r="H27" s="21">
        <v>95.02</v>
      </c>
      <c r="I27" s="10">
        <v>126.16</v>
      </c>
      <c r="J27" s="20" t="s">
        <v>519</v>
      </c>
      <c r="K27" s="21">
        <v>4.6267385750780576</v>
      </c>
      <c r="L27" s="21">
        <v>12.352091930694243</v>
      </c>
      <c r="M27" s="21">
        <v>4.3944761413846365</v>
      </c>
      <c r="N27" s="21">
        <v>53.302443294260925</v>
      </c>
      <c r="O27" s="21">
        <v>61.945309841086996</v>
      </c>
      <c r="P27" s="21">
        <v>12.769219067233825</v>
      </c>
      <c r="Q27" s="21">
        <v>7.725768552170484</v>
      </c>
      <c r="R27" s="10">
        <v>15.491920035365196</v>
      </c>
    </row>
    <row r="28" spans="1:18" x14ac:dyDescent="0.2">
      <c r="A28" s="20" t="s">
        <v>520</v>
      </c>
      <c r="B28" s="21">
        <v>326.91000000000003</v>
      </c>
      <c r="C28" s="21">
        <v>7127.77</v>
      </c>
      <c r="D28" s="21">
        <v>387.95</v>
      </c>
      <c r="E28" s="21">
        <v>158.74</v>
      </c>
      <c r="F28" s="21">
        <v>130.58000000000001</v>
      </c>
      <c r="G28" s="21">
        <v>72.08</v>
      </c>
      <c r="H28" s="21">
        <v>210.44</v>
      </c>
      <c r="I28" s="10">
        <v>77.25</v>
      </c>
      <c r="J28" s="20" t="s">
        <v>520</v>
      </c>
      <c r="K28" s="21">
        <v>34.367805216513702</v>
      </c>
      <c r="L28" s="21">
        <v>65.047336057719519</v>
      </c>
      <c r="M28" s="21">
        <v>3.267536212841724</v>
      </c>
      <c r="N28" s="21">
        <v>15.103135941543616</v>
      </c>
      <c r="O28" s="21">
        <v>8.5464827080660797</v>
      </c>
      <c r="P28" s="21">
        <v>4.2173996992586789</v>
      </c>
      <c r="Q28" s="21">
        <v>17.110195054922716</v>
      </c>
      <c r="R28" s="10">
        <v>9.485976717913454</v>
      </c>
    </row>
    <row r="29" spans="1:18" x14ac:dyDescent="0.2">
      <c r="A29" s="20" t="s">
        <v>521</v>
      </c>
      <c r="B29" s="21">
        <v>10.7</v>
      </c>
      <c r="C29" s="21">
        <v>616.23</v>
      </c>
      <c r="D29" s="21">
        <v>21.62</v>
      </c>
      <c r="E29" s="21">
        <v>10.050000000000001</v>
      </c>
      <c r="F29" s="21">
        <v>1.41</v>
      </c>
      <c r="G29" s="21">
        <v>3.97</v>
      </c>
      <c r="H29" s="21">
        <v>55.16</v>
      </c>
      <c r="I29" s="10">
        <v>33.049999999999997</v>
      </c>
      <c r="J29" s="20" t="s">
        <v>521</v>
      </c>
      <c r="K29" s="21">
        <v>1.1248830437022317</v>
      </c>
      <c r="L29" s="21">
        <v>5.6236550700778078</v>
      </c>
      <c r="M29" s="21">
        <v>0.18209597350596235</v>
      </c>
      <c r="N29" s="21">
        <v>0.95619576800121797</v>
      </c>
      <c r="O29" s="21">
        <v>9.2284734403225377E-2</v>
      </c>
      <c r="P29" s="21">
        <v>0.23228463937370913</v>
      </c>
      <c r="Q29" s="21">
        <v>4.4848810075533976</v>
      </c>
      <c r="R29" s="10">
        <v>4.0584016896704158</v>
      </c>
    </row>
    <row r="30" spans="1:18" x14ac:dyDescent="0.2">
      <c r="A30" s="20" t="s">
        <v>522</v>
      </c>
      <c r="B30" s="21">
        <v>951.21</v>
      </c>
      <c r="C30" s="21">
        <v>10957.82</v>
      </c>
      <c r="D30" s="21">
        <v>11872.86</v>
      </c>
      <c r="E30" s="21">
        <v>222.84</v>
      </c>
      <c r="F30" s="21">
        <v>2.5099999999999998</v>
      </c>
      <c r="G30" s="21">
        <v>1709.11</v>
      </c>
      <c r="H30" s="21">
        <v>1229.9100000000001</v>
      </c>
      <c r="I30" s="10">
        <v>235.75</v>
      </c>
      <c r="J30" s="20" t="s">
        <v>522</v>
      </c>
      <c r="K30" s="21">
        <v>100</v>
      </c>
      <c r="L30" s="21">
        <v>100</v>
      </c>
      <c r="M30" s="21">
        <v>100</v>
      </c>
      <c r="N30" s="21">
        <v>21.201857208098644</v>
      </c>
      <c r="O30" s="21">
        <v>0.16427991727098984</v>
      </c>
      <c r="P30" s="21">
        <v>100</v>
      </c>
      <c r="Q30" s="21">
        <v>100</v>
      </c>
      <c r="R30" s="10">
        <v>28.949113414214843</v>
      </c>
    </row>
    <row r="31" spans="1:18" x14ac:dyDescent="0.2">
      <c r="A31" s="20" t="s">
        <v>523</v>
      </c>
      <c r="B31" s="21">
        <v>406.32</v>
      </c>
      <c r="C31" s="21">
        <v>10957.82</v>
      </c>
      <c r="D31" s="21">
        <v>11872.86</v>
      </c>
      <c r="E31" s="21">
        <v>134.30000000000001</v>
      </c>
      <c r="F31" s="21">
        <v>0.93</v>
      </c>
      <c r="G31" s="21">
        <v>371.14</v>
      </c>
      <c r="H31" s="21">
        <v>806.66</v>
      </c>
      <c r="I31" s="10">
        <v>155.63</v>
      </c>
      <c r="J31" s="20" t="s">
        <v>523</v>
      </c>
      <c r="K31" s="21">
        <v>42.716119468886994</v>
      </c>
      <c r="L31" s="21">
        <v>100</v>
      </c>
      <c r="M31" s="21">
        <v>100</v>
      </c>
      <c r="N31" s="21">
        <v>12.777820063936673</v>
      </c>
      <c r="O31" s="21">
        <v>6.0868654606382695E-2</v>
      </c>
      <c r="P31" s="21">
        <v>21.715395732281713</v>
      </c>
      <c r="Q31" s="21">
        <v>65.586912863542864</v>
      </c>
      <c r="R31" s="10">
        <v>19.110712706910949</v>
      </c>
    </row>
    <row r="32" spans="1:18" x14ac:dyDescent="0.2">
      <c r="A32" s="20" t="s">
        <v>524</v>
      </c>
      <c r="B32" s="21">
        <v>393.61</v>
      </c>
      <c r="C32" s="21">
        <v>10957.82</v>
      </c>
      <c r="D32" s="21">
        <v>11872.86</v>
      </c>
      <c r="E32" s="21">
        <v>960.44</v>
      </c>
      <c r="F32" s="21">
        <v>1.21</v>
      </c>
      <c r="G32" s="21">
        <v>1176.6600000000001</v>
      </c>
      <c r="H32" s="21">
        <v>556.14</v>
      </c>
      <c r="I32" s="10">
        <v>814.36</v>
      </c>
      <c r="J32" s="20" t="s">
        <v>524</v>
      </c>
      <c r="K32" s="21">
        <v>41.37992661977902</v>
      </c>
      <c r="L32" s="21">
        <v>100</v>
      </c>
      <c r="M32" s="21">
        <v>100</v>
      </c>
      <c r="N32" s="21">
        <v>91.379966509362163</v>
      </c>
      <c r="O32" s="21">
        <v>7.9194701154540928E-2</v>
      </c>
      <c r="P32" s="21">
        <v>68.846358631100401</v>
      </c>
      <c r="Q32" s="21">
        <v>45.217942776300703</v>
      </c>
      <c r="R32" s="10">
        <v>100</v>
      </c>
    </row>
    <row r="33" spans="1:18" x14ac:dyDescent="0.2">
      <c r="A33" s="20" t="s">
        <v>525</v>
      </c>
      <c r="B33" s="21">
        <v>57.33</v>
      </c>
      <c r="C33" s="21">
        <v>10957.82</v>
      </c>
      <c r="D33" s="21">
        <v>11872.86</v>
      </c>
      <c r="E33" s="21">
        <v>554.48</v>
      </c>
      <c r="F33" s="21">
        <v>0.93</v>
      </c>
      <c r="G33" s="21">
        <v>75.62</v>
      </c>
      <c r="H33" s="21">
        <v>173.23</v>
      </c>
      <c r="I33" s="10">
        <v>145.47</v>
      </c>
      <c r="J33" s="20" t="s">
        <v>525</v>
      </c>
      <c r="K33" s="21">
        <v>6.0270602706027052</v>
      </c>
      <c r="L33" s="21">
        <v>100</v>
      </c>
      <c r="M33" s="21">
        <v>100</v>
      </c>
      <c r="N33" s="21">
        <v>52.75536611356371</v>
      </c>
      <c r="O33" s="21">
        <v>6.0868654606382695E-2</v>
      </c>
      <c r="P33" s="21">
        <v>4.4245250451989637</v>
      </c>
      <c r="Q33" s="21">
        <v>14.084770430356691</v>
      </c>
      <c r="R33" s="10">
        <v>17.863107225305761</v>
      </c>
    </row>
    <row r="34" spans="1:18" x14ac:dyDescent="0.2">
      <c r="A34" s="20" t="s">
        <v>526</v>
      </c>
      <c r="B34" s="21">
        <v>903.91</v>
      </c>
      <c r="C34" s="21">
        <v>10957.82</v>
      </c>
      <c r="D34" s="21">
        <v>11872.86</v>
      </c>
      <c r="E34" s="21">
        <v>58.41</v>
      </c>
      <c r="F34" s="21">
        <v>0.93</v>
      </c>
      <c r="G34" s="21">
        <v>66.25</v>
      </c>
      <c r="H34" s="21">
        <v>1173.44</v>
      </c>
      <c r="I34" s="10">
        <v>313.97000000000003</v>
      </c>
      <c r="J34" s="20" t="s">
        <v>526</v>
      </c>
      <c r="K34" s="21">
        <v>95.027386171297607</v>
      </c>
      <c r="L34" s="21">
        <v>100</v>
      </c>
      <c r="M34" s="21">
        <v>100</v>
      </c>
      <c r="N34" s="21">
        <v>5.5573527173085706</v>
      </c>
      <c r="O34" s="21">
        <v>6.0868654606382695E-2</v>
      </c>
      <c r="P34" s="21">
        <v>3.8762864882892267</v>
      </c>
      <c r="Q34" s="21">
        <v>95.408607133855313</v>
      </c>
      <c r="R34" s="10">
        <v>38.554202072793366</v>
      </c>
    </row>
    <row r="35" spans="1:18" x14ac:dyDescent="0.2">
      <c r="A35" s="20" t="s">
        <v>527</v>
      </c>
      <c r="B35" s="21">
        <v>1.79</v>
      </c>
      <c r="C35" s="21">
        <v>603.83000000000004</v>
      </c>
      <c r="D35" s="21">
        <v>37.42</v>
      </c>
      <c r="E35" s="21">
        <v>4.1399999999999997</v>
      </c>
      <c r="F35" s="21">
        <v>0.93</v>
      </c>
      <c r="G35" s="21">
        <v>1.66</v>
      </c>
      <c r="H35" s="21">
        <v>61.08</v>
      </c>
      <c r="I35" s="10">
        <v>9.8000000000000007</v>
      </c>
      <c r="J35" s="20" t="s">
        <v>527</v>
      </c>
      <c r="K35" s="21">
        <v>0.18818136899317711</v>
      </c>
      <c r="L35" s="21">
        <v>5.5104938756066453</v>
      </c>
      <c r="M35" s="21">
        <v>0.31517258689144823</v>
      </c>
      <c r="N35" s="21">
        <v>0.39389557010199416</v>
      </c>
      <c r="O35" s="21" t="s">
        <v>1235</v>
      </c>
      <c r="P35" s="21">
        <v>9.712657464996402E-2</v>
      </c>
      <c r="Q35" s="21">
        <v>4.9662170402712391</v>
      </c>
      <c r="R35" s="10">
        <v>1.2033989881624834</v>
      </c>
    </row>
    <row r="36" spans="1:18" x14ac:dyDescent="0.2">
      <c r="A36" s="20" t="s">
        <v>528</v>
      </c>
      <c r="B36" s="21">
        <v>3.35</v>
      </c>
      <c r="C36" s="21">
        <v>471.8</v>
      </c>
      <c r="D36" s="21">
        <v>15.36</v>
      </c>
      <c r="E36" s="21">
        <v>4.1399999999999997</v>
      </c>
      <c r="F36" s="21">
        <v>181.37</v>
      </c>
      <c r="G36" s="21">
        <v>3.87</v>
      </c>
      <c r="H36" s="21">
        <v>56.74</v>
      </c>
      <c r="I36" s="10">
        <v>9.8000000000000007</v>
      </c>
      <c r="J36" s="20" t="s">
        <v>528</v>
      </c>
      <c r="K36" s="21">
        <v>0.35218300900957727</v>
      </c>
      <c r="L36" s="21">
        <v>4.3056009315721555</v>
      </c>
      <c r="M36" s="21">
        <v>0.12937068237981411</v>
      </c>
      <c r="N36" s="21">
        <v>0.39389557010199416</v>
      </c>
      <c r="O36" s="21"/>
      <c r="P36" s="21">
        <v>0.22643364090081974</v>
      </c>
      <c r="Q36" s="21">
        <v>4.6133456919612001</v>
      </c>
      <c r="R36" s="10">
        <v>1.2033989881624834</v>
      </c>
    </row>
    <row r="37" spans="1:18" x14ac:dyDescent="0.2">
      <c r="A37" s="20" t="s">
        <v>529</v>
      </c>
      <c r="B37" s="21">
        <v>1.79</v>
      </c>
      <c r="C37" s="21">
        <v>349.84</v>
      </c>
      <c r="D37" s="21">
        <v>3.86</v>
      </c>
      <c r="E37" s="21">
        <v>4.1399999999999997</v>
      </c>
      <c r="F37" s="21">
        <v>111.88</v>
      </c>
      <c r="G37" s="21">
        <v>5.92</v>
      </c>
      <c r="H37" s="21">
        <v>37.97</v>
      </c>
      <c r="I37" s="10">
        <v>9.8000000000000007</v>
      </c>
      <c r="J37" s="20" t="s">
        <v>529</v>
      </c>
      <c r="K37" s="21">
        <v>0.18818136899317711</v>
      </c>
      <c r="L37" s="21">
        <v>3.1926058285315877</v>
      </c>
      <c r="M37" s="21">
        <v>3.2511122004302249E-2</v>
      </c>
      <c r="N37" s="21">
        <v>0.39389557010199416</v>
      </c>
      <c r="O37" s="21"/>
      <c r="P37" s="21">
        <v>0.34637910959505241</v>
      </c>
      <c r="Q37" s="21">
        <v>3.0872177639014233</v>
      </c>
      <c r="R37" s="10">
        <v>1.2033989881624834</v>
      </c>
    </row>
    <row r="38" spans="1:18" x14ac:dyDescent="0.2">
      <c r="A38" s="20" t="s">
        <v>530</v>
      </c>
      <c r="B38" s="21">
        <v>3.48</v>
      </c>
      <c r="C38" s="21">
        <v>738.16</v>
      </c>
      <c r="D38" s="21">
        <v>8.65</v>
      </c>
      <c r="E38" s="21">
        <v>4.1399999999999997</v>
      </c>
      <c r="F38" s="21">
        <v>247.4</v>
      </c>
      <c r="G38" s="21">
        <v>47.38</v>
      </c>
      <c r="H38" s="21">
        <v>109.25</v>
      </c>
      <c r="I38" s="10">
        <v>9.8000000000000007</v>
      </c>
      <c r="J38" s="20" t="s">
        <v>530</v>
      </c>
      <c r="K38" s="21">
        <v>0.36584981234427727</v>
      </c>
      <c r="L38" s="21">
        <v>6.7363763960349781</v>
      </c>
      <c r="M38" s="21">
        <v>7.2855234543319797E-2</v>
      </c>
      <c r="N38" s="21">
        <v>0.39389557010199416</v>
      </c>
      <c r="O38" s="21"/>
      <c r="P38" s="21">
        <v>2.7722030764549972</v>
      </c>
      <c r="Q38" s="21">
        <v>8.8827637794635379</v>
      </c>
      <c r="R38" s="10">
        <v>1.2033989881624834</v>
      </c>
    </row>
    <row r="39" spans="1:18" x14ac:dyDescent="0.2">
      <c r="A39" s="20" t="s">
        <v>531</v>
      </c>
      <c r="B39" s="21">
        <v>10.96</v>
      </c>
      <c r="C39" s="21">
        <v>2216.73</v>
      </c>
      <c r="D39" s="21">
        <v>49.65</v>
      </c>
      <c r="E39" s="21">
        <v>5.54</v>
      </c>
      <c r="F39" s="21">
        <v>291.10000000000002</v>
      </c>
      <c r="G39" s="21">
        <v>99.28</v>
      </c>
      <c r="H39" s="21">
        <v>138.62</v>
      </c>
      <c r="I39" s="10">
        <v>24.3</v>
      </c>
      <c r="J39" s="20" t="s">
        <v>531</v>
      </c>
      <c r="K39" s="21">
        <v>1.1522166503716318</v>
      </c>
      <c r="L39" s="21">
        <v>20.229662469359784</v>
      </c>
      <c r="M39" s="21">
        <v>0.41818062370818826</v>
      </c>
      <c r="N39" s="21">
        <v>0.52709697061957683</v>
      </c>
      <c r="O39" s="21"/>
      <c r="P39" s="21">
        <v>5.8088712838845948</v>
      </c>
      <c r="Q39" s="21">
        <v>11.270743387727556</v>
      </c>
      <c r="R39" s="10">
        <v>2.9839383073824846</v>
      </c>
    </row>
    <row r="40" spans="1:18" x14ac:dyDescent="0.2">
      <c r="A40" s="20" t="s">
        <v>532</v>
      </c>
      <c r="B40" s="21">
        <v>1.79</v>
      </c>
      <c r="C40" s="21">
        <v>511.86</v>
      </c>
      <c r="D40" s="21">
        <v>1.92</v>
      </c>
      <c r="E40" s="21">
        <v>4.1399999999999997</v>
      </c>
      <c r="F40" s="21">
        <v>168.68</v>
      </c>
      <c r="G40" s="21">
        <v>11.19</v>
      </c>
      <c r="H40" s="21">
        <v>44.47</v>
      </c>
      <c r="I40" s="10">
        <v>9.8000000000000007</v>
      </c>
      <c r="J40" s="20" t="s">
        <v>532</v>
      </c>
      <c r="K40" s="21">
        <v>0.18818136899317711</v>
      </c>
      <c r="L40" s="21">
        <v>4.6711845969362527</v>
      </c>
      <c r="M40" s="21">
        <v>1.6171335297476764E-2</v>
      </c>
      <c r="N40" s="21">
        <v>0.39389557010199416</v>
      </c>
      <c r="O40" s="21"/>
      <c r="P40" s="21">
        <v>0.65472672911632379</v>
      </c>
      <c r="Q40" s="21">
        <v>3.6157117187436478</v>
      </c>
      <c r="R40" s="10">
        <v>1.2033989881624834</v>
      </c>
    </row>
    <row r="41" spans="1:18" x14ac:dyDescent="0.2">
      <c r="A41" s="20"/>
      <c r="B41" s="21"/>
      <c r="C41" s="21"/>
      <c r="D41" s="21"/>
      <c r="E41" s="21"/>
      <c r="F41" s="21"/>
      <c r="G41" s="21"/>
      <c r="H41" s="21"/>
      <c r="I41" s="10"/>
      <c r="J41" s="20"/>
      <c r="K41" s="21"/>
      <c r="L41" s="21"/>
      <c r="M41" s="21"/>
      <c r="N41" s="21"/>
      <c r="O41" s="21"/>
      <c r="P41" s="21"/>
      <c r="Q41" s="21"/>
      <c r="R41" s="10"/>
    </row>
    <row r="42" spans="1:18" x14ac:dyDescent="0.2">
      <c r="A42" s="20"/>
      <c r="B42" s="21" t="s">
        <v>131</v>
      </c>
      <c r="C42" s="21" t="s">
        <v>15</v>
      </c>
      <c r="D42" s="21" t="s">
        <v>321</v>
      </c>
      <c r="E42" s="21" t="s">
        <v>100</v>
      </c>
      <c r="F42" s="21" t="s">
        <v>101</v>
      </c>
      <c r="G42" s="21" t="s">
        <v>102</v>
      </c>
      <c r="H42" s="21" t="s">
        <v>10</v>
      </c>
      <c r="I42" s="10" t="s">
        <v>103</v>
      </c>
      <c r="J42" s="20"/>
      <c r="K42" s="21" t="s">
        <v>131</v>
      </c>
      <c r="L42" s="21" t="s">
        <v>15</v>
      </c>
      <c r="M42" s="21" t="s">
        <v>321</v>
      </c>
      <c r="N42" s="21" t="s">
        <v>100</v>
      </c>
      <c r="O42" s="21" t="s">
        <v>101</v>
      </c>
      <c r="P42" s="21" t="s">
        <v>102</v>
      </c>
      <c r="Q42" s="21" t="s">
        <v>10</v>
      </c>
      <c r="R42" s="10" t="s">
        <v>103</v>
      </c>
    </row>
    <row r="43" spans="1:18" x14ac:dyDescent="0.2">
      <c r="A43" s="20" t="s">
        <v>515</v>
      </c>
      <c r="B43" s="21">
        <v>1.62</v>
      </c>
      <c r="C43" s="21">
        <v>76.650000000000006</v>
      </c>
      <c r="D43" s="21">
        <v>1.91</v>
      </c>
      <c r="E43" s="21">
        <v>1.42</v>
      </c>
      <c r="F43" s="21">
        <v>0.93</v>
      </c>
      <c r="G43" s="21">
        <v>2.09</v>
      </c>
      <c r="H43" s="21">
        <v>6.46</v>
      </c>
      <c r="I43" s="10">
        <v>2.78</v>
      </c>
      <c r="J43" s="20" t="s">
        <v>515</v>
      </c>
      <c r="K43" s="21">
        <v>5.0326188257222748</v>
      </c>
      <c r="L43" s="21">
        <v>0.68481646204070834</v>
      </c>
      <c r="M43" s="21">
        <v>1.3529432181773231E-2</v>
      </c>
      <c r="N43" s="21">
        <v>0.23575508035595694</v>
      </c>
      <c r="O43" s="21">
        <v>0.41214269886993132</v>
      </c>
      <c r="P43" s="21">
        <v>2.4427302477793358</v>
      </c>
      <c r="Q43" s="21">
        <v>0.694631125065861</v>
      </c>
      <c r="R43" s="10">
        <v>2.4075517450420021</v>
      </c>
    </row>
    <row r="44" spans="1:18" x14ac:dyDescent="0.2">
      <c r="A44" s="20" t="s">
        <v>516</v>
      </c>
      <c r="B44" s="21">
        <v>1.62</v>
      </c>
      <c r="C44" s="21">
        <v>133.9</v>
      </c>
      <c r="D44" s="21">
        <v>1.91</v>
      </c>
      <c r="E44" s="21">
        <v>1.42</v>
      </c>
      <c r="F44" s="21">
        <v>0.93</v>
      </c>
      <c r="G44" s="21">
        <v>2.09</v>
      </c>
      <c r="H44" s="21">
        <v>12.36</v>
      </c>
      <c r="I44" s="10">
        <v>2.0699999999999998</v>
      </c>
      <c r="J44" s="20" t="s">
        <v>516</v>
      </c>
      <c r="K44" s="21">
        <v>5.0326188257222748</v>
      </c>
      <c r="L44" s="21">
        <v>1.1963069049869648</v>
      </c>
      <c r="M44" s="21">
        <v>1.3529432181773231E-2</v>
      </c>
      <c r="N44" s="21">
        <v>0.23575508035595694</v>
      </c>
      <c r="O44" s="21">
        <v>0.41214269886993132</v>
      </c>
      <c r="P44" s="21">
        <v>2.4427302477793358</v>
      </c>
      <c r="Q44" s="21">
        <v>1.3290465488876224</v>
      </c>
      <c r="R44" s="10">
        <v>1.7926734216679656</v>
      </c>
    </row>
    <row r="45" spans="1:18" x14ac:dyDescent="0.2">
      <c r="A45" s="20" t="s">
        <v>517</v>
      </c>
      <c r="B45" s="21">
        <v>1.62</v>
      </c>
      <c r="C45" s="21">
        <v>93.46</v>
      </c>
      <c r="D45" s="21">
        <v>1.91</v>
      </c>
      <c r="E45" s="21">
        <v>1.42</v>
      </c>
      <c r="F45" s="21">
        <v>0.93</v>
      </c>
      <c r="G45" s="21">
        <v>2.09</v>
      </c>
      <c r="H45" s="21">
        <v>5.57</v>
      </c>
      <c r="I45" s="10">
        <v>2.0699999999999998</v>
      </c>
      <c r="J45" s="20" t="s">
        <v>517</v>
      </c>
      <c r="K45" s="21">
        <v>5.0326188257222748</v>
      </c>
      <c r="L45" s="21">
        <v>0.83500256415296281</v>
      </c>
      <c r="M45" s="21">
        <v>1.3529432181773231E-2</v>
      </c>
      <c r="N45" s="21">
        <v>0.23575508035595694</v>
      </c>
      <c r="O45" s="21">
        <v>0.41214269886993132</v>
      </c>
      <c r="P45" s="21">
        <v>2.4427302477793358</v>
      </c>
      <c r="Q45" s="21">
        <v>0.59893117130291729</v>
      </c>
      <c r="R45" s="10">
        <v>1.7926734216679656</v>
      </c>
    </row>
    <row r="46" spans="1:18" x14ac:dyDescent="0.2">
      <c r="A46" s="20" t="s">
        <v>518</v>
      </c>
      <c r="B46" s="21">
        <v>1.82</v>
      </c>
      <c r="C46" s="21">
        <v>280.86</v>
      </c>
      <c r="D46" s="21">
        <v>128.44999999999999</v>
      </c>
      <c r="E46" s="21">
        <v>602.32000000000005</v>
      </c>
      <c r="F46" s="21">
        <v>120.67</v>
      </c>
      <c r="G46" s="21">
        <v>85.56</v>
      </c>
      <c r="H46" s="21">
        <v>13.66</v>
      </c>
      <c r="I46" s="10">
        <v>104.88</v>
      </c>
      <c r="J46" s="20" t="s">
        <v>518</v>
      </c>
      <c r="K46" s="21">
        <v>5.6539297918608264</v>
      </c>
      <c r="L46" s="21">
        <v>2.5092961712818438</v>
      </c>
      <c r="M46" s="21">
        <v>0.90987202290511615</v>
      </c>
      <c r="N46" s="21">
        <v>100</v>
      </c>
      <c r="O46" s="21">
        <v>53.476623088854424</v>
      </c>
      <c r="P46" s="21">
        <v>100</v>
      </c>
      <c r="Q46" s="21">
        <v>1.4688329982042816</v>
      </c>
      <c r="R46" s="10">
        <v>90.828786697843583</v>
      </c>
    </row>
    <row r="47" spans="1:18" x14ac:dyDescent="0.2">
      <c r="A47" s="20" t="s">
        <v>519</v>
      </c>
      <c r="B47" s="21">
        <v>1.62</v>
      </c>
      <c r="C47" s="21">
        <v>472.37</v>
      </c>
      <c r="D47" s="21">
        <v>10.199999999999999</v>
      </c>
      <c r="E47" s="21">
        <v>336.59</v>
      </c>
      <c r="F47" s="21">
        <v>274.27</v>
      </c>
      <c r="G47" s="21">
        <v>61.27</v>
      </c>
      <c r="H47" s="21">
        <v>21.02</v>
      </c>
      <c r="I47" s="10">
        <v>42.29</v>
      </c>
      <c r="J47" s="20" t="s">
        <v>519</v>
      </c>
      <c r="K47" s="21">
        <v>5.0326188257222748</v>
      </c>
      <c r="L47" s="21">
        <v>4.2203098783322819</v>
      </c>
      <c r="M47" s="21">
        <v>7.2251417934076953E-2</v>
      </c>
      <c r="N47" s="21">
        <v>55.882255279585593</v>
      </c>
      <c r="O47" s="21">
        <v>121.54664303124308</v>
      </c>
      <c r="P47" s="21">
        <v>71.610565684899484</v>
      </c>
      <c r="Q47" s="21">
        <v>2.2602393574124453</v>
      </c>
      <c r="R47" s="10">
        <v>36.624231402095781</v>
      </c>
    </row>
    <row r="48" spans="1:18" x14ac:dyDescent="0.2">
      <c r="A48" s="20" t="s">
        <v>520</v>
      </c>
      <c r="B48" s="21">
        <v>22.68</v>
      </c>
      <c r="C48" s="21">
        <v>2157.44</v>
      </c>
      <c r="D48" s="21">
        <v>10.73</v>
      </c>
      <c r="E48" s="21">
        <v>246.28</v>
      </c>
      <c r="F48" s="21">
        <v>225.65</v>
      </c>
      <c r="G48" s="21">
        <v>14.14</v>
      </c>
      <c r="H48" s="21">
        <v>40.450000000000003</v>
      </c>
      <c r="I48" s="10">
        <v>6.19</v>
      </c>
      <c r="J48" s="20" t="s">
        <v>520</v>
      </c>
      <c r="K48" s="21">
        <v>70.456663560111849</v>
      </c>
      <c r="L48" s="21">
        <v>19.275282816244044</v>
      </c>
      <c r="M48" s="21">
        <v>7.6005658277710358E-2</v>
      </c>
      <c r="N48" s="21">
        <v>40.88856421835569</v>
      </c>
      <c r="O48" s="21">
        <v>100</v>
      </c>
      <c r="P48" s="21">
        <v>16.526414212248714</v>
      </c>
      <c r="Q48" s="21">
        <v>4.3495091345068229</v>
      </c>
      <c r="R48" s="10">
        <v>5.3606997488525163</v>
      </c>
    </row>
    <row r="49" spans="1:18" x14ac:dyDescent="0.2">
      <c r="A49" s="20" t="s">
        <v>521</v>
      </c>
      <c r="B49" s="21">
        <v>1.62</v>
      </c>
      <c r="C49" s="21">
        <v>46.44</v>
      </c>
      <c r="D49" s="21">
        <v>1.91</v>
      </c>
      <c r="E49" s="21">
        <v>1.42</v>
      </c>
      <c r="F49" s="21">
        <v>0.93</v>
      </c>
      <c r="G49" s="21">
        <v>2.09</v>
      </c>
      <c r="H49" s="21">
        <v>3.77</v>
      </c>
      <c r="I49" s="10">
        <v>2.0699999999999998</v>
      </c>
      <c r="J49" s="20" t="s">
        <v>521</v>
      </c>
      <c r="K49" s="21">
        <v>5.0326188257222748</v>
      </c>
      <c r="L49" s="21">
        <v>0.4149103261209458</v>
      </c>
      <c r="M49" s="21">
        <v>1.3529432181773231E-2</v>
      </c>
      <c r="N49" s="21">
        <v>0.23575508035595694</v>
      </c>
      <c r="O49" s="21">
        <v>0.41214269886993132</v>
      </c>
      <c r="P49" s="21">
        <v>2.4427302477793358</v>
      </c>
      <c r="Q49" s="21">
        <v>0.40538070301831203</v>
      </c>
      <c r="R49" s="10">
        <v>1.7926734216679656</v>
      </c>
    </row>
    <row r="50" spans="1:18" x14ac:dyDescent="0.2">
      <c r="A50" s="20" t="s">
        <v>522</v>
      </c>
      <c r="B50" s="21">
        <v>2.3199999999999998</v>
      </c>
      <c r="C50" s="21">
        <v>831.99</v>
      </c>
      <c r="D50" s="21">
        <v>2457.8000000000002</v>
      </c>
      <c r="E50" s="21">
        <v>10.77</v>
      </c>
      <c r="F50" s="21">
        <v>0.93</v>
      </c>
      <c r="G50" s="21">
        <v>13.94</v>
      </c>
      <c r="H50" s="21">
        <v>618.15</v>
      </c>
      <c r="I50" s="10">
        <v>12.47</v>
      </c>
      <c r="J50" s="20" t="s">
        <v>522</v>
      </c>
      <c r="K50" s="21">
        <v>7.2072072072072073</v>
      </c>
      <c r="L50" s="21">
        <v>7.4332739498140761</v>
      </c>
      <c r="M50" s="21">
        <v>17.409758333173954</v>
      </c>
      <c r="N50" s="21">
        <v>1.7880860672068</v>
      </c>
      <c r="O50" s="21">
        <v>0.41214269886993132</v>
      </c>
      <c r="P50" s="21">
        <v>16.292660121552128</v>
      </c>
      <c r="Q50" s="21">
        <v>66.468456650071502</v>
      </c>
      <c r="R50" s="10">
        <v>10.799341820386248</v>
      </c>
    </row>
    <row r="51" spans="1:18" x14ac:dyDescent="0.2">
      <c r="A51" s="20" t="s">
        <v>523</v>
      </c>
      <c r="B51" s="21">
        <v>1.83</v>
      </c>
      <c r="C51" s="21">
        <v>772.23</v>
      </c>
      <c r="D51" s="21">
        <v>6133.01</v>
      </c>
      <c r="E51" s="21">
        <v>14.62</v>
      </c>
      <c r="F51" s="21">
        <v>0.93</v>
      </c>
      <c r="G51" s="21">
        <v>45.18</v>
      </c>
      <c r="H51" s="21">
        <v>929.99</v>
      </c>
      <c r="I51" s="10">
        <v>44.74</v>
      </c>
      <c r="J51" s="20" t="s">
        <v>523</v>
      </c>
      <c r="K51" s="21">
        <v>5.6849953401677551</v>
      </c>
      <c r="L51" s="21">
        <v>6.8993583363561148</v>
      </c>
      <c r="M51" s="21">
        <v>43.443006735673855</v>
      </c>
      <c r="N51" s="21">
        <v>2.4272811794395004</v>
      </c>
      <c r="O51" s="21">
        <v>0.41214269886993132</v>
      </c>
      <c r="P51" s="21">
        <v>52.805049088359048</v>
      </c>
      <c r="Q51" s="21">
        <v>100</v>
      </c>
      <c r="R51" s="10">
        <v>38.745994630639998</v>
      </c>
    </row>
    <row r="52" spans="1:18" x14ac:dyDescent="0.2">
      <c r="A52" s="20" t="s">
        <v>524</v>
      </c>
      <c r="B52" s="21">
        <v>3.23</v>
      </c>
      <c r="C52" s="21">
        <v>5717.83</v>
      </c>
      <c r="D52" s="21">
        <v>1107.74</v>
      </c>
      <c r="E52" s="21">
        <v>39.08</v>
      </c>
      <c r="F52" s="21">
        <v>0.93</v>
      </c>
      <c r="G52" s="21">
        <v>48.81</v>
      </c>
      <c r="H52" s="21">
        <v>360.29</v>
      </c>
      <c r="I52" s="10">
        <v>55.86</v>
      </c>
      <c r="J52" s="20" t="s">
        <v>524</v>
      </c>
      <c r="K52" s="21">
        <v>10.034172103137621</v>
      </c>
      <c r="L52" s="21">
        <v>51.084985142207742</v>
      </c>
      <c r="M52" s="21">
        <v>7.8466456570876861</v>
      </c>
      <c r="N52" s="21">
        <v>6.4882454509230971</v>
      </c>
      <c r="O52" s="21">
        <v>0.41214269886993132</v>
      </c>
      <c r="P52" s="21">
        <v>57.047685834502104</v>
      </c>
      <c r="Q52" s="21">
        <v>38.741276787922452</v>
      </c>
      <c r="R52" s="10">
        <v>48.376201610808003</v>
      </c>
    </row>
    <row r="53" spans="1:18" x14ac:dyDescent="0.2">
      <c r="A53" s="20" t="s">
        <v>525</v>
      </c>
      <c r="B53" s="21">
        <v>8.9499999999999993</v>
      </c>
      <c r="C53" s="21">
        <v>11192.78</v>
      </c>
      <c r="D53" s="21">
        <v>14117.37</v>
      </c>
      <c r="E53" s="21">
        <v>160.86000000000001</v>
      </c>
      <c r="F53" s="21">
        <v>0.93</v>
      </c>
      <c r="G53" s="21">
        <v>24.67</v>
      </c>
      <c r="H53" s="21">
        <v>74.39</v>
      </c>
      <c r="I53" s="10">
        <v>115.47</v>
      </c>
      <c r="J53" s="20" t="s">
        <v>525</v>
      </c>
      <c r="K53" s="21">
        <v>27.803665734700218</v>
      </c>
      <c r="L53" s="21">
        <v>100</v>
      </c>
      <c r="M53" s="21">
        <v>100</v>
      </c>
      <c r="N53" s="21">
        <v>26.706733962013544</v>
      </c>
      <c r="O53" s="21">
        <v>0.41214269886993132</v>
      </c>
      <c r="P53" s="21">
        <v>28.833567087424033</v>
      </c>
      <c r="Q53" s="21">
        <v>7.9990107420509897</v>
      </c>
      <c r="R53" s="10">
        <v>100</v>
      </c>
    </row>
    <row r="54" spans="1:18" x14ac:dyDescent="0.2">
      <c r="A54" s="20" t="s">
        <v>526</v>
      </c>
      <c r="B54" s="21">
        <v>32.19</v>
      </c>
      <c r="C54" s="21">
        <v>3663.63</v>
      </c>
      <c r="D54" s="21">
        <v>321.64</v>
      </c>
      <c r="E54" s="21">
        <v>15.86</v>
      </c>
      <c r="F54" s="21">
        <v>0.93</v>
      </c>
      <c r="G54" s="21">
        <v>2.09</v>
      </c>
      <c r="H54" s="21">
        <v>217.52</v>
      </c>
      <c r="I54" s="10">
        <v>19.940000000000001</v>
      </c>
      <c r="J54" s="20" t="s">
        <v>526</v>
      </c>
      <c r="K54" s="21">
        <v>100</v>
      </c>
      <c r="L54" s="21">
        <v>32.73208264613438</v>
      </c>
      <c r="M54" s="21">
        <v>2.2783280455212265</v>
      </c>
      <c r="N54" s="21">
        <v>2.6331518129897726</v>
      </c>
      <c r="O54" s="21">
        <v>0.41214269886993132</v>
      </c>
      <c r="P54" s="21">
        <v>2.4427302477793358</v>
      </c>
      <c r="Q54" s="21">
        <v>23.389498811815184</v>
      </c>
      <c r="R54" s="10">
        <v>17.268554602927168</v>
      </c>
    </row>
    <row r="55" spans="1:18" x14ac:dyDescent="0.2">
      <c r="A55" s="20" t="s">
        <v>527</v>
      </c>
      <c r="B55" s="21">
        <v>1.62</v>
      </c>
      <c r="C55" s="21">
        <v>381.36</v>
      </c>
      <c r="D55" s="21">
        <v>1.91</v>
      </c>
      <c r="E55" s="21">
        <v>1.42</v>
      </c>
      <c r="F55" s="21">
        <v>0.93</v>
      </c>
      <c r="G55" s="21">
        <v>2.09</v>
      </c>
      <c r="H55" s="21">
        <v>29.52</v>
      </c>
      <c r="I55" s="10">
        <v>2.0699999999999998</v>
      </c>
      <c r="J55" s="20" t="s">
        <v>527</v>
      </c>
      <c r="K55" s="21">
        <v>5.0326188257222748</v>
      </c>
      <c r="L55" s="21">
        <v>3.4071964248381548</v>
      </c>
      <c r="M55" s="21">
        <v>1.3529432181773231E-2</v>
      </c>
      <c r="N55" s="21">
        <v>0.23575508035595694</v>
      </c>
      <c r="O55" s="21" t="s">
        <v>1235</v>
      </c>
      <c r="P55" s="21">
        <v>2.4427302477793358</v>
      </c>
      <c r="Q55" s="21">
        <v>3.1742276798675251</v>
      </c>
      <c r="R55" s="10">
        <v>1.7926734216679656</v>
      </c>
    </row>
    <row r="56" spans="1:18" x14ac:dyDescent="0.2">
      <c r="A56" s="20" t="s">
        <v>528</v>
      </c>
      <c r="B56" s="21">
        <v>1.62</v>
      </c>
      <c r="C56" s="21">
        <v>82.77</v>
      </c>
      <c r="D56" s="21">
        <v>1.91</v>
      </c>
      <c r="E56" s="21">
        <v>1.42</v>
      </c>
      <c r="F56" s="21">
        <v>86.15</v>
      </c>
      <c r="G56" s="21">
        <v>3.82</v>
      </c>
      <c r="H56" s="21">
        <v>23.95</v>
      </c>
      <c r="I56" s="10">
        <v>4.32</v>
      </c>
      <c r="J56" s="20" t="s">
        <v>528</v>
      </c>
      <c r="K56" s="21">
        <v>5.0326188257222748</v>
      </c>
      <c r="L56" s="21">
        <v>0.73949456703339111</v>
      </c>
      <c r="M56" s="21">
        <v>1.3529432181773231E-2</v>
      </c>
      <c r="N56" s="21">
        <v>0.23575508035595694</v>
      </c>
      <c r="O56" s="21"/>
      <c r="P56" s="21">
        <v>4.4647031323048143</v>
      </c>
      <c r="Q56" s="21">
        <v>2.575296508564608</v>
      </c>
      <c r="R56" s="10">
        <v>3.7412314886983635</v>
      </c>
    </row>
    <row r="57" spans="1:18" x14ac:dyDescent="0.2">
      <c r="A57" s="20" t="s">
        <v>529</v>
      </c>
      <c r="B57" s="21">
        <v>1.62</v>
      </c>
      <c r="C57" s="21">
        <v>158.97999999999999</v>
      </c>
      <c r="D57" s="21">
        <v>1.91</v>
      </c>
      <c r="E57" s="21">
        <v>4.28</v>
      </c>
      <c r="F57" s="21">
        <v>113.76</v>
      </c>
      <c r="G57" s="21">
        <v>4.21</v>
      </c>
      <c r="H57" s="21">
        <v>29.21</v>
      </c>
      <c r="I57" s="10">
        <v>3.22</v>
      </c>
      <c r="J57" s="20" t="s">
        <v>529</v>
      </c>
      <c r="K57" s="21">
        <v>5.0326188257222748</v>
      </c>
      <c r="L57" s="21">
        <v>1.4203799234863903</v>
      </c>
      <c r="M57" s="21">
        <v>1.3529432181773231E-2</v>
      </c>
      <c r="N57" s="21">
        <v>0.71058573515739143</v>
      </c>
      <c r="O57" s="21"/>
      <c r="P57" s="21">
        <v>4.9205236091631601</v>
      </c>
      <c r="Q57" s="21">
        <v>3.1408939881073987</v>
      </c>
      <c r="R57" s="10">
        <v>2.788603100372391</v>
      </c>
    </row>
    <row r="58" spans="1:18" x14ac:dyDescent="0.2">
      <c r="A58" s="20" t="s">
        <v>530</v>
      </c>
      <c r="B58" s="21">
        <v>1.62</v>
      </c>
      <c r="C58" s="21">
        <v>178.87</v>
      </c>
      <c r="D58" s="21">
        <v>1.91</v>
      </c>
      <c r="E58" s="21">
        <v>2.23</v>
      </c>
      <c r="F58" s="21">
        <v>56.35</v>
      </c>
      <c r="G58" s="21">
        <v>6.56</v>
      </c>
      <c r="H58" s="21">
        <v>14.83</v>
      </c>
      <c r="I58" s="10">
        <v>5.35</v>
      </c>
      <c r="J58" s="20" t="s">
        <v>530</v>
      </c>
      <c r="K58" s="21">
        <v>5.0326188257222748</v>
      </c>
      <c r="L58" s="21">
        <v>1.5980837647126094</v>
      </c>
      <c r="M58" s="21">
        <v>1.3529432181773231E-2</v>
      </c>
      <c r="N58" s="21">
        <v>0.37023509098153801</v>
      </c>
      <c r="O58" s="21"/>
      <c r="P58" s="21">
        <v>7.6671341748480586</v>
      </c>
      <c r="Q58" s="21">
        <v>1.5946408025892751</v>
      </c>
      <c r="R58" s="10">
        <v>4.6332380704945004</v>
      </c>
    </row>
    <row r="59" spans="1:18" x14ac:dyDescent="0.2">
      <c r="A59" s="20" t="s">
        <v>531</v>
      </c>
      <c r="B59" s="21">
        <v>1.62</v>
      </c>
      <c r="C59" s="21">
        <v>181.12</v>
      </c>
      <c r="D59" s="21">
        <v>1.91</v>
      </c>
      <c r="E59" s="21">
        <v>1.42</v>
      </c>
      <c r="F59" s="21">
        <v>60.03</v>
      </c>
      <c r="G59" s="21">
        <v>3.97</v>
      </c>
      <c r="H59" s="21">
        <v>26.73</v>
      </c>
      <c r="I59" s="10">
        <v>2.3199999999999998</v>
      </c>
      <c r="J59" s="20" t="s">
        <v>531</v>
      </c>
      <c r="K59" s="21">
        <v>5.0326188257222748</v>
      </c>
      <c r="L59" s="21">
        <v>1.6181860091952132</v>
      </c>
      <c r="M59" s="21">
        <v>1.3529432181773231E-2</v>
      </c>
      <c r="N59" s="21">
        <v>0.23575508035595694</v>
      </c>
      <c r="O59" s="21"/>
      <c r="P59" s="21">
        <v>4.6400187003272562</v>
      </c>
      <c r="Q59" s="21">
        <v>2.8742244540263875</v>
      </c>
      <c r="R59" s="10">
        <v>2.0091798735602318</v>
      </c>
    </row>
    <row r="60" spans="1:18" x14ac:dyDescent="0.2">
      <c r="A60" s="20" t="s">
        <v>532</v>
      </c>
      <c r="B60" s="21">
        <v>1.62</v>
      </c>
      <c r="C60" s="21">
        <v>425.88</v>
      </c>
      <c r="D60" s="21">
        <v>2.37</v>
      </c>
      <c r="E60" s="21">
        <v>1.42</v>
      </c>
      <c r="F60" s="21">
        <v>23.61</v>
      </c>
      <c r="G60" s="21">
        <v>2.44</v>
      </c>
      <c r="H60" s="21">
        <v>21.63</v>
      </c>
      <c r="I60" s="10">
        <v>2.0699999999999998</v>
      </c>
      <c r="J60" s="20" t="s">
        <v>532</v>
      </c>
      <c r="K60" s="21">
        <v>5.0326188257222748</v>
      </c>
      <c r="L60" s="21">
        <v>3.8049528356672782</v>
      </c>
      <c r="M60" s="21">
        <v>1.6787829461153175E-2</v>
      </c>
      <c r="N60" s="21">
        <v>0.23575508035595694</v>
      </c>
      <c r="O60" s="21"/>
      <c r="P60" s="21">
        <v>2.8517999064983637</v>
      </c>
      <c r="Q60" s="21">
        <v>2.3258314605533394</v>
      </c>
      <c r="R60" s="10">
        <v>1.7926734216679656</v>
      </c>
    </row>
    <row r="61" spans="1:18" x14ac:dyDescent="0.2">
      <c r="A61" s="20"/>
      <c r="B61" s="21"/>
      <c r="C61" s="21"/>
      <c r="D61" s="21"/>
      <c r="E61" s="21"/>
      <c r="F61" s="21"/>
      <c r="G61" s="21"/>
      <c r="H61" s="21"/>
      <c r="I61" s="10"/>
      <c r="J61" s="20"/>
      <c r="K61" s="21"/>
      <c r="L61" s="21"/>
      <c r="M61" s="21"/>
      <c r="N61" s="21"/>
      <c r="O61" s="21"/>
      <c r="P61" s="21"/>
      <c r="Q61" s="21"/>
      <c r="R61" s="10"/>
    </row>
    <row r="62" spans="1:18" x14ac:dyDescent="0.2">
      <c r="A62" s="20"/>
      <c r="B62" s="21"/>
      <c r="C62" s="21"/>
      <c r="D62" s="21"/>
      <c r="E62" s="21"/>
      <c r="F62" s="21"/>
      <c r="G62" s="21"/>
      <c r="H62" s="21"/>
      <c r="I62" s="10"/>
      <c r="J62" s="20"/>
      <c r="K62" s="21" t="s">
        <v>277</v>
      </c>
      <c r="L62" s="21"/>
      <c r="M62" s="21"/>
      <c r="N62" s="21"/>
      <c r="O62" s="21"/>
      <c r="P62" s="21"/>
      <c r="Q62" s="21"/>
      <c r="R62" s="10"/>
    </row>
    <row r="63" spans="1:18" x14ac:dyDescent="0.2">
      <c r="A63" s="20" t="s">
        <v>122</v>
      </c>
      <c r="B63" s="21" t="s">
        <v>17</v>
      </c>
      <c r="C63" s="21" t="s">
        <v>15</v>
      </c>
      <c r="D63" s="21" t="s">
        <v>98</v>
      </c>
      <c r="E63" s="21" t="s">
        <v>100</v>
      </c>
      <c r="F63" s="21" t="s">
        <v>101</v>
      </c>
      <c r="G63" s="21" t="s">
        <v>102</v>
      </c>
      <c r="H63" s="21" t="s">
        <v>10</v>
      </c>
      <c r="I63" s="10" t="s">
        <v>103</v>
      </c>
      <c r="J63" s="20"/>
      <c r="K63" s="21" t="s">
        <v>17</v>
      </c>
      <c r="L63" s="21" t="s">
        <v>15</v>
      </c>
      <c r="M63" s="21" t="s">
        <v>98</v>
      </c>
      <c r="N63" s="21" t="s">
        <v>100</v>
      </c>
      <c r="O63" s="21" t="s">
        <v>101</v>
      </c>
      <c r="P63" s="21" t="s">
        <v>102</v>
      </c>
      <c r="Q63" s="21" t="s">
        <v>10</v>
      </c>
      <c r="R63" s="10" t="s">
        <v>103</v>
      </c>
    </row>
    <row r="64" spans="1:18" x14ac:dyDescent="0.2">
      <c r="A64" s="20" t="s">
        <v>533</v>
      </c>
      <c r="B64" s="21">
        <v>1.92</v>
      </c>
      <c r="C64" s="71">
        <v>146.46</v>
      </c>
      <c r="D64" s="21">
        <v>1.57</v>
      </c>
      <c r="E64" s="21">
        <v>1.96</v>
      </c>
      <c r="F64" s="21">
        <v>1.36</v>
      </c>
      <c r="G64" s="21">
        <v>9.8000000000000007</v>
      </c>
      <c r="H64" s="71">
        <v>24.48</v>
      </c>
      <c r="I64" s="10">
        <v>2.0499999999999998</v>
      </c>
      <c r="J64" s="20" t="s">
        <v>515</v>
      </c>
      <c r="K64" s="21">
        <v>7.8753076292042659</v>
      </c>
      <c r="L64" s="21">
        <v>1.9516810362059087</v>
      </c>
      <c r="M64" s="21">
        <v>5.7588895980515149E-2</v>
      </c>
      <c r="N64" s="21">
        <v>0.33561643835616439</v>
      </c>
      <c r="O64" s="21">
        <v>0.11483382869494733</v>
      </c>
      <c r="P64" s="21">
        <v>8.9850554689648874</v>
      </c>
      <c r="Q64" s="21">
        <v>3.055912716741358</v>
      </c>
      <c r="R64" s="10">
        <v>6.0668836934004142</v>
      </c>
    </row>
    <row r="65" spans="1:18" x14ac:dyDescent="0.2">
      <c r="A65" s="20" t="s">
        <v>534</v>
      </c>
      <c r="B65" s="21">
        <v>1.92</v>
      </c>
      <c r="C65" s="71">
        <v>366.41</v>
      </c>
      <c r="D65" s="21">
        <v>1.57</v>
      </c>
      <c r="E65" s="21">
        <v>1.96</v>
      </c>
      <c r="F65" s="71">
        <v>1.63</v>
      </c>
      <c r="G65" s="21">
        <v>9.8000000000000007</v>
      </c>
      <c r="H65" s="71">
        <v>28.56</v>
      </c>
      <c r="I65" s="10">
        <v>2.0499999999999998</v>
      </c>
      <c r="J65" s="20" t="s">
        <v>516</v>
      </c>
      <c r="K65" s="21">
        <v>7.8753076292042659</v>
      </c>
      <c r="L65" s="21">
        <v>4.8826672707647614</v>
      </c>
      <c r="M65" s="21">
        <v>5.7588895980515149E-2</v>
      </c>
      <c r="N65" s="21">
        <v>0.33561643835616439</v>
      </c>
      <c r="O65" s="21">
        <v>0.1376317211564442</v>
      </c>
      <c r="P65" s="21">
        <v>8.9850554689648874</v>
      </c>
      <c r="Q65" s="21">
        <v>3.5652315028649175</v>
      </c>
      <c r="R65" s="10">
        <v>6.0668836934004142</v>
      </c>
    </row>
    <row r="66" spans="1:18" x14ac:dyDescent="0.2">
      <c r="A66" s="20" t="s">
        <v>535</v>
      </c>
      <c r="B66" s="21">
        <v>1.92</v>
      </c>
      <c r="C66" s="71">
        <v>308.61</v>
      </c>
      <c r="D66" s="71">
        <v>10.78</v>
      </c>
      <c r="E66" s="71">
        <v>2.38</v>
      </c>
      <c r="F66" s="71">
        <v>2.44</v>
      </c>
      <c r="G66" s="21">
        <v>9.8000000000000007</v>
      </c>
      <c r="H66" s="21">
        <v>2.11</v>
      </c>
      <c r="I66" s="10">
        <v>2.0499999999999998</v>
      </c>
      <c r="J66" s="20" t="s">
        <v>517</v>
      </c>
      <c r="K66" s="21">
        <v>7.8753076292042659</v>
      </c>
      <c r="L66" s="21">
        <v>4.1124421998054457</v>
      </c>
      <c r="M66" s="21">
        <v>0.39541929851589386</v>
      </c>
      <c r="N66" s="21">
        <v>0.40753424657534243</v>
      </c>
      <c r="O66" s="21">
        <v>0.20602539854093488</v>
      </c>
      <c r="P66" s="21">
        <v>8.9850554689648874</v>
      </c>
      <c r="Q66" s="21">
        <v>0.26339770556880171</v>
      </c>
      <c r="R66" s="10">
        <v>6.0668836934004142</v>
      </c>
    </row>
    <row r="67" spans="1:18" x14ac:dyDescent="0.2">
      <c r="A67" s="20" t="s">
        <v>536</v>
      </c>
      <c r="B67" s="21">
        <v>1.92</v>
      </c>
      <c r="C67" s="71">
        <v>919.08</v>
      </c>
      <c r="D67" s="71">
        <v>66.989999999999995</v>
      </c>
      <c r="E67" s="71">
        <v>213.36</v>
      </c>
      <c r="F67" s="71">
        <v>126.61</v>
      </c>
      <c r="G67" s="71">
        <v>29.28</v>
      </c>
      <c r="H67" s="71">
        <v>18.27</v>
      </c>
      <c r="I67" s="10">
        <v>2.0499999999999998</v>
      </c>
      <c r="J67" s="20" t="s">
        <v>518</v>
      </c>
      <c r="K67" s="21">
        <v>7.8753076292042659</v>
      </c>
      <c r="L67" s="21">
        <v>12.247378169849286</v>
      </c>
      <c r="M67" s="21">
        <v>2.457248497920197</v>
      </c>
      <c r="N67" s="21">
        <v>36.534246575342465</v>
      </c>
      <c r="O67" s="21">
        <v>10.690522831667119</v>
      </c>
      <c r="P67" s="21">
        <v>26.845145319519574</v>
      </c>
      <c r="Q67" s="21">
        <v>2.2806995643327048</v>
      </c>
      <c r="R67" s="10">
        <v>6.0668836934004142</v>
      </c>
    </row>
    <row r="68" spans="1:18" x14ac:dyDescent="0.2">
      <c r="A68" s="20" t="s">
        <v>537</v>
      </c>
      <c r="B68" s="71">
        <v>2.04</v>
      </c>
      <c r="C68" s="71">
        <v>953.5</v>
      </c>
      <c r="D68" s="71">
        <v>11.84</v>
      </c>
      <c r="E68" s="71">
        <v>546.42999999999995</v>
      </c>
      <c r="F68" s="71">
        <v>465.44</v>
      </c>
      <c r="G68" s="71">
        <v>76</v>
      </c>
      <c r="H68" s="71">
        <v>58.28</v>
      </c>
      <c r="I68" s="10">
        <v>2.0499999999999998</v>
      </c>
      <c r="J68" s="20" t="s">
        <v>519</v>
      </c>
      <c r="K68" s="21">
        <v>8.3675143560295329</v>
      </c>
      <c r="L68" s="21">
        <v>12.706048532174885</v>
      </c>
      <c r="M68" s="21">
        <v>0.43430097350910785</v>
      </c>
      <c r="N68" s="21">
        <v>93.566780821917789</v>
      </c>
      <c r="O68" s="21">
        <v>39.300189138070799</v>
      </c>
      <c r="P68" s="21">
        <v>69.680022004217477</v>
      </c>
      <c r="Q68" s="21">
        <v>7.2752693272747688</v>
      </c>
      <c r="R68" s="10">
        <v>6.0668836934004142</v>
      </c>
    </row>
    <row r="69" spans="1:18" x14ac:dyDescent="0.2">
      <c r="A69" s="20" t="s">
        <v>538</v>
      </c>
      <c r="B69" s="71">
        <v>3.56</v>
      </c>
      <c r="C69" s="71">
        <v>1322.67</v>
      </c>
      <c r="D69" s="71">
        <v>16.21</v>
      </c>
      <c r="E69" s="71">
        <v>584</v>
      </c>
      <c r="F69" s="71">
        <v>1184.32</v>
      </c>
      <c r="G69" s="71">
        <v>74.55</v>
      </c>
      <c r="H69" s="71">
        <v>21.11</v>
      </c>
      <c r="I69" s="72">
        <v>13.07</v>
      </c>
      <c r="J69" s="20" t="s">
        <v>520</v>
      </c>
      <c r="K69" s="21">
        <v>14.602132895816244</v>
      </c>
      <c r="L69" s="21">
        <v>17.625494716362621</v>
      </c>
      <c r="M69" s="21">
        <v>0.59459618079245269</v>
      </c>
      <c r="N69" s="21">
        <v>100</v>
      </c>
      <c r="O69" s="21">
        <v>100</v>
      </c>
      <c r="P69" s="21">
        <v>68.350600531768592</v>
      </c>
      <c r="Q69" s="21">
        <v>2.6352253860461632</v>
      </c>
      <c r="R69" s="10">
        <v>38.680082864752883</v>
      </c>
    </row>
    <row r="70" spans="1:18" x14ac:dyDescent="0.2">
      <c r="A70" s="20" t="s">
        <v>539</v>
      </c>
      <c r="B70" s="21">
        <v>1.92</v>
      </c>
      <c r="C70" s="71">
        <v>486.57</v>
      </c>
      <c r="D70" s="21">
        <v>1.57</v>
      </c>
      <c r="E70" s="21">
        <v>1.96</v>
      </c>
      <c r="F70" s="71">
        <v>1.99</v>
      </c>
      <c r="G70" s="21">
        <v>9.8000000000000007</v>
      </c>
      <c r="H70" s="71">
        <v>49.57</v>
      </c>
      <c r="I70" s="10">
        <v>2.0499999999999998</v>
      </c>
      <c r="J70" s="20" t="s">
        <v>521</v>
      </c>
      <c r="K70" s="21">
        <v>7.8753076292042659</v>
      </c>
      <c r="L70" s="21">
        <v>6.4838825739909121</v>
      </c>
      <c r="M70" s="21">
        <v>5.7588895980515149E-2</v>
      </c>
      <c r="N70" s="21">
        <v>0.33561643835616439</v>
      </c>
      <c r="O70" s="21">
        <v>0.16802891110510673</v>
      </c>
      <c r="P70" s="21">
        <v>8.9850554689648874</v>
      </c>
      <c r="Q70" s="21">
        <v>6.1879735853296207</v>
      </c>
      <c r="R70" s="10">
        <v>6.0668836934004142</v>
      </c>
    </row>
    <row r="71" spans="1:18" x14ac:dyDescent="0.2">
      <c r="A71" s="20" t="s">
        <v>540</v>
      </c>
      <c r="B71" s="71">
        <v>2.35</v>
      </c>
      <c r="C71" s="71">
        <v>3298.12</v>
      </c>
      <c r="D71" s="21">
        <v>2726.22</v>
      </c>
      <c r="E71" s="71">
        <v>14.33</v>
      </c>
      <c r="F71" s="71">
        <v>2.4</v>
      </c>
      <c r="G71" s="71">
        <v>58.84</v>
      </c>
      <c r="H71" s="71">
        <v>585.17999999999995</v>
      </c>
      <c r="I71" s="72">
        <v>23.78</v>
      </c>
      <c r="J71" s="20" t="s">
        <v>522</v>
      </c>
      <c r="K71" s="21">
        <v>9.6390484003281394</v>
      </c>
      <c r="L71" s="21">
        <v>43.949735484988608</v>
      </c>
      <c r="M71" s="21">
        <v>100</v>
      </c>
      <c r="N71" s="21">
        <v>2.4537671232876712</v>
      </c>
      <c r="O71" s="21">
        <v>0.2026479329910835</v>
      </c>
      <c r="P71" s="21">
        <v>53.947006509581009</v>
      </c>
      <c r="Q71" s="21">
        <v>73.049795897986442</v>
      </c>
      <c r="R71" s="10">
        <v>70.375850843444809</v>
      </c>
    </row>
    <row r="72" spans="1:18" x14ac:dyDescent="0.2">
      <c r="A72" s="20" t="s">
        <v>541</v>
      </c>
      <c r="B72" s="71">
        <v>3.37</v>
      </c>
      <c r="C72" s="71">
        <v>6119.35</v>
      </c>
      <c r="D72" s="21">
        <v>2726.22</v>
      </c>
      <c r="E72" s="71">
        <v>32.549999999999997</v>
      </c>
      <c r="F72" s="71">
        <v>1.75</v>
      </c>
      <c r="G72" s="71">
        <v>109.07</v>
      </c>
      <c r="H72" s="71">
        <v>502.13</v>
      </c>
      <c r="I72" s="72">
        <v>33.79</v>
      </c>
      <c r="J72" s="20" t="s">
        <v>523</v>
      </c>
      <c r="K72" s="21">
        <v>13.822805578342907</v>
      </c>
      <c r="L72" s="21">
        <v>81.544581106832084</v>
      </c>
      <c r="M72" s="21">
        <v>100</v>
      </c>
      <c r="N72" s="21">
        <v>5.5736301369863011</v>
      </c>
      <c r="O72" s="21">
        <v>0.14776411780599838</v>
      </c>
      <c r="P72" s="21">
        <v>100</v>
      </c>
      <c r="Q72" s="21">
        <v>62.682412273584077</v>
      </c>
      <c r="R72" s="10">
        <v>100</v>
      </c>
    </row>
    <row r="73" spans="1:18" x14ac:dyDescent="0.2">
      <c r="A73" s="20" t="s">
        <v>542</v>
      </c>
      <c r="B73" s="71">
        <v>12.89</v>
      </c>
      <c r="C73" s="71">
        <v>6715.93</v>
      </c>
      <c r="D73" s="71">
        <v>2149.6</v>
      </c>
      <c r="E73" s="71">
        <v>33.4</v>
      </c>
      <c r="F73" s="21">
        <v>1.36</v>
      </c>
      <c r="G73" s="21">
        <v>9.8000000000000007</v>
      </c>
      <c r="H73" s="71">
        <v>49.67</v>
      </c>
      <c r="I73" s="10">
        <v>2.0499999999999998</v>
      </c>
      <c r="J73" s="20" t="s">
        <v>524</v>
      </c>
      <c r="K73" s="21">
        <v>52.871205906480725</v>
      </c>
      <c r="L73" s="21">
        <v>89.494423197366842</v>
      </c>
      <c r="M73" s="21">
        <v>78.849102420200865</v>
      </c>
      <c r="N73" s="21">
        <v>5.7191780821917808</v>
      </c>
      <c r="O73" s="21">
        <v>0.11483382869494733</v>
      </c>
      <c r="P73" s="21">
        <v>8.9850554689648874</v>
      </c>
      <c r="Q73" s="21">
        <v>6.2004568889110816</v>
      </c>
      <c r="R73" s="10">
        <v>6.0668836934004142</v>
      </c>
    </row>
    <row r="74" spans="1:18" x14ac:dyDescent="0.2">
      <c r="A74" s="20" t="s">
        <v>543</v>
      </c>
      <c r="B74" s="71">
        <v>24.38</v>
      </c>
      <c r="C74" s="71">
        <v>6464.89</v>
      </c>
      <c r="D74" s="71">
        <v>1279.3800000000001</v>
      </c>
      <c r="E74" s="71">
        <v>25.25</v>
      </c>
      <c r="F74" s="21">
        <v>1.36</v>
      </c>
      <c r="G74" s="21">
        <v>9.8000000000000007</v>
      </c>
      <c r="H74" s="71">
        <v>80.53</v>
      </c>
      <c r="I74" s="72">
        <v>11.32</v>
      </c>
      <c r="J74" s="20" t="s">
        <v>525</v>
      </c>
      <c r="K74" s="21">
        <v>100</v>
      </c>
      <c r="L74" s="21">
        <v>86.149141159068805</v>
      </c>
      <c r="M74" s="21">
        <v>46.928714483790749</v>
      </c>
      <c r="N74" s="21">
        <v>4.3236301369863011</v>
      </c>
      <c r="O74" s="21">
        <v>0.11483382869494733</v>
      </c>
      <c r="P74" s="21">
        <v>8.9850554689648874</v>
      </c>
      <c r="Q74" s="21">
        <v>10.052804374149575</v>
      </c>
      <c r="R74" s="10">
        <v>33.501035809411071</v>
      </c>
    </row>
    <row r="75" spans="1:18" x14ac:dyDescent="0.2">
      <c r="A75" s="20" t="s">
        <v>544</v>
      </c>
      <c r="B75" s="71">
        <v>22.73</v>
      </c>
      <c r="C75" s="71">
        <v>7504.3</v>
      </c>
      <c r="D75" s="21">
        <v>2726.22</v>
      </c>
      <c r="E75" s="71">
        <v>537.72</v>
      </c>
      <c r="F75" s="71">
        <v>7.2</v>
      </c>
      <c r="G75" s="71">
        <v>23.35</v>
      </c>
      <c r="H75" s="71">
        <v>801.07</v>
      </c>
      <c r="I75" s="72">
        <v>29.04</v>
      </c>
      <c r="J75" s="20" t="s">
        <v>526</v>
      </c>
      <c r="K75" s="21">
        <v>93.232157506152589</v>
      </c>
      <c r="L75" s="21">
        <v>100</v>
      </c>
      <c r="M75" s="21">
        <v>100</v>
      </c>
      <c r="N75" s="21">
        <v>92.075342465753423</v>
      </c>
      <c r="O75" s="21">
        <v>0.60794379897325057</v>
      </c>
      <c r="P75" s="21">
        <v>21.408269918401029</v>
      </c>
      <c r="Q75" s="21">
        <v>100</v>
      </c>
      <c r="R75" s="10">
        <v>85.942586564072215</v>
      </c>
    </row>
    <row r="76" spans="1:18" x14ac:dyDescent="0.2">
      <c r="A76" s="20" t="s">
        <v>545</v>
      </c>
      <c r="B76" s="21">
        <v>1.92</v>
      </c>
      <c r="C76" s="71">
        <v>406.31</v>
      </c>
      <c r="D76" s="21">
        <v>1.57</v>
      </c>
      <c r="E76" s="21">
        <v>1.96</v>
      </c>
      <c r="F76" s="71">
        <v>2.19</v>
      </c>
      <c r="G76" s="21">
        <v>9.8000000000000007</v>
      </c>
      <c r="H76" s="71">
        <v>88.64</v>
      </c>
      <c r="I76" s="10">
        <v>2.0499999999999998</v>
      </c>
      <c r="J76" s="20" t="s">
        <v>527</v>
      </c>
      <c r="K76" s="21">
        <v>7.8753076292042659</v>
      </c>
      <c r="L76" s="21">
        <v>5.4143624322055359</v>
      </c>
      <c r="M76" s="21">
        <v>5.7588895980515149E-2</v>
      </c>
      <c r="N76" s="21">
        <v>0.33561643835616439</v>
      </c>
      <c r="O76" s="21" t="s">
        <v>1235</v>
      </c>
      <c r="P76" s="21">
        <v>8.9850554689648874</v>
      </c>
      <c r="Q76" s="21">
        <v>11.065200294605964</v>
      </c>
      <c r="R76" s="10">
        <v>6.0668836934004142</v>
      </c>
    </row>
    <row r="77" spans="1:18" x14ac:dyDescent="0.2">
      <c r="A77" s="20" t="s">
        <v>546</v>
      </c>
      <c r="B77" s="21">
        <v>1.92</v>
      </c>
      <c r="C77" s="71">
        <v>614.32000000000005</v>
      </c>
      <c r="D77" s="21">
        <v>1.57</v>
      </c>
      <c r="E77" s="21">
        <v>1.96</v>
      </c>
      <c r="F77" s="71">
        <v>180.84</v>
      </c>
      <c r="G77" s="21">
        <v>9.8000000000000007</v>
      </c>
      <c r="H77" s="71">
        <v>32.81</v>
      </c>
      <c r="I77" s="10">
        <v>2.0499999999999998</v>
      </c>
      <c r="J77" s="20" t="s">
        <v>528</v>
      </c>
      <c r="K77" s="21">
        <v>7.8753076292042659</v>
      </c>
      <c r="L77" s="21">
        <v>8.186239889130233</v>
      </c>
      <c r="M77" s="21">
        <v>5.7588895980515149E-2</v>
      </c>
      <c r="N77" s="21">
        <v>0.33561643835616439</v>
      </c>
      <c r="O77" s="21"/>
      <c r="P77" s="21">
        <v>8.9850554689648874</v>
      </c>
      <c r="Q77" s="21">
        <v>4.0957719050769592</v>
      </c>
      <c r="R77" s="10">
        <v>6.0668836934004142</v>
      </c>
    </row>
    <row r="78" spans="1:18" x14ac:dyDescent="0.2">
      <c r="A78" s="20" t="s">
        <v>547</v>
      </c>
      <c r="B78" s="21">
        <v>1.92</v>
      </c>
      <c r="C78" s="71">
        <v>716.06</v>
      </c>
      <c r="D78" s="21">
        <v>1.57</v>
      </c>
      <c r="E78" s="21">
        <v>1.96</v>
      </c>
      <c r="F78" s="71">
        <v>124.49</v>
      </c>
      <c r="G78" s="21">
        <v>9.8000000000000007</v>
      </c>
      <c r="H78" s="71">
        <v>9.84</v>
      </c>
      <c r="I78" s="10">
        <v>2.0499999999999998</v>
      </c>
      <c r="J78" s="20" t="s">
        <v>529</v>
      </c>
      <c r="K78" s="21">
        <v>7.8753076292042659</v>
      </c>
      <c r="L78" s="21">
        <v>9.5419959223378594</v>
      </c>
      <c r="M78" s="21">
        <v>5.7588895980515149E-2</v>
      </c>
      <c r="N78" s="21">
        <v>0.33561643835616439</v>
      </c>
      <c r="O78" s="21"/>
      <c r="P78" s="21">
        <v>8.9850554689648874</v>
      </c>
      <c r="Q78" s="21">
        <v>1.2283570724156441</v>
      </c>
      <c r="R78" s="10">
        <v>6.0668836934004142</v>
      </c>
    </row>
    <row r="79" spans="1:18" x14ac:dyDescent="0.2">
      <c r="A79" s="20" t="s">
        <v>548</v>
      </c>
      <c r="B79" s="21">
        <v>1.92</v>
      </c>
      <c r="C79" s="71">
        <v>1410.6</v>
      </c>
      <c r="D79" s="71">
        <v>1.74</v>
      </c>
      <c r="E79" s="21">
        <v>1.96</v>
      </c>
      <c r="F79" s="71">
        <v>653.37</v>
      </c>
      <c r="G79" s="71">
        <v>15.35</v>
      </c>
      <c r="H79" s="71">
        <v>67.05</v>
      </c>
      <c r="I79" s="72">
        <v>2.57</v>
      </c>
      <c r="J79" s="20" t="s">
        <v>530</v>
      </c>
      <c r="K79" s="21">
        <v>7.8753076292042659</v>
      </c>
      <c r="L79" s="21">
        <v>18.7972229255227</v>
      </c>
      <c r="M79" s="21">
        <v>6.3824636309615518E-2</v>
      </c>
      <c r="N79" s="21">
        <v>0.33561643835616439</v>
      </c>
      <c r="O79" s="21"/>
      <c r="P79" s="21">
        <v>14.073530760062347</v>
      </c>
      <c r="Q79" s="21">
        <v>8.3700550513687944</v>
      </c>
      <c r="R79" s="10">
        <v>7.6058005327019824</v>
      </c>
    </row>
    <row r="80" spans="1:18" x14ac:dyDescent="0.2">
      <c r="A80" s="20" t="s">
        <v>549</v>
      </c>
      <c r="B80" s="21">
        <v>1.92</v>
      </c>
      <c r="C80" s="71">
        <v>440.59</v>
      </c>
      <c r="D80" s="21">
        <v>1.57</v>
      </c>
      <c r="E80" s="21">
        <v>1.96</v>
      </c>
      <c r="F80" s="71">
        <v>323.16000000000003</v>
      </c>
      <c r="G80" s="71">
        <v>9.94</v>
      </c>
      <c r="H80" s="71">
        <v>131.55000000000001</v>
      </c>
      <c r="I80" s="10">
        <v>2.0499999999999998</v>
      </c>
      <c r="J80" s="20" t="s">
        <v>531</v>
      </c>
      <c r="K80" s="21">
        <v>7.8753076292042659</v>
      </c>
      <c r="L80" s="21">
        <v>5.8711671974734481</v>
      </c>
      <c r="M80" s="21">
        <v>5.7588895980515149E-2</v>
      </c>
      <c r="N80" s="21">
        <v>0.33561643835616439</v>
      </c>
      <c r="O80" s="21"/>
      <c r="P80" s="21">
        <v>9.1134134042358124</v>
      </c>
      <c r="Q80" s="21">
        <v>16.421785861410363</v>
      </c>
      <c r="R80" s="10">
        <v>6.0668836934004142</v>
      </c>
    </row>
    <row r="81" spans="1:18" x14ac:dyDescent="0.2">
      <c r="A81" s="20" t="s">
        <v>550</v>
      </c>
      <c r="B81" s="21">
        <v>1.92</v>
      </c>
      <c r="C81" s="71">
        <v>1402.92</v>
      </c>
      <c r="D81" s="71">
        <v>5.15</v>
      </c>
      <c r="E81" s="71">
        <v>2.4700000000000002</v>
      </c>
      <c r="F81" s="71">
        <v>374.7</v>
      </c>
      <c r="G81" s="71">
        <v>10.32</v>
      </c>
      <c r="H81" s="71">
        <v>12.68</v>
      </c>
      <c r="I81" s="72">
        <v>10.38</v>
      </c>
      <c r="J81" s="20" t="s">
        <v>532</v>
      </c>
      <c r="K81" s="21">
        <v>7.8753076292042659</v>
      </c>
      <c r="L81" s="21">
        <v>18.694881601215304</v>
      </c>
      <c r="M81" s="21">
        <v>0.18890625114627582</v>
      </c>
      <c r="N81" s="21">
        <v>0.42294520547945214</v>
      </c>
      <c r="O81" s="21"/>
      <c r="P81" s="21">
        <v>9.4618135142568995</v>
      </c>
      <c r="Q81" s="21">
        <v>1.582882894129102</v>
      </c>
      <c r="R81" s="10">
        <v>30.719147676827468</v>
      </c>
    </row>
    <row r="82" spans="1:18" x14ac:dyDescent="0.2">
      <c r="A82" s="20"/>
      <c r="B82" s="21"/>
      <c r="C82" s="21"/>
      <c r="D82" s="21"/>
      <c r="E82" s="21"/>
      <c r="F82" s="21"/>
      <c r="G82" s="21"/>
      <c r="H82" s="21"/>
      <c r="I82" s="10"/>
      <c r="J82" s="20"/>
      <c r="K82" s="21"/>
      <c r="L82" s="21"/>
      <c r="M82" s="21"/>
      <c r="N82" s="21"/>
      <c r="O82" s="21"/>
      <c r="P82" s="21"/>
      <c r="Q82" s="21"/>
      <c r="R82" s="10"/>
    </row>
    <row r="83" spans="1:18" x14ac:dyDescent="0.2">
      <c r="A83" s="20"/>
      <c r="B83" s="21" t="s">
        <v>17</v>
      </c>
      <c r="C83" s="21" t="s">
        <v>15</v>
      </c>
      <c r="D83" s="21" t="s">
        <v>98</v>
      </c>
      <c r="E83" s="21" t="s">
        <v>100</v>
      </c>
      <c r="F83" s="21" t="s">
        <v>101</v>
      </c>
      <c r="G83" s="21" t="s">
        <v>102</v>
      </c>
      <c r="H83" s="21" t="s">
        <v>10</v>
      </c>
      <c r="I83" s="10" t="s">
        <v>103</v>
      </c>
      <c r="J83" s="20"/>
      <c r="K83" s="21" t="s">
        <v>17</v>
      </c>
      <c r="L83" s="21" t="s">
        <v>15</v>
      </c>
      <c r="M83" s="21" t="s">
        <v>98</v>
      </c>
      <c r="N83" s="21" t="s">
        <v>100</v>
      </c>
      <c r="O83" s="21" t="s">
        <v>101</v>
      </c>
      <c r="P83" s="21" t="s">
        <v>102</v>
      </c>
      <c r="Q83" s="21" t="s">
        <v>10</v>
      </c>
      <c r="R83" s="10" t="s">
        <v>103</v>
      </c>
    </row>
    <row r="84" spans="1:18" x14ac:dyDescent="0.2">
      <c r="A84" s="20" t="s">
        <v>551</v>
      </c>
      <c r="B84" s="21">
        <v>1.92</v>
      </c>
      <c r="C84" s="71">
        <v>174.82</v>
      </c>
      <c r="D84" s="21">
        <v>1.57</v>
      </c>
      <c r="E84" s="21">
        <v>1.96</v>
      </c>
      <c r="F84" s="21">
        <v>1.36</v>
      </c>
      <c r="G84" s="21">
        <v>9.8000000000000007</v>
      </c>
      <c r="H84" s="71">
        <v>3.11</v>
      </c>
      <c r="I84" s="10">
        <v>2.0499999999999998</v>
      </c>
      <c r="J84" s="20" t="s">
        <v>515</v>
      </c>
      <c r="K84" s="21">
        <v>100</v>
      </c>
      <c r="L84" s="21">
        <v>6.7233548317622933</v>
      </c>
      <c r="M84" s="21">
        <v>5.7588895980515149E-2</v>
      </c>
      <c r="N84" s="21">
        <v>0.97087378640776711</v>
      </c>
      <c r="O84" s="21">
        <v>0.34909389599055402</v>
      </c>
      <c r="P84" s="21">
        <v>7.9377936173659496</v>
      </c>
      <c r="Q84" s="21">
        <v>0.63736038528537753</v>
      </c>
      <c r="R84" s="10">
        <v>100</v>
      </c>
    </row>
    <row r="85" spans="1:18" x14ac:dyDescent="0.2">
      <c r="A85" s="20" t="s">
        <v>552</v>
      </c>
      <c r="B85" s="21">
        <v>1.92</v>
      </c>
      <c r="C85" s="71">
        <v>223.55</v>
      </c>
      <c r="D85" s="21">
        <v>1.57</v>
      </c>
      <c r="E85" s="21">
        <v>1.96</v>
      </c>
      <c r="F85" s="71">
        <v>2.08</v>
      </c>
      <c r="G85" s="21">
        <v>9.8000000000000007</v>
      </c>
      <c r="H85" s="71">
        <v>5.85</v>
      </c>
      <c r="I85" s="10">
        <v>2.0499999999999998</v>
      </c>
      <c r="J85" s="20" t="s">
        <v>516</v>
      </c>
      <c r="K85" s="21">
        <v>100</v>
      </c>
      <c r="L85" s="21">
        <v>8.597448647983418</v>
      </c>
      <c r="M85" s="21">
        <v>5.7588895980515149E-2</v>
      </c>
      <c r="N85" s="21">
        <v>0.97087378640776711</v>
      </c>
      <c r="O85" s="21">
        <v>0.53390831151496487</v>
      </c>
      <c r="P85" s="21">
        <v>7.9377936173659496</v>
      </c>
      <c r="Q85" s="21">
        <v>1.1988933292345527</v>
      </c>
      <c r="R85" s="10">
        <v>100</v>
      </c>
    </row>
    <row r="86" spans="1:18" x14ac:dyDescent="0.2">
      <c r="A86" s="20" t="s">
        <v>553</v>
      </c>
      <c r="B86" s="21">
        <v>1.92</v>
      </c>
      <c r="C86" s="71">
        <v>343.9</v>
      </c>
      <c r="D86" s="71">
        <v>3.78</v>
      </c>
      <c r="E86" s="21">
        <v>1.96</v>
      </c>
      <c r="F86" s="71">
        <v>2.71</v>
      </c>
      <c r="G86" s="21">
        <v>9.8000000000000007</v>
      </c>
      <c r="H86" s="71">
        <v>12.72</v>
      </c>
      <c r="I86" s="10">
        <v>2.0499999999999998</v>
      </c>
      <c r="J86" s="20" t="s">
        <v>517</v>
      </c>
      <c r="K86" s="21">
        <v>100</v>
      </c>
      <c r="L86" s="21">
        <v>13.225956564712577</v>
      </c>
      <c r="M86" s="21">
        <v>0.13865352025881988</v>
      </c>
      <c r="N86" s="21">
        <v>0.97087378640776711</v>
      </c>
      <c r="O86" s="21">
        <v>0.69562092509882434</v>
      </c>
      <c r="P86" s="21">
        <v>7.9377936173659496</v>
      </c>
      <c r="Q86" s="21">
        <v>2.6068244697202583</v>
      </c>
      <c r="R86" s="10">
        <v>100</v>
      </c>
    </row>
    <row r="87" spans="1:18" x14ac:dyDescent="0.2">
      <c r="A87" s="20" t="s">
        <v>554</v>
      </c>
      <c r="B87" s="21">
        <v>1.92</v>
      </c>
      <c r="C87" s="71">
        <v>684.11</v>
      </c>
      <c r="D87" s="71">
        <v>188.72</v>
      </c>
      <c r="E87" s="71">
        <v>201.88</v>
      </c>
      <c r="F87" s="71">
        <v>389.58</v>
      </c>
      <c r="G87" s="71">
        <v>123.46</v>
      </c>
      <c r="H87" s="71">
        <v>37.9</v>
      </c>
      <c r="I87" s="10">
        <v>2.0499999999999998</v>
      </c>
      <c r="J87" s="20" t="s">
        <v>518</v>
      </c>
      <c r="K87" s="21">
        <v>100</v>
      </c>
      <c r="L87" s="21">
        <v>26.310000423046009</v>
      </c>
      <c r="M87" s="21">
        <v>6.9224053818107132</v>
      </c>
      <c r="N87" s="21">
        <v>100</v>
      </c>
      <c r="O87" s="21">
        <v>100</v>
      </c>
      <c r="P87" s="21">
        <v>100</v>
      </c>
      <c r="Q87" s="21">
        <v>7.7671892611947939</v>
      </c>
      <c r="R87" s="10">
        <v>100</v>
      </c>
    </row>
    <row r="88" spans="1:18" x14ac:dyDescent="0.2">
      <c r="A88" s="20" t="s">
        <v>555</v>
      </c>
      <c r="B88" s="21">
        <v>1.92</v>
      </c>
      <c r="C88" s="71">
        <v>227.41</v>
      </c>
      <c r="D88" s="71">
        <v>6.3</v>
      </c>
      <c r="E88" s="71">
        <v>85.82</v>
      </c>
      <c r="F88" s="71">
        <v>63.85</v>
      </c>
      <c r="G88" s="71">
        <v>10.96</v>
      </c>
      <c r="H88" s="21">
        <v>2.11</v>
      </c>
      <c r="I88" s="10">
        <v>2.0499999999999998</v>
      </c>
      <c r="J88" s="20" t="s">
        <v>519</v>
      </c>
      <c r="K88" s="21">
        <v>100</v>
      </c>
      <c r="L88" s="21">
        <v>8.745899338125291</v>
      </c>
      <c r="M88" s="21">
        <v>0.23108920043136649</v>
      </c>
      <c r="N88" s="21">
        <v>42.510402219140083</v>
      </c>
      <c r="O88" s="21">
        <v>16.389445043380054</v>
      </c>
      <c r="P88" s="21">
        <v>8.8773691884011026</v>
      </c>
      <c r="Q88" s="21">
        <v>0.4324213546469925</v>
      </c>
      <c r="R88" s="10">
        <v>100</v>
      </c>
    </row>
    <row r="89" spans="1:18" x14ac:dyDescent="0.2">
      <c r="A89" s="20" t="s">
        <v>556</v>
      </c>
      <c r="B89" s="21">
        <v>1.92</v>
      </c>
      <c r="C89" s="71">
        <v>259.20999999999998</v>
      </c>
      <c r="D89" s="71">
        <v>2.29</v>
      </c>
      <c r="E89" s="71">
        <v>69.989999999999995</v>
      </c>
      <c r="F89" s="71">
        <v>196.87</v>
      </c>
      <c r="G89" s="71">
        <v>19.649999999999999</v>
      </c>
      <c r="H89" s="71">
        <v>4.3099999999999996</v>
      </c>
      <c r="I89" s="10">
        <v>2.0499999999999998</v>
      </c>
      <c r="J89" s="20" t="s">
        <v>520</v>
      </c>
      <c r="K89" s="21">
        <v>100</v>
      </c>
      <c r="L89" s="21">
        <v>9.96888688903503</v>
      </c>
      <c r="M89" s="21">
        <v>8.3999090315528477E-2</v>
      </c>
      <c r="N89" s="21">
        <v>34.669110362591638</v>
      </c>
      <c r="O89" s="21">
        <v>50.533908311514963</v>
      </c>
      <c r="P89" s="21">
        <v>15.916086181759272</v>
      </c>
      <c r="Q89" s="21">
        <v>0.88328722205143972</v>
      </c>
      <c r="R89" s="10">
        <v>100</v>
      </c>
    </row>
    <row r="90" spans="1:18" x14ac:dyDescent="0.2">
      <c r="A90" s="20" t="s">
        <v>557</v>
      </c>
      <c r="B90" s="21">
        <v>1.92</v>
      </c>
      <c r="C90" s="71">
        <v>152.25</v>
      </c>
      <c r="D90" s="21">
        <v>1.57</v>
      </c>
      <c r="E90" s="21">
        <v>1.96</v>
      </c>
      <c r="F90" s="21">
        <v>1.36</v>
      </c>
      <c r="G90" s="21">
        <v>9.8000000000000007</v>
      </c>
      <c r="H90" s="71">
        <v>3.77</v>
      </c>
      <c r="I90" s="10">
        <v>2.0499999999999998</v>
      </c>
      <c r="J90" s="20" t="s">
        <v>521</v>
      </c>
      <c r="K90" s="21">
        <v>100</v>
      </c>
      <c r="L90" s="21">
        <v>5.8553413404405061</v>
      </c>
      <c r="M90" s="21">
        <v>5.7588895980515149E-2</v>
      </c>
      <c r="N90" s="21">
        <v>0.97087378640776711</v>
      </c>
      <c r="O90" s="21">
        <v>0.34909389599055402</v>
      </c>
      <c r="P90" s="21">
        <v>7.9377936173659496</v>
      </c>
      <c r="Q90" s="21">
        <v>0.77262014550671176</v>
      </c>
      <c r="R90" s="10">
        <v>100</v>
      </c>
    </row>
    <row r="91" spans="1:18" x14ac:dyDescent="0.2">
      <c r="A91" s="20" t="s">
        <v>558</v>
      </c>
      <c r="B91" s="21">
        <v>1.92</v>
      </c>
      <c r="C91" s="71">
        <v>1136.1600000000001</v>
      </c>
      <c r="D91" s="21">
        <v>2726.22</v>
      </c>
      <c r="E91" s="71">
        <v>11.33</v>
      </c>
      <c r="F91" s="71">
        <v>3.08</v>
      </c>
      <c r="G91" s="71">
        <v>40.56</v>
      </c>
      <c r="H91" s="71">
        <v>452.11</v>
      </c>
      <c r="I91" s="10">
        <v>2.0499999999999998</v>
      </c>
      <c r="J91" s="20" t="s">
        <v>522</v>
      </c>
      <c r="K91" s="21">
        <v>100</v>
      </c>
      <c r="L91" s="21">
        <v>43.695268422692187</v>
      </c>
      <c r="M91" s="21">
        <v>100</v>
      </c>
      <c r="N91" s="21">
        <v>5.6122448979591839</v>
      </c>
      <c r="O91" s="21">
        <v>0.79059499974331338</v>
      </c>
      <c r="P91" s="21">
        <v>32.852745828608462</v>
      </c>
      <c r="Q91" s="21">
        <v>92.654985141920292</v>
      </c>
      <c r="R91" s="10">
        <v>100</v>
      </c>
    </row>
    <row r="92" spans="1:18" x14ac:dyDescent="0.2">
      <c r="A92" s="20" t="s">
        <v>559</v>
      </c>
      <c r="B92" s="21">
        <v>1.92</v>
      </c>
      <c r="C92" s="71">
        <v>1784.65</v>
      </c>
      <c r="D92" s="21">
        <v>2726.22</v>
      </c>
      <c r="E92" s="71">
        <v>20.9</v>
      </c>
      <c r="F92" s="71">
        <v>2.69</v>
      </c>
      <c r="G92" s="71">
        <v>54.58</v>
      </c>
      <c r="H92" s="71">
        <v>487.95</v>
      </c>
      <c r="I92" s="10">
        <v>2.0499999999999998</v>
      </c>
      <c r="J92" s="20" t="s">
        <v>523</v>
      </c>
      <c r="K92" s="21">
        <v>100</v>
      </c>
      <c r="L92" s="21">
        <v>68.635368953807216</v>
      </c>
      <c r="M92" s="21">
        <v>100</v>
      </c>
      <c r="N92" s="21">
        <v>10.352684763225678</v>
      </c>
      <c r="O92" s="21">
        <v>0.6904871913342574</v>
      </c>
      <c r="P92" s="21">
        <v>44.208650575085052</v>
      </c>
      <c r="Q92" s="21">
        <v>100</v>
      </c>
      <c r="R92" s="10">
        <v>100</v>
      </c>
    </row>
    <row r="93" spans="1:18" x14ac:dyDescent="0.2">
      <c r="A93" s="20" t="s">
        <v>560</v>
      </c>
      <c r="B93" s="21">
        <v>1.92</v>
      </c>
      <c r="C93" s="71">
        <v>1210.99</v>
      </c>
      <c r="D93" s="71">
        <v>741.13</v>
      </c>
      <c r="E93" s="71">
        <v>9.89</v>
      </c>
      <c r="F93" s="71">
        <v>1.55</v>
      </c>
      <c r="G93" s="21">
        <v>9.8000000000000007</v>
      </c>
      <c r="H93" s="71">
        <v>89.93</v>
      </c>
      <c r="I93" s="10">
        <v>2.0499999999999998</v>
      </c>
      <c r="J93" s="20" t="s">
        <v>524</v>
      </c>
      <c r="K93" s="21">
        <v>100</v>
      </c>
      <c r="L93" s="21">
        <v>46.573135040131682</v>
      </c>
      <c r="M93" s="21">
        <v>27.185260177095028</v>
      </c>
      <c r="N93" s="21">
        <v>4.898949871210621</v>
      </c>
      <c r="O93" s="21">
        <v>0.39786436675394016</v>
      </c>
      <c r="P93" s="21">
        <v>7.9377936173659496</v>
      </c>
      <c r="Q93" s="21">
        <v>18.43016702530997</v>
      </c>
      <c r="R93" s="10">
        <v>100</v>
      </c>
    </row>
    <row r="94" spans="1:18" x14ac:dyDescent="0.2">
      <c r="A94" s="20" t="s">
        <v>561</v>
      </c>
      <c r="B94" s="21">
        <v>1.92</v>
      </c>
      <c r="C94" s="71">
        <v>1102.3599999999999</v>
      </c>
      <c r="D94" s="71">
        <v>68.72</v>
      </c>
      <c r="E94" s="71">
        <v>6.52</v>
      </c>
      <c r="F94" s="71">
        <v>1.57</v>
      </c>
      <c r="G94" s="21">
        <v>9.8000000000000007</v>
      </c>
      <c r="H94" s="71">
        <v>56.86</v>
      </c>
      <c r="I94" s="10">
        <v>2.0499999999999998</v>
      </c>
      <c r="J94" s="20" t="s">
        <v>525</v>
      </c>
      <c r="K94" s="21">
        <v>100</v>
      </c>
      <c r="L94" s="21">
        <v>42.395363415750381</v>
      </c>
      <c r="M94" s="21">
        <v>2.5207063259751599</v>
      </c>
      <c r="N94" s="21">
        <v>3.2296413711115508</v>
      </c>
      <c r="O94" s="21">
        <v>0.40299810051850715</v>
      </c>
      <c r="P94" s="21">
        <v>7.9377936173659496</v>
      </c>
      <c r="Q94" s="21">
        <v>11.652833282098577</v>
      </c>
      <c r="R94" s="10">
        <v>100</v>
      </c>
    </row>
    <row r="95" spans="1:18" x14ac:dyDescent="0.2">
      <c r="A95" s="20" t="s">
        <v>562</v>
      </c>
      <c r="B95" s="21">
        <v>1.92</v>
      </c>
      <c r="C95" s="71">
        <v>2600.19</v>
      </c>
      <c r="D95" s="71">
        <v>326.64</v>
      </c>
      <c r="E95" s="71">
        <v>17.73</v>
      </c>
      <c r="F95" s="71">
        <v>1.6</v>
      </c>
      <c r="G95" s="21">
        <v>9.8000000000000007</v>
      </c>
      <c r="H95" s="71">
        <v>13.94</v>
      </c>
      <c r="I95" s="10">
        <v>2.0499999999999998</v>
      </c>
      <c r="J95" s="20" t="s">
        <v>526</v>
      </c>
      <c r="K95" s="21">
        <v>100</v>
      </c>
      <c r="L95" s="21">
        <v>100</v>
      </c>
      <c r="M95" s="21">
        <v>11.981424829984375</v>
      </c>
      <c r="N95" s="21">
        <v>8.7824450168416881</v>
      </c>
      <c r="O95" s="21">
        <v>0.41069870116535762</v>
      </c>
      <c r="P95" s="21">
        <v>7.9377936173659496</v>
      </c>
      <c r="Q95" s="21">
        <v>2.8568500870990881</v>
      </c>
      <c r="R95" s="10">
        <v>100</v>
      </c>
    </row>
    <row r="96" spans="1:18" x14ac:dyDescent="0.2">
      <c r="A96" s="20" t="s">
        <v>563</v>
      </c>
      <c r="B96" s="21">
        <v>1.92</v>
      </c>
      <c r="C96" s="71">
        <v>197.42</v>
      </c>
      <c r="D96" s="21">
        <v>1.57</v>
      </c>
      <c r="E96" s="21">
        <v>1.96</v>
      </c>
      <c r="F96" s="71">
        <v>2.0499999999999998</v>
      </c>
      <c r="G96" s="21">
        <v>9.8000000000000007</v>
      </c>
      <c r="H96" s="71">
        <v>3.03</v>
      </c>
      <c r="I96" s="10">
        <v>2.0499999999999998</v>
      </c>
      <c r="J96" s="20" t="s">
        <v>527</v>
      </c>
      <c r="K96" s="21">
        <v>100</v>
      </c>
      <c r="L96" s="21">
        <v>7.5925220849245623</v>
      </c>
      <c r="M96" s="21">
        <v>5.7588895980515149E-2</v>
      </c>
      <c r="N96" s="21">
        <v>0.97087378640776711</v>
      </c>
      <c r="O96" s="21" t="s">
        <v>1235</v>
      </c>
      <c r="P96" s="21">
        <v>7.9377936173659496</v>
      </c>
      <c r="Q96" s="21">
        <v>0.62096526283430675</v>
      </c>
      <c r="R96" s="10">
        <v>100</v>
      </c>
    </row>
    <row r="97" spans="1:18" x14ac:dyDescent="0.2">
      <c r="A97" s="20" t="s">
        <v>564</v>
      </c>
      <c r="B97" s="21">
        <v>1.92</v>
      </c>
      <c r="C97" s="71">
        <v>374.25</v>
      </c>
      <c r="D97" s="71">
        <v>2.71</v>
      </c>
      <c r="E97" s="21">
        <v>1.96</v>
      </c>
      <c r="F97" s="71">
        <v>1273.92</v>
      </c>
      <c r="G97" s="71">
        <v>18.649999999999999</v>
      </c>
      <c r="H97" s="71">
        <v>10.47</v>
      </c>
      <c r="I97" s="10">
        <v>2.0499999999999998</v>
      </c>
      <c r="J97" s="20" t="s">
        <v>528</v>
      </c>
      <c r="K97" s="21">
        <v>100</v>
      </c>
      <c r="L97" s="21">
        <v>14.393178959999076</v>
      </c>
      <c r="M97" s="21">
        <v>9.9405037010952893E-2</v>
      </c>
      <c r="N97" s="21">
        <v>0.97087378640776711</v>
      </c>
      <c r="O97" s="21"/>
      <c r="P97" s="21">
        <v>15.106107241211728</v>
      </c>
      <c r="Q97" s="21">
        <v>2.145711650783892</v>
      </c>
      <c r="R97" s="10">
        <v>100</v>
      </c>
    </row>
    <row r="98" spans="1:18" x14ac:dyDescent="0.2">
      <c r="A98" s="20" t="s">
        <v>565</v>
      </c>
      <c r="B98" s="21">
        <v>1.92</v>
      </c>
      <c r="C98" s="71">
        <v>298.92</v>
      </c>
      <c r="D98" s="21">
        <v>1.57</v>
      </c>
      <c r="E98" s="21">
        <v>1.96</v>
      </c>
      <c r="F98" s="71">
        <v>597.94000000000005</v>
      </c>
      <c r="G98" s="71">
        <v>11.65</v>
      </c>
      <c r="H98" s="71">
        <v>4.9800000000000004</v>
      </c>
      <c r="I98" s="10">
        <v>2.0499999999999998</v>
      </c>
      <c r="J98" s="20" t="s">
        <v>529</v>
      </c>
      <c r="K98" s="21">
        <v>100</v>
      </c>
      <c r="L98" s="21">
        <v>11.496082978551568</v>
      </c>
      <c r="M98" s="21">
        <v>5.7588895980515149E-2</v>
      </c>
      <c r="N98" s="21">
        <v>0.97087378640776711</v>
      </c>
      <c r="O98" s="21"/>
      <c r="P98" s="21">
        <v>9.4362546573789086</v>
      </c>
      <c r="Q98" s="21">
        <v>1.0205963725791578</v>
      </c>
      <c r="R98" s="10">
        <v>100</v>
      </c>
    </row>
    <row r="99" spans="1:18" x14ac:dyDescent="0.2">
      <c r="A99" s="20" t="s">
        <v>566</v>
      </c>
      <c r="B99" s="21">
        <v>1.92</v>
      </c>
      <c r="C99" s="71">
        <v>286.38</v>
      </c>
      <c r="D99" s="21">
        <v>1.57</v>
      </c>
      <c r="E99" s="21">
        <v>1.96</v>
      </c>
      <c r="F99" s="71">
        <v>900.5</v>
      </c>
      <c r="G99" s="21">
        <v>9.8000000000000007</v>
      </c>
      <c r="H99" s="71">
        <v>6.78</v>
      </c>
      <c r="I99" s="10">
        <v>2.0499999999999998</v>
      </c>
      <c r="J99" s="20" t="s">
        <v>530</v>
      </c>
      <c r="K99" s="21">
        <v>100</v>
      </c>
      <c r="L99" s="21">
        <v>11.013810529230556</v>
      </c>
      <c r="M99" s="21">
        <v>5.7588895980515149E-2</v>
      </c>
      <c r="N99" s="21">
        <v>0.97087378640776711</v>
      </c>
      <c r="O99" s="21"/>
      <c r="P99" s="21">
        <v>7.9377936173659496</v>
      </c>
      <c r="Q99" s="21">
        <v>1.3894866277282509</v>
      </c>
      <c r="R99" s="10">
        <v>100</v>
      </c>
    </row>
    <row r="100" spans="1:18" x14ac:dyDescent="0.2">
      <c r="A100" s="20" t="s">
        <v>567</v>
      </c>
      <c r="B100" s="21">
        <v>1.92</v>
      </c>
      <c r="C100" s="71">
        <v>357.44</v>
      </c>
      <c r="D100" s="21">
        <v>1.57</v>
      </c>
      <c r="E100" s="21">
        <v>1.96</v>
      </c>
      <c r="F100" s="71">
        <v>685.86</v>
      </c>
      <c r="G100" s="21">
        <v>9.8000000000000007</v>
      </c>
      <c r="H100" s="71">
        <v>8.35</v>
      </c>
      <c r="I100" s="10">
        <v>2.0499999999999998</v>
      </c>
      <c r="J100" s="20" t="s">
        <v>531</v>
      </c>
      <c r="K100" s="21">
        <v>100</v>
      </c>
      <c r="L100" s="21">
        <v>13.746687742049618</v>
      </c>
      <c r="M100" s="21">
        <v>5.7588895980515149E-2</v>
      </c>
      <c r="N100" s="21">
        <v>0.97087378640776711</v>
      </c>
      <c r="O100" s="21"/>
      <c r="P100" s="21">
        <v>7.9377936173659496</v>
      </c>
      <c r="Q100" s="21">
        <v>1.7112409058305154</v>
      </c>
      <c r="R100" s="10">
        <v>100</v>
      </c>
    </row>
    <row r="101" spans="1:18" x14ac:dyDescent="0.2">
      <c r="A101" s="20" t="s">
        <v>568</v>
      </c>
      <c r="B101" s="21">
        <v>1.92</v>
      </c>
      <c r="C101" s="71">
        <v>783.22</v>
      </c>
      <c r="D101" s="21">
        <v>1.57</v>
      </c>
      <c r="E101" s="21">
        <v>1.96</v>
      </c>
      <c r="F101" s="71">
        <v>694.07</v>
      </c>
      <c r="G101" s="21">
        <v>9.8000000000000007</v>
      </c>
      <c r="H101" s="71">
        <v>7.38</v>
      </c>
      <c r="I101" s="10">
        <v>2.0499999999999998</v>
      </c>
      <c r="J101" s="28" t="s">
        <v>532</v>
      </c>
      <c r="K101" s="26">
        <v>100</v>
      </c>
      <c r="L101" s="26">
        <v>30.1216449567147</v>
      </c>
      <c r="M101" s="26">
        <v>5.7588895980515149E-2</v>
      </c>
      <c r="N101" s="26">
        <v>0.97087378640776711</v>
      </c>
      <c r="O101" s="26"/>
      <c r="P101" s="26">
        <v>7.9377936173659496</v>
      </c>
      <c r="Q101" s="26">
        <v>1.512450046111282</v>
      </c>
      <c r="R101" s="11">
        <v>100</v>
      </c>
    </row>
    <row r="102" spans="1:18" x14ac:dyDescent="0.2">
      <c r="A102" s="28"/>
      <c r="B102" s="26"/>
      <c r="C102" s="26"/>
      <c r="D102" s="26"/>
      <c r="E102" s="26"/>
      <c r="F102" s="26"/>
      <c r="G102" s="26"/>
      <c r="H102" s="26"/>
      <c r="I102" s="11"/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23F747-E550-A741-816C-47CB3EE06355}">
  <dimension ref="A1:AC72"/>
  <sheetViews>
    <sheetView topLeftCell="A32" zoomScale="130" zoomScaleNormal="130" workbookViewId="0">
      <selection activeCell="C47" sqref="C47"/>
    </sheetView>
  </sheetViews>
  <sheetFormatPr baseColWidth="10" defaultRowHeight="16" x14ac:dyDescent="0.2"/>
  <sheetData>
    <row r="1" spans="1:29" x14ac:dyDescent="0.2">
      <c r="A1" t="s">
        <v>1114</v>
      </c>
      <c r="B1" t="s">
        <v>1065</v>
      </c>
    </row>
    <row r="2" spans="1:29" x14ac:dyDescent="0.2">
      <c r="A2" s="203"/>
      <c r="B2" s="302" t="s">
        <v>7</v>
      </c>
      <c r="C2" s="307"/>
      <c r="D2" s="307"/>
      <c r="E2" s="303"/>
      <c r="F2" s="302" t="s">
        <v>272</v>
      </c>
      <c r="G2" s="307"/>
      <c r="H2" s="307"/>
      <c r="I2" s="303"/>
      <c r="J2" s="302" t="s">
        <v>273</v>
      </c>
      <c r="K2" s="307"/>
      <c r="L2" s="307"/>
      <c r="M2" s="303"/>
      <c r="N2" s="302" t="s">
        <v>1063</v>
      </c>
      <c r="O2" s="307"/>
      <c r="P2" s="307"/>
      <c r="Q2" s="303"/>
      <c r="R2" s="302" t="s">
        <v>9</v>
      </c>
      <c r="S2" s="307"/>
      <c r="T2" s="307"/>
      <c r="U2" s="303"/>
      <c r="V2" s="302" t="s">
        <v>106</v>
      </c>
      <c r="W2" s="307"/>
      <c r="X2" s="307"/>
      <c r="Y2" s="303"/>
      <c r="Z2" s="302" t="s">
        <v>1064</v>
      </c>
      <c r="AA2" s="307"/>
      <c r="AB2" s="307"/>
      <c r="AC2" s="303"/>
    </row>
    <row r="3" spans="1:29" x14ac:dyDescent="0.2">
      <c r="A3" s="214" t="s">
        <v>11</v>
      </c>
      <c r="B3" s="205">
        <v>6.9204152199999998</v>
      </c>
      <c r="C3" s="206">
        <v>15.533365</v>
      </c>
      <c r="D3" s="206">
        <v>4.6662222599999996</v>
      </c>
      <c r="E3" s="207">
        <v>4.8176187199999996</v>
      </c>
      <c r="F3" s="205">
        <v>100</v>
      </c>
      <c r="G3" s="206">
        <v>100</v>
      </c>
      <c r="H3" s="206">
        <v>100</v>
      </c>
      <c r="I3" s="207">
        <v>100</v>
      </c>
      <c r="J3" s="205">
        <v>20.2033755</v>
      </c>
      <c r="K3" s="206">
        <v>28.6891742</v>
      </c>
      <c r="L3" s="206">
        <v>36.225121399999999</v>
      </c>
      <c r="M3" s="207">
        <v>4.8176187199999996</v>
      </c>
      <c r="N3" s="205">
        <v>6.9204152199999998</v>
      </c>
      <c r="O3" s="206">
        <v>15.533365</v>
      </c>
      <c r="P3" s="206">
        <v>4.6662222599999996</v>
      </c>
      <c r="Q3" s="207">
        <v>4.8176187199999996</v>
      </c>
      <c r="R3" s="205">
        <v>6.9204152199999998</v>
      </c>
      <c r="S3" s="206">
        <v>15.533365</v>
      </c>
      <c r="T3" s="206">
        <v>4.6662222599999996</v>
      </c>
      <c r="U3" s="207">
        <v>4.8176187199999996</v>
      </c>
      <c r="V3" s="205">
        <v>6.9204152199999998</v>
      </c>
      <c r="W3" s="206">
        <v>15.533365</v>
      </c>
      <c r="X3" s="206">
        <v>4.6662222599999996</v>
      </c>
      <c r="Y3" s="207">
        <v>4.8176187199999996</v>
      </c>
      <c r="Z3" s="205"/>
      <c r="AA3" s="206"/>
      <c r="AB3" s="206"/>
      <c r="AC3" s="207"/>
    </row>
    <row r="4" spans="1:29" x14ac:dyDescent="0.2">
      <c r="A4" s="215" t="s">
        <v>12</v>
      </c>
      <c r="B4" s="205">
        <v>41.217501599999999</v>
      </c>
      <c r="C4" s="206">
        <v>68.143459899999996</v>
      </c>
      <c r="D4" s="206">
        <v>31.319910499999999</v>
      </c>
      <c r="E4" s="207">
        <v>42.869641299999998</v>
      </c>
      <c r="F4" s="205">
        <v>100</v>
      </c>
      <c r="G4" s="206">
        <v>100</v>
      </c>
      <c r="H4" s="206">
        <v>64.781080200000005</v>
      </c>
      <c r="I4" s="207">
        <v>100</v>
      </c>
      <c r="J4" s="205">
        <v>73.018389299999996</v>
      </c>
      <c r="K4" s="206">
        <v>94.303797500000002</v>
      </c>
      <c r="L4" s="206">
        <v>100</v>
      </c>
      <c r="M4" s="207">
        <v>42.869641299999998</v>
      </c>
      <c r="N4" s="205">
        <v>49.936588499999999</v>
      </c>
      <c r="O4" s="206">
        <v>53.375527400000003</v>
      </c>
      <c r="P4" s="206">
        <v>31.319910499999999</v>
      </c>
      <c r="Q4" s="207">
        <v>42.869641299999998</v>
      </c>
      <c r="R4" s="205">
        <v>35.161699400000003</v>
      </c>
      <c r="S4" s="206">
        <v>51.687763699999998</v>
      </c>
      <c r="T4" s="206">
        <v>31.319910499999999</v>
      </c>
      <c r="U4" s="207">
        <v>42.869641299999998</v>
      </c>
      <c r="V4" s="205">
        <v>31.071655</v>
      </c>
      <c r="W4" s="206">
        <v>56.645569600000002</v>
      </c>
      <c r="X4" s="206">
        <v>35.4745925</v>
      </c>
      <c r="Y4" s="207">
        <v>42.869641299999998</v>
      </c>
      <c r="Z4" s="205">
        <v>45.149017100000002</v>
      </c>
      <c r="AA4" s="206">
        <v>71.624472600000004</v>
      </c>
      <c r="AB4" s="206">
        <v>31.319910499999999</v>
      </c>
      <c r="AC4" s="207">
        <v>42.869641299999998</v>
      </c>
    </row>
    <row r="5" spans="1:29" x14ac:dyDescent="0.2">
      <c r="A5" s="215" t="s">
        <v>276</v>
      </c>
      <c r="B5" s="205">
        <v>0.22767652999999999</v>
      </c>
      <c r="C5" s="206">
        <v>0.63556175999999998</v>
      </c>
      <c r="D5" s="206">
        <v>6.5840079999999995E-2</v>
      </c>
      <c r="E5" s="207">
        <v>0.29664132999999998</v>
      </c>
      <c r="F5" s="205">
        <v>100</v>
      </c>
      <c r="G5" s="206">
        <v>100</v>
      </c>
      <c r="H5" s="206">
        <v>38.141094699999996</v>
      </c>
      <c r="I5" s="207">
        <v>100</v>
      </c>
      <c r="J5" s="205">
        <v>29.694764500000002</v>
      </c>
      <c r="K5" s="206">
        <v>47.845326800000002</v>
      </c>
      <c r="L5" s="206">
        <v>100</v>
      </c>
      <c r="M5" s="207">
        <v>0.26231919999999997</v>
      </c>
      <c r="N5" s="205">
        <v>2.25974275</v>
      </c>
      <c r="O5" s="206">
        <v>9.7116212799999992</v>
      </c>
      <c r="P5" s="206">
        <v>0.44365135999999999</v>
      </c>
      <c r="Q5" s="207">
        <v>1.93920078</v>
      </c>
      <c r="R5" s="205">
        <v>0.22767652999999999</v>
      </c>
      <c r="S5" s="206">
        <v>0.63556175999999998</v>
      </c>
      <c r="T5" s="206">
        <v>6.5840079999999995E-2</v>
      </c>
      <c r="U5" s="207">
        <v>0.96101985999999995</v>
      </c>
      <c r="V5" s="205">
        <v>0.22767652999999999</v>
      </c>
      <c r="W5" s="206">
        <v>0.63556175999999998</v>
      </c>
      <c r="X5" s="206">
        <v>6.5840079999999995E-2</v>
      </c>
      <c r="Y5" s="207">
        <v>0.26231919999999997</v>
      </c>
      <c r="Z5" s="205">
        <v>0.55216878000000003</v>
      </c>
      <c r="AA5" s="206">
        <v>1.1671765000000001</v>
      </c>
      <c r="AB5" s="206">
        <v>6.5840079999999995E-2</v>
      </c>
      <c r="AC5" s="207">
        <v>0.31870556999999999</v>
      </c>
    </row>
    <row r="6" spans="1:29" x14ac:dyDescent="0.2">
      <c r="A6" s="157" t="s">
        <v>66</v>
      </c>
      <c r="B6" s="205">
        <v>1.21015936</v>
      </c>
      <c r="C6" s="206">
        <v>15.3135048</v>
      </c>
      <c r="D6" s="206">
        <v>0.13728779999999999</v>
      </c>
      <c r="E6" s="207">
        <v>1.9858156</v>
      </c>
      <c r="F6" s="205">
        <v>6.2674302800000001</v>
      </c>
      <c r="G6" s="206">
        <v>19.895498400000001</v>
      </c>
      <c r="H6" s="206">
        <v>7.9740242800000001</v>
      </c>
      <c r="I6" s="207">
        <v>100</v>
      </c>
      <c r="J6" s="205">
        <v>100</v>
      </c>
      <c r="K6" s="206">
        <v>100</v>
      </c>
      <c r="L6" s="206">
        <v>100</v>
      </c>
      <c r="M6" s="207">
        <v>1.97163121</v>
      </c>
      <c r="N6" s="205">
        <v>0.76942231000000005</v>
      </c>
      <c r="O6" s="206">
        <v>15.7958199</v>
      </c>
      <c r="P6" s="206">
        <v>0.16125869000000001</v>
      </c>
      <c r="Q6" s="207">
        <v>1.4042553200000001</v>
      </c>
      <c r="R6" s="205">
        <v>0.82669322999999995</v>
      </c>
      <c r="S6" s="206">
        <v>12.2186495</v>
      </c>
      <c r="T6" s="206">
        <v>0.12944279</v>
      </c>
      <c r="U6" s="207">
        <v>2.73286052</v>
      </c>
      <c r="V6" s="205">
        <v>0.86902389999999996</v>
      </c>
      <c r="W6" s="206">
        <v>16.1575563</v>
      </c>
      <c r="X6" s="206">
        <v>0.12944279</v>
      </c>
      <c r="Y6" s="207">
        <v>1.82978723</v>
      </c>
      <c r="Z6" s="205">
        <v>1.19521912</v>
      </c>
      <c r="AA6" s="206">
        <v>16.398713799999999</v>
      </c>
      <c r="AB6" s="206">
        <v>0.13118611999999999</v>
      </c>
      <c r="AC6" s="207">
        <v>2.3404255300000001</v>
      </c>
    </row>
    <row r="7" spans="1:29" x14ac:dyDescent="0.2">
      <c r="A7" s="157" t="s">
        <v>321</v>
      </c>
      <c r="B7" s="205">
        <v>4.9867697900000003</v>
      </c>
      <c r="C7" s="206">
        <v>4.2989998199999997</v>
      </c>
      <c r="D7" s="206">
        <v>43.847874699999998</v>
      </c>
      <c r="E7" s="207">
        <v>49.6453901</v>
      </c>
      <c r="F7" s="205">
        <v>100</v>
      </c>
      <c r="G7" s="206">
        <v>26.8424285</v>
      </c>
      <c r="H7" s="206">
        <v>76.241610699999995</v>
      </c>
      <c r="I7" s="207">
        <v>55.876393100000001</v>
      </c>
      <c r="J7" s="205">
        <v>8.7268471400000003</v>
      </c>
      <c r="K7" s="206">
        <v>4.5578171599999999</v>
      </c>
      <c r="L7" s="206">
        <v>68.680089499999994</v>
      </c>
      <c r="M7" s="207">
        <v>49.6453901</v>
      </c>
      <c r="N7" s="205">
        <v>85.757174800000001</v>
      </c>
      <c r="O7" s="206">
        <v>100</v>
      </c>
      <c r="P7" s="206">
        <v>100</v>
      </c>
      <c r="Q7" s="207">
        <v>100</v>
      </c>
      <c r="R7" s="205">
        <v>4.9867697900000003</v>
      </c>
      <c r="S7" s="206">
        <v>4.2989998199999997</v>
      </c>
      <c r="T7" s="206">
        <v>43.847874699999998</v>
      </c>
      <c r="U7" s="207">
        <v>49.6453901</v>
      </c>
      <c r="V7" s="205">
        <v>4.9867697900000003</v>
      </c>
      <c r="W7" s="206">
        <v>4.2989998199999997</v>
      </c>
      <c r="X7" s="206">
        <v>43.847874699999998</v>
      </c>
      <c r="Y7" s="207">
        <v>49.6453901</v>
      </c>
      <c r="Z7" s="205">
        <v>5.5007124000000003</v>
      </c>
      <c r="AA7" s="206">
        <v>4.2989998199999997</v>
      </c>
      <c r="AB7" s="206">
        <v>43.847874699999998</v>
      </c>
      <c r="AC7" s="207">
        <v>49.6453901</v>
      </c>
    </row>
    <row r="8" spans="1:29" x14ac:dyDescent="0.2">
      <c r="A8" s="158" t="s">
        <v>15</v>
      </c>
      <c r="B8" s="208">
        <v>49.012809900000001</v>
      </c>
      <c r="C8" s="209">
        <v>95.673663300000001</v>
      </c>
      <c r="D8" s="209">
        <v>15.6905208</v>
      </c>
      <c r="E8" s="210">
        <v>22.5454179</v>
      </c>
      <c r="F8" s="208">
        <v>76.905339299999994</v>
      </c>
      <c r="G8" s="209">
        <v>69.8885875</v>
      </c>
      <c r="H8" s="209">
        <v>43.834306099999999</v>
      </c>
      <c r="I8" s="210">
        <v>36.3746163</v>
      </c>
      <c r="J8" s="208">
        <v>50.280232900000001</v>
      </c>
      <c r="K8" s="209">
        <v>76.420418299999994</v>
      </c>
      <c r="L8" s="209">
        <v>24.627815099999999</v>
      </c>
      <c r="M8" s="210">
        <v>32.539882200000001</v>
      </c>
      <c r="N8" s="208">
        <v>22.7615281</v>
      </c>
      <c r="O8" s="209">
        <v>36.515810700000003</v>
      </c>
      <c r="P8" s="209">
        <v>17.3662028</v>
      </c>
      <c r="Q8" s="210">
        <v>20.814251899999999</v>
      </c>
      <c r="R8" s="208">
        <v>43.557356900000002</v>
      </c>
      <c r="S8" s="209">
        <v>96.127869500000003</v>
      </c>
      <c r="T8" s="209">
        <v>95.449292499999999</v>
      </c>
      <c r="U8" s="210">
        <v>92.117910499999994</v>
      </c>
      <c r="V8" s="208">
        <v>47.649896099999999</v>
      </c>
      <c r="W8" s="209">
        <v>76.5970035</v>
      </c>
      <c r="X8" s="209">
        <v>100</v>
      </c>
      <c r="Y8" s="210">
        <v>43.594937299999998</v>
      </c>
      <c r="Z8" s="208">
        <v>100</v>
      </c>
      <c r="AA8" s="209">
        <v>100</v>
      </c>
      <c r="AB8" s="209">
        <v>53.216377100000003</v>
      </c>
      <c r="AC8" s="210">
        <v>100</v>
      </c>
    </row>
    <row r="10" spans="1:29" x14ac:dyDescent="0.2">
      <c r="B10" t="s">
        <v>1068</v>
      </c>
    </row>
    <row r="11" spans="1:29" x14ac:dyDescent="0.2">
      <c r="A11" s="236" t="s">
        <v>1115</v>
      </c>
      <c r="B11" s="302" t="s">
        <v>7</v>
      </c>
      <c r="C11" s="307"/>
      <c r="D11" s="307"/>
      <c r="E11" s="303"/>
      <c r="F11" s="302" t="s">
        <v>272</v>
      </c>
      <c r="G11" s="307"/>
      <c r="H11" s="307"/>
      <c r="I11" s="303"/>
      <c r="J11" s="302" t="s">
        <v>273</v>
      </c>
      <c r="K11" s="307"/>
      <c r="L11" s="307"/>
      <c r="M11" s="303"/>
      <c r="N11" s="302" t="s">
        <v>1063</v>
      </c>
      <c r="O11" s="307"/>
      <c r="P11" s="307"/>
      <c r="Q11" s="303"/>
      <c r="R11" s="302" t="s">
        <v>9</v>
      </c>
      <c r="S11" s="307"/>
      <c r="T11" s="307"/>
      <c r="U11" s="303"/>
      <c r="V11" s="302" t="s">
        <v>106</v>
      </c>
      <c r="W11" s="307"/>
      <c r="X11" s="307"/>
      <c r="Y11" s="303"/>
      <c r="Z11" s="302" t="s">
        <v>1064</v>
      </c>
      <c r="AA11" s="307"/>
      <c r="AB11" s="307"/>
      <c r="AC11" s="303"/>
    </row>
    <row r="12" spans="1:29" x14ac:dyDescent="0.2">
      <c r="A12" s="214" t="s">
        <v>423</v>
      </c>
      <c r="B12" s="205">
        <v>0</v>
      </c>
      <c r="C12" s="206">
        <v>0</v>
      </c>
      <c r="D12" s="206">
        <v>0</v>
      </c>
      <c r="E12" s="207">
        <v>0</v>
      </c>
      <c r="F12" s="205">
        <v>81.667586999999997</v>
      </c>
      <c r="G12" s="206">
        <v>81.446241700000002</v>
      </c>
      <c r="H12" s="206">
        <v>56.754627800000002</v>
      </c>
      <c r="I12" s="207">
        <v>62.150220900000001</v>
      </c>
      <c r="J12" s="205">
        <v>15.0745445</v>
      </c>
      <c r="K12" s="206">
        <v>15.699334</v>
      </c>
      <c r="L12" s="206">
        <v>42.181961399999999</v>
      </c>
      <c r="M12" s="207">
        <v>2.8473245</v>
      </c>
      <c r="N12" s="205">
        <v>19.491993399999998</v>
      </c>
      <c r="O12" s="206">
        <v>25.594671699999999</v>
      </c>
      <c r="P12" s="206">
        <v>8.1922016499999994</v>
      </c>
      <c r="Q12" s="207">
        <v>9.4256259199999999</v>
      </c>
      <c r="R12" s="205">
        <v>0.16565432999999999</v>
      </c>
      <c r="S12" s="206">
        <v>5.42340628</v>
      </c>
      <c r="T12" s="206">
        <v>13.076014199999999</v>
      </c>
      <c r="U12" s="207">
        <v>5.8910162000000001</v>
      </c>
      <c r="V12" s="205">
        <v>-2.0430701</v>
      </c>
      <c r="W12" s="206">
        <v>4.28163654</v>
      </c>
      <c r="X12" s="206">
        <v>-2.3237494999999999</v>
      </c>
      <c r="Y12" s="207">
        <v>1.62002946</v>
      </c>
      <c r="Z12" s="205">
        <v>31.419105500000001</v>
      </c>
      <c r="AA12" s="206">
        <v>37.963844000000002</v>
      </c>
      <c r="AB12" s="206">
        <v>33.005120099999999</v>
      </c>
      <c r="AC12" s="207">
        <v>30.387825200000002</v>
      </c>
    </row>
    <row r="13" spans="1:29" x14ac:dyDescent="0.2">
      <c r="A13" s="215" t="s">
        <v>386</v>
      </c>
      <c r="B13" s="205">
        <v>0</v>
      </c>
      <c r="C13" s="206">
        <v>0</v>
      </c>
      <c r="D13" s="206">
        <v>0</v>
      </c>
      <c r="E13" s="207">
        <v>0</v>
      </c>
      <c r="F13" s="205">
        <v>41.505425000000002</v>
      </c>
      <c r="G13" s="206">
        <v>31.0237716</v>
      </c>
      <c r="H13" s="206">
        <v>-9.6598024999999996</v>
      </c>
      <c r="I13" s="207">
        <v>14.222932500000001</v>
      </c>
      <c r="J13" s="205">
        <v>6.2432188100000001</v>
      </c>
      <c r="K13" s="206">
        <v>0.66953149000000001</v>
      </c>
      <c r="L13" s="206">
        <v>2.60099613</v>
      </c>
      <c r="M13" s="207">
        <v>-6.2233013000000001</v>
      </c>
      <c r="N13" s="205">
        <v>18.022905399999999</v>
      </c>
      <c r="O13" s="206">
        <v>8.6878148500000005</v>
      </c>
      <c r="P13" s="206">
        <v>1.0747677200000001</v>
      </c>
      <c r="Q13" s="207">
        <v>0</v>
      </c>
      <c r="R13" s="205">
        <v>0</v>
      </c>
      <c r="S13" s="206">
        <v>3.4184732800000002</v>
      </c>
      <c r="T13" s="206">
        <v>-9.0889232</v>
      </c>
      <c r="U13" s="207">
        <v>-21.806139999999999</v>
      </c>
      <c r="V13" s="205">
        <v>0.85292345000000003</v>
      </c>
      <c r="W13" s="206">
        <v>15.777445200000001</v>
      </c>
      <c r="X13" s="206">
        <v>-8.3214400000000008</v>
      </c>
      <c r="Y13" s="207">
        <v>-1.6518638999999999</v>
      </c>
      <c r="Z13" s="205">
        <v>23.407173</v>
      </c>
      <c r="AA13" s="206">
        <v>17.230779099999999</v>
      </c>
      <c r="AB13" s="206">
        <v>-8.1292051000000001</v>
      </c>
      <c r="AC13" s="207">
        <v>-1.8562341</v>
      </c>
    </row>
    <row r="14" spans="1:29" x14ac:dyDescent="0.2">
      <c r="A14" s="215" t="s">
        <v>892</v>
      </c>
      <c r="B14" s="205">
        <v>0</v>
      </c>
      <c r="C14" s="206">
        <v>0</v>
      </c>
      <c r="D14" s="206">
        <v>0</v>
      </c>
      <c r="E14" s="207">
        <v>0</v>
      </c>
      <c r="F14" s="205">
        <v>65.036016599999996</v>
      </c>
      <c r="G14" s="206">
        <v>56.312160800000001</v>
      </c>
      <c r="H14" s="206">
        <v>15.1509904</v>
      </c>
      <c r="I14" s="207">
        <v>30.306586500000002</v>
      </c>
      <c r="J14" s="205">
        <v>22.669835800000001</v>
      </c>
      <c r="K14" s="206">
        <v>29.9427901</v>
      </c>
      <c r="L14" s="206">
        <v>38.084208199999999</v>
      </c>
      <c r="M14" s="207">
        <v>-5.9322283000000002</v>
      </c>
      <c r="N14" s="205">
        <v>21.185515800000001</v>
      </c>
      <c r="O14" s="206">
        <v>34.273140699999999</v>
      </c>
      <c r="P14" s="206">
        <v>4.0047624199999996</v>
      </c>
      <c r="Q14" s="207">
        <v>1.3847733600000001</v>
      </c>
      <c r="R14" s="205">
        <v>6.9607819400000004</v>
      </c>
      <c r="S14" s="206">
        <v>11.2336805</v>
      </c>
      <c r="T14" s="206">
        <v>-2.6561316000000001</v>
      </c>
      <c r="U14" s="207">
        <v>-5.6564471000000003</v>
      </c>
      <c r="V14" s="205">
        <v>1.65894594</v>
      </c>
      <c r="W14" s="206">
        <v>7.8656300400000001</v>
      </c>
      <c r="X14" s="206">
        <v>-12.025111000000001</v>
      </c>
      <c r="Y14" s="207">
        <v>-4.6824116</v>
      </c>
      <c r="Z14" s="205">
        <v>13.4170891</v>
      </c>
      <c r="AA14" s="206">
        <v>14.698547700000001</v>
      </c>
      <c r="AB14" s="206">
        <v>-7.1349713000000001</v>
      </c>
      <c r="AC14" s="207">
        <v>-9.9105177999999992</v>
      </c>
    </row>
    <row r="15" spans="1:29" x14ac:dyDescent="0.2">
      <c r="A15" s="215" t="s">
        <v>891</v>
      </c>
      <c r="B15" s="205">
        <v>0</v>
      </c>
      <c r="C15" s="206">
        <v>0</v>
      </c>
      <c r="D15" s="206">
        <v>0</v>
      </c>
      <c r="E15" s="207">
        <v>0</v>
      </c>
      <c r="F15" s="205">
        <v>46.917642499999999</v>
      </c>
      <c r="G15" s="206">
        <v>34.327230499999999</v>
      </c>
      <c r="H15" s="206">
        <v>-5.1505174</v>
      </c>
      <c r="I15" s="207">
        <v>12.5911308</v>
      </c>
      <c r="J15" s="205">
        <v>17.158618000000001</v>
      </c>
      <c r="K15" s="206">
        <v>24.998546900000001</v>
      </c>
      <c r="L15" s="206">
        <v>24.9529633</v>
      </c>
      <c r="M15" s="207">
        <v>-1.6170586</v>
      </c>
      <c r="N15" s="205">
        <v>17.3231395</v>
      </c>
      <c r="O15" s="206">
        <v>17.343795400000001</v>
      </c>
      <c r="P15" s="206">
        <v>-1.1618062</v>
      </c>
      <c r="Q15" s="207">
        <v>-1.9733596</v>
      </c>
      <c r="R15" s="205">
        <v>4.9356430900000001</v>
      </c>
      <c r="S15" s="206">
        <v>8.8113920399999994</v>
      </c>
      <c r="T15" s="206">
        <v>-5.9172153999999999</v>
      </c>
      <c r="U15" s="207">
        <v>-13.347585</v>
      </c>
      <c r="V15" s="205">
        <v>2.0952288800000001</v>
      </c>
      <c r="W15" s="206">
        <v>11.7872711</v>
      </c>
      <c r="X15" s="206">
        <v>-11.881468</v>
      </c>
      <c r="Y15" s="207">
        <v>-5.0868826</v>
      </c>
      <c r="Z15" s="205">
        <v>15.552114599999999</v>
      </c>
      <c r="AA15" s="206">
        <v>12.862539999999999</v>
      </c>
      <c r="AB15" s="206">
        <v>-10.625588</v>
      </c>
      <c r="AC15" s="207">
        <v>-0.9044565</v>
      </c>
    </row>
    <row r="16" spans="1:29" x14ac:dyDescent="0.2">
      <c r="A16" s="215" t="s">
        <v>1023</v>
      </c>
      <c r="B16" s="205">
        <v>0</v>
      </c>
      <c r="C16" s="206">
        <v>0</v>
      </c>
      <c r="D16" s="206">
        <v>0</v>
      </c>
      <c r="E16" s="207">
        <v>0</v>
      </c>
      <c r="F16" s="205">
        <v>79.649828900000003</v>
      </c>
      <c r="G16" s="206">
        <v>78.5725348</v>
      </c>
      <c r="H16" s="206">
        <v>48.062432700000002</v>
      </c>
      <c r="I16" s="207">
        <v>59.025901599999997</v>
      </c>
      <c r="J16" s="205">
        <v>9.1228795999999992</v>
      </c>
      <c r="K16" s="206">
        <v>25.719595600000002</v>
      </c>
      <c r="L16" s="206">
        <v>79.151929899999999</v>
      </c>
      <c r="M16" s="207">
        <v>1.14760193</v>
      </c>
      <c r="N16" s="205">
        <v>19.819836800000001</v>
      </c>
      <c r="O16" s="206">
        <v>39.505298799999998</v>
      </c>
      <c r="P16" s="206">
        <v>6.1029524799999999</v>
      </c>
      <c r="Q16" s="207">
        <v>14.2669476</v>
      </c>
      <c r="R16" s="205">
        <v>5.8355587299999998</v>
      </c>
      <c r="S16" s="206">
        <v>10.913958299999999</v>
      </c>
      <c r="T16" s="206">
        <v>-1.2821005999999999</v>
      </c>
      <c r="U16" s="207">
        <v>14.5718181</v>
      </c>
      <c r="V16" s="205">
        <v>-1.4236281</v>
      </c>
      <c r="W16" s="206">
        <v>3.0089161299999998</v>
      </c>
      <c r="X16" s="206">
        <v>-10.912271</v>
      </c>
      <c r="Y16" s="207">
        <v>2.8553724100000002</v>
      </c>
      <c r="Z16" s="205">
        <v>12.850265200000001</v>
      </c>
      <c r="AA16" s="206">
        <v>22.188544</v>
      </c>
      <c r="AB16" s="206">
        <v>2.62571121</v>
      </c>
      <c r="AC16" s="207">
        <v>4.5879291100000001</v>
      </c>
    </row>
    <row r="17" spans="1:29" x14ac:dyDescent="0.2">
      <c r="A17" s="215" t="s">
        <v>1066</v>
      </c>
      <c r="B17" s="205">
        <v>0</v>
      </c>
      <c r="C17" s="206">
        <v>0</v>
      </c>
      <c r="D17" s="206">
        <v>0</v>
      </c>
      <c r="E17" s="207">
        <v>0</v>
      </c>
      <c r="F17" s="205">
        <v>-8.1768400999999997</v>
      </c>
      <c r="G17" s="206">
        <v>-5.3986438000000003</v>
      </c>
      <c r="H17" s="206">
        <v>-38.578057000000001</v>
      </c>
      <c r="I17" s="207">
        <v>-0.94773810000000003</v>
      </c>
      <c r="J17" s="205">
        <v>-0.97087380000000001</v>
      </c>
      <c r="K17" s="206">
        <v>1.4597264700000001</v>
      </c>
      <c r="L17" s="206">
        <v>0</v>
      </c>
      <c r="M17" s="207">
        <v>22.6336826</v>
      </c>
      <c r="N17" s="205">
        <v>-12.113666</v>
      </c>
      <c r="O17" s="206">
        <v>-17.917342999999999</v>
      </c>
      <c r="P17" s="206">
        <v>-0.92804949999999997</v>
      </c>
      <c r="Q17" s="207">
        <v>-3.9029855000000002</v>
      </c>
      <c r="R17" s="205">
        <v>0.48921625000000002</v>
      </c>
      <c r="S17" s="206">
        <v>0.24165399000000001</v>
      </c>
      <c r="T17" s="206">
        <v>-20.650435000000002</v>
      </c>
      <c r="U17" s="207">
        <v>-7.9508785</v>
      </c>
      <c r="V17" s="205">
        <v>0</v>
      </c>
      <c r="W17" s="206">
        <v>0.48416037000000001</v>
      </c>
      <c r="X17" s="206">
        <v>-49.773766000000002</v>
      </c>
      <c r="Y17" s="207">
        <v>-10.138764999999999</v>
      </c>
      <c r="Z17" s="205">
        <v>-2.8836463000000001</v>
      </c>
      <c r="AA17" s="206">
        <v>-9.8494244000000002</v>
      </c>
      <c r="AB17" s="206">
        <v>-35.470336000000003</v>
      </c>
      <c r="AC17" s="207">
        <v>-40.264812999999997</v>
      </c>
    </row>
    <row r="18" spans="1:29" x14ac:dyDescent="0.2">
      <c r="A18" s="215" t="s">
        <v>1067</v>
      </c>
      <c r="B18" s="205">
        <v>0</v>
      </c>
      <c r="C18" s="206">
        <v>0</v>
      </c>
      <c r="D18" s="206">
        <v>0</v>
      </c>
      <c r="E18" s="207">
        <v>0</v>
      </c>
      <c r="F18" s="205">
        <v>58.348359199999997</v>
      </c>
      <c r="G18" s="206">
        <v>60.164549899999997</v>
      </c>
      <c r="H18" s="206">
        <v>7.7462617500000004</v>
      </c>
      <c r="I18" s="207">
        <v>42.439909999999998</v>
      </c>
      <c r="J18" s="205">
        <v>35.220579399999998</v>
      </c>
      <c r="K18" s="206">
        <v>48.138829000000001</v>
      </c>
      <c r="L18" s="206">
        <v>25.551102199999999</v>
      </c>
      <c r="M18" s="207">
        <v>34.869953000000002</v>
      </c>
      <c r="N18" s="205">
        <v>10.295708599999999</v>
      </c>
      <c r="O18" s="206">
        <v>10.9952872</v>
      </c>
      <c r="P18" s="206">
        <v>-1.3835363000000001</v>
      </c>
      <c r="Q18" s="207">
        <v>3.1534909400000002</v>
      </c>
      <c r="R18" s="205">
        <v>7.0080538499999996</v>
      </c>
      <c r="S18" s="206">
        <v>5.9150091900000001</v>
      </c>
      <c r="T18" s="206">
        <v>-12.428704</v>
      </c>
      <c r="U18" s="207">
        <v>-8.7461024999999992</v>
      </c>
      <c r="V18" s="205">
        <v>6.8938574299999997</v>
      </c>
      <c r="W18" s="206">
        <v>1.8412013700000001</v>
      </c>
      <c r="X18" s="206">
        <v>-25.231231999999999</v>
      </c>
      <c r="Y18" s="207">
        <v>-4.9808579999999996</v>
      </c>
      <c r="Z18" s="205">
        <v>17.7335016</v>
      </c>
      <c r="AA18" s="206">
        <v>12.780573499999999</v>
      </c>
      <c r="AB18" s="206">
        <v>-7.5882534000000001</v>
      </c>
      <c r="AC18" s="207">
        <v>-8.1027746</v>
      </c>
    </row>
    <row r="19" spans="1:29" x14ac:dyDescent="0.2">
      <c r="A19" s="216" t="s">
        <v>893</v>
      </c>
      <c r="B19" s="208">
        <v>0</v>
      </c>
      <c r="C19" s="209">
        <v>0</v>
      </c>
      <c r="D19" s="209">
        <v>0</v>
      </c>
      <c r="E19" s="210">
        <v>0</v>
      </c>
      <c r="F19" s="208">
        <v>69.438507900000005</v>
      </c>
      <c r="G19" s="209">
        <v>61.598052199999998</v>
      </c>
      <c r="H19" s="209">
        <v>36.413043500000001</v>
      </c>
      <c r="I19" s="210">
        <v>43.520076899999999</v>
      </c>
      <c r="J19" s="208">
        <v>3.2057509199999998</v>
      </c>
      <c r="K19" s="209">
        <v>17.042939400000002</v>
      </c>
      <c r="L19" s="209">
        <v>54.347826099999999</v>
      </c>
      <c r="M19" s="210">
        <v>-4.9531137000000003</v>
      </c>
      <c r="N19" s="208">
        <v>17.077909500000001</v>
      </c>
      <c r="O19" s="209">
        <v>33.444001800000002</v>
      </c>
      <c r="P19" s="209">
        <v>4.8913043500000004</v>
      </c>
      <c r="Q19" s="210">
        <v>13.2964655</v>
      </c>
      <c r="R19" s="208">
        <v>4.5657664699999998</v>
      </c>
      <c r="S19" s="209">
        <v>7.1049136800000001</v>
      </c>
      <c r="T19" s="209">
        <v>-3.2233882999999999</v>
      </c>
      <c r="U19" s="210">
        <v>12.7915364</v>
      </c>
      <c r="V19" s="208">
        <v>-2.5840295000000002</v>
      </c>
      <c r="W19" s="209">
        <v>3.3864541799999999</v>
      </c>
      <c r="X19" s="209">
        <v>-10.176162</v>
      </c>
      <c r="Y19" s="210">
        <v>0.36066362000000002</v>
      </c>
      <c r="Z19" s="208">
        <v>9.3841072499999996</v>
      </c>
      <c r="AA19" s="209">
        <v>14.010624200000001</v>
      </c>
      <c r="AB19" s="209">
        <v>-5.2286356999999999</v>
      </c>
      <c r="AC19" s="210">
        <v>4.1836979999999997</v>
      </c>
    </row>
    <row r="20" spans="1:29" x14ac:dyDescent="0.2">
      <c r="A20" s="236"/>
    </row>
    <row r="21" spans="1:29" x14ac:dyDescent="0.2">
      <c r="A21" s="268" t="s">
        <v>1209</v>
      </c>
      <c r="B21" s="18" t="s">
        <v>1069</v>
      </c>
      <c r="C21" s="18"/>
      <c r="D21" s="18"/>
      <c r="E21" s="18"/>
      <c r="F21" s="18"/>
      <c r="G21" s="19"/>
    </row>
    <row r="22" spans="1:29" x14ac:dyDescent="0.2">
      <c r="A22" s="284" t="s">
        <v>7</v>
      </c>
      <c r="B22" s="285" t="s">
        <v>104</v>
      </c>
      <c r="C22" s="285" t="s">
        <v>273</v>
      </c>
      <c r="D22" s="285" t="s">
        <v>105</v>
      </c>
      <c r="E22" s="285" t="s">
        <v>106</v>
      </c>
      <c r="F22" s="285" t="s">
        <v>9</v>
      </c>
      <c r="G22" s="286" t="s">
        <v>19</v>
      </c>
    </row>
    <row r="23" spans="1:29" x14ac:dyDescent="0.2">
      <c r="A23" s="205">
        <v>100</v>
      </c>
      <c r="B23" s="206">
        <v>82.003710580000003</v>
      </c>
      <c r="C23" s="206">
        <v>11.50278293</v>
      </c>
      <c r="D23" s="206">
        <v>78.66419295</v>
      </c>
      <c r="E23" s="206">
        <v>90.538033400000003</v>
      </c>
      <c r="F23" s="206">
        <v>94.434137289999995</v>
      </c>
      <c r="G23" s="207">
        <v>85.714285709999999</v>
      </c>
    </row>
    <row r="24" spans="1:29" x14ac:dyDescent="0.2">
      <c r="A24" s="205">
        <v>100</v>
      </c>
      <c r="B24" s="206">
        <v>105.0682261</v>
      </c>
      <c r="C24" s="206">
        <v>-0.77972709600000001</v>
      </c>
      <c r="D24" s="206">
        <v>100.7797271</v>
      </c>
      <c r="E24" s="206">
        <v>91.812865500000001</v>
      </c>
      <c r="F24" s="206">
        <v>105.4580897</v>
      </c>
      <c r="G24" s="207">
        <v>60.233918129999999</v>
      </c>
    </row>
    <row r="25" spans="1:29" x14ac:dyDescent="0.2">
      <c r="A25" s="208">
        <v>100</v>
      </c>
      <c r="B25" s="209">
        <v>73.264781490000004</v>
      </c>
      <c r="C25" s="209">
        <v>6.4267352190000002</v>
      </c>
      <c r="D25" s="209">
        <v>31.10539846</v>
      </c>
      <c r="E25" s="209">
        <v>46.529562980000001</v>
      </c>
      <c r="F25" s="209">
        <v>105.3984576</v>
      </c>
      <c r="G25" s="210">
        <v>94.601542420000001</v>
      </c>
    </row>
    <row r="27" spans="1:29" x14ac:dyDescent="0.2">
      <c r="A27" t="s">
        <v>1190</v>
      </c>
      <c r="J27" t="s">
        <v>1195</v>
      </c>
    </row>
    <row r="28" spans="1:29" x14ac:dyDescent="0.2">
      <c r="A28" t="s">
        <v>1122</v>
      </c>
      <c r="B28" s="235" t="s">
        <v>1141</v>
      </c>
      <c r="C28" t="s">
        <v>272</v>
      </c>
      <c r="D28" t="s">
        <v>273</v>
      </c>
      <c r="E28" t="s">
        <v>274</v>
      </c>
      <c r="F28" t="s">
        <v>9</v>
      </c>
      <c r="G28" t="s">
        <v>106</v>
      </c>
      <c r="H28" t="s">
        <v>1192</v>
      </c>
      <c r="J28" t="s">
        <v>1194</v>
      </c>
      <c r="K28" s="235" t="s">
        <v>1141</v>
      </c>
      <c r="L28" t="s">
        <v>272</v>
      </c>
      <c r="M28" t="s">
        <v>273</v>
      </c>
      <c r="N28" t="s">
        <v>274</v>
      </c>
      <c r="O28" t="s">
        <v>9</v>
      </c>
      <c r="P28" t="s">
        <v>106</v>
      </c>
      <c r="Q28" t="s">
        <v>139</v>
      </c>
    </row>
    <row r="29" spans="1:29" x14ac:dyDescent="0.2">
      <c r="A29" t="s">
        <v>139</v>
      </c>
      <c r="B29" t="s">
        <v>7</v>
      </c>
      <c r="C29" s="122" t="s">
        <v>1131</v>
      </c>
      <c r="D29" s="122">
        <v>7.5700000000000003E-2</v>
      </c>
      <c r="E29" s="122" t="s">
        <v>1133</v>
      </c>
      <c r="F29" s="122" t="s">
        <v>1133</v>
      </c>
      <c r="G29" s="122" t="s">
        <v>1133</v>
      </c>
      <c r="H29" s="122" t="s">
        <v>1191</v>
      </c>
      <c r="J29" t="s">
        <v>423</v>
      </c>
      <c r="K29" t="s">
        <v>7</v>
      </c>
      <c r="L29" s="122" t="s">
        <v>1131</v>
      </c>
      <c r="M29" s="122">
        <v>8.43E-2</v>
      </c>
      <c r="N29" s="122">
        <v>0.21790000000000001</v>
      </c>
      <c r="O29" s="122">
        <v>0.95530000000000004</v>
      </c>
      <c r="P29" s="122" t="s">
        <v>1133</v>
      </c>
      <c r="Q29" s="122">
        <v>5.9999999999999995E-4</v>
      </c>
      <c r="S29" s="122"/>
    </row>
    <row r="30" spans="1:29" x14ac:dyDescent="0.2">
      <c r="B30" t="s">
        <v>272</v>
      </c>
      <c r="C30" s="258"/>
      <c r="D30" s="122" t="s">
        <v>1131</v>
      </c>
      <c r="E30" s="122" t="s">
        <v>1131</v>
      </c>
      <c r="F30" s="122" t="s">
        <v>1131</v>
      </c>
      <c r="G30" s="122" t="s">
        <v>1131</v>
      </c>
      <c r="H30" s="122" t="s">
        <v>1191</v>
      </c>
      <c r="K30" t="s">
        <v>272</v>
      </c>
      <c r="L30" s="258"/>
      <c r="M30" s="122" t="s">
        <v>1131</v>
      </c>
      <c r="N30" s="122" t="s">
        <v>1131</v>
      </c>
      <c r="O30" s="122" t="s">
        <v>1131</v>
      </c>
      <c r="P30" s="122" t="s">
        <v>1131</v>
      </c>
      <c r="Q30" s="122">
        <v>1E-4</v>
      </c>
      <c r="S30" s="122"/>
    </row>
    <row r="31" spans="1:29" x14ac:dyDescent="0.2">
      <c r="B31" t="s">
        <v>273</v>
      </c>
      <c r="C31" s="258"/>
      <c r="D31" s="258"/>
      <c r="E31" s="122">
        <v>7.5700000000000003E-2</v>
      </c>
      <c r="F31" s="122">
        <v>7.5700000000000003E-2</v>
      </c>
      <c r="G31" s="122">
        <v>7.5700000000000003E-2</v>
      </c>
      <c r="H31" s="122" t="s">
        <v>1191</v>
      </c>
      <c r="I31" s="122"/>
      <c r="K31" t="s">
        <v>273</v>
      </c>
      <c r="L31" s="258"/>
      <c r="M31" s="258"/>
      <c r="N31" s="122">
        <v>0.99829999999999997</v>
      </c>
      <c r="O31" s="122">
        <v>0.43</v>
      </c>
      <c r="P31" s="122">
        <v>9.4899999999999998E-2</v>
      </c>
      <c r="Q31" s="122">
        <v>0.31259999999999999</v>
      </c>
      <c r="S31" s="122"/>
    </row>
    <row r="32" spans="1:29" x14ac:dyDescent="0.2">
      <c r="B32" t="s">
        <v>274</v>
      </c>
      <c r="C32" s="258"/>
      <c r="D32" s="258"/>
      <c r="E32" s="258"/>
      <c r="F32" s="122" t="s">
        <v>1133</v>
      </c>
      <c r="G32" s="122" t="s">
        <v>1133</v>
      </c>
      <c r="H32" s="122" t="s">
        <v>1191</v>
      </c>
      <c r="I32" s="122"/>
      <c r="K32" t="s">
        <v>274</v>
      </c>
      <c r="L32" s="258"/>
      <c r="M32" s="258"/>
      <c r="N32" s="258"/>
      <c r="O32" s="122">
        <v>0.73829999999999996</v>
      </c>
      <c r="P32" s="122">
        <v>0.2409</v>
      </c>
      <c r="Q32" s="122">
        <v>0.13009999999999999</v>
      </c>
      <c r="R32" s="122"/>
      <c r="S32" s="122"/>
    </row>
    <row r="33" spans="1:20" x14ac:dyDescent="0.2">
      <c r="B33" t="s">
        <v>9</v>
      </c>
      <c r="C33" s="258"/>
      <c r="D33" s="258"/>
      <c r="E33" s="258"/>
      <c r="F33" s="258"/>
      <c r="G33" s="122" t="s">
        <v>1133</v>
      </c>
      <c r="H33" s="122" t="s">
        <v>1191</v>
      </c>
      <c r="I33" s="122"/>
      <c r="K33" t="s">
        <v>9</v>
      </c>
      <c r="L33" s="258"/>
      <c r="M33" s="258"/>
      <c r="N33" s="258"/>
      <c r="O33" s="258"/>
      <c r="P33" s="122">
        <v>0.96699999999999997</v>
      </c>
      <c r="Q33" s="122">
        <v>5.3E-3</v>
      </c>
      <c r="R33" s="122"/>
      <c r="S33" s="122"/>
    </row>
    <row r="34" spans="1:20" x14ac:dyDescent="0.2">
      <c r="B34" t="s">
        <v>106</v>
      </c>
      <c r="C34" s="258"/>
      <c r="D34" s="258"/>
      <c r="E34" s="258"/>
      <c r="F34" s="258"/>
      <c r="G34" s="258"/>
      <c r="H34" s="122" t="s">
        <v>1191</v>
      </c>
      <c r="I34" s="122"/>
      <c r="K34" t="s">
        <v>106</v>
      </c>
      <c r="L34" s="258"/>
      <c r="M34" s="258"/>
      <c r="N34" s="258"/>
      <c r="O34" s="258"/>
      <c r="P34" s="258"/>
      <c r="Q34" s="122">
        <v>6.9999999999999999E-4</v>
      </c>
      <c r="R34" s="122"/>
      <c r="S34" s="122"/>
    </row>
    <row r="35" spans="1:20" x14ac:dyDescent="0.2">
      <c r="A35" t="s">
        <v>1153</v>
      </c>
      <c r="B35" t="s">
        <v>7</v>
      </c>
      <c r="C35" s="122">
        <v>1.03E-2</v>
      </c>
      <c r="D35" s="122">
        <v>0.12709999999999999</v>
      </c>
      <c r="E35" s="122" t="s">
        <v>1133</v>
      </c>
      <c r="F35" s="122">
        <v>0.99870000000000003</v>
      </c>
      <c r="G35" s="122">
        <v>0.99970000000000003</v>
      </c>
      <c r="H35" s="122" t="s">
        <v>1133</v>
      </c>
      <c r="J35" s="122" t="s">
        <v>892</v>
      </c>
      <c r="K35" t="s">
        <v>7</v>
      </c>
      <c r="L35" s="122">
        <v>7.7000000000000002E-3</v>
      </c>
      <c r="M35" s="122">
        <v>0.39489999999999997</v>
      </c>
      <c r="N35" s="122">
        <v>0.7429</v>
      </c>
      <c r="O35" s="122" t="s">
        <v>1133</v>
      </c>
      <c r="P35" s="122" t="s">
        <v>1133</v>
      </c>
      <c r="Q35" s="122" t="s">
        <v>1133</v>
      </c>
      <c r="R35" s="122"/>
      <c r="S35" s="122"/>
    </row>
    <row r="36" spans="1:20" x14ac:dyDescent="0.2">
      <c r="B36" t="s">
        <v>272</v>
      </c>
      <c r="C36" s="258"/>
      <c r="D36" s="122">
        <v>0.88719999999999999</v>
      </c>
      <c r="E36" s="122">
        <v>7.7000000000000002E-3</v>
      </c>
      <c r="F36" s="122">
        <v>3.3999999999999998E-3</v>
      </c>
      <c r="G36" s="122">
        <v>4.3E-3</v>
      </c>
      <c r="H36" s="122">
        <v>1.49E-2</v>
      </c>
      <c r="J36" s="122"/>
      <c r="K36" t="s">
        <v>272</v>
      </c>
      <c r="L36" s="258"/>
      <c r="M36" s="122">
        <v>0.432</v>
      </c>
      <c r="N36" s="122">
        <v>0.17319999999999999</v>
      </c>
      <c r="O36" s="122">
        <v>1.3299999999999999E-2</v>
      </c>
      <c r="P36" s="122">
        <v>5.1999999999999998E-3</v>
      </c>
      <c r="Q36" s="122">
        <v>1.4200000000000001E-2</v>
      </c>
      <c r="R36" s="122"/>
      <c r="S36" s="122"/>
    </row>
    <row r="37" spans="1:20" x14ac:dyDescent="0.2">
      <c r="B37" t="s">
        <v>273</v>
      </c>
      <c r="C37" s="258"/>
      <c r="D37" s="258"/>
      <c r="E37" s="122">
        <v>9.8799999999999999E-2</v>
      </c>
      <c r="F37" s="122">
        <v>4.7800000000000002E-2</v>
      </c>
      <c r="G37" s="122">
        <v>5.9900000000000002E-2</v>
      </c>
      <c r="H37" s="122">
        <v>0.1709</v>
      </c>
      <c r="K37" t="s">
        <v>273</v>
      </c>
      <c r="L37" s="258"/>
      <c r="M37" s="258"/>
      <c r="N37" s="122">
        <v>0.99650000000000005</v>
      </c>
      <c r="O37" s="122">
        <v>0.53559999999999997</v>
      </c>
      <c r="P37" s="122">
        <v>0.30590000000000001</v>
      </c>
      <c r="Q37" s="122">
        <v>0.5534</v>
      </c>
      <c r="R37" s="122"/>
      <c r="S37" s="122"/>
    </row>
    <row r="38" spans="1:20" x14ac:dyDescent="0.2">
      <c r="B38" t="s">
        <v>274</v>
      </c>
      <c r="C38" s="258"/>
      <c r="D38" s="258"/>
      <c r="E38" s="258"/>
      <c r="F38" s="122">
        <v>0.99980000000000002</v>
      </c>
      <c r="G38" s="122" t="s">
        <v>1133</v>
      </c>
      <c r="H38" s="122" t="s">
        <v>1133</v>
      </c>
      <c r="I38" s="122"/>
      <c r="K38" t="s">
        <v>274</v>
      </c>
      <c r="L38" s="258"/>
      <c r="M38" s="258"/>
      <c r="N38" s="258"/>
      <c r="O38" s="122">
        <v>0.86429999999999996</v>
      </c>
      <c r="P38" s="122">
        <v>0.63859999999999995</v>
      </c>
      <c r="Q38" s="122">
        <v>0.87639999999999996</v>
      </c>
      <c r="R38" s="122"/>
      <c r="S38" s="122"/>
    </row>
    <row r="39" spans="1:20" x14ac:dyDescent="0.2">
      <c r="B39" t="s">
        <v>9</v>
      </c>
      <c r="C39" s="258"/>
      <c r="D39" s="258"/>
      <c r="E39" s="258"/>
      <c r="F39" s="258"/>
      <c r="G39" s="122" t="s">
        <v>1133</v>
      </c>
      <c r="H39" s="122">
        <v>0.99370000000000003</v>
      </c>
      <c r="K39" t="s">
        <v>9</v>
      </c>
      <c r="L39" s="258"/>
      <c r="M39" s="258"/>
      <c r="N39" s="258"/>
      <c r="O39" s="258"/>
      <c r="P39" s="122">
        <v>0.99950000000000006</v>
      </c>
      <c r="Q39" s="122" t="s">
        <v>1133</v>
      </c>
      <c r="S39" s="122"/>
    </row>
    <row r="40" spans="1:20" x14ac:dyDescent="0.2">
      <c r="B40" t="s">
        <v>106</v>
      </c>
      <c r="C40" s="258"/>
      <c r="D40" s="258"/>
      <c r="E40" s="258"/>
      <c r="F40" s="258"/>
      <c r="G40" s="258"/>
      <c r="H40" s="122">
        <v>0.99770000000000003</v>
      </c>
      <c r="I40" s="122"/>
      <c r="K40" t="s">
        <v>106</v>
      </c>
      <c r="L40" s="258"/>
      <c r="M40" s="258"/>
      <c r="N40" s="258"/>
      <c r="O40" s="258"/>
      <c r="P40" s="258"/>
      <c r="Q40" s="122">
        <v>0.99919999999999998</v>
      </c>
      <c r="S40" s="122"/>
    </row>
    <row r="41" spans="1:20" x14ac:dyDescent="0.2">
      <c r="A41" t="s">
        <v>276</v>
      </c>
      <c r="B41" t="s">
        <v>7</v>
      </c>
      <c r="C41" s="122" t="s">
        <v>1131</v>
      </c>
      <c r="D41" s="122">
        <v>6.0100000000000001E-2</v>
      </c>
      <c r="E41" s="122" t="s">
        <v>1133</v>
      </c>
      <c r="F41" s="122" t="s">
        <v>1133</v>
      </c>
      <c r="G41" s="122" t="s">
        <v>1133</v>
      </c>
      <c r="H41" s="122" t="s">
        <v>1133</v>
      </c>
      <c r="I41" s="122"/>
      <c r="J41" s="122" t="s">
        <v>1023</v>
      </c>
      <c r="K41" t="s">
        <v>7</v>
      </c>
      <c r="L41" s="122">
        <v>2.0000000000000001E-4</v>
      </c>
      <c r="M41" s="122">
        <v>0.20569999999999999</v>
      </c>
      <c r="N41" s="122">
        <v>0.60070000000000001</v>
      </c>
      <c r="O41" s="122">
        <v>0.99380000000000002</v>
      </c>
      <c r="P41" s="122" t="s">
        <v>1133</v>
      </c>
      <c r="Q41" s="122">
        <v>0.96489999999999998</v>
      </c>
      <c r="S41" s="122"/>
    </row>
    <row r="42" spans="1:20" x14ac:dyDescent="0.2">
      <c r="B42" t="s">
        <v>272</v>
      </c>
      <c r="C42" s="258"/>
      <c r="D42" s="122">
        <v>0.1069</v>
      </c>
      <c r="E42" s="122">
        <v>2.0000000000000001E-4</v>
      </c>
      <c r="F42" s="122">
        <v>1E-4</v>
      </c>
      <c r="G42" s="122" t="s">
        <v>1131</v>
      </c>
      <c r="H42" s="122">
        <v>1E-4</v>
      </c>
      <c r="I42" s="122"/>
      <c r="J42" s="122"/>
      <c r="K42" t="s">
        <v>272</v>
      </c>
      <c r="L42" s="258"/>
      <c r="M42" s="122">
        <v>4.7699999999999999E-2</v>
      </c>
      <c r="N42" s="122">
        <v>8.8999999999999999E-3</v>
      </c>
      <c r="O42" s="122">
        <v>8.0000000000000004E-4</v>
      </c>
      <c r="P42" s="122">
        <v>1E-4</v>
      </c>
      <c r="Q42" s="122">
        <v>1.4E-3</v>
      </c>
      <c r="R42" s="122"/>
      <c r="S42" s="122"/>
    </row>
    <row r="43" spans="1:20" x14ac:dyDescent="0.2">
      <c r="B43" t="s">
        <v>273</v>
      </c>
      <c r="C43" s="258"/>
      <c r="D43" s="258"/>
      <c r="E43" s="122">
        <v>9.6100000000000005E-2</v>
      </c>
      <c r="F43" s="122">
        <v>6.1600000000000002E-2</v>
      </c>
      <c r="G43" s="122">
        <v>6.0100000000000001E-2</v>
      </c>
      <c r="H43" s="122">
        <v>6.2100000000000002E-2</v>
      </c>
      <c r="I43" s="122"/>
      <c r="J43" s="122"/>
      <c r="K43" t="s">
        <v>273</v>
      </c>
      <c r="L43" s="258"/>
      <c r="M43" s="258"/>
      <c r="N43" s="122">
        <v>0.98519999999999996</v>
      </c>
      <c r="O43" s="122">
        <v>0.52880000000000005</v>
      </c>
      <c r="P43" s="122">
        <v>0.1608</v>
      </c>
      <c r="Q43" s="122">
        <v>0.6905</v>
      </c>
      <c r="R43" s="122"/>
      <c r="S43" s="122"/>
    </row>
    <row r="44" spans="1:20" x14ac:dyDescent="0.2">
      <c r="B44" t="s">
        <v>274</v>
      </c>
      <c r="C44" s="258"/>
      <c r="D44" s="258"/>
      <c r="E44" s="258"/>
      <c r="F44" s="122" t="s">
        <v>1133</v>
      </c>
      <c r="G44" s="122" t="s">
        <v>1133</v>
      </c>
      <c r="H44" s="122" t="s">
        <v>1133</v>
      </c>
      <c r="I44" s="122"/>
      <c r="J44" s="122"/>
      <c r="K44" t="s">
        <v>274</v>
      </c>
      <c r="L44" s="258"/>
      <c r="M44" s="258"/>
      <c r="N44" s="258"/>
      <c r="O44" s="122">
        <v>0.92649999999999999</v>
      </c>
      <c r="P44" s="122">
        <v>0.51490000000000002</v>
      </c>
      <c r="Q44" s="122">
        <v>0.98050000000000004</v>
      </c>
      <c r="R44" s="122"/>
      <c r="S44" s="122"/>
    </row>
    <row r="45" spans="1:20" x14ac:dyDescent="0.2">
      <c r="B45" t="s">
        <v>9</v>
      </c>
      <c r="C45" s="258"/>
      <c r="D45" s="258"/>
      <c r="E45" s="258"/>
      <c r="F45" s="258"/>
      <c r="G45" s="122" t="s">
        <v>1133</v>
      </c>
      <c r="H45" s="122" t="s">
        <v>1133</v>
      </c>
      <c r="I45" s="122"/>
      <c r="J45" s="122"/>
      <c r="K45" t="s">
        <v>9</v>
      </c>
      <c r="L45" s="258"/>
      <c r="M45" s="258"/>
      <c r="N45" s="258"/>
      <c r="O45" s="258"/>
      <c r="P45" s="122">
        <v>0.9829</v>
      </c>
      <c r="Q45" s="122" t="s">
        <v>1133</v>
      </c>
      <c r="R45" s="122"/>
      <c r="S45" s="122"/>
      <c r="T45" s="122"/>
    </row>
    <row r="46" spans="1:20" x14ac:dyDescent="0.2">
      <c r="B46" t="s">
        <v>106</v>
      </c>
      <c r="C46" s="258"/>
      <c r="D46" s="258"/>
      <c r="E46" s="258"/>
      <c r="F46" s="258"/>
      <c r="G46" s="258"/>
      <c r="H46" s="122" t="s">
        <v>1133</v>
      </c>
      <c r="I46" s="122"/>
      <c r="J46" s="122"/>
      <c r="K46" t="s">
        <v>106</v>
      </c>
      <c r="L46" s="258"/>
      <c r="M46" s="258"/>
      <c r="N46" s="258"/>
      <c r="O46" s="258"/>
      <c r="P46" s="258"/>
      <c r="Q46" s="122">
        <v>0.93240000000000001</v>
      </c>
      <c r="S46" s="122"/>
      <c r="T46" s="122"/>
    </row>
    <row r="47" spans="1:20" x14ac:dyDescent="0.2">
      <c r="A47" t="s">
        <v>66</v>
      </c>
      <c r="B47" t="s">
        <v>7</v>
      </c>
      <c r="C47" s="122" t="s">
        <v>1131</v>
      </c>
      <c r="D47" s="122">
        <v>0.95760000000000001</v>
      </c>
      <c r="E47" s="122">
        <v>0.83069999999999999</v>
      </c>
      <c r="F47" s="122" t="s">
        <v>1133</v>
      </c>
      <c r="G47" s="122" t="s">
        <v>1133</v>
      </c>
      <c r="H47" s="122">
        <v>0.38919999999999999</v>
      </c>
      <c r="I47" s="122"/>
      <c r="J47" s="122" t="s">
        <v>1067</v>
      </c>
      <c r="K47" t="s">
        <v>7</v>
      </c>
      <c r="L47" s="122">
        <v>2.7000000000000001E-3</v>
      </c>
      <c r="M47" s="122">
        <v>1.24E-2</v>
      </c>
      <c r="N47" s="122">
        <v>0.99519999999999997</v>
      </c>
      <c r="O47" s="122" t="s">
        <v>1133</v>
      </c>
      <c r="P47" s="122">
        <v>0.99670000000000003</v>
      </c>
      <c r="Q47" s="122">
        <v>0.99960000000000004</v>
      </c>
      <c r="R47" s="122"/>
    </row>
    <row r="48" spans="1:20" x14ac:dyDescent="0.2">
      <c r="B48" t="s">
        <v>272</v>
      </c>
      <c r="C48" s="258"/>
      <c r="D48" s="122" t="s">
        <v>1131</v>
      </c>
      <c r="E48" s="122" t="s">
        <v>1131</v>
      </c>
      <c r="F48" s="122" t="s">
        <v>1131</v>
      </c>
      <c r="G48" s="122" t="s">
        <v>1131</v>
      </c>
      <c r="H48" s="122" t="s">
        <v>1131</v>
      </c>
      <c r="J48" s="122"/>
      <c r="K48" t="s">
        <v>272</v>
      </c>
      <c r="L48" s="258"/>
      <c r="M48" s="122">
        <v>0.99270000000000003</v>
      </c>
      <c r="N48" s="122">
        <v>1.11E-2</v>
      </c>
      <c r="O48" s="122">
        <v>1.6000000000000001E-3</v>
      </c>
      <c r="P48" s="122">
        <v>6.9999999999999999E-4</v>
      </c>
      <c r="Q48" s="122">
        <v>6.7000000000000002E-3</v>
      </c>
      <c r="R48" s="122"/>
    </row>
    <row r="49" spans="1:21" x14ac:dyDescent="0.2">
      <c r="B49" t="s">
        <v>273</v>
      </c>
      <c r="C49" s="258"/>
      <c r="D49" s="258"/>
      <c r="E49" s="122">
        <v>0.99970000000000003</v>
      </c>
      <c r="F49" s="122">
        <v>0.95760000000000001</v>
      </c>
      <c r="G49" s="122">
        <v>0.95909999999999995</v>
      </c>
      <c r="H49" s="122">
        <v>0.90849999999999997</v>
      </c>
      <c r="J49" s="122"/>
      <c r="K49" t="s">
        <v>273</v>
      </c>
      <c r="L49" s="258"/>
      <c r="M49" s="258"/>
      <c r="N49" s="122">
        <v>4.8000000000000001E-2</v>
      </c>
      <c r="O49" s="122">
        <v>7.4999999999999997E-3</v>
      </c>
      <c r="P49" s="122">
        <v>3.3E-3</v>
      </c>
      <c r="Q49" s="122">
        <v>2.9899999999999999E-2</v>
      </c>
      <c r="R49" s="122"/>
      <c r="S49" s="122"/>
      <c r="U49" s="122"/>
    </row>
    <row r="50" spans="1:21" x14ac:dyDescent="0.2">
      <c r="B50" t="s">
        <v>274</v>
      </c>
      <c r="C50" s="258"/>
      <c r="D50" s="258"/>
      <c r="E50" s="258"/>
      <c r="F50" s="122">
        <v>0.83069999999999999</v>
      </c>
      <c r="G50" s="122">
        <v>0.83440000000000003</v>
      </c>
      <c r="H50" s="122">
        <v>0.98570000000000002</v>
      </c>
      <c r="J50" s="122"/>
      <c r="K50" t="s">
        <v>274</v>
      </c>
      <c r="L50" s="258"/>
      <c r="M50" s="258"/>
      <c r="N50" s="258"/>
      <c r="O50" s="122">
        <v>0.97640000000000005</v>
      </c>
      <c r="P50" s="122">
        <v>0.88380000000000003</v>
      </c>
      <c r="Q50" s="122" t="s">
        <v>1133</v>
      </c>
      <c r="R50" s="122"/>
      <c r="S50" s="122"/>
      <c r="U50" s="122"/>
    </row>
    <row r="51" spans="1:21" x14ac:dyDescent="0.2">
      <c r="B51" t="s">
        <v>9</v>
      </c>
      <c r="C51" s="258"/>
      <c r="D51" s="258"/>
      <c r="E51" s="258"/>
      <c r="F51" s="258"/>
      <c r="G51" s="122" t="s">
        <v>1133</v>
      </c>
      <c r="H51" s="122">
        <v>0.38919999999999999</v>
      </c>
      <c r="J51" s="122"/>
      <c r="K51" t="s">
        <v>9</v>
      </c>
      <c r="L51" s="258"/>
      <c r="M51" s="258"/>
      <c r="N51" s="258"/>
      <c r="O51" s="258"/>
      <c r="P51" s="122">
        <v>0.99980000000000002</v>
      </c>
      <c r="Q51" s="122">
        <v>0.99509999999999998</v>
      </c>
      <c r="R51" s="122"/>
      <c r="S51" s="122"/>
      <c r="U51" s="122"/>
    </row>
    <row r="52" spans="1:21" x14ac:dyDescent="0.2">
      <c r="B52" t="s">
        <v>106</v>
      </c>
      <c r="C52" s="258"/>
      <c r="D52" s="258"/>
      <c r="E52" s="258"/>
      <c r="F52" s="258"/>
      <c r="G52" s="258"/>
      <c r="H52" s="122">
        <v>0.39329999999999998</v>
      </c>
      <c r="J52" s="122"/>
      <c r="K52" t="s">
        <v>106</v>
      </c>
      <c r="L52" s="258"/>
      <c r="M52" s="258"/>
      <c r="N52" s="258"/>
      <c r="O52" s="258"/>
      <c r="P52" s="258"/>
      <c r="Q52" s="122">
        <v>0.95220000000000005</v>
      </c>
      <c r="R52" s="122"/>
      <c r="S52" s="122"/>
    </row>
    <row r="53" spans="1:21" x14ac:dyDescent="0.2">
      <c r="A53" t="s">
        <v>321</v>
      </c>
      <c r="B53" t="s">
        <v>7</v>
      </c>
      <c r="C53" s="122">
        <v>0.69399999999999995</v>
      </c>
      <c r="D53" s="122">
        <v>1.2800000000000001E-2</v>
      </c>
      <c r="E53" s="122" t="s">
        <v>1133</v>
      </c>
      <c r="F53" s="122" t="s">
        <v>1133</v>
      </c>
      <c r="G53" s="122" t="s">
        <v>1133</v>
      </c>
      <c r="H53" s="122" t="s">
        <v>1133</v>
      </c>
      <c r="J53" s="122" t="s">
        <v>893</v>
      </c>
      <c r="K53" t="s">
        <v>7</v>
      </c>
      <c r="L53" s="122">
        <v>2.0000000000000001E-4</v>
      </c>
      <c r="M53" s="122">
        <v>0.5202</v>
      </c>
      <c r="N53" s="122">
        <v>0.53539999999999999</v>
      </c>
      <c r="O53" s="122">
        <v>0.99709999999999999</v>
      </c>
      <c r="P53" s="122" t="s">
        <v>1133</v>
      </c>
      <c r="Q53" s="122">
        <v>0.99609999999999999</v>
      </c>
      <c r="R53" s="122"/>
      <c r="S53" s="122"/>
      <c r="U53" s="122"/>
    </row>
    <row r="54" spans="1:21" x14ac:dyDescent="0.2">
      <c r="B54" t="s">
        <v>272</v>
      </c>
      <c r="C54" s="258"/>
      <c r="D54" s="122">
        <v>0.2893</v>
      </c>
      <c r="E54" s="122">
        <v>0.68979999999999997</v>
      </c>
      <c r="F54" s="122">
        <v>0.67159999999999997</v>
      </c>
      <c r="G54" s="122">
        <v>0.69669999999999999</v>
      </c>
      <c r="H54" s="122">
        <v>0.70540000000000003</v>
      </c>
      <c r="J54" s="122"/>
      <c r="K54" t="s">
        <v>272</v>
      </c>
      <c r="L54" s="258"/>
      <c r="M54" s="122">
        <v>1.5599999999999999E-2</v>
      </c>
      <c r="N54" s="122">
        <v>1.47E-2</v>
      </c>
      <c r="O54" s="122">
        <v>8.0000000000000004E-4</v>
      </c>
      <c r="P54" s="122">
        <v>1E-4</v>
      </c>
      <c r="Q54" s="122">
        <v>8.9999999999999998E-4</v>
      </c>
      <c r="R54" s="122"/>
      <c r="S54" s="122"/>
      <c r="U54" s="122"/>
    </row>
    <row r="55" spans="1:21" x14ac:dyDescent="0.2">
      <c r="B55" t="s">
        <v>273</v>
      </c>
      <c r="C55" s="258"/>
      <c r="D55" s="258"/>
      <c r="E55" s="122">
        <v>1.26E-2</v>
      </c>
      <c r="F55" s="122">
        <v>1.17E-2</v>
      </c>
      <c r="G55" s="122">
        <v>1.29E-2</v>
      </c>
      <c r="H55" s="122">
        <v>1.3299999999999999E-2</v>
      </c>
      <c r="J55" s="122"/>
      <c r="K55" t="s">
        <v>273</v>
      </c>
      <c r="L55" s="258"/>
      <c r="M55" s="258"/>
      <c r="N55" s="122" t="s">
        <v>1133</v>
      </c>
      <c r="O55" s="122">
        <v>0.8448</v>
      </c>
      <c r="P55" s="122">
        <v>0.3821</v>
      </c>
      <c r="Q55" s="122">
        <v>0.85809999999999997</v>
      </c>
      <c r="S55" s="122"/>
      <c r="U55" s="122"/>
    </row>
    <row r="56" spans="1:21" x14ac:dyDescent="0.2">
      <c r="B56" t="s">
        <v>274</v>
      </c>
      <c r="C56" s="258"/>
      <c r="D56" s="258"/>
      <c r="E56" s="258"/>
      <c r="F56" s="122" t="s">
        <v>1133</v>
      </c>
      <c r="G56" s="122" t="s">
        <v>1133</v>
      </c>
      <c r="H56" s="122" t="s">
        <v>1133</v>
      </c>
      <c r="J56" s="122"/>
      <c r="K56" t="s">
        <v>274</v>
      </c>
      <c r="L56" s="258"/>
      <c r="M56" s="258"/>
      <c r="N56" s="258"/>
      <c r="O56" s="122">
        <v>0.85599999999999998</v>
      </c>
      <c r="P56" s="122">
        <v>0.39550000000000002</v>
      </c>
      <c r="Q56" s="122">
        <v>0.86870000000000003</v>
      </c>
      <c r="S56" s="122"/>
      <c r="U56" s="122"/>
    </row>
    <row r="57" spans="1:21" x14ac:dyDescent="0.2">
      <c r="B57" t="s">
        <v>9</v>
      </c>
      <c r="C57" s="258"/>
      <c r="D57" s="258"/>
      <c r="E57" s="258"/>
      <c r="F57" s="258"/>
      <c r="G57" s="122" t="s">
        <v>1133</v>
      </c>
      <c r="H57" s="122" t="s">
        <v>1133</v>
      </c>
      <c r="J57" s="122"/>
      <c r="K57" t="s">
        <v>9</v>
      </c>
      <c r="L57" s="258"/>
      <c r="M57" s="258"/>
      <c r="N57" s="258"/>
      <c r="O57" s="258"/>
      <c r="P57" s="122">
        <v>0.98099999999999998</v>
      </c>
      <c r="Q57" s="122" t="s">
        <v>1133</v>
      </c>
      <c r="S57" s="122"/>
    </row>
    <row r="58" spans="1:21" x14ac:dyDescent="0.2">
      <c r="B58" t="s">
        <v>106</v>
      </c>
      <c r="C58" s="258"/>
      <c r="D58" s="258"/>
      <c r="E58" s="258"/>
      <c r="F58" s="258"/>
      <c r="G58" s="258"/>
      <c r="H58" s="122" t="s">
        <v>1133</v>
      </c>
      <c r="J58" s="122"/>
      <c r="K58" t="s">
        <v>106</v>
      </c>
      <c r="L58" s="258"/>
      <c r="M58" s="258"/>
      <c r="N58" s="258"/>
      <c r="O58" s="258"/>
      <c r="P58" s="258"/>
      <c r="Q58" s="122">
        <v>0.97729999999999995</v>
      </c>
      <c r="S58" s="122"/>
    </row>
    <row r="59" spans="1:21" x14ac:dyDescent="0.2">
      <c r="A59" t="s">
        <v>15</v>
      </c>
      <c r="B59" t="s">
        <v>7</v>
      </c>
      <c r="C59" s="122">
        <v>0.33229999999999998</v>
      </c>
      <c r="D59" s="122">
        <v>0.99960000000000004</v>
      </c>
      <c r="E59" s="122">
        <v>9.7999999999999997E-3</v>
      </c>
      <c r="F59" s="122" t="s">
        <v>1133</v>
      </c>
      <c r="G59" s="122" t="s">
        <v>1133</v>
      </c>
      <c r="H59" s="122" t="s">
        <v>1133</v>
      </c>
      <c r="J59" s="122"/>
    </row>
    <row r="60" spans="1:21" x14ac:dyDescent="0.2">
      <c r="B60" t="s">
        <v>272</v>
      </c>
      <c r="C60" s="258"/>
      <c r="D60" s="122">
        <v>0.56169999999999998</v>
      </c>
      <c r="E60" s="122">
        <v>0.5665</v>
      </c>
      <c r="F60" s="122">
        <v>0.33229999999999998</v>
      </c>
      <c r="G60" s="122">
        <v>0.33229999999999998</v>
      </c>
      <c r="H60" s="122">
        <v>0.33589999999999998</v>
      </c>
    </row>
    <row r="61" spans="1:21" x14ac:dyDescent="0.2">
      <c r="B61" t="s">
        <v>273</v>
      </c>
      <c r="C61" s="258"/>
      <c r="D61" s="258"/>
      <c r="E61" s="122">
        <v>2.41E-2</v>
      </c>
      <c r="F61" s="122">
        <v>0.99960000000000004</v>
      </c>
      <c r="G61" s="122">
        <v>0.99960000000000004</v>
      </c>
      <c r="H61" s="122">
        <v>0.99960000000000004</v>
      </c>
      <c r="I61" s="122"/>
    </row>
    <row r="62" spans="1:21" x14ac:dyDescent="0.2">
      <c r="B62" t="s">
        <v>274</v>
      </c>
      <c r="C62" s="258"/>
      <c r="D62" s="258"/>
      <c r="E62" s="258"/>
      <c r="F62" s="122">
        <v>9.7999999999999997E-3</v>
      </c>
      <c r="G62" s="122">
        <v>9.7999999999999997E-3</v>
      </c>
      <c r="H62" s="122">
        <v>0.01</v>
      </c>
      <c r="I62" s="122"/>
    </row>
    <row r="63" spans="1:21" x14ac:dyDescent="0.2">
      <c r="B63" t="s">
        <v>9</v>
      </c>
      <c r="C63" s="258"/>
      <c r="D63" s="258"/>
      <c r="E63" s="258"/>
      <c r="F63" s="258"/>
      <c r="G63" s="122" t="s">
        <v>1133</v>
      </c>
      <c r="H63" s="122" t="s">
        <v>1133</v>
      </c>
      <c r="I63" s="122"/>
    </row>
    <row r="64" spans="1:21" x14ac:dyDescent="0.2">
      <c r="B64" t="s">
        <v>106</v>
      </c>
      <c r="C64" s="258"/>
      <c r="D64" s="258"/>
      <c r="E64" s="258"/>
      <c r="F64" s="258"/>
      <c r="G64" s="258"/>
      <c r="H64" s="122" t="s">
        <v>1133</v>
      </c>
    </row>
    <row r="65" spans="1:8" x14ac:dyDescent="0.2">
      <c r="A65" t="s">
        <v>150</v>
      </c>
      <c r="B65" t="s">
        <v>7</v>
      </c>
      <c r="C65" s="122">
        <v>0.99470000000000003</v>
      </c>
      <c r="D65" s="122" t="s">
        <v>1133</v>
      </c>
      <c r="E65" s="122">
        <v>0.87319999999999998</v>
      </c>
      <c r="F65" s="122">
        <v>0.3972</v>
      </c>
      <c r="G65" s="122">
        <v>0.87639999999999996</v>
      </c>
      <c r="H65" s="122">
        <v>0.22459999999999999</v>
      </c>
    </row>
    <row r="66" spans="1:8" x14ac:dyDescent="0.2">
      <c r="B66" t="s">
        <v>272</v>
      </c>
      <c r="C66" s="258"/>
      <c r="D66" s="122">
        <v>0.99529999999999996</v>
      </c>
      <c r="E66" s="122">
        <v>0.52</v>
      </c>
      <c r="F66" s="122">
        <v>0.7712</v>
      </c>
      <c r="G66" s="122">
        <v>0.99650000000000005</v>
      </c>
      <c r="H66" s="122">
        <v>0.54910000000000003</v>
      </c>
    </row>
    <row r="67" spans="1:8" x14ac:dyDescent="0.2">
      <c r="B67" t="s">
        <v>273</v>
      </c>
      <c r="C67" s="258"/>
      <c r="D67" s="258"/>
      <c r="E67" s="122">
        <v>0.86760000000000004</v>
      </c>
      <c r="F67" s="122">
        <v>0.40460000000000002</v>
      </c>
      <c r="G67" s="122">
        <v>0.88180000000000003</v>
      </c>
      <c r="H67" s="122">
        <v>0.22969999999999999</v>
      </c>
    </row>
    <row r="68" spans="1:8" x14ac:dyDescent="0.2">
      <c r="B68" t="s">
        <v>274</v>
      </c>
      <c r="C68" s="258"/>
      <c r="D68" s="258"/>
      <c r="E68" s="258"/>
      <c r="F68" s="122">
        <v>4.36E-2</v>
      </c>
      <c r="G68" s="122">
        <v>0.22409999999999999</v>
      </c>
      <c r="H68" s="122">
        <v>1.95E-2</v>
      </c>
    </row>
    <row r="69" spans="1:8" x14ac:dyDescent="0.2">
      <c r="B69" t="s">
        <v>9</v>
      </c>
      <c r="C69" s="258"/>
      <c r="D69" s="258"/>
      <c r="E69" s="258"/>
      <c r="F69" s="258"/>
      <c r="G69" s="122">
        <v>0.97509999999999997</v>
      </c>
      <c r="H69" s="122">
        <v>0.99970000000000003</v>
      </c>
    </row>
    <row r="70" spans="1:8" x14ac:dyDescent="0.2">
      <c r="B70" t="s">
        <v>106</v>
      </c>
      <c r="C70" s="258"/>
      <c r="D70" s="258"/>
      <c r="E70" s="258"/>
      <c r="F70" s="258"/>
      <c r="G70" s="258"/>
      <c r="H70" s="122">
        <v>0.87370000000000003</v>
      </c>
    </row>
    <row r="72" spans="1:8" x14ac:dyDescent="0.2">
      <c r="E72" s="122" t="s">
        <v>1193</v>
      </c>
    </row>
  </sheetData>
  <mergeCells count="14">
    <mergeCell ref="Z2:AC2"/>
    <mergeCell ref="B11:E11"/>
    <mergeCell ref="F11:I11"/>
    <mergeCell ref="J11:M11"/>
    <mergeCell ref="N11:Q11"/>
    <mergeCell ref="R11:U11"/>
    <mergeCell ref="V11:Y11"/>
    <mergeCell ref="Z11:AC11"/>
    <mergeCell ref="B2:E2"/>
    <mergeCell ref="F2:I2"/>
    <mergeCell ref="J2:M2"/>
    <mergeCell ref="N2:Q2"/>
    <mergeCell ref="R2:U2"/>
    <mergeCell ref="V2:Y2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DDE647-58E1-8444-9884-82D4DE4A76BE}">
  <dimension ref="A1:U14"/>
  <sheetViews>
    <sheetView zoomScale="88" zoomScaleNormal="88" workbookViewId="0">
      <selection activeCell="J22" sqref="J22"/>
    </sheetView>
  </sheetViews>
  <sheetFormatPr baseColWidth="10" defaultRowHeight="16" x14ac:dyDescent="0.2"/>
  <sheetData>
    <row r="1" spans="1:21" x14ac:dyDescent="0.2">
      <c r="A1" t="s">
        <v>1208</v>
      </c>
    </row>
    <row r="2" spans="1:21" x14ac:dyDescent="0.2">
      <c r="A2" t="s">
        <v>19</v>
      </c>
      <c r="D2" t="s">
        <v>18</v>
      </c>
      <c r="G2" s="215" t="s">
        <v>276</v>
      </c>
      <c r="J2" t="s">
        <v>321</v>
      </c>
      <c r="M2" t="s">
        <v>132</v>
      </c>
      <c r="P2" t="s">
        <v>17</v>
      </c>
      <c r="S2" t="s">
        <v>1071</v>
      </c>
    </row>
    <row r="3" spans="1:21" x14ac:dyDescent="0.2">
      <c r="A3" s="228" t="s">
        <v>7</v>
      </c>
      <c r="B3" s="229" t="s">
        <v>272</v>
      </c>
      <c r="C3" s="230" t="s">
        <v>1070</v>
      </c>
      <c r="D3" s="228" t="s">
        <v>7</v>
      </c>
      <c r="E3" s="229" t="s">
        <v>272</v>
      </c>
      <c r="F3" s="230" t="s">
        <v>1070</v>
      </c>
      <c r="G3" s="228" t="s">
        <v>7</v>
      </c>
      <c r="H3" s="229" t="s">
        <v>272</v>
      </c>
      <c r="I3" s="230" t="s">
        <v>1070</v>
      </c>
      <c r="J3" s="228" t="s">
        <v>7</v>
      </c>
      <c r="K3" s="229" t="s">
        <v>272</v>
      </c>
      <c r="L3" s="230" t="s">
        <v>1070</v>
      </c>
      <c r="M3" s="228" t="s">
        <v>7</v>
      </c>
      <c r="N3" s="229" t="s">
        <v>272</v>
      </c>
      <c r="O3" s="230" t="s">
        <v>1070</v>
      </c>
      <c r="P3" s="228" t="s">
        <v>7</v>
      </c>
      <c r="Q3" s="229" t="s">
        <v>272</v>
      </c>
      <c r="R3" s="230" t="s">
        <v>1070</v>
      </c>
      <c r="S3" s="228" t="s">
        <v>7</v>
      </c>
      <c r="T3" s="229" t="s">
        <v>272</v>
      </c>
      <c r="U3" s="230" t="s">
        <v>1070</v>
      </c>
    </row>
    <row r="4" spans="1:21" x14ac:dyDescent="0.2">
      <c r="A4" s="205">
        <v>1</v>
      </c>
      <c r="B4" s="206">
        <v>425.96</v>
      </c>
      <c r="C4" s="207">
        <v>0.995</v>
      </c>
      <c r="D4" s="205">
        <v>1</v>
      </c>
      <c r="E4" s="206">
        <v>11.155570000000001</v>
      </c>
      <c r="F4" s="207">
        <v>0.53075700000000003</v>
      </c>
      <c r="G4" s="205">
        <v>1</v>
      </c>
      <c r="H4" s="206">
        <v>31.197340000000001</v>
      </c>
      <c r="I4" s="207">
        <v>0.12733900000000001</v>
      </c>
      <c r="J4" s="205">
        <v>1</v>
      </c>
      <c r="K4" s="206">
        <v>37.823779999999999</v>
      </c>
      <c r="L4" s="207">
        <v>1.964072</v>
      </c>
      <c r="M4" s="205">
        <v>1</v>
      </c>
      <c r="N4" s="206">
        <v>0.71687999999999996</v>
      </c>
      <c r="O4" s="207">
        <v>0.82186700000000001</v>
      </c>
      <c r="P4" s="205">
        <v>1</v>
      </c>
      <c r="Q4" s="206">
        <v>0.88770099999999996</v>
      </c>
      <c r="R4" s="207">
        <v>0.88770099999999996</v>
      </c>
      <c r="S4" s="205">
        <v>1</v>
      </c>
      <c r="T4" s="206">
        <v>26.486239999999999</v>
      </c>
      <c r="U4" s="207">
        <v>1</v>
      </c>
    </row>
    <row r="5" spans="1:21" x14ac:dyDescent="0.2">
      <c r="A5" s="205">
        <v>1</v>
      </c>
      <c r="B5" s="206">
        <v>290.9246</v>
      </c>
      <c r="C5" s="207">
        <v>1.78392</v>
      </c>
      <c r="D5" s="205">
        <v>1</v>
      </c>
      <c r="E5" s="206">
        <v>70.666669999999996</v>
      </c>
      <c r="F5" s="207">
        <v>16.419910000000002</v>
      </c>
      <c r="G5" s="205">
        <v>1</v>
      </c>
      <c r="H5" s="206">
        <v>14.277060000000001</v>
      </c>
      <c r="I5" s="207">
        <v>1.456785</v>
      </c>
      <c r="J5" s="205">
        <v>1</v>
      </c>
      <c r="K5" s="206">
        <v>33.5379</v>
      </c>
      <c r="L5" s="207">
        <v>2.4717739999999999</v>
      </c>
      <c r="M5" s="205">
        <v>1</v>
      </c>
      <c r="N5" s="206">
        <v>0.71550800000000003</v>
      </c>
      <c r="O5" s="207">
        <v>2.1085250000000002</v>
      </c>
      <c r="P5" s="205">
        <v>1</v>
      </c>
      <c r="Q5" s="206">
        <v>0.81092399999999998</v>
      </c>
      <c r="R5" s="207">
        <v>2.9705879999999998</v>
      </c>
      <c r="S5" s="205">
        <v>1</v>
      </c>
      <c r="T5" s="206">
        <v>4.024896</v>
      </c>
      <c r="U5" s="207">
        <v>9.1825729999999997</v>
      </c>
    </row>
    <row r="6" spans="1:21" x14ac:dyDescent="0.2">
      <c r="A6" s="205">
        <v>1</v>
      </c>
      <c r="B6" s="206">
        <v>106.0073</v>
      </c>
      <c r="C6" s="207">
        <v>0.48418499999999998</v>
      </c>
      <c r="D6" s="205">
        <v>1</v>
      </c>
      <c r="E6" s="206">
        <v>10.791930000000001</v>
      </c>
      <c r="F6" s="207">
        <v>0.79730900000000005</v>
      </c>
      <c r="G6" s="205">
        <v>1</v>
      </c>
      <c r="H6" s="206">
        <v>12.4702</v>
      </c>
      <c r="I6" s="207">
        <v>0.80295799999999995</v>
      </c>
      <c r="J6" s="205">
        <v>1</v>
      </c>
      <c r="K6" s="206">
        <v>39.82123</v>
      </c>
      <c r="L6" s="207">
        <v>1.593575</v>
      </c>
      <c r="M6" s="205">
        <v>1</v>
      </c>
      <c r="N6" s="206">
        <v>0.68896299999999999</v>
      </c>
      <c r="O6" s="207">
        <v>1.027258</v>
      </c>
      <c r="P6" s="205">
        <v>1</v>
      </c>
      <c r="Q6" s="206">
        <v>2.0240960000000001</v>
      </c>
      <c r="R6" s="207">
        <v>1.126506</v>
      </c>
      <c r="S6" s="205">
        <v>1</v>
      </c>
      <c r="T6" s="206">
        <v>2.1467890000000001</v>
      </c>
      <c r="U6" s="207">
        <v>1</v>
      </c>
    </row>
    <row r="7" spans="1:21" x14ac:dyDescent="0.2">
      <c r="A7" s="208">
        <v>1</v>
      </c>
      <c r="B7" s="209">
        <v>213.7286</v>
      </c>
      <c r="C7" s="210">
        <v>5.0201010000000004</v>
      </c>
      <c r="D7" s="208">
        <v>1</v>
      </c>
      <c r="E7" s="209">
        <v>25.503830000000001</v>
      </c>
      <c r="F7" s="210">
        <v>15.980840000000001</v>
      </c>
      <c r="G7" s="208">
        <v>1</v>
      </c>
      <c r="H7" s="209">
        <v>14.018940000000001</v>
      </c>
      <c r="I7" s="210">
        <v>2.1470750000000001</v>
      </c>
      <c r="J7" s="208">
        <v>1</v>
      </c>
      <c r="K7" s="209">
        <v>52.271030000000003</v>
      </c>
      <c r="L7" s="210">
        <v>4.6435250000000003</v>
      </c>
      <c r="M7" s="208">
        <v>1</v>
      </c>
      <c r="N7" s="209">
        <v>2.3301449999999999</v>
      </c>
      <c r="O7" s="210">
        <v>5.1639790000000003</v>
      </c>
      <c r="P7" s="208">
        <v>1</v>
      </c>
      <c r="Q7" s="209">
        <v>1</v>
      </c>
      <c r="R7" s="210">
        <v>4.0662649999999996</v>
      </c>
      <c r="S7" s="208">
        <v>1</v>
      </c>
      <c r="T7" s="209">
        <v>0.58445000000000003</v>
      </c>
      <c r="U7" s="210">
        <v>6.2171580000000004</v>
      </c>
    </row>
    <row r="9" spans="1:21" x14ac:dyDescent="0.2">
      <c r="A9" s="17" t="s">
        <v>423</v>
      </c>
      <c r="B9" s="18"/>
      <c r="C9" s="19"/>
      <c r="D9" s="17" t="s">
        <v>891</v>
      </c>
      <c r="E9" s="18"/>
      <c r="F9" s="19"/>
      <c r="G9" s="17" t="s">
        <v>386</v>
      </c>
      <c r="H9" s="18"/>
      <c r="I9" s="19"/>
      <c r="J9" s="17" t="s">
        <v>387</v>
      </c>
      <c r="K9" s="18"/>
      <c r="L9" s="19"/>
      <c r="M9" s="17" t="s">
        <v>892</v>
      </c>
      <c r="N9" s="18"/>
      <c r="O9" s="19"/>
    </row>
    <row r="10" spans="1:21" x14ac:dyDescent="0.2">
      <c r="A10" s="220" t="s">
        <v>7</v>
      </c>
      <c r="B10" s="221" t="s">
        <v>272</v>
      </c>
      <c r="C10" s="222" t="s">
        <v>1070</v>
      </c>
      <c r="D10" s="220" t="s">
        <v>7</v>
      </c>
      <c r="E10" s="221" t="s">
        <v>272</v>
      </c>
      <c r="F10" s="222" t="s">
        <v>1070</v>
      </c>
      <c r="G10" s="220" t="s">
        <v>7</v>
      </c>
      <c r="H10" s="221" t="s">
        <v>272</v>
      </c>
      <c r="I10" s="222" t="s">
        <v>1070</v>
      </c>
      <c r="J10" s="220" t="s">
        <v>7</v>
      </c>
      <c r="K10" s="221" t="s">
        <v>272</v>
      </c>
      <c r="L10" s="222" t="s">
        <v>1070</v>
      </c>
      <c r="M10" s="220" t="s">
        <v>7</v>
      </c>
      <c r="N10" s="221" t="s">
        <v>272</v>
      </c>
      <c r="O10" s="222" t="s">
        <v>1070</v>
      </c>
    </row>
    <row r="11" spans="1:21" x14ac:dyDescent="0.2">
      <c r="A11" s="205">
        <v>1</v>
      </c>
      <c r="B11" s="206">
        <v>7.4507042300000004</v>
      </c>
      <c r="C11" s="207">
        <v>0.79186228000000003</v>
      </c>
      <c r="D11" s="205">
        <v>1</v>
      </c>
      <c r="E11" s="206">
        <v>1.7695156700000001</v>
      </c>
      <c r="F11" s="207">
        <v>1.1518518499999999</v>
      </c>
      <c r="G11" s="205">
        <v>1</v>
      </c>
      <c r="H11" s="206">
        <v>14.9516686</v>
      </c>
      <c r="I11" s="207">
        <v>0.73532796</v>
      </c>
      <c r="J11" s="205">
        <v>1</v>
      </c>
      <c r="K11" s="206">
        <v>425.96</v>
      </c>
      <c r="L11" s="207">
        <v>0.995</v>
      </c>
      <c r="M11" s="205">
        <v>1</v>
      </c>
      <c r="N11" s="206">
        <v>31.197340000000001</v>
      </c>
      <c r="O11" s="207">
        <v>0.12733900000000001</v>
      </c>
    </row>
    <row r="12" spans="1:21" x14ac:dyDescent="0.2">
      <c r="A12" s="205">
        <v>1</v>
      </c>
      <c r="B12" s="206">
        <v>6.4709784399999997</v>
      </c>
      <c r="C12" s="207">
        <v>1.3615257000000001</v>
      </c>
      <c r="D12" s="205">
        <v>1</v>
      </c>
      <c r="E12" s="206">
        <v>1.8239053700000001</v>
      </c>
      <c r="F12" s="207">
        <v>1.1543451300000001</v>
      </c>
      <c r="G12" s="205">
        <v>1</v>
      </c>
      <c r="H12" s="206">
        <v>16.645429400000001</v>
      </c>
      <c r="I12" s="207">
        <v>3.9681440399999999</v>
      </c>
      <c r="J12" s="205">
        <v>1</v>
      </c>
      <c r="K12" s="206">
        <v>290.9246</v>
      </c>
      <c r="L12" s="207">
        <v>1.78392</v>
      </c>
      <c r="M12" s="205">
        <v>1</v>
      </c>
      <c r="N12" s="206">
        <v>14.277060000000001</v>
      </c>
      <c r="O12" s="207">
        <v>1.456785</v>
      </c>
    </row>
    <row r="13" spans="1:21" x14ac:dyDescent="0.2">
      <c r="A13" s="205">
        <v>1</v>
      </c>
      <c r="B13" s="206">
        <v>5.7345132699999999</v>
      </c>
      <c r="C13" s="207">
        <v>0.84424779000000005</v>
      </c>
      <c r="D13" s="205">
        <v>1</v>
      </c>
      <c r="E13" s="206">
        <v>1.74973421</v>
      </c>
      <c r="F13" s="207">
        <v>1.09440782</v>
      </c>
      <c r="G13" s="205">
        <v>1</v>
      </c>
      <c r="H13" s="206">
        <v>14.491925500000001</v>
      </c>
      <c r="I13" s="207">
        <v>1.1378881999999999</v>
      </c>
      <c r="J13" s="205">
        <v>1</v>
      </c>
      <c r="K13" s="206">
        <v>106.0073</v>
      </c>
      <c r="L13" s="207">
        <v>0.48418499999999998</v>
      </c>
      <c r="M13" s="205">
        <v>1</v>
      </c>
      <c r="N13" s="206">
        <v>12.4702</v>
      </c>
      <c r="O13" s="207">
        <v>0.80295799999999995</v>
      </c>
    </row>
    <row r="14" spans="1:21" x14ac:dyDescent="0.2">
      <c r="A14" s="208">
        <v>1</v>
      </c>
      <c r="B14" s="209">
        <v>3.4759519000000001</v>
      </c>
      <c r="C14" s="210">
        <v>0.69639278999999998</v>
      </c>
      <c r="D14" s="208">
        <v>1</v>
      </c>
      <c r="E14" s="209">
        <v>1.4292506</v>
      </c>
      <c r="F14" s="210">
        <v>0.76825140999999997</v>
      </c>
      <c r="G14" s="208">
        <v>1</v>
      </c>
      <c r="H14" s="209">
        <v>12.6447205</v>
      </c>
      <c r="I14" s="210">
        <v>0.71677018999999997</v>
      </c>
      <c r="J14" s="208">
        <v>1</v>
      </c>
      <c r="K14" s="209">
        <v>213.7286</v>
      </c>
      <c r="L14" s="210">
        <v>5.0201010000000004</v>
      </c>
      <c r="M14" s="208">
        <v>1</v>
      </c>
      <c r="N14" s="209">
        <v>14.018940000000001</v>
      </c>
      <c r="O14" s="210">
        <v>2.1470750000000001</v>
      </c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5B2AFE-7AC5-CD43-8AED-A19F9D83C35F}">
  <dimension ref="A1:I13"/>
  <sheetViews>
    <sheetView zoomScale="90" zoomScaleNormal="90" workbookViewId="0">
      <selection activeCell="L27" sqref="L27"/>
    </sheetView>
  </sheetViews>
  <sheetFormatPr baseColWidth="10" defaultRowHeight="16" x14ac:dyDescent="0.2"/>
  <sheetData>
    <row r="1" spans="1:9" x14ac:dyDescent="0.2">
      <c r="A1" t="s">
        <v>272</v>
      </c>
      <c r="B1" s="203" t="s">
        <v>11</v>
      </c>
      <c r="C1" s="203" t="s">
        <v>12</v>
      </c>
      <c r="D1" s="123" t="s">
        <v>1210</v>
      </c>
      <c r="E1" s="123" t="s">
        <v>321</v>
      </c>
      <c r="F1" s="203" t="s">
        <v>14</v>
      </c>
      <c r="G1" s="203" t="s">
        <v>15</v>
      </c>
      <c r="H1" s="203" t="s">
        <v>143</v>
      </c>
      <c r="I1" s="203" t="s">
        <v>108</v>
      </c>
    </row>
    <row r="2" spans="1:9" x14ac:dyDescent="0.2">
      <c r="A2" s="204" t="s">
        <v>34</v>
      </c>
      <c r="B2" s="202">
        <v>1600</v>
      </c>
      <c r="C2" s="202">
        <v>100</v>
      </c>
      <c r="D2" s="202">
        <v>260</v>
      </c>
      <c r="E2" s="202">
        <v>157</v>
      </c>
      <c r="F2" s="202">
        <v>27</v>
      </c>
      <c r="G2" s="202">
        <v>4</v>
      </c>
      <c r="H2" s="202">
        <v>3</v>
      </c>
    </row>
    <row r="3" spans="1:9" x14ac:dyDescent="0.2">
      <c r="A3" s="204" t="s">
        <v>212</v>
      </c>
      <c r="B3" s="202">
        <v>556</v>
      </c>
      <c r="C3" s="202">
        <v>53</v>
      </c>
      <c r="D3" s="202">
        <v>248</v>
      </c>
      <c r="E3" s="202">
        <v>133</v>
      </c>
      <c r="F3" s="202">
        <v>2</v>
      </c>
      <c r="G3" s="202">
        <v>2</v>
      </c>
      <c r="H3" s="202">
        <v>2</v>
      </c>
    </row>
    <row r="5" spans="1:9" x14ac:dyDescent="0.2">
      <c r="A5" s="203" t="s">
        <v>273</v>
      </c>
      <c r="B5" s="203" t="s">
        <v>11</v>
      </c>
      <c r="C5" s="203" t="s">
        <v>12</v>
      </c>
      <c r="D5" s="123" t="s">
        <v>1210</v>
      </c>
      <c r="E5" s="123" t="s">
        <v>321</v>
      </c>
      <c r="F5" s="203" t="s">
        <v>14</v>
      </c>
      <c r="G5" s="203" t="s">
        <v>15</v>
      </c>
      <c r="H5" s="203" t="s">
        <v>143</v>
      </c>
    </row>
    <row r="6" spans="1:9" x14ac:dyDescent="0.2">
      <c r="A6" s="204" t="s">
        <v>34</v>
      </c>
      <c r="B6" s="202">
        <v>192</v>
      </c>
      <c r="C6" s="202">
        <v>29</v>
      </c>
      <c r="D6" s="202">
        <v>52</v>
      </c>
      <c r="E6" s="202">
        <v>150</v>
      </c>
      <c r="F6" s="202">
        <v>11</v>
      </c>
      <c r="G6" s="202">
        <v>1</v>
      </c>
      <c r="H6" s="202">
        <v>3</v>
      </c>
    </row>
    <row r="7" spans="1:9" x14ac:dyDescent="0.2">
      <c r="A7" s="204" t="s">
        <v>212</v>
      </c>
      <c r="B7" s="202">
        <v>124</v>
      </c>
      <c r="C7" s="202">
        <v>18</v>
      </c>
      <c r="D7" s="202">
        <v>75</v>
      </c>
      <c r="E7" s="202">
        <v>116</v>
      </c>
      <c r="F7" s="202">
        <v>3</v>
      </c>
      <c r="G7" s="202">
        <v>1</v>
      </c>
      <c r="H7" s="202">
        <v>9</v>
      </c>
    </row>
    <row r="9" spans="1:9" x14ac:dyDescent="0.2">
      <c r="A9" s="203" t="s">
        <v>105</v>
      </c>
      <c r="B9" s="203" t="s">
        <v>11</v>
      </c>
      <c r="C9" s="203" t="s">
        <v>12</v>
      </c>
      <c r="D9" s="123" t="s">
        <v>1210</v>
      </c>
      <c r="E9" s="123" t="s">
        <v>321</v>
      </c>
      <c r="F9" s="203" t="s">
        <v>14</v>
      </c>
      <c r="G9" s="203" t="s">
        <v>15</v>
      </c>
      <c r="H9" s="203" t="s">
        <v>143</v>
      </c>
    </row>
    <row r="10" spans="1:9" x14ac:dyDescent="0.2">
      <c r="A10" s="204" t="s">
        <v>34</v>
      </c>
      <c r="B10" s="202">
        <v>1</v>
      </c>
      <c r="C10" s="202">
        <v>7</v>
      </c>
      <c r="D10" s="202">
        <v>9</v>
      </c>
      <c r="E10" s="202">
        <v>267</v>
      </c>
      <c r="F10" s="202">
        <v>1</v>
      </c>
      <c r="G10" s="202">
        <v>14</v>
      </c>
      <c r="H10" s="202">
        <v>1</v>
      </c>
    </row>
    <row r="11" spans="1:9" x14ac:dyDescent="0.2">
      <c r="A11" s="204" t="s">
        <v>212</v>
      </c>
      <c r="B11" s="202">
        <v>1</v>
      </c>
      <c r="C11" s="202">
        <v>12</v>
      </c>
      <c r="D11" s="202">
        <v>40</v>
      </c>
      <c r="E11" s="202">
        <v>186</v>
      </c>
      <c r="F11" s="202">
        <v>1</v>
      </c>
      <c r="G11" s="202">
        <v>14</v>
      </c>
      <c r="H11" s="202">
        <v>1</v>
      </c>
    </row>
    <row r="13" spans="1:9" x14ac:dyDescent="0.2">
      <c r="A13" t="s">
        <v>1072</v>
      </c>
    </row>
  </sheetData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89FFBD-15B2-DA4F-815E-F10634A5DF69}">
  <dimension ref="A1:BA68"/>
  <sheetViews>
    <sheetView zoomScale="56" zoomScaleNormal="56" workbookViewId="0">
      <selection activeCell="AF76" sqref="AF76"/>
    </sheetView>
  </sheetViews>
  <sheetFormatPr baseColWidth="10" defaultRowHeight="16" x14ac:dyDescent="0.2"/>
  <cols>
    <col min="1" max="1" width="8.6640625" customWidth="1"/>
    <col min="2" max="2" width="14.83203125" customWidth="1"/>
    <col min="4" max="4" width="9.83203125" customWidth="1"/>
    <col min="5" max="5" width="9.5" customWidth="1"/>
    <col min="6" max="6" width="10.33203125" customWidth="1"/>
  </cols>
  <sheetData>
    <row r="1" spans="1:53" x14ac:dyDescent="0.2">
      <c r="A1" t="s">
        <v>1116</v>
      </c>
      <c r="B1" t="s">
        <v>1089</v>
      </c>
      <c r="F1" s="309" t="s">
        <v>272</v>
      </c>
      <c r="G1" s="310"/>
      <c r="H1" s="310"/>
      <c r="I1" s="310"/>
      <c r="J1" s="310"/>
      <c r="K1" s="310"/>
      <c r="L1" s="310"/>
      <c r="M1" s="310"/>
      <c r="N1" s="310"/>
      <c r="O1" s="310"/>
      <c r="P1" s="310"/>
      <c r="Q1" s="311"/>
      <c r="R1" s="309" t="s">
        <v>381</v>
      </c>
      <c r="S1" s="310"/>
      <c r="T1" s="310"/>
      <c r="U1" s="310"/>
      <c r="V1" s="310"/>
      <c r="W1" s="310"/>
      <c r="X1" s="310"/>
      <c r="Y1" s="310"/>
      <c r="Z1" s="310"/>
      <c r="AA1" s="310"/>
      <c r="AB1" s="310"/>
      <c r="AC1" s="311"/>
      <c r="AD1" s="312" t="s">
        <v>1086</v>
      </c>
      <c r="AE1" s="313"/>
      <c r="AF1" s="313"/>
      <c r="AG1" s="313"/>
      <c r="AH1" s="313"/>
      <c r="AI1" s="313"/>
      <c r="AJ1" s="313"/>
      <c r="AK1" s="313"/>
      <c r="AL1" s="313"/>
      <c r="AM1" s="313"/>
      <c r="AN1" s="313"/>
      <c r="AO1" s="313"/>
      <c r="AP1" s="309" t="s">
        <v>9</v>
      </c>
      <c r="AQ1" s="310"/>
      <c r="AR1" s="310"/>
      <c r="AS1" s="310"/>
      <c r="AT1" s="310"/>
      <c r="AU1" s="310"/>
      <c r="AV1" s="310"/>
      <c r="AW1" s="310"/>
      <c r="AX1" s="310"/>
      <c r="AY1" s="310"/>
      <c r="AZ1" s="310"/>
      <c r="BA1" s="311"/>
    </row>
    <row r="2" spans="1:53" x14ac:dyDescent="0.2">
      <c r="A2" s="203"/>
      <c r="B2" s="302" t="s">
        <v>7</v>
      </c>
      <c r="C2" s="307"/>
      <c r="D2" s="307"/>
      <c r="E2" s="307"/>
      <c r="F2" s="302" t="s">
        <v>1073</v>
      </c>
      <c r="G2" s="307"/>
      <c r="H2" s="307"/>
      <c r="I2" s="303"/>
      <c r="J2" s="302" t="s">
        <v>1074</v>
      </c>
      <c r="K2" s="307"/>
      <c r="L2" s="307"/>
      <c r="M2" s="303"/>
      <c r="N2" s="302" t="s">
        <v>1075</v>
      </c>
      <c r="O2" s="307"/>
      <c r="P2" s="307"/>
      <c r="Q2" s="303"/>
      <c r="R2" s="302" t="s">
        <v>1076</v>
      </c>
      <c r="S2" s="307"/>
      <c r="T2" s="307"/>
      <c r="U2" s="303"/>
      <c r="V2" s="302" t="s">
        <v>1077</v>
      </c>
      <c r="W2" s="307"/>
      <c r="X2" s="307"/>
      <c r="Y2" s="303"/>
      <c r="Z2" s="302" t="s">
        <v>1078</v>
      </c>
      <c r="AA2" s="307"/>
      <c r="AB2" s="307"/>
      <c r="AC2" s="303"/>
      <c r="AD2" s="302" t="s">
        <v>1079</v>
      </c>
      <c r="AE2" s="307"/>
      <c r="AF2" s="307"/>
      <c r="AG2" s="303"/>
      <c r="AH2" s="302" t="s">
        <v>1080</v>
      </c>
      <c r="AI2" s="307"/>
      <c r="AJ2" s="307"/>
      <c r="AK2" s="303"/>
      <c r="AL2" s="302" t="s">
        <v>1077</v>
      </c>
      <c r="AM2" s="307"/>
      <c r="AN2" s="307"/>
      <c r="AO2" s="303"/>
      <c r="AP2" s="302" t="s">
        <v>1081</v>
      </c>
      <c r="AQ2" s="307"/>
      <c r="AR2" s="307"/>
      <c r="AS2" s="303"/>
      <c r="AT2" s="302" t="s">
        <v>1082</v>
      </c>
      <c r="AU2" s="307"/>
      <c r="AV2" s="307"/>
      <c r="AW2" s="303"/>
      <c r="AX2" s="302" t="s">
        <v>1083</v>
      </c>
      <c r="AY2" s="307"/>
      <c r="AZ2" s="307"/>
      <c r="BA2" s="303"/>
    </row>
    <row r="3" spans="1:53" x14ac:dyDescent="0.2">
      <c r="A3" s="204" t="s">
        <v>423</v>
      </c>
      <c r="B3" s="205">
        <v>0</v>
      </c>
      <c r="C3" s="206">
        <v>0</v>
      </c>
      <c r="D3" s="206">
        <v>0</v>
      </c>
      <c r="E3" s="206">
        <v>0</v>
      </c>
      <c r="F3" s="205">
        <v>43.163035299999997</v>
      </c>
      <c r="G3" s="206">
        <v>29.1666667</v>
      </c>
      <c r="H3" s="206">
        <v>46.632911399999998</v>
      </c>
      <c r="I3" s="207">
        <v>45.450470600000003</v>
      </c>
      <c r="J3" s="205">
        <v>74.924868500000002</v>
      </c>
      <c r="K3" s="206">
        <v>38.060897400000002</v>
      </c>
      <c r="L3" s="206">
        <v>91.729957799999994</v>
      </c>
      <c r="M3" s="207">
        <v>60.466158700000001</v>
      </c>
      <c r="N3" s="205">
        <v>80.071374899999995</v>
      </c>
      <c r="O3" s="206">
        <v>88.958333300000007</v>
      </c>
      <c r="P3" s="206">
        <v>87.949367100000003</v>
      </c>
      <c r="Q3" s="207">
        <v>92.066338000000002</v>
      </c>
      <c r="R3" s="205">
        <v>25.507137499999999</v>
      </c>
      <c r="S3" s="206">
        <v>32.772435899999998</v>
      </c>
      <c r="T3" s="206">
        <v>23.7130802</v>
      </c>
      <c r="U3" s="207">
        <v>14.0295831</v>
      </c>
      <c r="V3" s="205">
        <v>25.507137499999999</v>
      </c>
      <c r="W3" s="206">
        <v>38.846153800000003</v>
      </c>
      <c r="X3" s="206">
        <v>21.232067499999999</v>
      </c>
      <c r="Y3" s="207">
        <v>16.360376500000001</v>
      </c>
      <c r="Z3" s="205">
        <v>19.064613099999999</v>
      </c>
      <c r="AA3" s="206">
        <v>27.724359</v>
      </c>
      <c r="AB3" s="206">
        <v>23.831223600000001</v>
      </c>
      <c r="AC3" s="207">
        <v>52.151501600000003</v>
      </c>
      <c r="AD3" s="205">
        <v>17.599549199999998</v>
      </c>
      <c r="AE3" s="206">
        <v>27.419871799999999</v>
      </c>
      <c r="AF3" s="206">
        <v>16.590717300000001</v>
      </c>
      <c r="AG3" s="207">
        <v>4.9081129499999996</v>
      </c>
      <c r="AH3" s="205">
        <v>28.493613799999999</v>
      </c>
      <c r="AI3" s="206">
        <v>38.846153800000003</v>
      </c>
      <c r="AJ3" s="206">
        <v>55.088607600000003</v>
      </c>
      <c r="AK3" s="207">
        <v>63.9623487</v>
      </c>
      <c r="AL3" s="205">
        <v>52.911344900000003</v>
      </c>
      <c r="AM3" s="206">
        <v>41.714743599999998</v>
      </c>
      <c r="AN3" s="206">
        <v>71.746835399999995</v>
      </c>
      <c r="AO3" s="207">
        <v>64.8139848</v>
      </c>
      <c r="AP3" s="205">
        <v>10.9128475</v>
      </c>
      <c r="AQ3" s="206">
        <v>24.375</v>
      </c>
      <c r="AR3" s="206">
        <v>34.7510549</v>
      </c>
      <c r="AS3" s="207">
        <v>11.340206200000001</v>
      </c>
      <c r="AT3" s="205">
        <v>13.5236664</v>
      </c>
      <c r="AU3" s="206">
        <v>20.977564099999999</v>
      </c>
      <c r="AV3" s="206">
        <v>25.974683500000001</v>
      </c>
      <c r="AW3" s="207">
        <v>4.63917526</v>
      </c>
      <c r="AX3" s="205">
        <v>7.8888054099999998</v>
      </c>
      <c r="AY3" s="206">
        <v>12.3878205</v>
      </c>
      <c r="AZ3" s="206">
        <v>9.7383966199999996</v>
      </c>
      <c r="BA3" s="207">
        <v>11.385029100000001</v>
      </c>
    </row>
    <row r="4" spans="1:53" x14ac:dyDescent="0.2">
      <c r="A4" s="204" t="s">
        <v>386</v>
      </c>
      <c r="B4" s="205">
        <v>0</v>
      </c>
      <c r="C4" s="206">
        <v>0</v>
      </c>
      <c r="D4" s="206">
        <v>0</v>
      </c>
      <c r="E4" s="206">
        <v>0</v>
      </c>
      <c r="F4" s="205">
        <v>33.5111001</v>
      </c>
      <c r="G4" s="206">
        <v>18.2141819</v>
      </c>
      <c r="H4" s="206">
        <v>44.3993994</v>
      </c>
      <c r="I4" s="207">
        <v>29.343139699999998</v>
      </c>
      <c r="J4" s="205">
        <v>58.625821700000003</v>
      </c>
      <c r="K4" s="206">
        <v>38.375472199999997</v>
      </c>
      <c r="L4" s="206">
        <v>60.225225199999997</v>
      </c>
      <c r="M4" s="207">
        <v>34.212528499999998</v>
      </c>
      <c r="N4" s="205">
        <v>64.802182799999997</v>
      </c>
      <c r="O4" s="206">
        <v>81.836675400000004</v>
      </c>
      <c r="P4" s="206">
        <v>60.225225199999997</v>
      </c>
      <c r="Q4" s="207">
        <v>52.193761100000003</v>
      </c>
      <c r="R4" s="205">
        <v>54.148579900000001</v>
      </c>
      <c r="S4" s="206">
        <v>44.3185121</v>
      </c>
      <c r="T4" s="206">
        <v>20</v>
      </c>
      <c r="U4" s="207">
        <v>0.36774030000000002</v>
      </c>
      <c r="V4" s="205">
        <v>36.772913299999999</v>
      </c>
      <c r="W4" s="206">
        <v>63.738738699999999</v>
      </c>
      <c r="X4" s="206">
        <v>11.7267267</v>
      </c>
      <c r="Y4" s="207">
        <v>11.907177300000001</v>
      </c>
      <c r="Z4" s="205">
        <v>12.34032</v>
      </c>
      <c r="AA4" s="206">
        <v>67.1752398</v>
      </c>
      <c r="AB4" s="206">
        <v>20.495495500000001</v>
      </c>
      <c r="AC4" s="207">
        <v>85.531321300000002</v>
      </c>
      <c r="AD4" s="205">
        <v>16.1726405</v>
      </c>
      <c r="AE4" s="206">
        <v>16.0636443</v>
      </c>
      <c r="AF4" s="206">
        <v>15.540540500000001</v>
      </c>
      <c r="AG4" s="207">
        <v>5.7063149900000001</v>
      </c>
      <c r="AH4" s="205">
        <v>37.331018200000003</v>
      </c>
      <c r="AI4" s="206">
        <v>63.738738699999999</v>
      </c>
      <c r="AJ4" s="206">
        <v>54.894894899999997</v>
      </c>
      <c r="AK4" s="207">
        <v>44.7755516</v>
      </c>
      <c r="AL4" s="205">
        <v>71.015750999999995</v>
      </c>
      <c r="AM4" s="206">
        <v>74.302528300000006</v>
      </c>
      <c r="AN4" s="206">
        <v>57.192192200000001</v>
      </c>
      <c r="AO4" s="207">
        <v>41.770225699999997</v>
      </c>
      <c r="AP4" s="205">
        <v>-4.6632766999999999</v>
      </c>
      <c r="AQ4" s="206">
        <v>38.128450999999998</v>
      </c>
      <c r="AR4" s="206">
        <v>83.108108099999995</v>
      </c>
      <c r="AS4" s="207">
        <v>-1.1412629999999999</v>
      </c>
      <c r="AT4" s="205">
        <v>35.8055314</v>
      </c>
      <c r="AU4" s="206">
        <v>31.284510300000001</v>
      </c>
      <c r="AV4" s="206">
        <v>62.552552599999999</v>
      </c>
      <c r="AW4" s="207">
        <v>-0.20289119999999999</v>
      </c>
      <c r="AX4" s="205">
        <v>-3.1873992000000002</v>
      </c>
      <c r="AY4" s="206">
        <v>8.66753851</v>
      </c>
      <c r="AZ4" s="206">
        <v>50.810810799999999</v>
      </c>
      <c r="BA4" s="207">
        <v>12.300279</v>
      </c>
    </row>
    <row r="5" spans="1:53" x14ac:dyDescent="0.2">
      <c r="A5" s="204" t="s">
        <v>1084</v>
      </c>
      <c r="B5" s="205">
        <v>0</v>
      </c>
      <c r="C5" s="206">
        <v>0</v>
      </c>
      <c r="D5" s="206">
        <v>0</v>
      </c>
      <c r="E5" s="206">
        <v>0</v>
      </c>
      <c r="F5" s="205">
        <v>1.9920411200000001</v>
      </c>
      <c r="G5" s="206">
        <v>0</v>
      </c>
      <c r="H5" s="206">
        <v>33.3512165</v>
      </c>
      <c r="I5" s="207">
        <v>28.8791355</v>
      </c>
      <c r="J5" s="205">
        <v>34.704674400000002</v>
      </c>
      <c r="K5" s="206">
        <v>0</v>
      </c>
      <c r="L5" s="206">
        <v>50.712479999999999</v>
      </c>
      <c r="M5" s="207">
        <v>37.448066400000002</v>
      </c>
      <c r="N5" s="205">
        <v>48.1477614</v>
      </c>
      <c r="O5" s="206">
        <v>0</v>
      </c>
      <c r="P5" s="206">
        <v>48.898968500000002</v>
      </c>
      <c r="Q5" s="207">
        <v>58.194468200000003</v>
      </c>
      <c r="R5" s="205">
        <v>50.1908508</v>
      </c>
      <c r="S5" s="206">
        <v>0</v>
      </c>
      <c r="T5" s="206">
        <v>24.840474400000002</v>
      </c>
      <c r="U5" s="207">
        <v>5.7633900799999997</v>
      </c>
      <c r="V5" s="205">
        <v>73.012889700000002</v>
      </c>
      <c r="W5" s="206">
        <v>0</v>
      </c>
      <c r="X5" s="206">
        <v>11.8971558</v>
      </c>
      <c r="Y5" s="207">
        <v>20.072278900000001</v>
      </c>
      <c r="Z5" s="205">
        <v>13.2284524</v>
      </c>
      <c r="AA5" s="206">
        <v>0</v>
      </c>
      <c r="AB5" s="206">
        <v>14.795035</v>
      </c>
      <c r="AC5" s="207">
        <v>93.214610800000003</v>
      </c>
      <c r="AD5" s="205">
        <v>17.938811699999999</v>
      </c>
      <c r="AE5" s="206">
        <v>0</v>
      </c>
      <c r="AF5" s="206">
        <v>17.013355399999998</v>
      </c>
      <c r="AG5" s="207">
        <v>4.4502924500000001</v>
      </c>
      <c r="AH5" s="205">
        <v>16.657965300000001</v>
      </c>
      <c r="AI5" s="206">
        <v>0</v>
      </c>
      <c r="AJ5" s="206">
        <v>70.711504500000004</v>
      </c>
      <c r="AK5" s="207">
        <v>78.683117199999998</v>
      </c>
      <c r="AL5" s="205">
        <v>48.700010399999996</v>
      </c>
      <c r="AM5" s="206">
        <v>0</v>
      </c>
      <c r="AN5" s="206">
        <v>92.672795699999995</v>
      </c>
      <c r="AO5" s="207">
        <v>62.626736000000001</v>
      </c>
      <c r="AP5" s="205">
        <v>-3.7891708</v>
      </c>
      <c r="AQ5" s="206">
        <v>0</v>
      </c>
      <c r="AR5" s="206">
        <v>28.796709499999999</v>
      </c>
      <c r="AS5" s="207">
        <v>2.40899792</v>
      </c>
      <c r="AT5" s="205">
        <v>24.447460899999999</v>
      </c>
      <c r="AU5" s="206">
        <v>0</v>
      </c>
      <c r="AV5" s="206">
        <v>14.900708</v>
      </c>
      <c r="AW5" s="207">
        <v>0.76064131999999995</v>
      </c>
      <c r="AX5" s="205">
        <v>-11.843189000000001</v>
      </c>
      <c r="AY5" s="206">
        <v>0</v>
      </c>
      <c r="AZ5" s="206">
        <v>11.8971558</v>
      </c>
      <c r="BA5" s="207">
        <v>5.3920817599999999</v>
      </c>
    </row>
    <row r="6" spans="1:53" x14ac:dyDescent="0.2">
      <c r="A6" s="204" t="s">
        <v>1085</v>
      </c>
      <c r="B6" s="205">
        <v>0</v>
      </c>
      <c r="C6" s="206">
        <v>0</v>
      </c>
      <c r="D6" s="206">
        <v>0</v>
      </c>
      <c r="E6" s="206">
        <v>0</v>
      </c>
      <c r="F6" s="205">
        <v>6.54750706</v>
      </c>
      <c r="G6" s="206">
        <v>9.2804854599999995</v>
      </c>
      <c r="H6" s="206">
        <v>32.481377100000003</v>
      </c>
      <c r="I6" s="207">
        <v>33.033487000000001</v>
      </c>
      <c r="J6" s="205">
        <v>27.304797700000002</v>
      </c>
      <c r="K6" s="206">
        <v>3.0918898100000001</v>
      </c>
      <c r="L6" s="206">
        <v>47.5514814</v>
      </c>
      <c r="M6" s="207">
        <v>30.444478</v>
      </c>
      <c r="N6" s="205">
        <v>19.816556899999998</v>
      </c>
      <c r="O6" s="206">
        <v>37.565016399999998</v>
      </c>
      <c r="P6" s="206">
        <v>68.692941000000005</v>
      </c>
      <c r="Q6" s="207">
        <v>43.457555399999997</v>
      </c>
      <c r="R6" s="205">
        <v>-3.2972719000000001</v>
      </c>
      <c r="S6" s="206">
        <v>-3.8913503999999999</v>
      </c>
      <c r="T6" s="206">
        <v>20.357336199999999</v>
      </c>
      <c r="U6" s="207">
        <v>19.740721099999998</v>
      </c>
      <c r="V6" s="205">
        <v>-13.918156</v>
      </c>
      <c r="W6" s="206">
        <v>-1.7000578</v>
      </c>
      <c r="X6" s="206">
        <v>29.053637800000001</v>
      </c>
      <c r="Y6" s="207">
        <v>22.514929299999999</v>
      </c>
      <c r="Z6" s="205">
        <v>-1.1712134999999999</v>
      </c>
      <c r="AA6" s="206">
        <v>-12.858794</v>
      </c>
      <c r="AB6" s="206">
        <v>23.2753953</v>
      </c>
      <c r="AC6" s="207">
        <v>21.870511799999999</v>
      </c>
      <c r="AD6" s="205">
        <v>-6.8955786000000003</v>
      </c>
      <c r="AE6" s="206">
        <v>-0.57310729999999999</v>
      </c>
      <c r="AF6" s="206">
        <v>21.8602393</v>
      </c>
      <c r="AG6" s="207">
        <v>15.738151</v>
      </c>
      <c r="AH6" s="205">
        <v>1.1947318899999999</v>
      </c>
      <c r="AI6" s="206">
        <v>-1.7000578</v>
      </c>
      <c r="AJ6" s="206">
        <v>33.562347099999997</v>
      </c>
      <c r="AK6" s="207">
        <v>39.2319903</v>
      </c>
      <c r="AL6" s="205">
        <v>10.343367799999999</v>
      </c>
      <c r="AM6" s="206">
        <v>0.28414563999999998</v>
      </c>
      <c r="AN6" s="206">
        <v>67.485017600000006</v>
      </c>
      <c r="AO6" s="207">
        <v>68.310151899999994</v>
      </c>
      <c r="AP6" s="205">
        <v>-3.4571966000000001</v>
      </c>
      <c r="AQ6" s="206">
        <v>0.72240415999999996</v>
      </c>
      <c r="AR6" s="206">
        <v>22.6275601</v>
      </c>
      <c r="AS6" s="207">
        <v>21.2336533</v>
      </c>
      <c r="AT6" s="205">
        <v>-18.443086000000001</v>
      </c>
      <c r="AU6" s="206">
        <v>2.0419957599999998</v>
      </c>
      <c r="AV6" s="206">
        <v>27.341635100000001</v>
      </c>
      <c r="AW6" s="207">
        <v>19.2512662</v>
      </c>
      <c r="AX6" s="205">
        <v>-15.122294999999999</v>
      </c>
      <c r="AY6" s="206">
        <v>-5.4758234999999997</v>
      </c>
      <c r="AZ6" s="206">
        <v>29.1992607</v>
      </c>
      <c r="BA6" s="207">
        <v>22.384533999999999</v>
      </c>
    </row>
    <row r="7" spans="1:53" x14ac:dyDescent="0.2">
      <c r="A7" s="204" t="s">
        <v>891</v>
      </c>
      <c r="B7" s="205">
        <v>0</v>
      </c>
      <c r="C7" s="206">
        <v>0</v>
      </c>
      <c r="D7" s="206">
        <v>0</v>
      </c>
      <c r="E7" s="206">
        <v>0</v>
      </c>
      <c r="F7" s="205">
        <v>23.070229999999999</v>
      </c>
      <c r="G7" s="206">
        <v>16.642435599999999</v>
      </c>
      <c r="H7" s="206">
        <v>25.5033557</v>
      </c>
      <c r="I7" s="207">
        <v>33.559138300000001</v>
      </c>
      <c r="J7" s="205">
        <v>51.559975100000003</v>
      </c>
      <c r="K7" s="206">
        <v>31.719832400000001</v>
      </c>
      <c r="L7" s="206">
        <v>39.2772328</v>
      </c>
      <c r="M7" s="207">
        <v>44.086167199999998</v>
      </c>
      <c r="N7" s="205">
        <v>39.689247999999999</v>
      </c>
      <c r="O7" s="206">
        <v>69.246557800000005</v>
      </c>
      <c r="P7" s="206">
        <v>36.602994299999999</v>
      </c>
      <c r="Q7" s="207">
        <v>39.113941199999999</v>
      </c>
      <c r="R7" s="205">
        <v>53.797389699999997</v>
      </c>
      <c r="S7" s="206">
        <v>48.507654199999998</v>
      </c>
      <c r="T7" s="206">
        <v>20.454310799999998</v>
      </c>
      <c r="U7" s="207">
        <v>27.9907872</v>
      </c>
      <c r="V7" s="205">
        <v>45.705407100000002</v>
      </c>
      <c r="W7" s="206">
        <v>64.260668800000005</v>
      </c>
      <c r="X7" s="206">
        <v>20.9912235</v>
      </c>
      <c r="Y7" s="207">
        <v>20.661156999999999</v>
      </c>
      <c r="Z7" s="205">
        <v>31.249223099999998</v>
      </c>
      <c r="AA7" s="206">
        <v>81.801077599999999</v>
      </c>
      <c r="AB7" s="206">
        <v>51.6985028</v>
      </c>
      <c r="AC7" s="207">
        <v>83.118818599999997</v>
      </c>
      <c r="AD7" s="205">
        <v>24.959602199999999</v>
      </c>
      <c r="AE7" s="206">
        <v>23.467031599999999</v>
      </c>
      <c r="AF7" s="206">
        <v>14.021682999999999</v>
      </c>
      <c r="AG7" s="207">
        <v>16.203766399999999</v>
      </c>
      <c r="AH7" s="205">
        <v>40.472343100000003</v>
      </c>
      <c r="AI7" s="206">
        <v>64.260668800000005</v>
      </c>
      <c r="AJ7" s="206">
        <v>57.108931300000002</v>
      </c>
      <c r="AK7" s="207">
        <v>73.350494499999996</v>
      </c>
      <c r="AL7" s="205">
        <v>60.720944699999997</v>
      </c>
      <c r="AM7" s="206">
        <v>70.041905400000005</v>
      </c>
      <c r="AN7" s="206">
        <v>48.4460506</v>
      </c>
      <c r="AO7" s="207">
        <v>33.870749199999999</v>
      </c>
      <c r="AP7" s="205">
        <v>25.568676199999999</v>
      </c>
      <c r="AQ7" s="206">
        <v>79.988027000000002</v>
      </c>
      <c r="AR7" s="206">
        <v>87.134744499999996</v>
      </c>
      <c r="AS7" s="207">
        <v>40.522964399999999</v>
      </c>
      <c r="AT7" s="205">
        <v>67.134866400000007</v>
      </c>
      <c r="AU7" s="206">
        <v>77.995381899999998</v>
      </c>
      <c r="AV7" s="206">
        <v>79.370159999999998</v>
      </c>
      <c r="AW7" s="207">
        <v>28.803685099999999</v>
      </c>
      <c r="AX7" s="205">
        <v>37.998756999999998</v>
      </c>
      <c r="AY7" s="206">
        <v>53.895493000000002</v>
      </c>
      <c r="AZ7" s="206">
        <v>45.2452246</v>
      </c>
      <c r="BA7" s="207">
        <v>58.718330799999997</v>
      </c>
    </row>
    <row r="8" spans="1:53" x14ac:dyDescent="0.2">
      <c r="A8" s="204" t="s">
        <v>892</v>
      </c>
      <c r="B8" s="205">
        <v>0</v>
      </c>
      <c r="C8" s="206">
        <v>0</v>
      </c>
      <c r="D8" s="206">
        <v>0</v>
      </c>
      <c r="E8" s="206">
        <v>0</v>
      </c>
      <c r="F8" s="205">
        <v>46.276803100000002</v>
      </c>
      <c r="G8" s="206">
        <v>29.1741846</v>
      </c>
      <c r="H8" s="206">
        <v>63.334137200000001</v>
      </c>
      <c r="I8" s="207">
        <v>86.1457956</v>
      </c>
      <c r="J8" s="205">
        <v>82.076023399999997</v>
      </c>
      <c r="K8" s="206">
        <v>45.489243600000002</v>
      </c>
      <c r="L8" s="206">
        <v>90.264236699999998</v>
      </c>
      <c r="M8" s="207">
        <v>85.674317400000007</v>
      </c>
      <c r="N8" s="205">
        <v>62.846003899999999</v>
      </c>
      <c r="O8" s="206">
        <v>89.698126299999998</v>
      </c>
      <c r="P8" s="206">
        <v>73.304165100000006</v>
      </c>
      <c r="Q8" s="207">
        <v>67.576809499999996</v>
      </c>
      <c r="R8" s="205">
        <v>57.568226099999997</v>
      </c>
      <c r="S8" s="206">
        <v>47.748091600000002</v>
      </c>
      <c r="T8" s="206">
        <v>31.570606699999999</v>
      </c>
      <c r="U8" s="207">
        <v>42.313869699999998</v>
      </c>
      <c r="V8" s="205">
        <v>66.515594500000006</v>
      </c>
      <c r="W8" s="206">
        <v>62.255378200000003</v>
      </c>
      <c r="X8" s="206">
        <v>26.706170100000001</v>
      </c>
      <c r="Y8" s="207">
        <v>31.8429097</v>
      </c>
      <c r="Z8" s="205">
        <v>45.253411300000003</v>
      </c>
      <c r="AA8" s="206">
        <v>72.151283800000002</v>
      </c>
      <c r="AB8" s="206">
        <v>52.964481300000003</v>
      </c>
      <c r="AC8" s="207">
        <v>84.513755799999998</v>
      </c>
      <c r="AD8" s="205">
        <v>46.276803100000002</v>
      </c>
      <c r="AE8" s="206">
        <v>35.0936849</v>
      </c>
      <c r="AF8" s="206">
        <v>19.826368599999999</v>
      </c>
      <c r="AG8" s="207">
        <v>21.413398300000001</v>
      </c>
      <c r="AH8" s="205">
        <v>57.743664699999997</v>
      </c>
      <c r="AI8" s="206">
        <v>62.255378200000003</v>
      </c>
      <c r="AJ8" s="206">
        <v>56.602473600000003</v>
      </c>
      <c r="AK8" s="207">
        <v>86.378944099999998</v>
      </c>
      <c r="AL8" s="205">
        <v>61.169590599999999</v>
      </c>
      <c r="AM8" s="206">
        <v>67.220680099999996</v>
      </c>
      <c r="AN8" s="206">
        <v>55.365693999999998</v>
      </c>
      <c r="AO8" s="207">
        <v>40.935702800000001</v>
      </c>
      <c r="AP8" s="205">
        <v>50.248538000000003</v>
      </c>
      <c r="AQ8" s="206">
        <v>58.750867499999998</v>
      </c>
      <c r="AR8" s="206">
        <v>55.827333199999998</v>
      </c>
      <c r="AS8" s="207">
        <v>51.121703500000002</v>
      </c>
      <c r="AT8" s="205">
        <v>50.404483399999997</v>
      </c>
      <c r="AU8" s="206">
        <v>56.984732800000003</v>
      </c>
      <c r="AV8" s="206">
        <v>39.928342600000001</v>
      </c>
      <c r="AW8" s="207">
        <v>42.8267965</v>
      </c>
      <c r="AX8" s="205">
        <v>39.975633500000001</v>
      </c>
      <c r="AY8" s="206">
        <v>40.301873700000002</v>
      </c>
      <c r="AZ8" s="206">
        <v>32.821166499999997</v>
      </c>
      <c r="BA8" s="207">
        <v>60.898398999999998</v>
      </c>
    </row>
    <row r="9" spans="1:53" x14ac:dyDescent="0.2">
      <c r="A9" s="204" t="s">
        <v>1023</v>
      </c>
      <c r="B9" s="205">
        <v>0</v>
      </c>
      <c r="C9" s="206">
        <v>0</v>
      </c>
      <c r="D9" s="206">
        <v>0</v>
      </c>
      <c r="E9" s="206">
        <v>0</v>
      </c>
      <c r="F9" s="205">
        <v>53.548110600000001</v>
      </c>
      <c r="G9" s="206">
        <v>37.331419099999998</v>
      </c>
      <c r="H9" s="206">
        <v>70.0813208</v>
      </c>
      <c r="I9" s="207">
        <v>90.683041500000002</v>
      </c>
      <c r="J9" s="205">
        <v>90.2820842</v>
      </c>
      <c r="K9" s="206">
        <v>55.901418300000003</v>
      </c>
      <c r="L9" s="206">
        <v>94.240947800000001</v>
      </c>
      <c r="M9" s="207">
        <v>91.163166799999999</v>
      </c>
      <c r="N9" s="205">
        <v>67.596864100000005</v>
      </c>
      <c r="O9" s="206">
        <v>96.419559699999994</v>
      </c>
      <c r="P9" s="206">
        <v>77.188124400000007</v>
      </c>
      <c r="Q9" s="207">
        <v>66.290147300000001</v>
      </c>
      <c r="R9" s="205">
        <v>62.759333499999997</v>
      </c>
      <c r="S9" s="206">
        <v>55.055250999999998</v>
      </c>
      <c r="T9" s="206">
        <v>34.147709300000002</v>
      </c>
      <c r="U9" s="207">
        <v>46.430647200000003</v>
      </c>
      <c r="V9" s="205">
        <v>75.792180299999998</v>
      </c>
      <c r="W9" s="206">
        <v>67.595492899999996</v>
      </c>
      <c r="X9" s="206">
        <v>29.366609400000002</v>
      </c>
      <c r="Y9" s="207">
        <v>30.674955099999998</v>
      </c>
      <c r="Z9" s="205">
        <v>55.227003500000002</v>
      </c>
      <c r="AA9" s="206">
        <v>79.043765800000003</v>
      </c>
      <c r="AB9" s="206">
        <v>57.224227999999997</v>
      </c>
      <c r="AC9" s="207">
        <v>75.452960399999995</v>
      </c>
      <c r="AD9" s="205">
        <v>57.110086000000003</v>
      </c>
      <c r="AE9" s="206">
        <v>44.903419499999998</v>
      </c>
      <c r="AF9" s="206">
        <v>20.0988468</v>
      </c>
      <c r="AG9" s="207">
        <v>22.9575721</v>
      </c>
      <c r="AH9" s="205">
        <v>64.158410799999999</v>
      </c>
      <c r="AI9" s="206">
        <v>67.595492899999996</v>
      </c>
      <c r="AJ9" s="206">
        <v>56.921027700000003</v>
      </c>
      <c r="AK9" s="207">
        <v>81.320597399999997</v>
      </c>
      <c r="AL9" s="205">
        <v>59.545236799999998</v>
      </c>
      <c r="AM9" s="206">
        <v>69.150787399999999</v>
      </c>
      <c r="AN9" s="206">
        <v>54.8459462</v>
      </c>
      <c r="AO9" s="207">
        <v>29.499911600000001</v>
      </c>
      <c r="AP9" s="205">
        <v>63.631551100000003</v>
      </c>
      <c r="AQ9" s="206">
        <v>67.767336599999993</v>
      </c>
      <c r="AR9" s="206">
        <v>55.578534099999999</v>
      </c>
      <c r="AS9" s="207">
        <v>58.153286299999998</v>
      </c>
      <c r="AT9" s="205">
        <v>60.712395100000002</v>
      </c>
      <c r="AU9" s="206">
        <v>66.242495399999996</v>
      </c>
      <c r="AV9" s="206">
        <v>40.043464499999999</v>
      </c>
      <c r="AW9" s="207">
        <v>48.975311400000002</v>
      </c>
      <c r="AX9" s="205">
        <v>54.153117000000002</v>
      </c>
      <c r="AY9" s="206">
        <v>49.856434399999998</v>
      </c>
      <c r="AZ9" s="206">
        <v>32.121700699999998</v>
      </c>
      <c r="BA9" s="207">
        <v>66.290147300000001</v>
      </c>
    </row>
    <row r="10" spans="1:53" x14ac:dyDescent="0.2">
      <c r="A10" s="204" t="s">
        <v>893</v>
      </c>
      <c r="B10" s="208">
        <v>0</v>
      </c>
      <c r="C10" s="209"/>
      <c r="D10" s="209">
        <v>0</v>
      </c>
      <c r="E10" s="209">
        <v>0</v>
      </c>
      <c r="F10" s="208">
        <v>42.960164800000001</v>
      </c>
      <c r="G10" s="209"/>
      <c r="H10" s="209">
        <v>65.512787399999993</v>
      </c>
      <c r="I10" s="210">
        <v>83.107599699999994</v>
      </c>
      <c r="J10" s="208">
        <v>78.262362600000003</v>
      </c>
      <c r="K10" s="209"/>
      <c r="L10" s="209">
        <v>89.270645000000002</v>
      </c>
      <c r="M10" s="210">
        <v>82.668673200000001</v>
      </c>
      <c r="N10" s="208">
        <v>55.837912099999997</v>
      </c>
      <c r="O10" s="209"/>
      <c r="P10" s="209">
        <v>72.108843500000006</v>
      </c>
      <c r="Q10" s="210">
        <v>61.888638100000001</v>
      </c>
      <c r="R10" s="208">
        <v>49.381868099999998</v>
      </c>
      <c r="S10" s="209"/>
      <c r="T10" s="209">
        <v>31.223628699999999</v>
      </c>
      <c r="U10" s="210">
        <v>41.296714299999998</v>
      </c>
      <c r="V10" s="208">
        <v>58.768315000000001</v>
      </c>
      <c r="W10" s="209"/>
      <c r="X10" s="209">
        <v>26.986997299999999</v>
      </c>
      <c r="Y10" s="210">
        <v>29.019312800000002</v>
      </c>
      <c r="Z10" s="208">
        <v>40.922618999999997</v>
      </c>
      <c r="AA10" s="209"/>
      <c r="AB10" s="209">
        <v>54.533712199999997</v>
      </c>
      <c r="AC10" s="210">
        <v>77.401555099999996</v>
      </c>
      <c r="AD10" s="208">
        <v>42.548076899999998</v>
      </c>
      <c r="AE10" s="209"/>
      <c r="AF10" s="209">
        <v>18.195126200000001</v>
      </c>
      <c r="AG10" s="210">
        <v>21.645347399999999</v>
      </c>
      <c r="AH10" s="208">
        <v>51.728479900000004</v>
      </c>
      <c r="AI10" s="209"/>
      <c r="AJ10" s="209">
        <v>57.9350728</v>
      </c>
      <c r="AK10" s="210">
        <v>84.6375721</v>
      </c>
      <c r="AL10" s="208">
        <v>53.674450499999999</v>
      </c>
      <c r="AM10" s="209"/>
      <c r="AN10" s="209">
        <v>53.6726083</v>
      </c>
      <c r="AO10" s="210">
        <v>29.934788099999999</v>
      </c>
      <c r="AP10" s="208">
        <v>46.531593399999998</v>
      </c>
      <c r="AQ10" s="209"/>
      <c r="AR10" s="209">
        <v>52.828726400000001</v>
      </c>
      <c r="AS10" s="210">
        <v>51.981439700000003</v>
      </c>
      <c r="AT10" s="208">
        <v>48.168498200000002</v>
      </c>
      <c r="AU10" s="209"/>
      <c r="AV10" s="209">
        <v>37.733574400000002</v>
      </c>
      <c r="AW10" s="210">
        <v>42.3752195</v>
      </c>
      <c r="AX10" s="208">
        <v>40.659340700000001</v>
      </c>
      <c r="AY10" s="209"/>
      <c r="AZ10" s="209">
        <v>30.095582499999999</v>
      </c>
      <c r="BA10" s="210">
        <v>62.716328099999998</v>
      </c>
    </row>
    <row r="11" spans="1:53" x14ac:dyDescent="0.2">
      <c r="F11" s="310" t="s">
        <v>272</v>
      </c>
      <c r="G11" s="310"/>
      <c r="H11" s="310"/>
      <c r="I11" s="310"/>
      <c r="J11" s="310"/>
      <c r="K11" s="310"/>
      <c r="L11" s="310"/>
      <c r="M11" s="310"/>
      <c r="N11" s="310"/>
      <c r="O11" s="310"/>
      <c r="P11" s="310"/>
      <c r="Q11" s="310"/>
      <c r="R11" s="310" t="s">
        <v>381</v>
      </c>
      <c r="S11" s="310"/>
      <c r="T11" s="310"/>
      <c r="U11" s="310"/>
      <c r="V11" s="310"/>
      <c r="W11" s="310"/>
      <c r="X11" s="310"/>
      <c r="Y11" s="310"/>
      <c r="Z11" s="310"/>
      <c r="AA11" s="310"/>
      <c r="AB11" s="310"/>
      <c r="AC11" s="310"/>
      <c r="AD11" s="312" t="s">
        <v>1086</v>
      </c>
      <c r="AE11" s="313"/>
      <c r="AF11" s="313"/>
      <c r="AG11" s="313"/>
      <c r="AH11" s="313"/>
      <c r="AI11" s="313"/>
      <c r="AJ11" s="313"/>
      <c r="AK11" s="313"/>
      <c r="AL11" s="313"/>
      <c r="AM11" s="313"/>
      <c r="AN11" s="313"/>
      <c r="AO11" s="313"/>
      <c r="AP11" s="309" t="s">
        <v>9</v>
      </c>
      <c r="AQ11" s="310"/>
      <c r="AR11" s="310"/>
      <c r="AS11" s="310"/>
      <c r="AT11" s="310"/>
      <c r="AU11" s="310"/>
      <c r="AV11" s="310"/>
      <c r="AW11" s="310"/>
      <c r="AX11" s="310"/>
      <c r="AY11" s="310"/>
      <c r="AZ11" s="310"/>
      <c r="BA11" s="311"/>
    </row>
    <row r="12" spans="1:53" x14ac:dyDescent="0.2">
      <c r="A12" s="203" t="s">
        <v>1117</v>
      </c>
      <c r="B12" s="302" t="s">
        <v>7</v>
      </c>
      <c r="C12" s="307"/>
      <c r="D12" s="307"/>
      <c r="E12" s="303"/>
      <c r="F12" s="302" t="s">
        <v>1073</v>
      </c>
      <c r="G12" s="307"/>
      <c r="H12" s="307"/>
      <c r="I12" s="303"/>
      <c r="J12" s="302" t="s">
        <v>1074</v>
      </c>
      <c r="K12" s="307"/>
      <c r="L12" s="307"/>
      <c r="M12" s="303"/>
      <c r="N12" s="302" t="s">
        <v>1075</v>
      </c>
      <c r="O12" s="307"/>
      <c r="P12" s="307"/>
      <c r="Q12" s="303"/>
      <c r="R12" s="302" t="s">
        <v>1076</v>
      </c>
      <c r="S12" s="307"/>
      <c r="T12" s="307"/>
      <c r="U12" s="303"/>
      <c r="V12" s="302" t="s">
        <v>1077</v>
      </c>
      <c r="W12" s="307"/>
      <c r="X12" s="307"/>
      <c r="Y12" s="303"/>
      <c r="Z12" s="302" t="s">
        <v>1078</v>
      </c>
      <c r="AA12" s="307"/>
      <c r="AB12" s="307"/>
      <c r="AC12" s="303"/>
      <c r="AD12" s="302" t="s">
        <v>1079</v>
      </c>
      <c r="AE12" s="307"/>
      <c r="AF12" s="307"/>
      <c r="AG12" s="303"/>
      <c r="AH12" s="302" t="s">
        <v>1080</v>
      </c>
      <c r="AI12" s="307"/>
      <c r="AJ12" s="307"/>
      <c r="AK12" s="303"/>
      <c r="AL12" s="302" t="s">
        <v>1077</v>
      </c>
      <c r="AM12" s="307"/>
      <c r="AN12" s="307"/>
      <c r="AO12" s="303"/>
      <c r="AP12" s="302" t="s">
        <v>1081</v>
      </c>
      <c r="AQ12" s="307"/>
      <c r="AR12" s="307"/>
      <c r="AS12" s="303"/>
      <c r="AT12" s="302" t="s">
        <v>1082</v>
      </c>
      <c r="AU12" s="307"/>
      <c r="AV12" s="307"/>
      <c r="AW12" s="303"/>
      <c r="AX12" s="302" t="s">
        <v>1083</v>
      </c>
      <c r="AY12" s="307"/>
      <c r="AZ12" s="307"/>
      <c r="BA12" s="303"/>
    </row>
    <row r="13" spans="1:53" x14ac:dyDescent="0.2">
      <c r="A13" s="204" t="s">
        <v>423</v>
      </c>
      <c r="B13" s="205">
        <v>0</v>
      </c>
      <c r="C13" s="206">
        <v>0</v>
      </c>
      <c r="D13" s="206">
        <v>0</v>
      </c>
      <c r="E13" s="207">
        <v>0</v>
      </c>
      <c r="F13" s="205">
        <v>33.440860200000003</v>
      </c>
      <c r="G13" s="206">
        <v>37.802768200000003</v>
      </c>
      <c r="H13" s="206">
        <v>10.0325969</v>
      </c>
      <c r="I13" s="207">
        <v>26.649905700000001</v>
      </c>
      <c r="J13" s="205">
        <v>59.731182799999999</v>
      </c>
      <c r="K13" s="206">
        <v>58.044982699999998</v>
      </c>
      <c r="L13" s="206">
        <v>51.430641100000003</v>
      </c>
      <c r="M13" s="207">
        <v>56.756756799999998</v>
      </c>
      <c r="N13" s="205">
        <v>81.666666699999993</v>
      </c>
      <c r="O13" s="206">
        <v>67.647058799999996</v>
      </c>
      <c r="P13" s="206">
        <v>88.011589999999998</v>
      </c>
      <c r="Q13" s="207">
        <v>89.377749800000004</v>
      </c>
      <c r="R13" s="205">
        <v>90</v>
      </c>
      <c r="S13" s="206">
        <v>86.764705899999996</v>
      </c>
      <c r="T13" s="206">
        <v>3.5856573699999998</v>
      </c>
      <c r="U13" s="207">
        <v>3.8340666200000002</v>
      </c>
      <c r="V13" s="205">
        <v>75.698924700000006</v>
      </c>
      <c r="W13" s="206">
        <v>68.598615899999999</v>
      </c>
      <c r="X13" s="206">
        <v>11.155378499999999</v>
      </c>
      <c r="Y13" s="207">
        <v>4.4626021400000004</v>
      </c>
      <c r="Z13" s="205">
        <v>78.978494600000005</v>
      </c>
      <c r="AA13" s="206">
        <v>63.235294099999997</v>
      </c>
      <c r="AB13" s="206">
        <v>13.726910500000001</v>
      </c>
      <c r="AC13" s="207">
        <v>23.884349499999999</v>
      </c>
      <c r="AD13" s="205">
        <v>4.94623656</v>
      </c>
      <c r="AE13" s="206">
        <v>3.5467127999999999</v>
      </c>
      <c r="AF13" s="206">
        <v>4.1289387900000003</v>
      </c>
      <c r="AG13" s="207">
        <v>0.37712130999999999</v>
      </c>
      <c r="AH13" s="205">
        <v>30.161290300000001</v>
      </c>
      <c r="AI13" s="206">
        <v>13.7543253</v>
      </c>
      <c r="AJ13" s="206">
        <v>14.922129699999999</v>
      </c>
      <c r="AK13" s="207">
        <v>10.4336895</v>
      </c>
      <c r="AL13" s="205">
        <v>67.419354799999994</v>
      </c>
      <c r="AM13" s="206">
        <v>55.363321800000001</v>
      </c>
      <c r="AN13" s="206">
        <v>71.676928599999997</v>
      </c>
      <c r="AO13" s="207">
        <v>55.122564400000002</v>
      </c>
      <c r="AP13" s="205">
        <v>4.0860215100000001</v>
      </c>
      <c r="AQ13" s="206">
        <v>-2.4221452999999999</v>
      </c>
      <c r="AR13" s="206">
        <v>4.2013763099999997</v>
      </c>
      <c r="AS13" s="207">
        <v>0.75424261000000004</v>
      </c>
      <c r="AT13" s="205">
        <v>7.7956989200000004</v>
      </c>
      <c r="AU13" s="206">
        <v>-0.51903109999999997</v>
      </c>
      <c r="AV13" s="206">
        <v>6.8091271300000002</v>
      </c>
      <c r="AW13" s="207">
        <v>5.3425518500000004</v>
      </c>
      <c r="AX13" s="205">
        <v>35.591397800000003</v>
      </c>
      <c r="AY13" s="206">
        <v>23.442906600000001</v>
      </c>
      <c r="AZ13" s="206">
        <v>8.0043462499999993</v>
      </c>
      <c r="BA13" s="207">
        <v>15.336266500000001</v>
      </c>
    </row>
    <row r="14" spans="1:53" x14ac:dyDescent="0.2">
      <c r="A14" s="204" t="s">
        <v>386</v>
      </c>
      <c r="B14" s="205">
        <v>0</v>
      </c>
      <c r="C14" s="206">
        <v>0</v>
      </c>
      <c r="D14" s="206">
        <v>0</v>
      </c>
      <c r="E14" s="207">
        <v>0</v>
      </c>
      <c r="F14" s="205">
        <v>20.960042699999999</v>
      </c>
      <c r="G14" s="206">
        <v>22.5727288</v>
      </c>
      <c r="H14" s="206">
        <v>13.138007699999999</v>
      </c>
      <c r="I14" s="207">
        <v>38.139410699999999</v>
      </c>
      <c r="J14" s="205">
        <v>27.710386700000001</v>
      </c>
      <c r="K14" s="206">
        <v>26.489517299999999</v>
      </c>
      <c r="L14" s="206">
        <v>25.1867552</v>
      </c>
      <c r="M14" s="207">
        <v>44.5526573</v>
      </c>
      <c r="N14" s="205">
        <v>21.156600099999999</v>
      </c>
      <c r="O14" s="206">
        <v>27.198114700000001</v>
      </c>
      <c r="P14" s="206">
        <v>15.208818300000001</v>
      </c>
      <c r="Q14" s="207">
        <v>40.464702199999998</v>
      </c>
      <c r="R14" s="205">
        <v>40.264790900000001</v>
      </c>
      <c r="S14" s="206">
        <v>29.112628000000001</v>
      </c>
      <c r="T14" s="206">
        <v>14.581668499999999</v>
      </c>
      <c r="U14" s="207">
        <v>24.939909199999999</v>
      </c>
      <c r="V14" s="205">
        <v>36.434728900000003</v>
      </c>
      <c r="W14" s="206">
        <v>29.8407281</v>
      </c>
      <c r="X14" s="206">
        <v>23.1011779</v>
      </c>
      <c r="Y14" s="207">
        <v>34.095967199999997</v>
      </c>
      <c r="Z14" s="205">
        <v>21.7490804</v>
      </c>
      <c r="AA14" s="206">
        <v>18.8168373</v>
      </c>
      <c r="AB14" s="206">
        <v>16.475278800000002</v>
      </c>
      <c r="AC14" s="207">
        <v>17.618623700000001</v>
      </c>
      <c r="AD14" s="205">
        <v>11.036700099999999</v>
      </c>
      <c r="AE14" s="206">
        <v>3.6567528</v>
      </c>
      <c r="AF14" s="206">
        <v>12.122580900000001</v>
      </c>
      <c r="AG14" s="207">
        <v>-4.8989583999999997</v>
      </c>
      <c r="AH14" s="205">
        <v>25.6058181</v>
      </c>
      <c r="AI14" s="206">
        <v>18.386153100000001</v>
      </c>
      <c r="AJ14" s="206">
        <v>17.330877999999998</v>
      </c>
      <c r="AK14" s="207">
        <v>27.338199899999999</v>
      </c>
      <c r="AL14" s="205">
        <v>20.763485200000002</v>
      </c>
      <c r="AM14" s="206">
        <v>26.7251747</v>
      </c>
      <c r="AN14" s="206">
        <v>29.746186699999999</v>
      </c>
      <c r="AO14" s="207">
        <v>36.997240300000001</v>
      </c>
      <c r="AP14" s="205">
        <v>2.0568331799999999</v>
      </c>
      <c r="AQ14" s="206">
        <v>2.59223143</v>
      </c>
      <c r="AR14" s="206">
        <v>16.0513881</v>
      </c>
      <c r="AS14" s="207">
        <v>13.9606517</v>
      </c>
      <c r="AT14" s="205">
        <v>6.0722208200000001</v>
      </c>
      <c r="AU14" s="206">
        <v>-7.5280351000000003</v>
      </c>
      <c r="AV14" s="206">
        <v>4.25019978</v>
      </c>
      <c r="AW14" s="207">
        <v>10.4878483</v>
      </c>
      <c r="AX14" s="205">
        <v>2.5075113</v>
      </c>
      <c r="AY14" s="206">
        <v>-10.331545999999999</v>
      </c>
      <c r="AZ14" s="206">
        <v>0.34484556</v>
      </c>
      <c r="BA14" s="207">
        <v>-5.8728746000000003</v>
      </c>
    </row>
    <row r="15" spans="1:53" x14ac:dyDescent="0.2">
      <c r="A15" s="204" t="s">
        <v>1084</v>
      </c>
      <c r="B15" s="205">
        <v>0</v>
      </c>
      <c r="C15" s="206">
        <v>0</v>
      </c>
      <c r="D15" s="206">
        <v>0</v>
      </c>
      <c r="E15" s="207">
        <v>0</v>
      </c>
      <c r="F15" s="205">
        <v>13.1025612</v>
      </c>
      <c r="G15" s="206">
        <v>16.345393099999999</v>
      </c>
      <c r="H15" s="206">
        <v>10.9395832</v>
      </c>
      <c r="I15" s="207">
        <v>24.618260299999999</v>
      </c>
      <c r="J15" s="205">
        <v>34.928978899999997</v>
      </c>
      <c r="K15" s="206">
        <v>24.8399626</v>
      </c>
      <c r="L15" s="206">
        <v>21.8160129</v>
      </c>
      <c r="M15" s="207">
        <v>31.400063200000002</v>
      </c>
      <c r="N15" s="205">
        <v>42.204451400000004</v>
      </c>
      <c r="O15" s="206">
        <v>56.8798101</v>
      </c>
      <c r="P15" s="206">
        <v>44.736041899999996</v>
      </c>
      <c r="Q15" s="207">
        <v>41.6464827</v>
      </c>
      <c r="R15" s="205">
        <v>64.083995099999996</v>
      </c>
      <c r="S15" s="206">
        <v>20.3697044</v>
      </c>
      <c r="T15" s="206">
        <v>12.417842</v>
      </c>
      <c r="U15" s="207">
        <v>20.074241799999999</v>
      </c>
      <c r="V15" s="205">
        <v>51.920926100000003</v>
      </c>
      <c r="W15" s="206">
        <v>26.951017799999999</v>
      </c>
      <c r="X15" s="206">
        <v>20.4991463</v>
      </c>
      <c r="Y15" s="207">
        <v>22.914911499999999</v>
      </c>
      <c r="Z15" s="205">
        <v>30.6844872</v>
      </c>
      <c r="AA15" s="206">
        <v>24.0451701</v>
      </c>
      <c r="AB15" s="206">
        <v>12.0435993</v>
      </c>
      <c r="AC15" s="207">
        <v>21.551179399999999</v>
      </c>
      <c r="AD15" s="205">
        <v>6.6994743300000001</v>
      </c>
      <c r="AE15" s="206">
        <v>-5.8476587999999996</v>
      </c>
      <c r="AF15" s="206">
        <v>18.2256216</v>
      </c>
      <c r="AG15" s="207">
        <v>5.7919123800000003</v>
      </c>
      <c r="AH15" s="205">
        <v>25.237669199999999</v>
      </c>
      <c r="AI15" s="206">
        <v>13.507876</v>
      </c>
      <c r="AJ15" s="206">
        <v>37.681566199999999</v>
      </c>
      <c r="AK15" s="207">
        <v>15.9909436</v>
      </c>
      <c r="AL15" s="205">
        <v>55.575439000000003</v>
      </c>
      <c r="AM15" s="206">
        <v>35.909515900000002</v>
      </c>
      <c r="AN15" s="206">
        <v>59.661310299999997</v>
      </c>
      <c r="AO15" s="207">
        <v>58.545703500000002</v>
      </c>
      <c r="AP15" s="205">
        <v>3.2882227899999998</v>
      </c>
      <c r="AQ15" s="206">
        <v>-9.5195281999999999</v>
      </c>
      <c r="AR15" s="206">
        <v>17.947278600000001</v>
      </c>
      <c r="AS15" s="207">
        <v>5.0231676500000004</v>
      </c>
      <c r="AT15" s="205">
        <v>-0.4110278</v>
      </c>
      <c r="AU15" s="206">
        <v>-11.70251</v>
      </c>
      <c r="AV15" s="206">
        <v>10.4577457</v>
      </c>
      <c r="AW15" s="207">
        <v>1.77443134</v>
      </c>
      <c r="AX15" s="205">
        <v>16.922044499999998</v>
      </c>
      <c r="AY15" s="206">
        <v>-12.669926999999999</v>
      </c>
      <c r="AZ15" s="206">
        <v>7.7725539699999997</v>
      </c>
      <c r="BA15" s="207">
        <v>-0.3843724</v>
      </c>
    </row>
    <row r="16" spans="1:53" x14ac:dyDescent="0.2">
      <c r="A16" s="204" t="s">
        <v>1085</v>
      </c>
      <c r="B16" s="205">
        <v>0</v>
      </c>
      <c r="C16" s="206">
        <v>0</v>
      </c>
      <c r="D16" s="206">
        <v>0</v>
      </c>
      <c r="E16" s="207">
        <v>0</v>
      </c>
      <c r="F16" s="205">
        <v>-8.0515825000000003</v>
      </c>
      <c r="G16" s="206">
        <v>-5.2866105000000001</v>
      </c>
      <c r="H16" s="206">
        <v>-5.2459588000000004</v>
      </c>
      <c r="I16" s="207">
        <v>0.90979083999999999</v>
      </c>
      <c r="J16" s="205">
        <v>-5.9859593999999996</v>
      </c>
      <c r="K16" s="206">
        <v>-4.3466807999999997</v>
      </c>
      <c r="L16" s="206">
        <v>-9.3298207000000009</v>
      </c>
      <c r="M16" s="207">
        <v>-5.2728688999999997</v>
      </c>
      <c r="N16" s="205">
        <v>-9.6265178000000002</v>
      </c>
      <c r="O16" s="206">
        <v>-3.3975319000000002</v>
      </c>
      <c r="P16" s="206">
        <v>-13.658768999999999</v>
      </c>
      <c r="Q16" s="207">
        <v>-10.441409999999999</v>
      </c>
      <c r="R16" s="205">
        <v>-22.825156</v>
      </c>
      <c r="S16" s="206">
        <v>-21.285609999999998</v>
      </c>
      <c r="T16" s="206">
        <v>-0.48879669999999997</v>
      </c>
      <c r="U16" s="207">
        <v>4.1662680400000003</v>
      </c>
      <c r="V16" s="205">
        <v>-20.703147000000001</v>
      </c>
      <c r="W16" s="206">
        <v>-21.285609999999998</v>
      </c>
      <c r="X16" s="206">
        <v>-4.0788133000000002</v>
      </c>
      <c r="Y16" s="207">
        <v>0.68154587</v>
      </c>
      <c r="Z16" s="205">
        <v>-18.723178999999998</v>
      </c>
      <c r="AA16" s="206">
        <v>-21.865546999999999</v>
      </c>
      <c r="AB16" s="206">
        <v>-8.8850846000000008</v>
      </c>
      <c r="AC16" s="207">
        <v>-12.029102</v>
      </c>
      <c r="AD16" s="205">
        <v>-2.4392344000000001</v>
      </c>
      <c r="AE16" s="206">
        <v>-4.8177431999999998</v>
      </c>
      <c r="AF16" s="206">
        <v>0</v>
      </c>
      <c r="AG16" s="207">
        <v>-0.67607890000000004</v>
      </c>
      <c r="AH16" s="205">
        <v>-13.339388</v>
      </c>
      <c r="AI16" s="206">
        <v>-11.610612</v>
      </c>
      <c r="AJ16" s="206">
        <v>-6.6274404999999996</v>
      </c>
      <c r="AK16" s="207">
        <v>-3.5498699</v>
      </c>
      <c r="AL16" s="205">
        <v>-13.765942000000001</v>
      </c>
      <c r="AM16" s="206">
        <v>-21.479215</v>
      </c>
      <c r="AN16" s="206">
        <v>-17.576944999999998</v>
      </c>
      <c r="AO16" s="207">
        <v>-11.635026999999999</v>
      </c>
      <c r="AP16" s="205">
        <v>0.24706555999999999</v>
      </c>
      <c r="AQ16" s="206">
        <v>1.24197153</v>
      </c>
      <c r="AR16" s="206">
        <v>0.73801415000000004</v>
      </c>
      <c r="AS16" s="207">
        <v>8.27558872</v>
      </c>
      <c r="AT16" s="205">
        <v>-2.4392344000000001</v>
      </c>
      <c r="AU16" s="206">
        <v>-9.6253890999999996</v>
      </c>
      <c r="AV16" s="206">
        <v>-3.8433647999999998</v>
      </c>
      <c r="AW16" s="207">
        <v>-1.3476021</v>
      </c>
      <c r="AX16" s="205">
        <v>-13.765942000000001</v>
      </c>
      <c r="AY16" s="206">
        <v>-33.592936999999999</v>
      </c>
      <c r="AZ16" s="206">
        <v>-9.9930237000000002</v>
      </c>
      <c r="BA16" s="207">
        <v>-27.243155999999999</v>
      </c>
    </row>
    <row r="17" spans="1:53" x14ac:dyDescent="0.2">
      <c r="A17" s="204" t="s">
        <v>891</v>
      </c>
      <c r="B17" s="205">
        <v>0</v>
      </c>
      <c r="C17" s="206">
        <v>0</v>
      </c>
      <c r="D17" s="206">
        <v>0</v>
      </c>
      <c r="E17" s="207">
        <v>0</v>
      </c>
      <c r="F17" s="205">
        <v>14.6430323</v>
      </c>
      <c r="G17" s="206">
        <v>15.0343281</v>
      </c>
      <c r="H17" s="206">
        <v>10.903031800000001</v>
      </c>
      <c r="I17" s="207">
        <v>32.342375400000002</v>
      </c>
      <c r="J17" s="205">
        <v>20.927625599999999</v>
      </c>
      <c r="K17" s="206">
        <v>24.2772407</v>
      </c>
      <c r="L17" s="206">
        <v>23.457818700000001</v>
      </c>
      <c r="M17" s="207">
        <v>42.848240500000003</v>
      </c>
      <c r="N17" s="205">
        <v>15.2911091</v>
      </c>
      <c r="O17" s="206">
        <v>25.038531599999999</v>
      </c>
      <c r="P17" s="206">
        <v>21.335168599999999</v>
      </c>
      <c r="Q17" s="207">
        <v>47.276392999999999</v>
      </c>
      <c r="R17" s="205">
        <v>59.227212199999997</v>
      </c>
      <c r="S17" s="206">
        <v>43.351548299999997</v>
      </c>
      <c r="T17" s="206">
        <v>10.352446799999999</v>
      </c>
      <c r="U17" s="207">
        <v>23.75</v>
      </c>
      <c r="V17" s="205">
        <v>48.836964899999998</v>
      </c>
      <c r="W17" s="206">
        <v>42.6463033</v>
      </c>
      <c r="X17" s="206">
        <v>16.8399319</v>
      </c>
      <c r="Y17" s="207">
        <v>33.152492700000003</v>
      </c>
      <c r="Z17" s="205">
        <v>26.364464399999999</v>
      </c>
      <c r="AA17" s="206">
        <v>33.286628399999998</v>
      </c>
      <c r="AB17" s="206">
        <v>15.6554497</v>
      </c>
      <c r="AC17" s="207">
        <v>27.6392962</v>
      </c>
      <c r="AD17" s="205">
        <v>14.001961700000001</v>
      </c>
      <c r="AE17" s="206">
        <v>5.7353696699999999</v>
      </c>
      <c r="AF17" s="206">
        <v>6.4403955499999999</v>
      </c>
      <c r="AG17" s="207">
        <v>-3.8709677</v>
      </c>
      <c r="AH17" s="205">
        <v>28.126532600000001</v>
      </c>
      <c r="AI17" s="206">
        <v>22.222222200000001</v>
      </c>
      <c r="AJ17" s="206">
        <v>15.2642446</v>
      </c>
      <c r="AK17" s="207">
        <v>23.9296188</v>
      </c>
      <c r="AL17" s="205">
        <v>26.049183800000002</v>
      </c>
      <c r="AM17" s="206">
        <v>36.079585299999998</v>
      </c>
      <c r="AN17" s="206">
        <v>32.980765699999999</v>
      </c>
      <c r="AO17" s="207">
        <v>44.684750700000002</v>
      </c>
      <c r="AP17" s="205">
        <v>5.0585020700000003</v>
      </c>
      <c r="AQ17" s="206">
        <v>1.9802905</v>
      </c>
      <c r="AR17" s="206">
        <v>12.956858799999999</v>
      </c>
      <c r="AS17" s="207">
        <v>13.368768299999999</v>
      </c>
      <c r="AT17" s="205">
        <v>12.373011999999999</v>
      </c>
      <c r="AU17" s="206">
        <v>-4.8292934000000001</v>
      </c>
      <c r="AV17" s="206">
        <v>6.78451117</v>
      </c>
      <c r="AW17" s="207">
        <v>13.526393000000001</v>
      </c>
      <c r="AX17" s="205">
        <v>21.509143099999999</v>
      </c>
      <c r="AY17" s="206">
        <v>11.9424595</v>
      </c>
      <c r="AZ17" s="206">
        <v>10.7219184</v>
      </c>
      <c r="BA17" s="207">
        <v>14.622434</v>
      </c>
    </row>
    <row r="18" spans="1:53" x14ac:dyDescent="0.2">
      <c r="A18" s="204" t="s">
        <v>892</v>
      </c>
      <c r="B18" s="205">
        <v>0</v>
      </c>
      <c r="C18" s="206">
        <v>0</v>
      </c>
      <c r="D18" s="206">
        <v>0</v>
      </c>
      <c r="E18" s="207">
        <v>0</v>
      </c>
      <c r="F18" s="205">
        <v>17.489156699999999</v>
      </c>
      <c r="G18" s="206">
        <v>18.661525099999999</v>
      </c>
      <c r="H18" s="206">
        <v>15.717528700000001</v>
      </c>
      <c r="I18" s="207">
        <v>32.751482799999998</v>
      </c>
      <c r="J18" s="205">
        <v>22.787220099999999</v>
      </c>
      <c r="K18" s="206">
        <v>24.592681599999999</v>
      </c>
      <c r="L18" s="206">
        <v>36.370465899999999</v>
      </c>
      <c r="M18" s="207">
        <v>45.362375200000002</v>
      </c>
      <c r="N18" s="205">
        <v>20.000756500000001</v>
      </c>
      <c r="O18" s="206">
        <v>24.081864299999999</v>
      </c>
      <c r="P18" s="206">
        <v>45.148699200000003</v>
      </c>
      <c r="Q18" s="207">
        <v>62.008482700000002</v>
      </c>
      <c r="R18" s="205">
        <v>79.914766999999998</v>
      </c>
      <c r="S18" s="206">
        <v>71.008613800000006</v>
      </c>
      <c r="T18" s="206">
        <v>10.685763700000001</v>
      </c>
      <c r="U18" s="207">
        <v>20.777640699999999</v>
      </c>
      <c r="V18" s="205">
        <v>70.822826300000003</v>
      </c>
      <c r="W18" s="206">
        <v>70.038728599999999</v>
      </c>
      <c r="X18" s="206">
        <v>21.8582091</v>
      </c>
      <c r="Y18" s="207">
        <v>35.962081099999999</v>
      </c>
      <c r="Z18" s="205">
        <v>45.508876299999997</v>
      </c>
      <c r="AA18" s="206">
        <v>59.773971699999997</v>
      </c>
      <c r="AB18" s="206">
        <v>29.356045099999999</v>
      </c>
      <c r="AC18" s="207">
        <v>64.413051899999999</v>
      </c>
      <c r="AD18" s="205">
        <v>11.4837603</v>
      </c>
      <c r="AE18" s="206">
        <v>5.4253472199999999</v>
      </c>
      <c r="AF18" s="206">
        <v>6.9311296599999999</v>
      </c>
      <c r="AG18" s="207">
        <v>-2.6631068</v>
      </c>
      <c r="AH18" s="205">
        <v>35.1397014</v>
      </c>
      <c r="AI18" s="206">
        <v>25.894765</v>
      </c>
      <c r="AJ18" s="206">
        <v>23.130440499999999</v>
      </c>
      <c r="AK18" s="207">
        <v>23.4103314</v>
      </c>
      <c r="AL18" s="205">
        <v>29.2124773</v>
      </c>
      <c r="AM18" s="206">
        <v>42.8969685</v>
      </c>
      <c r="AN18" s="206">
        <v>56.602048000000003</v>
      </c>
      <c r="AO18" s="207">
        <v>56.9239088</v>
      </c>
      <c r="AP18" s="205">
        <v>5.6662295699999996</v>
      </c>
      <c r="AQ18" s="206">
        <v>1.0366586499999999</v>
      </c>
      <c r="AR18" s="206">
        <v>12.000457300000001</v>
      </c>
      <c r="AS18" s="207">
        <v>9.5304077500000002</v>
      </c>
      <c r="AT18" s="205">
        <v>12.9438168</v>
      </c>
      <c r="AU18" s="206">
        <v>-3.1917735</v>
      </c>
      <c r="AV18" s="206">
        <v>17.4503111</v>
      </c>
      <c r="AW18" s="207">
        <v>22.2866219</v>
      </c>
      <c r="AX18" s="205">
        <v>40.022947299999998</v>
      </c>
      <c r="AY18" s="206">
        <v>11.727096700000001</v>
      </c>
      <c r="AZ18" s="206">
        <v>46.231484100000003</v>
      </c>
      <c r="BA18" s="207">
        <v>19.439328100000001</v>
      </c>
    </row>
    <row r="19" spans="1:53" x14ac:dyDescent="0.2">
      <c r="A19" s="204" t="s">
        <v>1023</v>
      </c>
      <c r="B19" s="205">
        <v>0</v>
      </c>
      <c r="C19" s="206">
        <v>0</v>
      </c>
      <c r="D19" s="206">
        <v>0</v>
      </c>
      <c r="E19" s="207">
        <v>0</v>
      </c>
      <c r="F19" s="205">
        <v>21.448379899999999</v>
      </c>
      <c r="G19" s="206">
        <v>24.881584400000001</v>
      </c>
      <c r="H19" s="206">
        <v>28.540716199999999</v>
      </c>
      <c r="I19" s="207">
        <v>34.2009191</v>
      </c>
      <c r="J19" s="205">
        <v>26.181440800000001</v>
      </c>
      <c r="K19" s="206">
        <v>31.301988999999999</v>
      </c>
      <c r="L19" s="206">
        <v>62.359273999999999</v>
      </c>
      <c r="M19" s="207">
        <v>54.171140600000001</v>
      </c>
      <c r="N19" s="205">
        <v>21.765430899999998</v>
      </c>
      <c r="O19" s="206">
        <v>30.514670800000001</v>
      </c>
      <c r="P19" s="206">
        <v>76.517215300000004</v>
      </c>
      <c r="Q19" s="207">
        <v>85.753554100000002</v>
      </c>
      <c r="R19" s="205">
        <v>88.813207500000004</v>
      </c>
      <c r="S19" s="206">
        <v>83.462080499999999</v>
      </c>
      <c r="T19" s="206">
        <v>5.8981849200000003</v>
      </c>
      <c r="U19" s="207">
        <v>17.8914516</v>
      </c>
      <c r="V19" s="205">
        <v>77.036910899999995</v>
      </c>
      <c r="W19" s="206">
        <v>84.438015899999996</v>
      </c>
      <c r="X19" s="206">
        <v>18.631634200000001</v>
      </c>
      <c r="Y19" s="207">
        <v>33.1643975</v>
      </c>
      <c r="Z19" s="205">
        <v>53.916512599999997</v>
      </c>
      <c r="AA19" s="206">
        <v>71.835627500000001</v>
      </c>
      <c r="AB19" s="206">
        <v>32.438375899999997</v>
      </c>
      <c r="AC19" s="207">
        <v>94.412232099999997</v>
      </c>
      <c r="AD19" s="205">
        <v>8.9236482800000001</v>
      </c>
      <c r="AE19" s="206">
        <v>5.2304203600000001</v>
      </c>
      <c r="AF19" s="206">
        <v>1.5049069500000001</v>
      </c>
      <c r="AG19" s="207">
        <v>2.3035404900000001</v>
      </c>
      <c r="AH19" s="205">
        <v>35.874606700000001</v>
      </c>
      <c r="AI19" s="206">
        <v>24.3973254</v>
      </c>
      <c r="AJ19" s="206">
        <v>32.564742199999998</v>
      </c>
      <c r="AK19" s="207">
        <v>25.277384099999999</v>
      </c>
      <c r="AL19" s="205">
        <v>30.9980215</v>
      </c>
      <c r="AM19" s="206">
        <v>47.453137099999999</v>
      </c>
      <c r="AN19" s="206">
        <v>79.633702</v>
      </c>
      <c r="AO19" s="207">
        <v>68.844221099999999</v>
      </c>
      <c r="AP19" s="205">
        <v>5.9712626899999997</v>
      </c>
      <c r="AQ19" s="206">
        <v>1.5958292300000001</v>
      </c>
      <c r="AR19" s="206">
        <v>1.8085141300000001</v>
      </c>
      <c r="AS19" s="207">
        <v>5.2327162899999999</v>
      </c>
      <c r="AT19" s="205">
        <v>13.741850700000001</v>
      </c>
      <c r="AU19" s="206">
        <v>-0.60082020000000003</v>
      </c>
      <c r="AV19" s="206">
        <v>16.824761200000001</v>
      </c>
      <c r="AW19" s="207">
        <v>23.4362697</v>
      </c>
      <c r="AX19" s="205">
        <v>40.061950600000003</v>
      </c>
      <c r="AY19" s="206">
        <v>8.3945279799999994</v>
      </c>
      <c r="AZ19" s="206">
        <v>58.633931799999999</v>
      </c>
      <c r="BA19" s="207">
        <v>25.1828945</v>
      </c>
    </row>
    <row r="20" spans="1:53" x14ac:dyDescent="0.2">
      <c r="A20" s="204" t="s">
        <v>893</v>
      </c>
      <c r="B20" s="208">
        <v>0</v>
      </c>
      <c r="C20" s="209">
        <v>0</v>
      </c>
      <c r="D20" s="209">
        <v>0</v>
      </c>
      <c r="E20" s="210">
        <v>0</v>
      </c>
      <c r="F20" s="208">
        <v>20.263767600000001</v>
      </c>
      <c r="G20" s="209">
        <v>21.182542399999999</v>
      </c>
      <c r="H20" s="209">
        <v>25.578769099999999</v>
      </c>
      <c r="I20" s="210">
        <v>29.836865400000001</v>
      </c>
      <c r="J20" s="208">
        <v>24.345036499999999</v>
      </c>
      <c r="K20" s="209">
        <v>29.0586783</v>
      </c>
      <c r="L20" s="209">
        <v>56.126482199999998</v>
      </c>
      <c r="M20" s="210">
        <v>49.687452399999998</v>
      </c>
      <c r="N20" s="208">
        <v>18.757797199999999</v>
      </c>
      <c r="O20" s="209">
        <v>25.782564799999999</v>
      </c>
      <c r="P20" s="209">
        <v>60.399021300000001</v>
      </c>
      <c r="Q20" s="210">
        <v>72.236621400000004</v>
      </c>
      <c r="R20" s="208">
        <v>84.3343433</v>
      </c>
      <c r="S20" s="209">
        <v>75.474026699999996</v>
      </c>
      <c r="T20" s="209">
        <v>3.80199511</v>
      </c>
      <c r="U20" s="210">
        <v>15.9932917</v>
      </c>
      <c r="V20" s="208">
        <v>76.483692700000006</v>
      </c>
      <c r="W20" s="209">
        <v>79.412094699999997</v>
      </c>
      <c r="X20" s="209">
        <v>14.2857143</v>
      </c>
      <c r="Y20" s="210">
        <v>25.186766299999999</v>
      </c>
      <c r="Z20" s="208">
        <v>52.316877599999998</v>
      </c>
      <c r="AA20" s="209">
        <v>68.686188700000002</v>
      </c>
      <c r="AB20" s="209">
        <v>25.578769099999999</v>
      </c>
      <c r="AC20" s="210">
        <v>81.506327200000001</v>
      </c>
      <c r="AD20" s="208">
        <v>8.4120477600000001</v>
      </c>
      <c r="AE20" s="209">
        <v>6.2941770400000001</v>
      </c>
      <c r="AF20" s="209">
        <v>-0.24468290000000001</v>
      </c>
      <c r="AG20" s="210">
        <v>1.2501905799999999</v>
      </c>
      <c r="AH20" s="208">
        <v>34.378898599999999</v>
      </c>
      <c r="AI20" s="209">
        <v>24.840121199999999</v>
      </c>
      <c r="AJ20" s="209">
        <v>28.345567500000001</v>
      </c>
      <c r="AK20" s="210">
        <v>22.945571000000001</v>
      </c>
      <c r="AL20" s="208">
        <v>28.862947800000001</v>
      </c>
      <c r="AM20" s="209">
        <v>44.900706800000002</v>
      </c>
      <c r="AN20" s="209">
        <v>73.009599100000003</v>
      </c>
      <c r="AO20" s="210">
        <v>60.649489299999999</v>
      </c>
      <c r="AP20" s="208">
        <v>4.9189092900000002</v>
      </c>
      <c r="AQ20" s="209">
        <v>2.4795242900000001</v>
      </c>
      <c r="AR20" s="209">
        <v>0.35761340000000003</v>
      </c>
      <c r="AS20" s="210">
        <v>4.3909132499999997</v>
      </c>
      <c r="AT20" s="208">
        <v>12.4665835</v>
      </c>
      <c r="AU20" s="209">
        <v>-0.1907326</v>
      </c>
      <c r="AV20" s="209">
        <v>15.4150198</v>
      </c>
      <c r="AW20" s="210">
        <v>20.3689587</v>
      </c>
      <c r="AX20" s="208">
        <v>35.572981599999999</v>
      </c>
      <c r="AY20" s="209">
        <v>7.2927185000000003</v>
      </c>
      <c r="AZ20" s="209">
        <v>54.0937324</v>
      </c>
      <c r="BA20" s="210">
        <v>19.6218936</v>
      </c>
    </row>
    <row r="22" spans="1:53" x14ac:dyDescent="0.2">
      <c r="A22" s="231" t="s">
        <v>1118</v>
      </c>
      <c r="B22" t="s">
        <v>1090</v>
      </c>
    </row>
    <row r="23" spans="1:53" x14ac:dyDescent="0.2">
      <c r="A23" s="203" t="s">
        <v>1091</v>
      </c>
      <c r="B23" s="302" t="s">
        <v>7</v>
      </c>
      <c r="C23" s="307"/>
      <c r="D23" s="307"/>
      <c r="E23" s="307"/>
      <c r="F23" s="303"/>
      <c r="G23" s="302" t="s">
        <v>1087</v>
      </c>
      <c r="H23" s="307"/>
      <c r="I23" s="307"/>
      <c r="J23" s="307"/>
      <c r="K23" s="303"/>
      <c r="L23" s="302" t="s">
        <v>1088</v>
      </c>
      <c r="M23" s="307"/>
      <c r="N23" s="307"/>
      <c r="O23" s="307"/>
      <c r="P23" s="303"/>
    </row>
    <row r="24" spans="1:53" x14ac:dyDescent="0.2">
      <c r="A24" s="204" t="s">
        <v>11</v>
      </c>
      <c r="B24" s="205">
        <v>100</v>
      </c>
      <c r="C24" s="206">
        <v>5.6084656099999997</v>
      </c>
      <c r="D24" s="206">
        <v>0.23115353</v>
      </c>
      <c r="E24" s="206">
        <v>0.95355274999999995</v>
      </c>
      <c r="F24" s="207">
        <v>100</v>
      </c>
      <c r="G24" s="205">
        <v>100</v>
      </c>
      <c r="H24" s="206">
        <v>100</v>
      </c>
      <c r="I24" s="206">
        <v>100</v>
      </c>
      <c r="J24" s="206">
        <v>100</v>
      </c>
      <c r="K24" s="207">
        <v>100</v>
      </c>
      <c r="L24" s="205">
        <v>100</v>
      </c>
      <c r="M24" s="206">
        <v>5.6084656099999997</v>
      </c>
      <c r="N24" s="206">
        <v>0.23115353</v>
      </c>
      <c r="O24" s="206">
        <v>1.13811135</v>
      </c>
      <c r="P24" s="207">
        <v>100</v>
      </c>
    </row>
    <row r="25" spans="1:53" x14ac:dyDescent="0.2">
      <c r="A25" s="204" t="s">
        <v>12</v>
      </c>
      <c r="B25" s="205">
        <v>25.909494200000001</v>
      </c>
      <c r="C25" s="206">
        <v>16.892078399999999</v>
      </c>
      <c r="D25" s="206">
        <v>16.699092100000001</v>
      </c>
      <c r="E25" s="206">
        <v>10.709039900000001</v>
      </c>
      <c r="F25" s="207">
        <v>100</v>
      </c>
      <c r="G25" s="205">
        <v>100</v>
      </c>
      <c r="H25" s="206">
        <v>100</v>
      </c>
      <c r="I25" s="206">
        <v>100</v>
      </c>
      <c r="J25" s="206">
        <v>100</v>
      </c>
      <c r="K25" s="207">
        <v>35.518760800000003</v>
      </c>
      <c r="L25" s="205">
        <v>18.101153499999999</v>
      </c>
      <c r="M25" s="206">
        <v>31.9348606</v>
      </c>
      <c r="N25" s="206">
        <v>22.0622568</v>
      </c>
      <c r="O25" s="206">
        <v>100</v>
      </c>
      <c r="P25" s="207">
        <v>100</v>
      </c>
    </row>
    <row r="26" spans="1:53" x14ac:dyDescent="0.2">
      <c r="A26" s="204" t="s">
        <v>276</v>
      </c>
      <c r="B26" s="205">
        <v>3.1486818200000002</v>
      </c>
      <c r="C26" s="206">
        <v>3.2786401500000002</v>
      </c>
      <c r="D26" s="206">
        <v>0.40718717999999998</v>
      </c>
      <c r="E26" s="206">
        <v>0.62342825000000002</v>
      </c>
      <c r="F26" s="207">
        <v>18.339826200000001</v>
      </c>
      <c r="G26" s="205">
        <v>100</v>
      </c>
      <c r="H26" s="206">
        <v>100</v>
      </c>
      <c r="I26" s="206">
        <v>100</v>
      </c>
      <c r="J26" s="206">
        <v>100</v>
      </c>
      <c r="K26" s="207">
        <v>100</v>
      </c>
      <c r="L26" s="205">
        <v>10.285693999999999</v>
      </c>
      <c r="M26" s="206">
        <v>2.5571032300000001</v>
      </c>
      <c r="N26" s="206">
        <v>0.46628009999999998</v>
      </c>
      <c r="O26" s="206">
        <v>3.1939403999999998</v>
      </c>
      <c r="P26" s="207">
        <v>80.326640699999999</v>
      </c>
    </row>
    <row r="27" spans="1:53" x14ac:dyDescent="0.2">
      <c r="A27" s="204" t="s">
        <v>13</v>
      </c>
      <c r="B27" s="205">
        <v>0.71610921000000005</v>
      </c>
      <c r="C27" s="206">
        <v>0.12427468</v>
      </c>
      <c r="D27" s="206">
        <v>9.4652784099999998</v>
      </c>
      <c r="E27" s="206">
        <v>32.414155100000002</v>
      </c>
      <c r="F27" s="207">
        <v>72.757737000000006</v>
      </c>
      <c r="G27" s="205">
        <v>100</v>
      </c>
      <c r="H27" s="206">
        <v>100</v>
      </c>
      <c r="I27" s="206">
        <v>100</v>
      </c>
      <c r="J27" s="206">
        <v>100</v>
      </c>
      <c r="K27" s="207">
        <v>100</v>
      </c>
      <c r="L27" s="205">
        <v>1.3660779999999999</v>
      </c>
      <c r="M27" s="206">
        <v>0.27760820000000003</v>
      </c>
      <c r="N27" s="206">
        <v>5.89479402</v>
      </c>
      <c r="O27" s="206">
        <v>61.846700400000003</v>
      </c>
      <c r="P27" s="207">
        <v>99.763453600000005</v>
      </c>
    </row>
    <row r="28" spans="1:53" x14ac:dyDescent="0.2">
      <c r="A28" s="204" t="s">
        <v>14</v>
      </c>
      <c r="B28" s="205">
        <v>48.987854300000002</v>
      </c>
      <c r="C28" s="206">
        <v>2.1853500600000002</v>
      </c>
      <c r="D28" s="206">
        <v>1.12971281</v>
      </c>
      <c r="E28" s="206">
        <v>1.9543618300000001</v>
      </c>
      <c r="F28" s="207">
        <v>21.8761318</v>
      </c>
      <c r="G28" s="205">
        <v>100</v>
      </c>
      <c r="H28" s="206">
        <v>100</v>
      </c>
      <c r="I28" s="206">
        <v>100</v>
      </c>
      <c r="J28" s="206">
        <v>100</v>
      </c>
      <c r="K28" s="207">
        <v>100</v>
      </c>
      <c r="L28" s="205">
        <v>42.285200199999998</v>
      </c>
      <c r="M28" s="206">
        <v>1.4636449499999999</v>
      </c>
      <c r="N28" s="206">
        <v>0.81212286</v>
      </c>
      <c r="O28" s="206">
        <v>7.5444917599999997</v>
      </c>
      <c r="P28" s="207">
        <v>30.1521188</v>
      </c>
    </row>
    <row r="29" spans="1:53" x14ac:dyDescent="0.2">
      <c r="A29" s="204" t="s">
        <v>15</v>
      </c>
      <c r="B29" s="205">
        <v>20.662709799999998</v>
      </c>
      <c r="C29" s="206">
        <v>15.034011700000001</v>
      </c>
      <c r="D29" s="206">
        <v>60.3149996</v>
      </c>
      <c r="E29" s="206">
        <v>31.1776202</v>
      </c>
      <c r="F29" s="207">
        <v>100</v>
      </c>
      <c r="G29" s="205">
        <v>100</v>
      </c>
      <c r="H29" s="206">
        <v>100</v>
      </c>
      <c r="I29" s="206">
        <v>100</v>
      </c>
      <c r="J29" s="206">
        <v>57.628864999999998</v>
      </c>
      <c r="K29" s="207">
        <v>29.476591299999999</v>
      </c>
      <c r="L29" s="205">
        <v>3.4963446</v>
      </c>
      <c r="M29" s="206">
        <v>12.742774799999999</v>
      </c>
      <c r="N29" s="206">
        <v>29.094518300000001</v>
      </c>
      <c r="O29" s="206">
        <v>100</v>
      </c>
      <c r="P29" s="207">
        <v>36.662365800000003</v>
      </c>
    </row>
    <row r="30" spans="1:53" x14ac:dyDescent="0.2">
      <c r="A30" s="204" t="s">
        <v>10</v>
      </c>
      <c r="B30" s="208">
        <v>3.9910768600000002</v>
      </c>
      <c r="C30" s="209">
        <v>5.9133498099999997</v>
      </c>
      <c r="D30" s="209">
        <v>36.616752499999997</v>
      </c>
      <c r="E30" s="209">
        <v>31.496385199999999</v>
      </c>
      <c r="F30" s="210">
        <v>12.163916199999999</v>
      </c>
      <c r="G30" s="208">
        <v>100</v>
      </c>
      <c r="H30" s="209">
        <v>100</v>
      </c>
      <c r="I30" s="209">
        <v>100</v>
      </c>
      <c r="J30" s="209">
        <v>100</v>
      </c>
      <c r="K30" s="210">
        <v>9.6712590400000007</v>
      </c>
      <c r="L30" s="208">
        <v>8.4039748500000009</v>
      </c>
      <c r="M30" s="209">
        <v>0.51658550000000003</v>
      </c>
      <c r="N30" s="209">
        <v>32.381843699999997</v>
      </c>
      <c r="O30" s="209">
        <v>100</v>
      </c>
      <c r="P30" s="210">
        <v>75.542369699999995</v>
      </c>
    </row>
    <row r="32" spans="1:53" x14ac:dyDescent="0.2">
      <c r="A32" s="203" t="s">
        <v>1092</v>
      </c>
      <c r="B32" s="302" t="s">
        <v>7</v>
      </c>
      <c r="C32" s="307"/>
      <c r="D32" s="307"/>
      <c r="E32" s="303"/>
      <c r="F32" s="302" t="s">
        <v>1087</v>
      </c>
      <c r="G32" s="307"/>
      <c r="H32" s="307"/>
      <c r="I32" s="303"/>
      <c r="J32" s="302" t="s">
        <v>1088</v>
      </c>
      <c r="K32" s="307"/>
      <c r="L32" s="307"/>
      <c r="M32" s="303"/>
    </row>
    <row r="33" spans="1:19" x14ac:dyDescent="0.2">
      <c r="A33" s="204" t="s">
        <v>11</v>
      </c>
      <c r="B33" s="205">
        <v>97.222222200000004</v>
      </c>
      <c r="C33" s="206">
        <v>98.4924623</v>
      </c>
      <c r="D33" s="206">
        <v>7.3956682499999999</v>
      </c>
      <c r="E33" s="207">
        <v>4.0223280199999998</v>
      </c>
      <c r="F33" s="205">
        <v>100</v>
      </c>
      <c r="G33" s="206">
        <v>100</v>
      </c>
      <c r="H33" s="206">
        <v>100</v>
      </c>
      <c r="I33" s="207">
        <v>100</v>
      </c>
      <c r="J33" s="205">
        <v>97.222222200000004</v>
      </c>
      <c r="K33" s="206">
        <v>98.4924623</v>
      </c>
      <c r="L33" s="206">
        <v>7.3956682499999999</v>
      </c>
      <c r="M33" s="207">
        <v>4.0223280199999998</v>
      </c>
    </row>
    <row r="34" spans="1:19" x14ac:dyDescent="0.2">
      <c r="A34" s="204" t="s">
        <v>12</v>
      </c>
      <c r="B34" s="205">
        <v>92.658588699999996</v>
      </c>
      <c r="C34" s="206">
        <v>83.033418999999995</v>
      </c>
      <c r="D34" s="206">
        <v>41.4902625</v>
      </c>
      <c r="E34" s="207">
        <v>36.485480299999999</v>
      </c>
      <c r="F34" s="205">
        <v>100</v>
      </c>
      <c r="G34" s="206">
        <v>100</v>
      </c>
      <c r="H34" s="206">
        <v>100</v>
      </c>
      <c r="I34" s="207">
        <v>100</v>
      </c>
      <c r="J34" s="205">
        <v>74.126870999999994</v>
      </c>
      <c r="K34" s="206">
        <v>81.812339300000005</v>
      </c>
      <c r="L34" s="206">
        <v>43.310753599999998</v>
      </c>
      <c r="M34" s="207">
        <v>50.9679821</v>
      </c>
    </row>
    <row r="35" spans="1:19" x14ac:dyDescent="0.2">
      <c r="A35" s="204" t="s">
        <v>276</v>
      </c>
      <c r="B35" s="205">
        <v>6.4986334599999998</v>
      </c>
      <c r="C35" s="206">
        <v>6.0864618899999998</v>
      </c>
      <c r="D35" s="206">
        <v>0.14661551</v>
      </c>
      <c r="E35" s="207">
        <v>0.178261</v>
      </c>
      <c r="F35" s="205">
        <v>100</v>
      </c>
      <c r="G35" s="206">
        <v>100</v>
      </c>
      <c r="H35" s="206">
        <v>100</v>
      </c>
      <c r="I35" s="207">
        <v>100</v>
      </c>
      <c r="J35" s="205">
        <v>6.4986334599999998</v>
      </c>
      <c r="K35" s="206">
        <v>6.0864618899999998</v>
      </c>
      <c r="L35" s="206">
        <v>0.14661551</v>
      </c>
      <c r="M35" s="207">
        <v>0.29906597000000001</v>
      </c>
    </row>
    <row r="36" spans="1:19" x14ac:dyDescent="0.2">
      <c r="A36" s="204" t="s">
        <v>66</v>
      </c>
      <c r="B36" s="205">
        <v>9.2802640000000006E-2</v>
      </c>
      <c r="C36" s="206">
        <v>0.13334964999999999</v>
      </c>
      <c r="D36" s="206">
        <v>7.9580189999999995E-2</v>
      </c>
      <c r="E36" s="207">
        <v>7.9261449999999997E-2</v>
      </c>
      <c r="F36" s="205">
        <v>100</v>
      </c>
      <c r="G36" s="206">
        <v>100</v>
      </c>
      <c r="H36" s="206">
        <v>100</v>
      </c>
      <c r="I36" s="207">
        <v>100</v>
      </c>
      <c r="J36" s="205">
        <v>9.2802640000000006E-2</v>
      </c>
      <c r="K36" s="206">
        <v>0.13334964999999999</v>
      </c>
      <c r="L36" s="206">
        <v>7.9580189999999995E-2</v>
      </c>
      <c r="M36" s="207">
        <v>7.9261449999999997E-2</v>
      </c>
    </row>
    <row r="37" spans="1:19" x14ac:dyDescent="0.2">
      <c r="A37" s="204" t="s">
        <v>13</v>
      </c>
      <c r="B37" s="205">
        <v>89.833641400000005</v>
      </c>
      <c r="C37" s="206">
        <v>100</v>
      </c>
      <c r="D37" s="206">
        <v>0.93763953</v>
      </c>
      <c r="E37" s="207">
        <v>0.57178642000000002</v>
      </c>
      <c r="F37" s="205">
        <v>100</v>
      </c>
      <c r="G37" s="206">
        <v>92.388451399999994</v>
      </c>
      <c r="H37" s="206">
        <v>100</v>
      </c>
      <c r="I37" s="207">
        <v>100</v>
      </c>
      <c r="J37" s="205">
        <v>61.367837299999998</v>
      </c>
      <c r="K37" s="206">
        <v>93.963254599999999</v>
      </c>
      <c r="L37" s="206">
        <v>1.5091531499999999</v>
      </c>
      <c r="M37" s="207">
        <v>0.56770224000000002</v>
      </c>
    </row>
    <row r="38" spans="1:19" x14ac:dyDescent="0.2">
      <c r="A38" s="204" t="s">
        <v>132</v>
      </c>
      <c r="B38" s="205">
        <v>2.7671890399999999</v>
      </c>
      <c r="C38" s="206">
        <v>5.9854638700000002</v>
      </c>
      <c r="D38" s="206">
        <v>32.268686199999998</v>
      </c>
      <c r="E38" s="207">
        <v>43.691484600000003</v>
      </c>
      <c r="F38" s="205">
        <v>100</v>
      </c>
      <c r="G38" s="206">
        <v>100</v>
      </c>
      <c r="H38" s="206">
        <v>100</v>
      </c>
      <c r="I38" s="207">
        <v>100</v>
      </c>
      <c r="J38" s="205">
        <v>2.7671890399999999</v>
      </c>
      <c r="K38" s="206">
        <v>5.9854638700000002</v>
      </c>
      <c r="L38" s="206">
        <v>32.268686199999998</v>
      </c>
      <c r="M38" s="207">
        <v>43.691484600000003</v>
      </c>
    </row>
    <row r="39" spans="1:19" x14ac:dyDescent="0.2">
      <c r="A39" s="204" t="s">
        <v>150</v>
      </c>
      <c r="B39" s="208">
        <v>37.141987800000003</v>
      </c>
      <c r="C39" s="209">
        <v>96.082087799999996</v>
      </c>
      <c r="D39" s="209">
        <v>24.836671599999999</v>
      </c>
      <c r="E39" s="210">
        <v>51.692556199999999</v>
      </c>
      <c r="F39" s="208">
        <v>100</v>
      </c>
      <c r="G39" s="209">
        <v>99.647150199999999</v>
      </c>
      <c r="H39" s="209">
        <v>46.467495700000001</v>
      </c>
      <c r="I39" s="210">
        <v>100</v>
      </c>
      <c r="J39" s="208">
        <v>25.7427493</v>
      </c>
      <c r="K39" s="209">
        <v>100</v>
      </c>
      <c r="L39" s="209">
        <v>100</v>
      </c>
      <c r="M39" s="210">
        <v>71.571978700000003</v>
      </c>
    </row>
    <row r="41" spans="1:19" x14ac:dyDescent="0.2">
      <c r="A41" t="s">
        <v>1250</v>
      </c>
    </row>
    <row r="42" spans="1:19" x14ac:dyDescent="0.2">
      <c r="H42" s="176" t="s">
        <v>1201</v>
      </c>
    </row>
    <row r="43" spans="1:19" x14ac:dyDescent="0.2">
      <c r="B43" s="21"/>
      <c r="C43" s="21"/>
      <c r="D43" s="301" t="s">
        <v>272</v>
      </c>
      <c r="E43" s="299"/>
      <c r="F43" s="300"/>
      <c r="G43" s="301" t="s">
        <v>274</v>
      </c>
      <c r="H43" s="299"/>
      <c r="I43" s="300"/>
      <c r="J43" s="301" t="s">
        <v>1196</v>
      </c>
      <c r="K43" s="299"/>
      <c r="L43" s="300"/>
      <c r="M43" s="301" t="s">
        <v>9</v>
      </c>
      <c r="N43" s="299"/>
      <c r="O43" s="300"/>
      <c r="S43" s="122"/>
    </row>
    <row r="44" spans="1:19" x14ac:dyDescent="0.2">
      <c r="B44" t="s">
        <v>1200</v>
      </c>
      <c r="C44" s="259" t="s">
        <v>1141</v>
      </c>
      <c r="D44" s="20" t="s">
        <v>1073</v>
      </c>
      <c r="E44" s="21" t="s">
        <v>1074</v>
      </c>
      <c r="F44" s="10" t="s">
        <v>1075</v>
      </c>
      <c r="G44" s="20" t="s">
        <v>1142</v>
      </c>
      <c r="H44" s="21" t="s">
        <v>1148</v>
      </c>
      <c r="I44" s="10" t="s">
        <v>1144</v>
      </c>
      <c r="J44" s="20" t="s">
        <v>1197</v>
      </c>
      <c r="K44" s="21" t="s">
        <v>1198</v>
      </c>
      <c r="L44" s="10" t="s">
        <v>1148</v>
      </c>
      <c r="M44" s="20" t="s">
        <v>1199</v>
      </c>
      <c r="N44" s="21" t="s">
        <v>1142</v>
      </c>
      <c r="O44" s="10" t="s">
        <v>1148</v>
      </c>
      <c r="P44" s="122"/>
      <c r="Q44" s="122"/>
      <c r="R44" s="122"/>
      <c r="S44" s="122"/>
    </row>
    <row r="45" spans="1:19" x14ac:dyDescent="0.2">
      <c r="B45" t="s">
        <v>423</v>
      </c>
      <c r="C45" s="21" t="s">
        <v>7</v>
      </c>
      <c r="D45" s="124">
        <v>6.9999999999999999E-4</v>
      </c>
      <c r="E45" s="125" t="s">
        <v>1131</v>
      </c>
      <c r="F45" s="126" t="s">
        <v>1131</v>
      </c>
      <c r="G45" s="124">
        <v>0.1797</v>
      </c>
      <c r="H45" s="125">
        <v>0.1227</v>
      </c>
      <c r="I45" s="126">
        <v>2.6200000000000001E-2</v>
      </c>
      <c r="J45" s="124">
        <v>0.69669999999999999</v>
      </c>
      <c r="K45" s="125" t="s">
        <v>1131</v>
      </c>
      <c r="L45" s="126" t="s">
        <v>1131</v>
      </c>
      <c r="M45" s="124">
        <v>0.3992</v>
      </c>
      <c r="N45" s="125">
        <v>0.7238</v>
      </c>
      <c r="O45" s="126">
        <v>0.98450000000000004</v>
      </c>
      <c r="P45" s="122"/>
      <c r="Q45" s="122"/>
      <c r="R45" s="122"/>
      <c r="S45" s="122"/>
    </row>
    <row r="46" spans="1:19" x14ac:dyDescent="0.2">
      <c r="B46" s="21" t="s">
        <v>386</v>
      </c>
      <c r="C46" s="21" t="s">
        <v>7</v>
      </c>
      <c r="D46" s="124">
        <v>0.70669999999999999</v>
      </c>
      <c r="E46" s="125">
        <v>0.13320000000000001</v>
      </c>
      <c r="F46" s="126">
        <v>8.3999999999999995E-3</v>
      </c>
      <c r="G46" s="124">
        <v>0.77149999999999996</v>
      </c>
      <c r="H46" s="125">
        <v>0.72009999999999996</v>
      </c>
      <c r="I46" s="126">
        <v>0.16270000000000001</v>
      </c>
      <c r="J46" s="124">
        <v>0.99950000000000006</v>
      </c>
      <c r="K46" s="125">
        <v>9.5600000000000004E-2</v>
      </c>
      <c r="L46" s="126">
        <v>1.6400000000000001E-2</v>
      </c>
      <c r="M46" s="124">
        <v>0.80220000000000002</v>
      </c>
      <c r="N46" s="125">
        <v>0.66549999999999998</v>
      </c>
      <c r="O46" s="126">
        <v>0.99519999999999997</v>
      </c>
      <c r="P46" s="122"/>
      <c r="Q46" s="122"/>
      <c r="R46" s="122"/>
      <c r="S46" s="122"/>
    </row>
    <row r="47" spans="1:19" x14ac:dyDescent="0.2">
      <c r="B47" s="21" t="s">
        <v>1084</v>
      </c>
      <c r="C47" s="21" t="s">
        <v>7</v>
      </c>
      <c r="D47" s="124">
        <v>0.99939999999999996</v>
      </c>
      <c r="E47" s="125">
        <v>0.87829999999999997</v>
      </c>
      <c r="F47" s="126">
        <v>0.62239999999999995</v>
      </c>
      <c r="G47" s="124">
        <v>0.99460000000000004</v>
      </c>
      <c r="H47" s="125">
        <v>0.95620000000000005</v>
      </c>
      <c r="I47" s="126">
        <v>0.88749999999999996</v>
      </c>
      <c r="J47" s="124" t="s">
        <v>1133</v>
      </c>
      <c r="K47" s="125">
        <v>0.52210000000000001</v>
      </c>
      <c r="L47" s="126">
        <v>0.22500000000000001</v>
      </c>
      <c r="M47" s="124" t="s">
        <v>1133</v>
      </c>
      <c r="N47" s="125" t="s">
        <v>1133</v>
      </c>
      <c r="O47" s="126" t="s">
        <v>1133</v>
      </c>
      <c r="P47" s="122"/>
      <c r="Q47" s="122"/>
      <c r="R47" s="122"/>
      <c r="S47" s="122"/>
    </row>
    <row r="48" spans="1:19" x14ac:dyDescent="0.2">
      <c r="B48" t="s">
        <v>1085</v>
      </c>
      <c r="C48" s="21" t="s">
        <v>7</v>
      </c>
      <c r="D48" s="124">
        <v>0.95099999999999996</v>
      </c>
      <c r="E48" s="125">
        <v>0.73909999999999998</v>
      </c>
      <c r="F48" s="126">
        <v>0.13450000000000001</v>
      </c>
      <c r="G48" s="124" t="s">
        <v>1133</v>
      </c>
      <c r="H48" s="125" t="s">
        <v>1133</v>
      </c>
      <c r="I48" s="126" t="s">
        <v>1133</v>
      </c>
      <c r="J48" s="124" t="s">
        <v>1133</v>
      </c>
      <c r="K48" s="125">
        <v>0.97950000000000004</v>
      </c>
      <c r="L48" s="126">
        <v>0.30399999999999999</v>
      </c>
      <c r="M48" s="124">
        <v>0.99990000000000001</v>
      </c>
      <c r="N48" s="125" t="s">
        <v>1133</v>
      </c>
      <c r="O48" s="126" t="s">
        <v>1133</v>
      </c>
      <c r="P48" s="122"/>
      <c r="Q48" s="122"/>
      <c r="R48" s="122"/>
      <c r="S48" s="122"/>
    </row>
    <row r="49" spans="2:19" x14ac:dyDescent="0.2">
      <c r="B49" t="s">
        <v>891</v>
      </c>
      <c r="C49" s="21" t="s">
        <v>7</v>
      </c>
      <c r="D49" s="124">
        <v>0.68200000000000005</v>
      </c>
      <c r="E49" s="125">
        <v>5.3999999999999999E-2</v>
      </c>
      <c r="F49" s="126">
        <v>2.0500000000000001E-2</v>
      </c>
      <c r="G49" s="124">
        <v>0.11700000000000001</v>
      </c>
      <c r="H49" s="125">
        <v>0.1124</v>
      </c>
      <c r="I49" s="126">
        <v>4.0000000000000002E-4</v>
      </c>
      <c r="J49" s="124">
        <v>0.90249999999999997</v>
      </c>
      <c r="K49" s="125">
        <v>1E-3</v>
      </c>
      <c r="L49" s="126">
        <v>3.8999999999999998E-3</v>
      </c>
      <c r="M49" s="124">
        <v>1.1000000000000001E-3</v>
      </c>
      <c r="N49" s="125">
        <v>2.9999999999999997E-4</v>
      </c>
      <c r="O49" s="126">
        <v>1.0800000000000001E-2</v>
      </c>
      <c r="P49" s="122"/>
      <c r="Q49" s="122"/>
      <c r="R49" s="122"/>
      <c r="S49" s="122"/>
    </row>
    <row r="50" spans="2:19" x14ac:dyDescent="0.2">
      <c r="B50" t="s">
        <v>892</v>
      </c>
      <c r="C50" s="21" t="s">
        <v>7</v>
      </c>
      <c r="D50" s="124">
        <v>2.0000000000000001E-4</v>
      </c>
      <c r="E50" s="125" t="s">
        <v>1131</v>
      </c>
      <c r="F50" s="126" t="s">
        <v>1131</v>
      </c>
      <c r="G50" s="124">
        <v>4.7999999999999996E-3</v>
      </c>
      <c r="H50" s="125">
        <v>2.7000000000000001E-3</v>
      </c>
      <c r="I50" s="126" t="s">
        <v>1131</v>
      </c>
      <c r="J50" s="124">
        <v>0.1628</v>
      </c>
      <c r="K50" s="125" t="s">
        <v>1131</v>
      </c>
      <c r="L50" s="126">
        <v>2.0000000000000001E-4</v>
      </c>
      <c r="M50" s="124">
        <v>2.9999999999999997E-4</v>
      </c>
      <c r="N50" s="125">
        <v>2.2000000000000001E-3</v>
      </c>
      <c r="O50" s="126">
        <v>7.0000000000000001E-3</v>
      </c>
      <c r="P50" s="122"/>
      <c r="Q50" s="122"/>
      <c r="R50" s="122"/>
      <c r="S50" s="122"/>
    </row>
    <row r="51" spans="2:19" x14ac:dyDescent="0.2">
      <c r="B51" t="s">
        <v>1023</v>
      </c>
      <c r="C51" s="21" t="s">
        <v>7</v>
      </c>
      <c r="D51" s="124" t="s">
        <v>1131</v>
      </c>
      <c r="E51" s="125" t="s">
        <v>1131</v>
      </c>
      <c r="F51" s="126" t="s">
        <v>1131</v>
      </c>
      <c r="G51" s="124">
        <v>2.5999999999999999E-3</v>
      </c>
      <c r="H51" s="125">
        <v>1.8E-3</v>
      </c>
      <c r="I51" s="126" t="s">
        <v>1131</v>
      </c>
      <c r="J51" s="124">
        <v>7.2300000000000003E-2</v>
      </c>
      <c r="K51" s="125" t="s">
        <v>1131</v>
      </c>
      <c r="L51" s="126">
        <v>8.9999999999999998E-4</v>
      </c>
      <c r="M51" s="124" t="s">
        <v>1131</v>
      </c>
      <c r="N51" s="125">
        <v>6.9999999999999999E-4</v>
      </c>
      <c r="O51" s="126">
        <v>1.9E-3</v>
      </c>
      <c r="P51" s="122"/>
      <c r="Q51" s="122"/>
      <c r="R51" s="122"/>
      <c r="S51" s="122"/>
    </row>
    <row r="52" spans="2:19" x14ac:dyDescent="0.2">
      <c r="B52" t="s">
        <v>893</v>
      </c>
      <c r="C52" s="21" t="s">
        <v>7</v>
      </c>
      <c r="D52" s="127">
        <v>2.0000000000000001E-4</v>
      </c>
      <c r="E52" s="128" t="s">
        <v>1131</v>
      </c>
      <c r="F52" s="129">
        <v>2.0000000000000001E-4</v>
      </c>
      <c r="G52" s="127">
        <v>3.4200000000000001E-2</v>
      </c>
      <c r="H52" s="128">
        <v>5.62E-2</v>
      </c>
      <c r="I52" s="129">
        <v>6.9999999999999999E-4</v>
      </c>
      <c r="J52" s="127">
        <v>0.37390000000000001</v>
      </c>
      <c r="K52" s="128">
        <v>1E-4</v>
      </c>
      <c r="L52" s="129">
        <v>1.11E-2</v>
      </c>
      <c r="M52" s="127">
        <v>3.8E-3</v>
      </c>
      <c r="N52" s="128">
        <v>2.1600000000000001E-2</v>
      </c>
      <c r="O52" s="129">
        <v>1.47E-2</v>
      </c>
      <c r="P52" s="122"/>
      <c r="Q52" s="122"/>
      <c r="R52" s="122"/>
      <c r="S52" s="122"/>
    </row>
    <row r="53" spans="2:19" x14ac:dyDescent="0.2">
      <c r="P53" s="122"/>
      <c r="Q53" s="122"/>
      <c r="R53" s="122"/>
      <c r="S53" s="122"/>
    </row>
    <row r="54" spans="2:19" x14ac:dyDescent="0.2">
      <c r="H54" s="176" t="s">
        <v>1202</v>
      </c>
      <c r="P54" s="122"/>
      <c r="Q54" s="122"/>
      <c r="R54" s="122"/>
      <c r="S54" s="122"/>
    </row>
    <row r="55" spans="2:19" x14ac:dyDescent="0.2">
      <c r="B55" s="21"/>
      <c r="C55" s="21"/>
      <c r="D55" s="301" t="s">
        <v>272</v>
      </c>
      <c r="E55" s="299"/>
      <c r="F55" s="300"/>
      <c r="G55" s="301" t="s">
        <v>274</v>
      </c>
      <c r="H55" s="299"/>
      <c r="I55" s="300"/>
      <c r="J55" s="301" t="s">
        <v>1196</v>
      </c>
      <c r="K55" s="299"/>
      <c r="L55" s="300"/>
      <c r="M55" s="301" t="s">
        <v>9</v>
      </c>
      <c r="N55" s="299"/>
      <c r="O55" s="300"/>
      <c r="P55" s="122"/>
      <c r="Q55" s="122"/>
      <c r="R55" s="122"/>
      <c r="S55" s="122"/>
    </row>
    <row r="56" spans="2:19" x14ac:dyDescent="0.2">
      <c r="B56" t="s">
        <v>1200</v>
      </c>
      <c r="C56" s="259" t="s">
        <v>1141</v>
      </c>
      <c r="D56" s="20" t="s">
        <v>1073</v>
      </c>
      <c r="E56" s="21" t="s">
        <v>1074</v>
      </c>
      <c r="F56" s="10" t="s">
        <v>1075</v>
      </c>
      <c r="G56" s="20" t="s">
        <v>1142</v>
      </c>
      <c r="H56" s="21" t="s">
        <v>1148</v>
      </c>
      <c r="I56" s="10" t="s">
        <v>1144</v>
      </c>
      <c r="J56" s="20" t="s">
        <v>1197</v>
      </c>
      <c r="K56" s="21" t="s">
        <v>1198</v>
      </c>
      <c r="L56" s="10" t="s">
        <v>1148</v>
      </c>
      <c r="M56" s="20" t="s">
        <v>1199</v>
      </c>
      <c r="N56" s="21" t="s">
        <v>1142</v>
      </c>
      <c r="O56" s="10" t="s">
        <v>1148</v>
      </c>
      <c r="Q56" s="122"/>
      <c r="R56" s="122"/>
      <c r="S56" s="122"/>
    </row>
    <row r="57" spans="2:19" x14ac:dyDescent="0.2">
      <c r="B57" t="s">
        <v>423</v>
      </c>
      <c r="C57" s="21" t="s">
        <v>7</v>
      </c>
      <c r="D57" s="124">
        <v>0.7944</v>
      </c>
      <c r="E57" s="125">
        <v>1.6899999999999998E-2</v>
      </c>
      <c r="F57" s="126" t="s">
        <v>1131</v>
      </c>
      <c r="G57" s="124">
        <v>0.1037</v>
      </c>
      <c r="H57" s="125">
        <v>0.2467</v>
      </c>
      <c r="I57" s="126">
        <v>0.1226</v>
      </c>
      <c r="J57" s="124" t="s">
        <v>1133</v>
      </c>
      <c r="K57" s="125">
        <v>0.99</v>
      </c>
      <c r="L57" s="126">
        <v>5.3E-3</v>
      </c>
      <c r="M57" s="124" t="s">
        <v>1133</v>
      </c>
      <c r="N57" s="125" t="s">
        <v>1133</v>
      </c>
      <c r="O57" s="126">
        <v>0.96109999999999995</v>
      </c>
      <c r="Q57" s="122"/>
      <c r="R57" s="122"/>
      <c r="S57" s="122"/>
    </row>
    <row r="58" spans="2:19" x14ac:dyDescent="0.2">
      <c r="B58" s="21" t="s">
        <v>386</v>
      </c>
      <c r="C58" s="21" t="s">
        <v>7</v>
      </c>
      <c r="D58" s="124">
        <v>4.3E-3</v>
      </c>
      <c r="E58" s="125" t="s">
        <v>1131</v>
      </c>
      <c r="F58" s="126">
        <v>1.1999999999999999E-3</v>
      </c>
      <c r="G58" s="124">
        <v>5.9999999999999995E-4</v>
      </c>
      <c r="H58" s="125" t="s">
        <v>1131</v>
      </c>
      <c r="I58" s="126">
        <v>5.4100000000000002E-2</v>
      </c>
      <c r="J58" s="124">
        <v>0.99770000000000003</v>
      </c>
      <c r="K58" s="125">
        <v>9.7000000000000003E-3</v>
      </c>
      <c r="L58" s="126">
        <v>2.9999999999999997E-4</v>
      </c>
      <c r="M58" s="124">
        <v>0.91220000000000001</v>
      </c>
      <c r="N58" s="125" t="s">
        <v>1133</v>
      </c>
      <c r="O58" s="126" t="s">
        <v>1133</v>
      </c>
      <c r="Q58" s="122"/>
      <c r="R58" s="122"/>
    </row>
    <row r="59" spans="2:19" x14ac:dyDescent="0.2">
      <c r="B59" s="21" t="s">
        <v>1084</v>
      </c>
      <c r="C59" s="21" t="s">
        <v>7</v>
      </c>
      <c r="D59" s="124">
        <v>0.70289999999999997</v>
      </c>
      <c r="E59" s="125">
        <v>4.7899999999999998E-2</v>
      </c>
      <c r="F59" s="126" t="s">
        <v>1131</v>
      </c>
      <c r="G59" s="124">
        <v>3.5099999999999999E-2</v>
      </c>
      <c r="H59" s="125">
        <v>2.2700000000000001E-2</v>
      </c>
      <c r="I59" s="126">
        <v>0.2571</v>
      </c>
      <c r="J59" s="124">
        <v>0.99980000000000002</v>
      </c>
      <c r="K59" s="125">
        <v>0.2019</v>
      </c>
      <c r="L59" s="126" t="s">
        <v>1131</v>
      </c>
      <c r="M59" s="124" t="s">
        <v>1133</v>
      </c>
      <c r="N59" s="125" t="s">
        <v>1133</v>
      </c>
      <c r="O59" s="126" t="s">
        <v>1133</v>
      </c>
      <c r="Q59" s="122"/>
      <c r="R59" s="122"/>
    </row>
    <row r="60" spans="2:19" x14ac:dyDescent="0.2">
      <c r="B60" t="s">
        <v>1085</v>
      </c>
      <c r="C60" s="21" t="s">
        <v>7</v>
      </c>
      <c r="D60" s="124">
        <v>0.99909999999999999</v>
      </c>
      <c r="E60" s="125">
        <v>0.98099999999999998</v>
      </c>
      <c r="F60" s="126">
        <v>0.75819999999999999</v>
      </c>
      <c r="G60" s="124">
        <v>0.64939999999999998</v>
      </c>
      <c r="H60" s="125">
        <v>0.4773</v>
      </c>
      <c r="I60" s="126">
        <v>0.1011</v>
      </c>
      <c r="J60" s="124" t="s">
        <v>1133</v>
      </c>
      <c r="K60" s="125">
        <v>0.81640000000000001</v>
      </c>
      <c r="L60" s="126">
        <v>7.0699999999999999E-2</v>
      </c>
      <c r="M60" s="124" t="s">
        <v>1133</v>
      </c>
      <c r="N60" s="125">
        <v>0.99929999999999997</v>
      </c>
      <c r="O60" s="126">
        <v>4.1999999999999997E-3</v>
      </c>
      <c r="Q60" s="122"/>
      <c r="R60" s="122"/>
    </row>
    <row r="61" spans="2:19" x14ac:dyDescent="0.2">
      <c r="B61" t="s">
        <v>891</v>
      </c>
      <c r="C61" s="21" t="s">
        <v>7</v>
      </c>
      <c r="D61" s="124">
        <v>0.39410000000000001</v>
      </c>
      <c r="E61" s="125">
        <v>2.2100000000000002E-2</v>
      </c>
      <c r="F61" s="126">
        <v>2.7900000000000001E-2</v>
      </c>
      <c r="G61" s="124">
        <v>1.9E-3</v>
      </c>
      <c r="H61" s="125">
        <v>1.1999999999999999E-3</v>
      </c>
      <c r="I61" s="126">
        <v>4.7199999999999999E-2</v>
      </c>
      <c r="J61" s="124">
        <v>0.99990000000000001</v>
      </c>
      <c r="K61" s="125">
        <v>0.13719999999999999</v>
      </c>
      <c r="L61" s="126">
        <v>1.4E-3</v>
      </c>
      <c r="M61" s="124">
        <v>0.99339999999999995</v>
      </c>
      <c r="N61" s="125">
        <v>0.99870000000000003</v>
      </c>
      <c r="O61" s="126">
        <v>0.71</v>
      </c>
      <c r="Q61" s="122"/>
      <c r="R61" s="122"/>
    </row>
    <row r="62" spans="2:19" x14ac:dyDescent="0.2">
      <c r="B62" t="s">
        <v>892</v>
      </c>
      <c r="C62" s="21" t="s">
        <v>7</v>
      </c>
      <c r="D62" s="124">
        <v>0.79569999999999996</v>
      </c>
      <c r="E62" s="125">
        <v>0.21260000000000001</v>
      </c>
      <c r="F62" s="126">
        <v>7.3899999999999993E-2</v>
      </c>
      <c r="G62" s="124">
        <v>1.2500000000000001E-2</v>
      </c>
      <c r="H62" s="125">
        <v>4.4999999999999997E-3</v>
      </c>
      <c r="I62" s="126">
        <v>4.4000000000000003E-3</v>
      </c>
      <c r="J62" s="124" t="s">
        <v>1133</v>
      </c>
      <c r="K62" s="125">
        <v>0.47010000000000002</v>
      </c>
      <c r="L62" s="126">
        <v>1.0200000000000001E-2</v>
      </c>
      <c r="M62" s="124" t="s">
        <v>1133</v>
      </c>
      <c r="N62" s="125">
        <v>0.99560000000000004</v>
      </c>
      <c r="O62" s="126">
        <v>0.33800000000000002</v>
      </c>
      <c r="Q62" s="122"/>
      <c r="R62" s="122"/>
    </row>
    <row r="63" spans="2:19" x14ac:dyDescent="0.2">
      <c r="B63" t="s">
        <v>1023</v>
      </c>
      <c r="C63" s="21" t="s">
        <v>7</v>
      </c>
      <c r="D63" s="124">
        <v>0.84460000000000002</v>
      </c>
      <c r="E63" s="125">
        <v>0.22120000000000001</v>
      </c>
      <c r="F63" s="126">
        <v>5.1400000000000001E-2</v>
      </c>
      <c r="G63" s="124">
        <v>0.1046</v>
      </c>
      <c r="H63" s="125">
        <v>5.4100000000000002E-2</v>
      </c>
      <c r="I63" s="126">
        <v>0.01</v>
      </c>
      <c r="J63" s="124" t="s">
        <v>1133</v>
      </c>
      <c r="K63" s="125">
        <v>0.76590000000000003</v>
      </c>
      <c r="L63" s="126">
        <v>3.0800000000000001E-2</v>
      </c>
      <c r="M63" s="124" t="s">
        <v>1133</v>
      </c>
      <c r="N63" s="125">
        <v>0.99950000000000006</v>
      </c>
      <c r="O63" s="126">
        <v>0.61950000000000005</v>
      </c>
      <c r="Q63" s="122"/>
      <c r="R63" s="122"/>
    </row>
    <row r="64" spans="2:19" x14ac:dyDescent="0.2">
      <c r="B64" t="s">
        <v>893</v>
      </c>
      <c r="C64" s="21" t="s">
        <v>7</v>
      </c>
      <c r="D64" s="127">
        <v>0.88060000000000005</v>
      </c>
      <c r="E64" s="128">
        <v>0.2414</v>
      </c>
      <c r="F64" s="129">
        <v>0.12790000000000001</v>
      </c>
      <c r="G64" s="127">
        <v>0.11650000000000001</v>
      </c>
      <c r="H64" s="128">
        <v>6.1499999999999999E-2</v>
      </c>
      <c r="I64" s="129">
        <v>1.3899999999999999E-2</v>
      </c>
      <c r="J64" s="127" t="s">
        <v>1133</v>
      </c>
      <c r="K64" s="128">
        <v>0.75929999999999997</v>
      </c>
      <c r="L64" s="129">
        <v>3.6400000000000002E-2</v>
      </c>
      <c r="M64" s="127" t="s">
        <v>1133</v>
      </c>
      <c r="N64" s="128">
        <v>0.99960000000000004</v>
      </c>
      <c r="O64" s="129">
        <v>0.69369999999999998</v>
      </c>
      <c r="Q64" s="122"/>
    </row>
    <row r="65" spans="17:17" x14ac:dyDescent="0.2">
      <c r="Q65" s="122"/>
    </row>
    <row r="66" spans="17:17" x14ac:dyDescent="0.2">
      <c r="Q66" s="122"/>
    </row>
    <row r="67" spans="17:17" x14ac:dyDescent="0.2">
      <c r="Q67" s="122"/>
    </row>
    <row r="68" spans="17:17" x14ac:dyDescent="0.2">
      <c r="Q68" s="122"/>
    </row>
  </sheetData>
  <mergeCells count="48">
    <mergeCell ref="J55:L55"/>
    <mergeCell ref="M55:O55"/>
    <mergeCell ref="D55:F55"/>
    <mergeCell ref="G55:I55"/>
    <mergeCell ref="D43:F43"/>
    <mergeCell ref="G43:I43"/>
    <mergeCell ref="J43:L43"/>
    <mergeCell ref="M43:O43"/>
    <mergeCell ref="B32:E32"/>
    <mergeCell ref="F32:I32"/>
    <mergeCell ref="J32:M32"/>
    <mergeCell ref="AX12:BA12"/>
    <mergeCell ref="F11:Q11"/>
    <mergeCell ref="R11:AC11"/>
    <mergeCell ref="AD11:AO11"/>
    <mergeCell ref="AP11:BA11"/>
    <mergeCell ref="B23:F23"/>
    <mergeCell ref="G23:K23"/>
    <mergeCell ref="L23:P23"/>
    <mergeCell ref="Z12:AC12"/>
    <mergeCell ref="AD12:AG12"/>
    <mergeCell ref="AH12:AK12"/>
    <mergeCell ref="AL12:AO12"/>
    <mergeCell ref="AP12:AS12"/>
    <mergeCell ref="AT12:AW12"/>
    <mergeCell ref="B12:E12"/>
    <mergeCell ref="F12:I12"/>
    <mergeCell ref="J12:M12"/>
    <mergeCell ref="N12:Q12"/>
    <mergeCell ref="R12:U12"/>
    <mergeCell ref="V12:Y12"/>
    <mergeCell ref="AX2:BA2"/>
    <mergeCell ref="F1:Q1"/>
    <mergeCell ref="R1:AC1"/>
    <mergeCell ref="AD1:AO1"/>
    <mergeCell ref="AP1:BA1"/>
    <mergeCell ref="Z2:AC2"/>
    <mergeCell ref="AD2:AG2"/>
    <mergeCell ref="AH2:AK2"/>
    <mergeCell ref="AL2:AO2"/>
    <mergeCell ref="AP2:AS2"/>
    <mergeCell ref="AT2:AW2"/>
    <mergeCell ref="V2:Y2"/>
    <mergeCell ref="B2:E2"/>
    <mergeCell ref="F2:I2"/>
    <mergeCell ref="J2:M2"/>
    <mergeCell ref="N2:Q2"/>
    <mergeCell ref="R2:U2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9B2E19-1711-AC41-96FB-E8442A47C9E2}">
  <sheetPr codeName="Sheet17"/>
  <dimension ref="A1:V255"/>
  <sheetViews>
    <sheetView topLeftCell="A41" zoomScale="96" zoomScaleNormal="96" workbookViewId="0">
      <selection activeCell="H81" sqref="H81"/>
    </sheetView>
  </sheetViews>
  <sheetFormatPr baseColWidth="10" defaultRowHeight="16" x14ac:dyDescent="0.2"/>
  <cols>
    <col min="1" max="1" width="16.5" customWidth="1"/>
    <col min="12" max="12" width="10.83203125" style="10"/>
    <col min="22" max="22" width="10.83203125" style="10"/>
  </cols>
  <sheetData>
    <row r="1" spans="1:22" x14ac:dyDescent="0.2">
      <c r="M1" t="s">
        <v>569</v>
      </c>
    </row>
    <row r="2" spans="1:22" x14ac:dyDescent="0.2">
      <c r="B2" t="s">
        <v>681</v>
      </c>
      <c r="C2">
        <v>90.66</v>
      </c>
      <c r="D2">
        <v>12451.41</v>
      </c>
      <c r="E2">
        <v>12216.65</v>
      </c>
      <c r="F2">
        <v>3509.62</v>
      </c>
      <c r="G2">
        <v>365.52</v>
      </c>
      <c r="H2">
        <v>376.16</v>
      </c>
      <c r="I2">
        <v>6.47</v>
      </c>
      <c r="J2">
        <v>142.03</v>
      </c>
      <c r="K2">
        <v>1414.79</v>
      </c>
      <c r="L2" s="10">
        <v>226.04</v>
      </c>
    </row>
    <row r="3" spans="1:22" x14ac:dyDescent="0.2">
      <c r="C3" t="s">
        <v>17</v>
      </c>
      <c r="D3" t="s">
        <v>15</v>
      </c>
      <c r="E3" t="s">
        <v>98</v>
      </c>
      <c r="F3" t="s">
        <v>99</v>
      </c>
      <c r="G3" t="s">
        <v>100</v>
      </c>
      <c r="H3" t="s">
        <v>139</v>
      </c>
      <c r="I3" t="s">
        <v>571</v>
      </c>
      <c r="J3" t="s">
        <v>102</v>
      </c>
      <c r="K3" t="s">
        <v>10</v>
      </c>
      <c r="L3" s="10" t="s">
        <v>103</v>
      </c>
      <c r="M3" t="s">
        <v>17</v>
      </c>
      <c r="N3" t="s">
        <v>15</v>
      </c>
      <c r="O3" t="s">
        <v>98</v>
      </c>
      <c r="P3" t="s">
        <v>99</v>
      </c>
      <c r="Q3" t="s">
        <v>100</v>
      </c>
      <c r="R3" t="s">
        <v>139</v>
      </c>
      <c r="S3" t="s">
        <v>571</v>
      </c>
      <c r="T3" t="s">
        <v>102</v>
      </c>
      <c r="U3" t="s">
        <v>10</v>
      </c>
      <c r="V3" s="10" t="s">
        <v>103</v>
      </c>
    </row>
    <row r="4" spans="1:22" x14ac:dyDescent="0.2">
      <c r="A4" t="s">
        <v>572</v>
      </c>
      <c r="B4" t="s">
        <v>573</v>
      </c>
      <c r="C4">
        <v>1.97</v>
      </c>
      <c r="D4">
        <v>665.55</v>
      </c>
      <c r="E4">
        <v>5.84</v>
      </c>
      <c r="F4">
        <v>2290.81</v>
      </c>
      <c r="G4">
        <v>3</v>
      </c>
      <c r="H4">
        <v>2.0499999999999998</v>
      </c>
      <c r="I4">
        <v>1.91</v>
      </c>
      <c r="J4">
        <v>16.8</v>
      </c>
      <c r="K4">
        <v>43.54</v>
      </c>
      <c r="L4" s="10">
        <v>2.0299999999999998</v>
      </c>
      <c r="M4">
        <v>2.1729538936686521</v>
      </c>
      <c r="N4">
        <v>5.345177775047163</v>
      </c>
      <c r="O4">
        <v>4.7803612283236402E-2</v>
      </c>
      <c r="P4">
        <v>65.272308682991323</v>
      </c>
      <c r="Q4">
        <v>0.8207485226526593</v>
      </c>
      <c r="R4">
        <v>0.5449808592088472</v>
      </c>
      <c r="S4">
        <v>29.520865533230296</v>
      </c>
      <c r="T4">
        <v>11.828486939379005</v>
      </c>
      <c r="U4">
        <v>3.0774885318669201</v>
      </c>
      <c r="V4" s="10">
        <v>0.89807113785170756</v>
      </c>
    </row>
    <row r="5" spans="1:22" x14ac:dyDescent="0.2">
      <c r="A5" t="s">
        <v>574</v>
      </c>
      <c r="B5" t="s">
        <v>575</v>
      </c>
      <c r="C5">
        <v>10.210000000000001</v>
      </c>
      <c r="D5">
        <v>635.32000000000005</v>
      </c>
      <c r="E5">
        <v>42</v>
      </c>
      <c r="F5">
        <v>3113.07</v>
      </c>
      <c r="G5">
        <v>127.44</v>
      </c>
      <c r="H5">
        <v>258.11</v>
      </c>
      <c r="I5">
        <v>1.91</v>
      </c>
      <c r="J5">
        <v>41.24</v>
      </c>
      <c r="K5">
        <v>78.75</v>
      </c>
      <c r="L5" s="10">
        <v>3.55</v>
      </c>
      <c r="M5">
        <v>11.26185748952129</v>
      </c>
      <c r="N5">
        <v>5.1023940260580938</v>
      </c>
      <c r="O5">
        <v>0.34379310203697416</v>
      </c>
      <c r="P5">
        <v>88.70105595477574</v>
      </c>
      <c r="Q5">
        <v>34.865397242284963</v>
      </c>
      <c r="R5">
        <v>68.617077839217359</v>
      </c>
      <c r="S5">
        <v>29.520865533230296</v>
      </c>
      <c r="T5">
        <v>29.036119129761317</v>
      </c>
      <c r="U5">
        <v>5.5661971034570508</v>
      </c>
      <c r="V5" s="10">
        <v>1.5705184923022475</v>
      </c>
    </row>
    <row r="6" spans="1:22" x14ac:dyDescent="0.2">
      <c r="A6" t="s">
        <v>576</v>
      </c>
      <c r="B6" t="s">
        <v>577</v>
      </c>
      <c r="C6">
        <v>60.69</v>
      </c>
      <c r="D6">
        <v>465.76</v>
      </c>
      <c r="E6">
        <v>300.5</v>
      </c>
      <c r="F6">
        <v>3388.22</v>
      </c>
      <c r="G6">
        <v>156.05000000000001</v>
      </c>
      <c r="H6">
        <v>376.16</v>
      </c>
      <c r="I6">
        <v>2.38</v>
      </c>
      <c r="J6">
        <v>120.42</v>
      </c>
      <c r="K6">
        <v>242.43</v>
      </c>
      <c r="L6" s="10">
        <v>13.7</v>
      </c>
      <c r="M6">
        <v>66.94242223692919</v>
      </c>
      <c r="N6">
        <v>3.7406205401637243</v>
      </c>
      <c r="O6">
        <v>2.459757789574065</v>
      </c>
      <c r="P6">
        <v>96.540936055755324</v>
      </c>
      <c r="Q6">
        <v>42.692602319982498</v>
      </c>
      <c r="R6">
        <v>100</v>
      </c>
      <c r="S6">
        <v>36.785162287480674</v>
      </c>
      <c r="T6">
        <v>84.784904597620226</v>
      </c>
      <c r="U6">
        <v>17.135405254490067</v>
      </c>
      <c r="V6" s="10">
        <v>6.0608741815607852</v>
      </c>
    </row>
    <row r="7" spans="1:22" x14ac:dyDescent="0.2">
      <c r="A7" t="s">
        <v>578</v>
      </c>
      <c r="B7" t="s">
        <v>579</v>
      </c>
      <c r="C7">
        <v>52.48</v>
      </c>
      <c r="D7">
        <v>869.78</v>
      </c>
      <c r="E7">
        <v>2287.7600000000002</v>
      </c>
      <c r="F7">
        <v>2028.89</v>
      </c>
      <c r="G7">
        <v>365.52</v>
      </c>
      <c r="H7">
        <v>357.86</v>
      </c>
      <c r="I7">
        <v>4.16</v>
      </c>
      <c r="J7">
        <v>142.03</v>
      </c>
      <c r="K7">
        <v>40.32</v>
      </c>
      <c r="L7" s="10">
        <v>82.13</v>
      </c>
      <c r="M7">
        <v>57.886609309508053</v>
      </c>
      <c r="N7">
        <v>6.9853936220877797</v>
      </c>
      <c r="O7">
        <v>18.726573978954953</v>
      </c>
      <c r="P7">
        <v>57.809392469840049</v>
      </c>
      <c r="Q7">
        <v>100</v>
      </c>
      <c r="R7">
        <v>95.135048915355171</v>
      </c>
      <c r="S7">
        <v>64.2967542503864</v>
      </c>
      <c r="T7">
        <v>100</v>
      </c>
      <c r="U7">
        <v>2.8498929169700098</v>
      </c>
      <c r="V7" s="10">
        <v>36.334277119093969</v>
      </c>
    </row>
    <row r="8" spans="1:22" x14ac:dyDescent="0.2">
      <c r="A8" t="s">
        <v>580</v>
      </c>
      <c r="B8" t="s">
        <v>581</v>
      </c>
      <c r="C8">
        <v>7.1</v>
      </c>
      <c r="D8">
        <v>3591.74</v>
      </c>
      <c r="E8">
        <v>2596.63</v>
      </c>
      <c r="F8">
        <v>3167.32</v>
      </c>
      <c r="G8">
        <v>136.38999999999999</v>
      </c>
      <c r="H8">
        <v>2.0499999999999998</v>
      </c>
      <c r="I8">
        <v>2</v>
      </c>
      <c r="J8">
        <v>44.43</v>
      </c>
      <c r="K8">
        <v>233.96</v>
      </c>
      <c r="L8" s="10">
        <v>27.83</v>
      </c>
      <c r="M8">
        <v>7.8314581954555482</v>
      </c>
      <c r="N8">
        <v>28.846050366986546</v>
      </c>
      <c r="O8">
        <v>21.254844822434958</v>
      </c>
      <c r="P8">
        <v>90.246807346664312</v>
      </c>
      <c r="Q8">
        <v>37.313963668198731</v>
      </c>
      <c r="R8">
        <v>0.5449808592088472</v>
      </c>
      <c r="S8">
        <v>30.911901081916536</v>
      </c>
      <c r="T8">
        <v>31.282123495036256</v>
      </c>
      <c r="U8">
        <v>16.536729832696022</v>
      </c>
      <c r="V8" s="10">
        <v>12.311980180499027</v>
      </c>
    </row>
    <row r="9" spans="1:22" x14ac:dyDescent="0.2">
      <c r="A9" t="s">
        <v>582</v>
      </c>
      <c r="B9" t="s">
        <v>583</v>
      </c>
      <c r="C9">
        <v>4.67</v>
      </c>
      <c r="D9">
        <v>2616.73</v>
      </c>
      <c r="E9">
        <v>3894.6</v>
      </c>
      <c r="F9">
        <v>3132.08</v>
      </c>
      <c r="G9">
        <v>208.53</v>
      </c>
      <c r="H9">
        <v>2.0499999999999998</v>
      </c>
      <c r="I9">
        <v>1.91</v>
      </c>
      <c r="J9">
        <v>27.4</v>
      </c>
      <c r="K9">
        <v>364.39</v>
      </c>
      <c r="L9" s="10">
        <v>140.34</v>
      </c>
      <c r="M9">
        <v>5.1511140525038606</v>
      </c>
      <c r="N9">
        <v>21.015531574335757</v>
      </c>
      <c r="O9">
        <v>31.879443218885701</v>
      </c>
      <c r="P9">
        <v>89.242710036984064</v>
      </c>
      <c r="Q9">
        <v>57.050229809586348</v>
      </c>
      <c r="R9">
        <v>0.5449808592088472</v>
      </c>
      <c r="S9">
        <v>29.520865533230296</v>
      </c>
      <c r="T9">
        <v>19.29169893684433</v>
      </c>
      <c r="U9">
        <v>25.755765873380504</v>
      </c>
      <c r="V9" s="10">
        <v>62.086356397097866</v>
      </c>
    </row>
    <row r="10" spans="1:22" x14ac:dyDescent="0.2">
      <c r="A10" t="s">
        <v>584</v>
      </c>
      <c r="B10" t="s">
        <v>585</v>
      </c>
      <c r="C10">
        <v>3.1</v>
      </c>
      <c r="D10">
        <v>799.37</v>
      </c>
      <c r="E10">
        <v>175.4</v>
      </c>
      <c r="F10">
        <v>3301.05</v>
      </c>
      <c r="G10">
        <v>112.36</v>
      </c>
      <c r="H10">
        <v>10.73</v>
      </c>
      <c r="I10">
        <v>1.91</v>
      </c>
      <c r="J10">
        <v>48.66</v>
      </c>
      <c r="K10">
        <v>735.85</v>
      </c>
      <c r="L10" s="10">
        <v>19.600000000000001</v>
      </c>
      <c r="M10">
        <v>3.4193690712552396</v>
      </c>
      <c r="N10">
        <v>6.4199154955141626</v>
      </c>
      <c r="O10">
        <v>1.435745478506792</v>
      </c>
      <c r="P10">
        <v>94.05719137684423</v>
      </c>
      <c r="Q10">
        <v>30.739768001750932</v>
      </c>
      <c r="R10">
        <v>2.8525095703955761</v>
      </c>
      <c r="S10">
        <v>29.520865533230296</v>
      </c>
      <c r="T10">
        <v>34.260367527987043</v>
      </c>
      <c r="U10">
        <v>52.011252553382484</v>
      </c>
      <c r="V10" s="10">
        <v>8.6710316758095907</v>
      </c>
    </row>
    <row r="11" spans="1:22" x14ac:dyDescent="0.2">
      <c r="A11" t="s">
        <v>586</v>
      </c>
      <c r="B11" t="s">
        <v>587</v>
      </c>
      <c r="C11">
        <v>15.93</v>
      </c>
      <c r="D11">
        <v>3088.09</v>
      </c>
      <c r="E11">
        <v>237.41</v>
      </c>
      <c r="F11">
        <v>2686.08</v>
      </c>
      <c r="G11">
        <v>34.18</v>
      </c>
      <c r="H11">
        <v>34.24</v>
      </c>
      <c r="I11">
        <v>1.91</v>
      </c>
      <c r="J11">
        <v>16.079999999999998</v>
      </c>
      <c r="K11">
        <v>148.13</v>
      </c>
      <c r="L11" s="10">
        <v>29.53</v>
      </c>
      <c r="M11">
        <v>17.57114493712773</v>
      </c>
      <c r="N11">
        <v>24.801126940643673</v>
      </c>
      <c r="O11">
        <v>1.9433314370142389</v>
      </c>
      <c r="P11">
        <v>76.534781543300994</v>
      </c>
      <c r="Q11">
        <v>9.351061501422631</v>
      </c>
      <c r="R11">
        <v>9.1025095703955774</v>
      </c>
      <c r="S11">
        <v>29.520865533230296</v>
      </c>
      <c r="T11">
        <v>11.321551784834188</v>
      </c>
      <c r="U11">
        <v>10.470105103937687</v>
      </c>
      <c r="V11" s="10">
        <v>13.064059458502921</v>
      </c>
    </row>
    <row r="12" spans="1:22" x14ac:dyDescent="0.2">
      <c r="A12" t="s">
        <v>588</v>
      </c>
      <c r="B12" t="s">
        <v>589</v>
      </c>
      <c r="C12">
        <v>77.12</v>
      </c>
      <c r="D12">
        <v>2117.08</v>
      </c>
      <c r="E12">
        <v>167.68</v>
      </c>
      <c r="F12">
        <v>3509.62</v>
      </c>
      <c r="G12">
        <v>80.72</v>
      </c>
      <c r="H12">
        <v>178.18</v>
      </c>
      <c r="I12">
        <v>1.91</v>
      </c>
      <c r="J12">
        <v>34.159999999999997</v>
      </c>
      <c r="K12">
        <v>238.6</v>
      </c>
      <c r="L12" s="10">
        <v>23.37</v>
      </c>
      <c r="M12">
        <v>85.065078314581967</v>
      </c>
      <c r="N12">
        <v>17.002733023810155</v>
      </c>
      <c r="O12">
        <v>1.3725530321323767</v>
      </c>
      <c r="P12">
        <v>100</v>
      </c>
      <c r="Q12">
        <v>22.083606916174219</v>
      </c>
      <c r="R12">
        <v>47.368141216503609</v>
      </c>
      <c r="S12">
        <v>29.520865533230296</v>
      </c>
      <c r="T12">
        <v>24.051256776737308</v>
      </c>
      <c r="U12">
        <v>16.864693700125109</v>
      </c>
      <c r="V12" s="10">
        <v>10.33887807467705</v>
      </c>
    </row>
    <row r="13" spans="1:22" x14ac:dyDescent="0.2">
      <c r="A13" t="s">
        <v>590</v>
      </c>
      <c r="B13" t="s">
        <v>591</v>
      </c>
      <c r="C13">
        <v>50.09</v>
      </c>
      <c r="D13">
        <v>918.69</v>
      </c>
      <c r="E13">
        <v>201.13</v>
      </c>
      <c r="F13">
        <v>2814.93</v>
      </c>
      <c r="G13">
        <v>86.56</v>
      </c>
      <c r="H13">
        <v>196.65</v>
      </c>
      <c r="I13">
        <v>1.91</v>
      </c>
      <c r="J13">
        <v>43.65</v>
      </c>
      <c r="K13">
        <v>93.74</v>
      </c>
      <c r="L13" s="10">
        <v>73.040000000000006</v>
      </c>
      <c r="M13">
        <v>55.250386057798373</v>
      </c>
      <c r="N13">
        <v>7.3782005411435341</v>
      </c>
      <c r="O13">
        <v>1.6463596812546812</v>
      </c>
      <c r="P13">
        <v>80.206119180993952</v>
      </c>
      <c r="Q13">
        <v>23.681330706938063</v>
      </c>
      <c r="R13">
        <v>52.278285835814543</v>
      </c>
      <c r="S13">
        <v>29.520865533230296</v>
      </c>
      <c r="T13">
        <v>30.732943744279378</v>
      </c>
      <c r="U13">
        <v>6.6257183044833505</v>
      </c>
      <c r="V13" s="10">
        <v>32.312864979649625</v>
      </c>
    </row>
    <row r="14" spans="1:22" x14ac:dyDescent="0.2">
      <c r="A14" t="s">
        <v>595</v>
      </c>
      <c r="B14" t="s">
        <v>596</v>
      </c>
      <c r="C14">
        <v>11.4</v>
      </c>
      <c r="D14">
        <v>5017.9799999999996</v>
      </c>
      <c r="E14">
        <v>10774.16</v>
      </c>
      <c r="F14">
        <v>2495.11</v>
      </c>
      <c r="G14">
        <v>104.11</v>
      </c>
      <c r="H14">
        <v>2.0499999999999998</v>
      </c>
      <c r="I14">
        <v>1.91</v>
      </c>
      <c r="J14">
        <v>12.57</v>
      </c>
      <c r="K14">
        <v>1255.3900000000001</v>
      </c>
      <c r="L14" s="10">
        <v>72.7</v>
      </c>
      <c r="M14">
        <v>12.574454003970882</v>
      </c>
      <c r="N14">
        <v>40.300496088394802</v>
      </c>
      <c r="O14">
        <v>88.192425910540123</v>
      </c>
      <c r="P14">
        <v>71.093451712721048</v>
      </c>
      <c r="Q14">
        <v>28.482709564456123</v>
      </c>
      <c r="R14">
        <v>0.5449808592088472</v>
      </c>
      <c r="S14">
        <v>29.520865533230296</v>
      </c>
      <c r="T14">
        <v>8.8502429064282193</v>
      </c>
      <c r="U14">
        <v>88.733310243923142</v>
      </c>
      <c r="V14" s="10">
        <v>32.162449124048841</v>
      </c>
    </row>
    <row r="15" spans="1:22" x14ac:dyDescent="0.2">
      <c r="A15" t="s">
        <v>597</v>
      </c>
      <c r="B15" t="s">
        <v>598</v>
      </c>
      <c r="C15">
        <v>63.64</v>
      </c>
      <c r="D15">
        <v>12451.41</v>
      </c>
      <c r="E15">
        <v>12216.65</v>
      </c>
      <c r="F15">
        <v>2602.63</v>
      </c>
      <c r="G15">
        <v>320.73</v>
      </c>
      <c r="H15">
        <v>2.0499999999999998</v>
      </c>
      <c r="I15">
        <v>2.2400000000000002</v>
      </c>
      <c r="J15">
        <v>7.27</v>
      </c>
      <c r="K15">
        <v>330.56</v>
      </c>
      <c r="L15" s="10">
        <v>204.47</v>
      </c>
      <c r="M15">
        <v>70.196337966026917</v>
      </c>
      <c r="N15">
        <v>100</v>
      </c>
      <c r="O15">
        <v>100</v>
      </c>
      <c r="P15">
        <v>74.157031245547955</v>
      </c>
      <c r="Q15">
        <v>87.746224556795809</v>
      </c>
      <c r="R15">
        <v>0.5449808592088472</v>
      </c>
      <c r="S15">
        <v>34.621329211746527</v>
      </c>
      <c r="T15">
        <v>5.1186369076955573</v>
      </c>
      <c r="U15">
        <v>23.364598279603335</v>
      </c>
      <c r="V15" s="10">
        <v>90.45744116085649</v>
      </c>
    </row>
    <row r="16" spans="1:22" x14ac:dyDescent="0.2">
      <c r="A16" t="s">
        <v>599</v>
      </c>
      <c r="B16" t="s">
        <v>600</v>
      </c>
      <c r="C16">
        <v>90.66</v>
      </c>
      <c r="D16">
        <v>12451.41</v>
      </c>
      <c r="E16">
        <v>12216.65</v>
      </c>
      <c r="F16">
        <v>2724.98</v>
      </c>
      <c r="G16">
        <v>185.43</v>
      </c>
      <c r="H16">
        <v>2.0499999999999998</v>
      </c>
      <c r="I16">
        <v>6.47</v>
      </c>
      <c r="J16">
        <v>15.08</v>
      </c>
      <c r="K16">
        <v>1414.79</v>
      </c>
      <c r="L16" s="10">
        <v>226.04</v>
      </c>
      <c r="M16">
        <v>100</v>
      </c>
      <c r="N16">
        <v>100</v>
      </c>
      <c r="O16">
        <v>100</v>
      </c>
      <c r="P16">
        <v>77.643163647346441</v>
      </c>
      <c r="Q16">
        <v>50.730466185160871</v>
      </c>
      <c r="R16">
        <v>0.5449808592088472</v>
      </c>
      <c r="S16">
        <v>100</v>
      </c>
      <c r="T16">
        <v>10.617475181299724</v>
      </c>
      <c r="U16">
        <v>100</v>
      </c>
      <c r="V16" s="10">
        <v>100</v>
      </c>
    </row>
    <row r="17" spans="1:22" x14ac:dyDescent="0.2">
      <c r="B17" t="s">
        <v>681</v>
      </c>
      <c r="C17">
        <v>562.55999999999995</v>
      </c>
      <c r="D17">
        <v>12451.41</v>
      </c>
      <c r="E17">
        <v>12216.65</v>
      </c>
      <c r="F17">
        <v>3509.62</v>
      </c>
      <c r="G17">
        <v>1693.05</v>
      </c>
      <c r="H17">
        <v>3131.01</v>
      </c>
      <c r="I17">
        <v>40.770000000000003</v>
      </c>
      <c r="J17">
        <v>696.63</v>
      </c>
      <c r="K17">
        <v>552.48</v>
      </c>
      <c r="L17" s="10">
        <v>2310.46</v>
      </c>
    </row>
    <row r="18" spans="1:22" x14ac:dyDescent="0.2">
      <c r="C18" t="s">
        <v>17</v>
      </c>
      <c r="D18" t="s">
        <v>15</v>
      </c>
      <c r="E18" t="s">
        <v>98</v>
      </c>
      <c r="F18" t="s">
        <v>99</v>
      </c>
      <c r="G18" t="s">
        <v>100</v>
      </c>
      <c r="H18" t="s">
        <v>139</v>
      </c>
      <c r="I18" t="s">
        <v>571</v>
      </c>
      <c r="J18" t="s">
        <v>102</v>
      </c>
      <c r="K18" t="s">
        <v>10</v>
      </c>
      <c r="L18" s="10" t="s">
        <v>103</v>
      </c>
      <c r="M18" t="s">
        <v>17</v>
      </c>
      <c r="N18" t="s">
        <v>15</v>
      </c>
      <c r="O18" t="s">
        <v>98</v>
      </c>
      <c r="P18" t="s">
        <v>99</v>
      </c>
      <c r="Q18" t="s">
        <v>100</v>
      </c>
      <c r="R18" t="s">
        <v>139</v>
      </c>
      <c r="S18" t="s">
        <v>571</v>
      </c>
      <c r="T18" t="s">
        <v>102</v>
      </c>
      <c r="U18" t="s">
        <v>10</v>
      </c>
      <c r="V18" s="10" t="s">
        <v>103</v>
      </c>
    </row>
    <row r="19" spans="1:22" x14ac:dyDescent="0.2">
      <c r="A19" t="s">
        <v>601</v>
      </c>
      <c r="B19" t="s">
        <v>602</v>
      </c>
      <c r="C19">
        <v>3.1</v>
      </c>
      <c r="D19">
        <v>3334.8</v>
      </c>
      <c r="E19">
        <v>27.08</v>
      </c>
      <c r="F19">
        <v>3184.19</v>
      </c>
      <c r="G19">
        <v>3.18</v>
      </c>
      <c r="H19">
        <v>2.0499999999999998</v>
      </c>
      <c r="I19">
        <v>1.91</v>
      </c>
      <c r="J19">
        <v>4.5199999999999996</v>
      </c>
      <c r="K19">
        <v>1.98</v>
      </c>
      <c r="L19" s="10">
        <v>4.25</v>
      </c>
      <c r="M19">
        <v>0.55105233219567706</v>
      </c>
      <c r="N19">
        <v>26.782508968863766</v>
      </c>
      <c r="O19">
        <v>0.22166469531336333</v>
      </c>
      <c r="P19">
        <v>90.727486166593536</v>
      </c>
      <c r="Q19">
        <v>0.18782670328696732</v>
      </c>
      <c r="R19">
        <v>6.5474080248865377E-2</v>
      </c>
      <c r="S19">
        <v>4.6848172675987243</v>
      </c>
      <c r="T19">
        <v>0.64883797711841285</v>
      </c>
      <c r="U19">
        <v>0.3583840139009557</v>
      </c>
      <c r="V19" s="10">
        <v>0.18394605403253031</v>
      </c>
    </row>
    <row r="20" spans="1:22" x14ac:dyDescent="0.2">
      <c r="A20" t="s">
        <v>603</v>
      </c>
      <c r="B20" t="s">
        <v>604</v>
      </c>
      <c r="C20">
        <v>26.2</v>
      </c>
      <c r="D20">
        <v>12451.41</v>
      </c>
      <c r="E20">
        <v>57.37</v>
      </c>
      <c r="F20">
        <v>3509.62</v>
      </c>
      <c r="G20">
        <v>228.34</v>
      </c>
      <c r="H20">
        <v>216.52</v>
      </c>
      <c r="I20">
        <v>1.91</v>
      </c>
      <c r="J20">
        <v>27.45</v>
      </c>
      <c r="K20">
        <v>20.170000000000002</v>
      </c>
      <c r="L20" s="10">
        <v>121.11</v>
      </c>
      <c r="M20">
        <v>4.6572810011376564</v>
      </c>
      <c r="N20">
        <v>100</v>
      </c>
      <c r="O20">
        <v>0.4696050062824097</v>
      </c>
      <c r="P20">
        <v>100</v>
      </c>
      <c r="Q20">
        <v>13.486902336020792</v>
      </c>
      <c r="R20">
        <v>6.9153404173094302</v>
      </c>
      <c r="S20">
        <v>4.6848172675987243</v>
      </c>
      <c r="T20">
        <v>3.9403987769691229</v>
      </c>
      <c r="U20">
        <v>3.6508108890819582</v>
      </c>
      <c r="V20" s="10">
        <v>5.2418133185599398</v>
      </c>
    </row>
    <row r="21" spans="1:22" x14ac:dyDescent="0.2">
      <c r="A21" t="s">
        <v>605</v>
      </c>
      <c r="B21" t="s">
        <v>606</v>
      </c>
      <c r="C21">
        <v>105.74</v>
      </c>
      <c r="D21">
        <v>7198.56</v>
      </c>
      <c r="E21">
        <v>201.6</v>
      </c>
      <c r="F21">
        <v>3169.34</v>
      </c>
      <c r="G21">
        <v>748.32</v>
      </c>
      <c r="H21">
        <v>1407.7</v>
      </c>
      <c r="I21">
        <v>1.91</v>
      </c>
      <c r="J21">
        <v>181.84</v>
      </c>
      <c r="K21">
        <v>18.440000000000001</v>
      </c>
      <c r="L21" s="10">
        <v>199.69</v>
      </c>
      <c r="M21">
        <v>18.796217292377705</v>
      </c>
      <c r="N21">
        <v>57.813211515804241</v>
      </c>
      <c r="O21">
        <v>1.650206889777476</v>
      </c>
      <c r="P21">
        <v>90.304363435357686</v>
      </c>
      <c r="Q21">
        <v>44.19952157349163</v>
      </c>
      <c r="R21">
        <v>44.959933056745264</v>
      </c>
      <c r="S21">
        <v>4.6848172675987243</v>
      </c>
      <c r="T21">
        <v>26.102809238763765</v>
      </c>
      <c r="U21">
        <v>3.3376773819866785</v>
      </c>
      <c r="V21" s="10">
        <v>8.6428676540602307</v>
      </c>
    </row>
    <row r="22" spans="1:22" x14ac:dyDescent="0.2">
      <c r="A22" t="s">
        <v>607</v>
      </c>
      <c r="B22" t="s">
        <v>608</v>
      </c>
      <c r="C22">
        <v>236.47</v>
      </c>
      <c r="D22">
        <v>1252.81</v>
      </c>
      <c r="E22">
        <v>3565.32</v>
      </c>
      <c r="F22">
        <v>3509.62</v>
      </c>
      <c r="G22">
        <v>914.43</v>
      </c>
      <c r="H22">
        <v>3131.01</v>
      </c>
      <c r="I22">
        <v>14.99</v>
      </c>
      <c r="J22">
        <v>696.63</v>
      </c>
      <c r="K22">
        <v>28.62</v>
      </c>
      <c r="L22" s="10">
        <v>500.11</v>
      </c>
      <c r="M22">
        <v>42.034627417519914</v>
      </c>
      <c r="N22">
        <v>10.061591418160674</v>
      </c>
      <c r="O22">
        <v>29.184105298915824</v>
      </c>
      <c r="P22">
        <v>100</v>
      </c>
      <c r="Q22">
        <v>54.010808895189157</v>
      </c>
      <c r="R22">
        <v>100</v>
      </c>
      <c r="S22">
        <v>36.767230806965905</v>
      </c>
      <c r="T22">
        <v>100</v>
      </c>
      <c r="U22">
        <v>5.180278019113814</v>
      </c>
      <c r="V22" s="10">
        <v>21.645473195813821</v>
      </c>
    </row>
    <row r="23" spans="1:22" x14ac:dyDescent="0.2">
      <c r="A23" t="s">
        <v>609</v>
      </c>
      <c r="B23" t="s">
        <v>610</v>
      </c>
      <c r="C23">
        <v>16.739999999999998</v>
      </c>
      <c r="D23">
        <v>12451.41</v>
      </c>
      <c r="E23">
        <v>12216.65</v>
      </c>
      <c r="F23">
        <v>3373.52</v>
      </c>
      <c r="G23">
        <v>372.96</v>
      </c>
      <c r="H23">
        <v>2.0499999999999998</v>
      </c>
      <c r="I23">
        <v>1.91</v>
      </c>
      <c r="J23">
        <v>36.4</v>
      </c>
      <c r="K23">
        <v>12.51</v>
      </c>
      <c r="L23" s="10">
        <v>424.27</v>
      </c>
      <c r="M23">
        <v>2.9756825938566553</v>
      </c>
      <c r="N23">
        <v>100</v>
      </c>
      <c r="O23">
        <v>100</v>
      </c>
      <c r="P23">
        <v>96.122087291501643</v>
      </c>
      <c r="Q23">
        <v>22.028882785505449</v>
      </c>
      <c r="R23">
        <v>6.5474080248865377E-2</v>
      </c>
      <c r="S23">
        <v>4.6848172675987243</v>
      </c>
      <c r="T23">
        <v>5.2251553909535904</v>
      </c>
      <c r="U23">
        <v>2.2643353605560379</v>
      </c>
      <c r="V23" s="10">
        <v>18.363009963383913</v>
      </c>
    </row>
    <row r="24" spans="1:22" x14ac:dyDescent="0.2">
      <c r="A24" t="s">
        <v>611</v>
      </c>
      <c r="B24" t="s">
        <v>612</v>
      </c>
      <c r="C24">
        <v>11.26</v>
      </c>
      <c r="D24">
        <v>12451.41</v>
      </c>
      <c r="E24">
        <v>12216.65</v>
      </c>
      <c r="F24">
        <v>3026.21</v>
      </c>
      <c r="G24">
        <v>271.33999999999997</v>
      </c>
      <c r="H24">
        <v>5.34</v>
      </c>
      <c r="I24">
        <v>1.91</v>
      </c>
      <c r="J24">
        <v>29.71</v>
      </c>
      <c r="K24">
        <v>44.56</v>
      </c>
      <c r="L24" s="10">
        <v>85.96</v>
      </c>
      <c r="M24">
        <v>2.0015642775881686</v>
      </c>
      <c r="N24">
        <v>100</v>
      </c>
      <c r="O24">
        <v>100</v>
      </c>
      <c r="P24">
        <v>86.226144140961139</v>
      </c>
      <c r="Q24">
        <v>16.026697380467205</v>
      </c>
      <c r="R24">
        <v>0.17055199440436153</v>
      </c>
      <c r="S24">
        <v>4.6848172675987243</v>
      </c>
      <c r="T24">
        <v>4.2648177655283295</v>
      </c>
      <c r="U24">
        <v>8.0654503330437297</v>
      </c>
      <c r="V24" s="10">
        <v>3.7204712481497189</v>
      </c>
    </row>
    <row r="25" spans="1:22" x14ac:dyDescent="0.2">
      <c r="A25" t="s">
        <v>613</v>
      </c>
      <c r="B25" t="s">
        <v>614</v>
      </c>
      <c r="C25">
        <v>183.88</v>
      </c>
      <c r="D25">
        <v>12451.41</v>
      </c>
      <c r="E25">
        <v>12216.65</v>
      </c>
      <c r="F25">
        <v>2874.41</v>
      </c>
      <c r="G25">
        <v>444.54</v>
      </c>
      <c r="H25">
        <v>2.56</v>
      </c>
      <c r="I25">
        <v>18.75</v>
      </c>
      <c r="J25">
        <v>33.24</v>
      </c>
      <c r="K25">
        <v>25.85</v>
      </c>
      <c r="L25" s="10">
        <v>1024.71</v>
      </c>
      <c r="M25">
        <v>32.686291240045506</v>
      </c>
      <c r="N25">
        <v>100</v>
      </c>
      <c r="O25">
        <v>100</v>
      </c>
      <c r="P25">
        <v>81.900889554994563</v>
      </c>
      <c r="Q25">
        <v>26.256755559493222</v>
      </c>
      <c r="R25">
        <v>8.1762753871753843E-2</v>
      </c>
      <c r="S25">
        <v>45.989698307579097</v>
      </c>
      <c r="T25">
        <v>4.7715429998708068</v>
      </c>
      <c r="U25">
        <v>4.6789024037069211</v>
      </c>
      <c r="V25" s="10">
        <v>44.3509084770998</v>
      </c>
    </row>
    <row r="26" spans="1:22" x14ac:dyDescent="0.2">
      <c r="A26" t="s">
        <v>615</v>
      </c>
      <c r="B26" t="s">
        <v>616</v>
      </c>
      <c r="C26">
        <v>15.71</v>
      </c>
      <c r="D26">
        <v>2539.33</v>
      </c>
      <c r="E26">
        <v>130.77000000000001</v>
      </c>
      <c r="F26">
        <v>2815.87</v>
      </c>
      <c r="G26">
        <v>54.15</v>
      </c>
      <c r="H26">
        <v>31.94</v>
      </c>
      <c r="I26">
        <v>1.91</v>
      </c>
      <c r="J26">
        <v>9.83</v>
      </c>
      <c r="K26">
        <v>11.76</v>
      </c>
      <c r="L26" s="10">
        <v>30.91</v>
      </c>
      <c r="M26">
        <v>2.792591012514221</v>
      </c>
      <c r="N26">
        <v>20.393915227271449</v>
      </c>
      <c r="O26">
        <v>1.0704243798422646</v>
      </c>
      <c r="P26">
        <v>80.232902707415619</v>
      </c>
      <c r="Q26">
        <v>3.1983698059714718</v>
      </c>
      <c r="R26">
        <v>1.0201181088530538</v>
      </c>
      <c r="S26">
        <v>4.6848172675987243</v>
      </c>
      <c r="T26">
        <v>1.4110790520075218</v>
      </c>
      <c r="U26">
        <v>2.1285838401390098</v>
      </c>
      <c r="V26" s="10">
        <v>1.3378288306224735</v>
      </c>
    </row>
    <row r="27" spans="1:22" x14ac:dyDescent="0.2">
      <c r="A27" t="s">
        <v>617</v>
      </c>
      <c r="B27" t="s">
        <v>618</v>
      </c>
      <c r="C27">
        <v>87.14</v>
      </c>
      <c r="D27">
        <v>7368.5</v>
      </c>
      <c r="E27">
        <v>721.48</v>
      </c>
      <c r="F27">
        <v>3509.62</v>
      </c>
      <c r="G27">
        <v>293.52999999999997</v>
      </c>
      <c r="H27">
        <v>369.11</v>
      </c>
      <c r="I27">
        <v>1.91</v>
      </c>
      <c r="J27">
        <v>31.33</v>
      </c>
      <c r="K27">
        <v>64.06</v>
      </c>
      <c r="L27" s="10">
        <v>314.27</v>
      </c>
      <c r="M27">
        <v>15.489903299203641</v>
      </c>
      <c r="N27">
        <v>59.178036864901237</v>
      </c>
      <c r="O27">
        <v>5.9057106489913362</v>
      </c>
      <c r="P27">
        <v>100</v>
      </c>
      <c r="Q27">
        <v>17.337349753403618</v>
      </c>
      <c r="R27">
        <v>11.788847688126197</v>
      </c>
      <c r="S27">
        <v>4.6848172675987243</v>
      </c>
      <c r="T27">
        <v>4.4973658900707685</v>
      </c>
      <c r="U27">
        <v>11.594989863886477</v>
      </c>
      <c r="V27" s="10">
        <v>13.602053270777247</v>
      </c>
    </row>
    <row r="28" spans="1:22" x14ac:dyDescent="0.2">
      <c r="A28" t="s">
        <v>619</v>
      </c>
      <c r="B28" t="s">
        <v>620</v>
      </c>
      <c r="C28">
        <v>562.55999999999995</v>
      </c>
      <c r="D28">
        <v>6067.92</v>
      </c>
      <c r="E28">
        <v>447.83</v>
      </c>
      <c r="F28">
        <v>3393.57</v>
      </c>
      <c r="G28">
        <v>267.51</v>
      </c>
      <c r="H28">
        <v>240.11</v>
      </c>
      <c r="I28">
        <v>1.91</v>
      </c>
      <c r="J28">
        <v>20.92</v>
      </c>
      <c r="K28">
        <v>39.57</v>
      </c>
      <c r="L28" s="10">
        <v>406.37</v>
      </c>
      <c r="M28">
        <v>100</v>
      </c>
      <c r="N28">
        <v>48.732794117292741</v>
      </c>
      <c r="O28">
        <v>3.6657348782194794</v>
      </c>
      <c r="P28">
        <v>96.693374211453104</v>
      </c>
      <c r="Q28">
        <v>15.800478426508372</v>
      </c>
      <c r="R28">
        <v>7.6687714188073492</v>
      </c>
      <c r="S28">
        <v>4.6848172675987243</v>
      </c>
      <c r="T28">
        <v>3.003028867548053</v>
      </c>
      <c r="U28">
        <v>7.1622502172024332</v>
      </c>
      <c r="V28" s="10">
        <v>17.588272465223376</v>
      </c>
    </row>
    <row r="29" spans="1:22" x14ac:dyDescent="0.2">
      <c r="A29" t="s">
        <v>621</v>
      </c>
      <c r="B29" t="s">
        <v>622</v>
      </c>
      <c r="C29">
        <v>78.86</v>
      </c>
      <c r="D29">
        <v>12451.41</v>
      </c>
      <c r="E29">
        <v>12216.65</v>
      </c>
      <c r="F29">
        <v>2996.58</v>
      </c>
      <c r="G29">
        <v>1682.87</v>
      </c>
      <c r="H29">
        <v>2.0499999999999998</v>
      </c>
      <c r="I29">
        <v>14.16</v>
      </c>
      <c r="J29">
        <v>67.12</v>
      </c>
      <c r="K29">
        <v>61.34</v>
      </c>
      <c r="L29" s="10">
        <v>554.75</v>
      </c>
      <c r="M29">
        <v>14.018060295790672</v>
      </c>
      <c r="N29">
        <v>100</v>
      </c>
      <c r="O29">
        <v>100</v>
      </c>
      <c r="P29">
        <v>85.381893196414424</v>
      </c>
      <c r="Q29">
        <v>99.398718289477557</v>
      </c>
      <c r="R29">
        <v>6.5474080248865377E-2</v>
      </c>
      <c r="S29">
        <v>34.731420161883733</v>
      </c>
      <c r="T29">
        <v>9.6349568637583793</v>
      </c>
      <c r="U29">
        <v>11.102664349840719</v>
      </c>
      <c r="V29" s="10">
        <v>24.010370229304986</v>
      </c>
    </row>
    <row r="30" spans="1:22" x14ac:dyDescent="0.2">
      <c r="A30" t="s">
        <v>623</v>
      </c>
      <c r="B30" t="s">
        <v>624</v>
      </c>
      <c r="C30">
        <v>191.19</v>
      </c>
      <c r="D30">
        <v>12451.41</v>
      </c>
      <c r="E30">
        <v>12216.65</v>
      </c>
      <c r="F30">
        <v>2766.64</v>
      </c>
      <c r="G30">
        <v>1693.05</v>
      </c>
      <c r="H30">
        <v>2.0499999999999998</v>
      </c>
      <c r="I30">
        <v>13.62</v>
      </c>
      <c r="J30">
        <v>76.92</v>
      </c>
      <c r="K30">
        <v>515.79</v>
      </c>
      <c r="L30" s="10">
        <v>600.24</v>
      </c>
      <c r="M30">
        <v>33.985708191126285</v>
      </c>
      <c r="N30">
        <v>100</v>
      </c>
      <c r="O30">
        <v>100</v>
      </c>
      <c r="P30">
        <v>78.830186743864004</v>
      </c>
      <c r="Q30">
        <v>100</v>
      </c>
      <c r="R30">
        <v>6.5474080248865377E-2</v>
      </c>
      <c r="S30">
        <v>33.406916850625457</v>
      </c>
      <c r="T30">
        <v>11.041729469015117</v>
      </c>
      <c r="U30">
        <v>93.359035621198956</v>
      </c>
      <c r="V30" s="10">
        <v>25.979242228820237</v>
      </c>
    </row>
    <row r="31" spans="1:22" x14ac:dyDescent="0.2">
      <c r="A31" t="s">
        <v>625</v>
      </c>
      <c r="B31" t="s">
        <v>626</v>
      </c>
      <c r="C31">
        <v>328.46</v>
      </c>
      <c r="D31">
        <v>12451.41</v>
      </c>
      <c r="E31">
        <v>12216.65</v>
      </c>
      <c r="F31">
        <v>2624.9</v>
      </c>
      <c r="G31">
        <v>783.84</v>
      </c>
      <c r="H31">
        <v>2.0499999999999998</v>
      </c>
      <c r="I31">
        <v>40.770000000000003</v>
      </c>
      <c r="J31">
        <v>43.55</v>
      </c>
      <c r="K31">
        <v>552.48</v>
      </c>
      <c r="L31" s="10">
        <v>2310.46</v>
      </c>
      <c r="M31">
        <v>58.386660978384533</v>
      </c>
      <c r="N31">
        <v>100</v>
      </c>
      <c r="O31">
        <v>100</v>
      </c>
      <c r="P31">
        <v>74.791572876835673</v>
      </c>
      <c r="Q31">
        <v>46.297510410206435</v>
      </c>
      <c r="R31">
        <v>6.5474080248865377E-2</v>
      </c>
      <c r="S31">
        <v>100</v>
      </c>
      <c r="T31">
        <v>6.2515251998909029</v>
      </c>
      <c r="U31">
        <v>100</v>
      </c>
      <c r="V31" s="10">
        <v>100</v>
      </c>
    </row>
    <row r="33" spans="1:22" x14ac:dyDescent="0.2">
      <c r="B33" t="s">
        <v>681</v>
      </c>
      <c r="C33">
        <v>179.27</v>
      </c>
      <c r="D33">
        <v>10508.31</v>
      </c>
      <c r="E33">
        <v>11328.21</v>
      </c>
      <c r="F33">
        <v>16819.009999999998</v>
      </c>
      <c r="G33">
        <v>1064.24</v>
      </c>
      <c r="H33">
        <v>1664.85</v>
      </c>
      <c r="I33">
        <v>3501.83</v>
      </c>
      <c r="J33">
        <v>386.86</v>
      </c>
      <c r="K33">
        <v>1529.41</v>
      </c>
      <c r="L33" s="10">
        <v>50.67</v>
      </c>
    </row>
    <row r="34" spans="1:22" x14ac:dyDescent="0.2">
      <c r="A34" t="s">
        <v>627</v>
      </c>
      <c r="C34" t="s">
        <v>17</v>
      </c>
      <c r="D34" t="s">
        <v>15</v>
      </c>
      <c r="E34" t="s">
        <v>98</v>
      </c>
      <c r="F34" t="s">
        <v>99</v>
      </c>
      <c r="G34" t="s">
        <v>100</v>
      </c>
      <c r="H34" t="s">
        <v>139</v>
      </c>
      <c r="I34" t="s">
        <v>571</v>
      </c>
      <c r="J34" t="s">
        <v>102</v>
      </c>
      <c r="K34" t="s">
        <v>10</v>
      </c>
      <c r="L34" s="10" t="s">
        <v>103</v>
      </c>
      <c r="M34" t="s">
        <v>17</v>
      </c>
      <c r="N34" t="s">
        <v>15</v>
      </c>
      <c r="O34" t="s">
        <v>98</v>
      </c>
      <c r="P34" t="s">
        <v>99</v>
      </c>
      <c r="Q34" t="s">
        <v>100</v>
      </c>
      <c r="R34" t="s">
        <v>139</v>
      </c>
      <c r="S34" t="s">
        <v>571</v>
      </c>
      <c r="T34" t="s">
        <v>102</v>
      </c>
      <c r="U34" t="s">
        <v>10</v>
      </c>
      <c r="V34" s="10" t="s">
        <v>103</v>
      </c>
    </row>
    <row r="35" spans="1:22" x14ac:dyDescent="0.2">
      <c r="A35" t="s">
        <v>628</v>
      </c>
      <c r="B35" t="s">
        <v>629</v>
      </c>
      <c r="C35">
        <v>9.8000000000000007</v>
      </c>
      <c r="D35">
        <v>1344.95</v>
      </c>
      <c r="E35">
        <v>97.02</v>
      </c>
      <c r="F35">
        <v>100.8</v>
      </c>
      <c r="G35">
        <v>1.49</v>
      </c>
      <c r="H35">
        <v>1.1599999999999999</v>
      </c>
      <c r="I35">
        <v>1.95</v>
      </c>
      <c r="J35">
        <v>5.03</v>
      </c>
      <c r="K35">
        <v>69.11</v>
      </c>
      <c r="L35" s="10">
        <v>2.0499999999999998</v>
      </c>
      <c r="M35">
        <v>5.4666146036704415</v>
      </c>
      <c r="N35">
        <v>12.798918189509065</v>
      </c>
      <c r="O35">
        <v>0.85644598749493528</v>
      </c>
      <c r="P35">
        <v>0.59932183880026235</v>
      </c>
      <c r="Q35">
        <v>0.14000601368112456</v>
      </c>
      <c r="R35">
        <v>6.9675946781992362E-2</v>
      </c>
      <c r="S35">
        <v>5.5685170325229953E-2</v>
      </c>
      <c r="T35">
        <v>1.3002119629840252</v>
      </c>
      <c r="U35">
        <v>4.5187359831569029</v>
      </c>
      <c r="V35" s="10">
        <v>4.0457864614170109</v>
      </c>
    </row>
    <row r="36" spans="1:22" x14ac:dyDescent="0.2">
      <c r="A36" t="s">
        <v>630</v>
      </c>
      <c r="B36" t="s">
        <v>631</v>
      </c>
      <c r="C36">
        <v>14.51</v>
      </c>
      <c r="D36">
        <v>995.86</v>
      </c>
      <c r="E36">
        <v>605.53</v>
      </c>
      <c r="F36">
        <v>3309.56</v>
      </c>
      <c r="G36">
        <v>341.13</v>
      </c>
      <c r="H36">
        <v>483.69</v>
      </c>
      <c r="I36">
        <v>2.95</v>
      </c>
      <c r="J36">
        <v>75.849999999999994</v>
      </c>
      <c r="K36">
        <v>45.92</v>
      </c>
      <c r="L36" s="10">
        <v>2.0499999999999998</v>
      </c>
      <c r="M36">
        <v>8.0939365203324591</v>
      </c>
      <c r="N36">
        <v>9.4768806782441715</v>
      </c>
      <c r="O36">
        <v>5.3453281674686473</v>
      </c>
      <c r="P36">
        <v>19.677495881148772</v>
      </c>
      <c r="Q36">
        <v>32.053860031571823</v>
      </c>
      <c r="R36">
        <v>29.053067843949908</v>
      </c>
      <c r="S36">
        <v>8.424166792791199E-2</v>
      </c>
      <c r="T36">
        <v>19.606576022333659</v>
      </c>
      <c r="U36">
        <v>3.0024650028442337</v>
      </c>
      <c r="V36" s="10">
        <v>4.0457864614170109</v>
      </c>
    </row>
    <row r="37" spans="1:22" x14ac:dyDescent="0.2">
      <c r="A37" t="s">
        <v>632</v>
      </c>
      <c r="B37" t="s">
        <v>633</v>
      </c>
      <c r="C37">
        <v>179.27</v>
      </c>
      <c r="D37">
        <v>1772.63</v>
      </c>
      <c r="E37">
        <v>2632.93</v>
      </c>
      <c r="F37">
        <v>6102.91</v>
      </c>
      <c r="G37">
        <v>1064.24</v>
      </c>
      <c r="H37">
        <v>1664.85</v>
      </c>
      <c r="I37">
        <v>14.76</v>
      </c>
      <c r="J37">
        <v>386.86</v>
      </c>
      <c r="K37">
        <v>160.86000000000001</v>
      </c>
      <c r="L37" s="10">
        <v>48.54</v>
      </c>
      <c r="M37">
        <v>100</v>
      </c>
      <c r="N37">
        <v>16.86883999425217</v>
      </c>
      <c r="O37">
        <v>23.242242154762316</v>
      </c>
      <c r="P37">
        <v>36.285786143179656</v>
      </c>
      <c r="Q37">
        <v>100</v>
      </c>
      <c r="R37">
        <v>100</v>
      </c>
      <c r="S37">
        <v>0.42149390461558672</v>
      </c>
      <c r="T37">
        <v>100</v>
      </c>
      <c r="U37">
        <v>10.517781366670809</v>
      </c>
      <c r="V37" s="10">
        <v>95.796329188869151</v>
      </c>
    </row>
    <row r="38" spans="1:22" x14ac:dyDescent="0.2">
      <c r="A38" t="s">
        <v>634</v>
      </c>
      <c r="B38" t="s">
        <v>635</v>
      </c>
      <c r="C38">
        <v>124.89</v>
      </c>
      <c r="D38">
        <v>361.24</v>
      </c>
      <c r="E38">
        <v>1264.9000000000001</v>
      </c>
      <c r="F38">
        <v>1937.18</v>
      </c>
      <c r="G38">
        <v>132.6</v>
      </c>
      <c r="H38">
        <v>197.57</v>
      </c>
      <c r="I38">
        <v>16.11</v>
      </c>
      <c r="J38">
        <v>48.45</v>
      </c>
      <c r="K38">
        <v>140.06</v>
      </c>
      <c r="L38" s="10">
        <v>50.67</v>
      </c>
      <c r="M38">
        <v>69.665867127796048</v>
      </c>
      <c r="N38">
        <v>3.4376602898087327</v>
      </c>
      <c r="O38">
        <v>11.165930010125168</v>
      </c>
      <c r="P38">
        <v>11.517800393721155</v>
      </c>
      <c r="Q38">
        <v>12.459595579944374</v>
      </c>
      <c r="R38">
        <v>11.867135177343306</v>
      </c>
      <c r="S38">
        <v>0.46004517637920739</v>
      </c>
      <c r="T38">
        <v>12.523910458563822</v>
      </c>
      <c r="U38">
        <v>9.1577797974382271</v>
      </c>
      <c r="V38" s="10">
        <v>100</v>
      </c>
    </row>
    <row r="39" spans="1:22" x14ac:dyDescent="0.2">
      <c r="A39" t="s">
        <v>636</v>
      </c>
      <c r="B39" t="s">
        <v>637</v>
      </c>
      <c r="C39">
        <v>9.8000000000000007</v>
      </c>
      <c r="D39">
        <v>4760.75</v>
      </c>
      <c r="E39">
        <v>1239.94</v>
      </c>
      <c r="F39">
        <v>5204.2</v>
      </c>
      <c r="G39">
        <v>61.74</v>
      </c>
      <c r="H39">
        <v>1.1599999999999999</v>
      </c>
      <c r="I39">
        <v>1.95</v>
      </c>
      <c r="J39">
        <v>20.48</v>
      </c>
      <c r="K39">
        <v>36.79</v>
      </c>
      <c r="L39" s="10">
        <v>3.86</v>
      </c>
      <c r="M39">
        <v>5.4666146036704415</v>
      </c>
      <c r="N39">
        <v>45.304620819142187</v>
      </c>
      <c r="O39">
        <v>10.945595111672542</v>
      </c>
      <c r="P39">
        <v>30.942368189328622</v>
      </c>
      <c r="Q39">
        <v>5.8013230098474029</v>
      </c>
      <c r="R39">
        <v>6.9675946781992362E-2</v>
      </c>
      <c r="S39">
        <v>5.5685170325229953E-2</v>
      </c>
      <c r="T39">
        <v>5.2939047717520546</v>
      </c>
      <c r="U39">
        <v>2.4055027755801253</v>
      </c>
      <c r="V39" s="10">
        <v>7.6179198736925189</v>
      </c>
    </row>
    <row r="40" spans="1:22" x14ac:dyDescent="0.2">
      <c r="A40" t="s">
        <v>638</v>
      </c>
      <c r="B40" t="s">
        <v>639</v>
      </c>
      <c r="C40">
        <v>9.8000000000000007</v>
      </c>
      <c r="D40">
        <v>3512.47</v>
      </c>
      <c r="E40">
        <v>1229.97</v>
      </c>
      <c r="F40">
        <v>4425.8100000000004</v>
      </c>
      <c r="G40">
        <v>62.85</v>
      </c>
      <c r="H40">
        <v>1.1599999999999999</v>
      </c>
      <c r="I40">
        <v>1.95</v>
      </c>
      <c r="J40">
        <v>9.02</v>
      </c>
      <c r="K40">
        <v>85.95</v>
      </c>
      <c r="L40" s="10">
        <v>2.0499999999999998</v>
      </c>
      <c r="M40">
        <v>5.4666146036704415</v>
      </c>
      <c r="N40">
        <v>33.42564123060702</v>
      </c>
      <c r="O40">
        <v>10.857584737571074</v>
      </c>
      <c r="P40">
        <v>26.314331224013788</v>
      </c>
      <c r="Q40">
        <v>5.9056227918514619</v>
      </c>
      <c r="R40">
        <v>6.9675946781992362E-2</v>
      </c>
      <c r="S40">
        <v>5.5685170325229953E-2</v>
      </c>
      <c r="T40">
        <v>2.3315928242775161</v>
      </c>
      <c r="U40">
        <v>5.6198141767086653</v>
      </c>
      <c r="V40" s="10">
        <v>4.0457864614170109</v>
      </c>
    </row>
    <row r="41" spans="1:22" x14ac:dyDescent="0.2">
      <c r="A41" t="s">
        <v>640</v>
      </c>
      <c r="B41" t="s">
        <v>641</v>
      </c>
      <c r="C41">
        <v>16.38</v>
      </c>
      <c r="D41">
        <v>6235.26</v>
      </c>
      <c r="E41">
        <v>10380.89</v>
      </c>
      <c r="F41">
        <v>16819.009999999998</v>
      </c>
      <c r="G41">
        <v>168.43</v>
      </c>
      <c r="H41">
        <v>3.2</v>
      </c>
      <c r="I41">
        <v>2.02</v>
      </c>
      <c r="J41">
        <v>62.61</v>
      </c>
      <c r="K41">
        <v>612.24</v>
      </c>
      <c r="L41" s="10">
        <v>13.7</v>
      </c>
      <c r="M41">
        <v>9.1370558375634499</v>
      </c>
      <c r="N41">
        <v>59.336467995329414</v>
      </c>
      <c r="O41">
        <v>91.637513781965552</v>
      </c>
      <c r="P41">
        <v>100</v>
      </c>
      <c r="Q41">
        <v>15.826317372021348</v>
      </c>
      <c r="R41">
        <v>0.1922095083641169</v>
      </c>
      <c r="S41">
        <v>5.76841251574177E-2</v>
      </c>
      <c r="T41">
        <v>16.184149304658018</v>
      </c>
      <c r="U41">
        <v>40.031123112834358</v>
      </c>
      <c r="V41" s="10">
        <v>27.037694888494173</v>
      </c>
    </row>
    <row r="42" spans="1:22" x14ac:dyDescent="0.2">
      <c r="A42" t="s">
        <v>642</v>
      </c>
      <c r="B42" t="s">
        <v>643</v>
      </c>
      <c r="C42">
        <v>9.8000000000000007</v>
      </c>
      <c r="D42">
        <v>1610.97</v>
      </c>
      <c r="E42">
        <v>395.3</v>
      </c>
      <c r="F42">
        <v>6642.42</v>
      </c>
      <c r="G42">
        <v>34.49</v>
      </c>
      <c r="H42">
        <v>4.16</v>
      </c>
      <c r="I42">
        <v>1.95</v>
      </c>
      <c r="J42">
        <v>19.39</v>
      </c>
      <c r="K42">
        <v>8.98</v>
      </c>
      <c r="L42" s="10">
        <v>2.0499999999999998</v>
      </c>
      <c r="M42">
        <v>5.4666146036704415</v>
      </c>
      <c r="N42">
        <v>15.330438481544606</v>
      </c>
      <c r="O42">
        <v>3.4895186441635531</v>
      </c>
      <c r="P42">
        <v>39.493525480988481</v>
      </c>
      <c r="Q42">
        <v>3.2408103435315345</v>
      </c>
      <c r="R42">
        <v>0.24987236087335196</v>
      </c>
      <c r="S42">
        <v>5.5685170325229953E-2</v>
      </c>
      <c r="T42">
        <v>5.0121490978648602</v>
      </c>
      <c r="U42">
        <v>0.58715452363983489</v>
      </c>
      <c r="V42" s="10">
        <v>4.0457864614170109</v>
      </c>
    </row>
    <row r="43" spans="1:22" x14ac:dyDescent="0.2">
      <c r="A43" t="s">
        <v>644</v>
      </c>
      <c r="B43" t="s">
        <v>645</v>
      </c>
      <c r="C43">
        <v>40.96</v>
      </c>
      <c r="D43">
        <v>2176.75</v>
      </c>
      <c r="E43">
        <v>978.12</v>
      </c>
      <c r="F43">
        <v>12037.12</v>
      </c>
      <c r="G43">
        <v>238.07</v>
      </c>
      <c r="H43">
        <v>77.61</v>
      </c>
      <c r="I43">
        <v>1.95</v>
      </c>
      <c r="J43">
        <v>73.22</v>
      </c>
      <c r="K43">
        <v>48.13</v>
      </c>
      <c r="L43" s="10">
        <v>19.66</v>
      </c>
      <c r="M43">
        <v>22.848217772075639</v>
      </c>
      <c r="N43">
        <v>20.71455828767899</v>
      </c>
      <c r="O43">
        <v>8.6343738331122051</v>
      </c>
      <c r="P43">
        <v>71.568540597811662</v>
      </c>
      <c r="Q43">
        <v>22.369954145681426</v>
      </c>
      <c r="R43">
        <v>4.6616812325434731</v>
      </c>
      <c r="S43">
        <v>5.5685170325229953E-2</v>
      </c>
      <c r="T43">
        <v>18.926743524789327</v>
      </c>
      <c r="U43">
        <v>3.1469651695751959</v>
      </c>
      <c r="V43" s="10">
        <v>38.800078942174856</v>
      </c>
    </row>
    <row r="44" spans="1:22" x14ac:dyDescent="0.2">
      <c r="A44" t="s">
        <v>646</v>
      </c>
      <c r="B44" t="s">
        <v>647</v>
      </c>
      <c r="C44">
        <v>16.59</v>
      </c>
      <c r="D44">
        <v>647.17999999999995</v>
      </c>
      <c r="E44">
        <v>810.62</v>
      </c>
      <c r="F44">
        <v>12953.52</v>
      </c>
      <c r="G44">
        <v>195.15</v>
      </c>
      <c r="H44">
        <v>47.7</v>
      </c>
      <c r="I44">
        <v>1.95</v>
      </c>
      <c r="J44">
        <v>33.14</v>
      </c>
      <c r="K44">
        <v>12.44</v>
      </c>
      <c r="L44" s="10">
        <v>13.77</v>
      </c>
      <c r="M44">
        <v>9.2541975790706754</v>
      </c>
      <c r="N44">
        <v>6.1587448409877519</v>
      </c>
      <c r="O44">
        <v>7.1557642381276487</v>
      </c>
      <c r="P44">
        <v>77.017137156110863</v>
      </c>
      <c r="Q44">
        <v>18.337029241524469</v>
      </c>
      <c r="R44">
        <v>2.8651229840526176</v>
      </c>
      <c r="S44">
        <v>5.5685170325229953E-2</v>
      </c>
      <c r="T44">
        <v>8.56640645194644</v>
      </c>
      <c r="U44">
        <v>0.81338555390640821</v>
      </c>
      <c r="V44" s="10">
        <v>27.175843694493786</v>
      </c>
    </row>
    <row r="45" spans="1:22" x14ac:dyDescent="0.2">
      <c r="A45" t="s">
        <v>648</v>
      </c>
      <c r="B45" t="s">
        <v>649</v>
      </c>
      <c r="C45">
        <v>9.8000000000000007</v>
      </c>
      <c r="D45">
        <v>10508.31</v>
      </c>
      <c r="E45">
        <v>11328.21</v>
      </c>
      <c r="F45">
        <v>4565.04</v>
      </c>
      <c r="G45">
        <v>338.53</v>
      </c>
      <c r="H45">
        <v>1.1599999999999999</v>
      </c>
      <c r="I45">
        <v>76.62</v>
      </c>
      <c r="J45">
        <v>49.08</v>
      </c>
      <c r="K45">
        <v>130.81</v>
      </c>
      <c r="L45" s="10">
        <v>10.76</v>
      </c>
      <c r="M45">
        <v>5.4666146036704415</v>
      </c>
      <c r="N45">
        <v>100</v>
      </c>
      <c r="O45">
        <v>100</v>
      </c>
      <c r="P45">
        <v>27.142144513856643</v>
      </c>
      <c r="Q45">
        <v>31.80955423588664</v>
      </c>
      <c r="R45">
        <v>6.9675946781992362E-2</v>
      </c>
      <c r="S45">
        <v>2.1879988463174969</v>
      </c>
      <c r="T45">
        <v>12.686760068241739</v>
      </c>
      <c r="U45">
        <v>8.5529714072747005</v>
      </c>
      <c r="V45" s="10">
        <v>21.235445036510754</v>
      </c>
    </row>
    <row r="46" spans="1:22" x14ac:dyDescent="0.2">
      <c r="A46" t="s">
        <v>650</v>
      </c>
      <c r="B46" t="s">
        <v>651</v>
      </c>
      <c r="C46">
        <v>21.62</v>
      </c>
      <c r="D46">
        <v>10508.31</v>
      </c>
      <c r="E46">
        <v>11328.21</v>
      </c>
      <c r="F46">
        <v>4926.59</v>
      </c>
      <c r="G46">
        <v>317.2</v>
      </c>
      <c r="H46">
        <v>1.1599999999999999</v>
      </c>
      <c r="I46">
        <v>813.16</v>
      </c>
      <c r="J46">
        <v>29.81</v>
      </c>
      <c r="K46">
        <v>333.71</v>
      </c>
      <c r="L46" s="10">
        <v>33.049999999999997</v>
      </c>
      <c r="M46">
        <v>12.060021197077035</v>
      </c>
      <c r="N46">
        <v>100</v>
      </c>
      <c r="O46">
        <v>100</v>
      </c>
      <c r="P46">
        <v>29.291795414831196</v>
      </c>
      <c r="Q46">
        <v>29.805307073592424</v>
      </c>
      <c r="R46">
        <v>6.9675946781992362E-2</v>
      </c>
      <c r="S46">
        <v>23.221001590596916</v>
      </c>
      <c r="T46">
        <v>7.7056299436488649</v>
      </c>
      <c r="U46">
        <v>21.819525176375201</v>
      </c>
      <c r="V46" s="10">
        <v>65.225971975527912</v>
      </c>
    </row>
    <row r="47" spans="1:22" x14ac:dyDescent="0.2">
      <c r="A47" t="s">
        <v>652</v>
      </c>
      <c r="B47" t="s">
        <v>653</v>
      </c>
      <c r="C47">
        <v>15.6</v>
      </c>
      <c r="D47">
        <v>10508.31</v>
      </c>
      <c r="E47">
        <v>11328.21</v>
      </c>
      <c r="F47">
        <v>332.26</v>
      </c>
      <c r="G47">
        <v>57.98</v>
      </c>
      <c r="H47">
        <v>1.1599999999999999</v>
      </c>
      <c r="I47">
        <v>3501.83</v>
      </c>
      <c r="J47">
        <v>15.16</v>
      </c>
      <c r="K47">
        <v>1529.41</v>
      </c>
      <c r="L47" s="10">
        <v>2.82</v>
      </c>
      <c r="M47">
        <v>8.7019579405366194</v>
      </c>
      <c r="N47">
        <v>100</v>
      </c>
      <c r="O47">
        <v>100</v>
      </c>
      <c r="P47">
        <v>1.9755027198390396</v>
      </c>
      <c r="Q47">
        <v>5.4480192437795987</v>
      </c>
      <c r="R47">
        <v>6.9675946781992362E-2</v>
      </c>
      <c r="S47">
        <v>100</v>
      </c>
      <c r="T47">
        <v>3.9187302900274004</v>
      </c>
      <c r="U47">
        <v>100</v>
      </c>
      <c r="V47" s="10">
        <v>5.5654233274126694</v>
      </c>
    </row>
    <row r="48" spans="1:22" x14ac:dyDescent="0.2">
      <c r="B48" t="s">
        <v>681</v>
      </c>
      <c r="C48">
        <v>213.43</v>
      </c>
      <c r="D48">
        <v>10508.31</v>
      </c>
      <c r="E48">
        <v>11328.21</v>
      </c>
      <c r="F48">
        <v>11939.03</v>
      </c>
      <c r="G48">
        <v>1207.32</v>
      </c>
      <c r="H48">
        <v>1961.94</v>
      </c>
      <c r="I48">
        <v>672.3</v>
      </c>
      <c r="J48">
        <v>423.2</v>
      </c>
      <c r="K48">
        <v>3287.76</v>
      </c>
      <c r="L48" s="10">
        <v>114.69</v>
      </c>
    </row>
    <row r="49" spans="1:22" x14ac:dyDescent="0.2">
      <c r="A49" t="s">
        <v>654</v>
      </c>
      <c r="B49" t="s">
        <v>654</v>
      </c>
      <c r="C49" t="s">
        <v>17</v>
      </c>
      <c r="D49" t="s">
        <v>15</v>
      </c>
      <c r="E49" t="s">
        <v>98</v>
      </c>
      <c r="F49" t="s">
        <v>99</v>
      </c>
      <c r="G49" t="s">
        <v>100</v>
      </c>
      <c r="H49" t="s">
        <v>139</v>
      </c>
      <c r="I49" t="s">
        <v>571</v>
      </c>
      <c r="J49" t="s">
        <v>102</v>
      </c>
      <c r="K49" t="s">
        <v>10</v>
      </c>
      <c r="L49" s="10" t="s">
        <v>103</v>
      </c>
      <c r="M49" t="s">
        <v>17</v>
      </c>
      <c r="N49" t="s">
        <v>15</v>
      </c>
      <c r="O49" t="s">
        <v>98</v>
      </c>
      <c r="P49" t="s">
        <v>99</v>
      </c>
      <c r="Q49" t="s">
        <v>100</v>
      </c>
      <c r="R49" t="s">
        <v>139</v>
      </c>
      <c r="S49" t="s">
        <v>571</v>
      </c>
      <c r="T49" t="s">
        <v>102</v>
      </c>
      <c r="U49" t="s">
        <v>10</v>
      </c>
      <c r="V49" s="10" t="s">
        <v>103</v>
      </c>
    </row>
    <row r="50" spans="1:22" x14ac:dyDescent="0.2">
      <c r="A50" t="s">
        <v>655</v>
      </c>
      <c r="B50" t="s">
        <v>656</v>
      </c>
      <c r="C50">
        <v>9.8000000000000007</v>
      </c>
      <c r="D50">
        <v>1265.46</v>
      </c>
      <c r="E50">
        <v>102.09</v>
      </c>
      <c r="F50">
        <v>113.14</v>
      </c>
      <c r="G50">
        <v>1.51</v>
      </c>
      <c r="H50">
        <v>1.1599999999999999</v>
      </c>
      <c r="I50">
        <v>1.95</v>
      </c>
      <c r="J50">
        <v>1.8</v>
      </c>
      <c r="K50">
        <v>158.69</v>
      </c>
      <c r="L50" s="10">
        <v>2.0499999999999998</v>
      </c>
      <c r="M50">
        <v>4.5916693998032141</v>
      </c>
      <c r="N50">
        <v>12.04246924576835</v>
      </c>
      <c r="O50">
        <v>0.90120151374312452</v>
      </c>
      <c r="P50">
        <v>0.94764817577307359</v>
      </c>
      <c r="Q50">
        <v>0.12507040386972801</v>
      </c>
      <c r="R50">
        <v>5.9125151635625962E-2</v>
      </c>
      <c r="S50">
        <v>0.29004908522980816</v>
      </c>
      <c r="T50">
        <v>0.42533081285444235</v>
      </c>
      <c r="U50">
        <v>4.8266905126894901</v>
      </c>
      <c r="V50" s="10">
        <v>1.7874269770686197</v>
      </c>
    </row>
    <row r="51" spans="1:22" x14ac:dyDescent="0.2">
      <c r="A51" t="s">
        <v>657</v>
      </c>
      <c r="B51" t="s">
        <v>658</v>
      </c>
      <c r="C51">
        <v>19.04</v>
      </c>
      <c r="D51">
        <v>1540.69</v>
      </c>
      <c r="E51">
        <v>557.63</v>
      </c>
      <c r="F51">
        <v>8451.56</v>
      </c>
      <c r="G51">
        <v>399.25</v>
      </c>
      <c r="H51">
        <v>637.1</v>
      </c>
      <c r="I51">
        <v>2.2799999999999998</v>
      </c>
      <c r="J51">
        <v>115.78</v>
      </c>
      <c r="K51">
        <v>98.96</v>
      </c>
      <c r="L51" s="10">
        <v>4.45</v>
      </c>
      <c r="M51">
        <v>8.9209576910462438</v>
      </c>
      <c r="N51">
        <v>14.661634458823542</v>
      </c>
      <c r="O51">
        <v>4.9224899609029142</v>
      </c>
      <c r="P51">
        <v>70.789335482028264</v>
      </c>
      <c r="Q51">
        <v>33.069111751648279</v>
      </c>
      <c r="R51">
        <v>32.472960437118367</v>
      </c>
      <c r="S51">
        <v>0.33913431503792946</v>
      </c>
      <c r="T51">
        <v>27.358223062381853</v>
      </c>
      <c r="U51">
        <v>3.0099520646275879</v>
      </c>
      <c r="V51" s="10">
        <v>3.8800244136367601</v>
      </c>
    </row>
    <row r="52" spans="1:22" x14ac:dyDescent="0.2">
      <c r="A52" t="s">
        <v>659</v>
      </c>
      <c r="B52" t="s">
        <v>660</v>
      </c>
      <c r="C52">
        <v>137.93</v>
      </c>
      <c r="D52">
        <v>2572.19</v>
      </c>
      <c r="E52">
        <v>1583.77</v>
      </c>
      <c r="F52">
        <v>11939.03</v>
      </c>
      <c r="G52">
        <v>1207.32</v>
      </c>
      <c r="H52">
        <v>1961.94</v>
      </c>
      <c r="I52">
        <v>3.32</v>
      </c>
      <c r="J52">
        <v>423.2</v>
      </c>
      <c r="K52">
        <v>152.16</v>
      </c>
      <c r="L52" s="10">
        <v>68.510000000000005</v>
      </c>
      <c r="M52">
        <v>64.625404113760951</v>
      </c>
      <c r="N52">
        <v>24.477675287462972</v>
      </c>
      <c r="O52">
        <v>13.98076130297726</v>
      </c>
      <c r="P52">
        <v>100</v>
      </c>
      <c r="Q52">
        <v>100</v>
      </c>
      <c r="R52">
        <v>100</v>
      </c>
      <c r="S52">
        <v>0.49382716049382713</v>
      </c>
      <c r="T52">
        <v>100</v>
      </c>
      <c r="U52">
        <v>4.6280750419738661</v>
      </c>
      <c r="V52" s="10">
        <v>59.734937658034703</v>
      </c>
    </row>
    <row r="53" spans="1:22" x14ac:dyDescent="0.2">
      <c r="A53" t="s">
        <v>661</v>
      </c>
      <c r="B53" t="s">
        <v>662</v>
      </c>
      <c r="C53">
        <v>50.42</v>
      </c>
      <c r="D53">
        <v>1315.38</v>
      </c>
      <c r="E53">
        <v>3133.1</v>
      </c>
      <c r="F53">
        <v>6130.04</v>
      </c>
      <c r="G53">
        <v>767.46</v>
      </c>
      <c r="H53">
        <v>763.63</v>
      </c>
      <c r="I53">
        <v>1.95</v>
      </c>
      <c r="J53">
        <v>187.29</v>
      </c>
      <c r="K53">
        <v>7.03</v>
      </c>
      <c r="L53" s="10">
        <v>12.54</v>
      </c>
      <c r="M53">
        <v>23.623670524293679</v>
      </c>
      <c r="N53">
        <v>12.517521846995381</v>
      </c>
      <c r="O53">
        <v>27.657502818185755</v>
      </c>
      <c r="P53">
        <v>51.344539715538026</v>
      </c>
      <c r="Q53">
        <v>63.567239836994339</v>
      </c>
      <c r="R53">
        <v>38.92218926164918</v>
      </c>
      <c r="S53">
        <v>0.29004908522980816</v>
      </c>
      <c r="T53">
        <v>44.255671077504729</v>
      </c>
      <c r="U53">
        <v>0.21382339343504392</v>
      </c>
      <c r="V53" s="10">
        <v>10.933821606068532</v>
      </c>
    </row>
    <row r="54" spans="1:22" x14ac:dyDescent="0.2">
      <c r="A54" t="s">
        <v>663</v>
      </c>
      <c r="B54" t="s">
        <v>664</v>
      </c>
      <c r="C54">
        <v>9.8000000000000007</v>
      </c>
      <c r="D54">
        <v>2878</v>
      </c>
      <c r="E54">
        <v>999.81</v>
      </c>
      <c r="F54">
        <v>5482.87</v>
      </c>
      <c r="G54">
        <v>39.869999999999997</v>
      </c>
      <c r="H54">
        <v>1.1599999999999999</v>
      </c>
      <c r="I54">
        <v>1.95</v>
      </c>
      <c r="J54">
        <v>28.89</v>
      </c>
      <c r="K54">
        <v>354.92</v>
      </c>
      <c r="L54" s="10">
        <v>2.4</v>
      </c>
      <c r="M54">
        <v>4.5916693998032141</v>
      </c>
      <c r="N54">
        <v>27.387848283881993</v>
      </c>
      <c r="O54">
        <v>8.8258427412627416</v>
      </c>
      <c r="P54">
        <v>45.923915091929572</v>
      </c>
      <c r="Q54">
        <v>3.3023556306530164</v>
      </c>
      <c r="R54">
        <v>5.9125151635625962E-2</v>
      </c>
      <c r="S54">
        <v>0.29004908522980816</v>
      </c>
      <c r="T54">
        <v>6.8265595463138</v>
      </c>
      <c r="U54">
        <v>10.795191863153027</v>
      </c>
      <c r="V54" s="10">
        <v>2.0925974365681403</v>
      </c>
    </row>
    <row r="55" spans="1:22" x14ac:dyDescent="0.2">
      <c r="A55" t="s">
        <v>665</v>
      </c>
      <c r="B55" t="s">
        <v>666</v>
      </c>
      <c r="C55">
        <v>9.8000000000000007</v>
      </c>
      <c r="D55">
        <v>1640.42</v>
      </c>
      <c r="E55">
        <v>1706.03</v>
      </c>
      <c r="F55">
        <v>6961.17</v>
      </c>
      <c r="G55">
        <v>30.54</v>
      </c>
      <c r="H55">
        <v>1.1599999999999999</v>
      </c>
      <c r="I55">
        <v>1.95</v>
      </c>
      <c r="J55">
        <v>31</v>
      </c>
      <c r="K55">
        <v>41.78</v>
      </c>
      <c r="L55" s="10">
        <v>2.0499999999999998</v>
      </c>
      <c r="M55">
        <v>4.5916693998032141</v>
      </c>
      <c r="N55">
        <v>15.610692870689959</v>
      </c>
      <c r="O55">
        <v>15.060013894516434</v>
      </c>
      <c r="P55">
        <v>58.305993032934836</v>
      </c>
      <c r="Q55">
        <v>2.5295696252857569</v>
      </c>
      <c r="R55">
        <v>5.9125151635625962E-2</v>
      </c>
      <c r="S55">
        <v>0.29004908522980816</v>
      </c>
      <c r="T55">
        <v>7.3251417769376186</v>
      </c>
      <c r="U55">
        <v>1.2707740224347275</v>
      </c>
      <c r="V55" s="10">
        <v>1.7874269770686197</v>
      </c>
    </row>
    <row r="56" spans="1:22" x14ac:dyDescent="0.2">
      <c r="A56" t="s">
        <v>667</v>
      </c>
      <c r="B56" t="s">
        <v>668</v>
      </c>
      <c r="C56">
        <v>213.43</v>
      </c>
      <c r="D56">
        <v>10508.31</v>
      </c>
      <c r="E56">
        <v>11328.21</v>
      </c>
      <c r="F56">
        <v>5659.6</v>
      </c>
      <c r="G56">
        <v>1203.06</v>
      </c>
      <c r="H56">
        <v>5.33</v>
      </c>
      <c r="I56">
        <v>154.44</v>
      </c>
      <c r="J56">
        <v>91.13</v>
      </c>
      <c r="K56">
        <v>18.82</v>
      </c>
      <c r="L56" s="10">
        <v>114.69</v>
      </c>
      <c r="M56">
        <v>100</v>
      </c>
      <c r="N56">
        <v>100</v>
      </c>
      <c r="O56">
        <v>100</v>
      </c>
      <c r="P56">
        <v>47.404186102221033</v>
      </c>
      <c r="Q56">
        <v>99.6471523705397</v>
      </c>
      <c r="R56">
        <v>0.27166987777404</v>
      </c>
      <c r="S56">
        <v>22.971887550200805</v>
      </c>
      <c r="T56">
        <v>21.533553875236294</v>
      </c>
      <c r="U56">
        <v>0.5724262111589653</v>
      </c>
      <c r="V56" s="10">
        <v>100</v>
      </c>
    </row>
    <row r="57" spans="1:22" x14ac:dyDescent="0.2">
      <c r="A57" t="s">
        <v>669</v>
      </c>
      <c r="B57" t="s">
        <v>670</v>
      </c>
      <c r="C57">
        <v>9.8000000000000007</v>
      </c>
      <c r="D57">
        <v>1268.3</v>
      </c>
      <c r="E57">
        <v>71.069999999999993</v>
      </c>
      <c r="F57">
        <v>7594.15</v>
      </c>
      <c r="G57">
        <v>18.309999999999999</v>
      </c>
      <c r="H57">
        <v>8.16</v>
      </c>
      <c r="I57">
        <v>1.95</v>
      </c>
      <c r="J57">
        <v>25.72</v>
      </c>
      <c r="K57">
        <v>205.14</v>
      </c>
      <c r="L57" s="10">
        <v>2.0499999999999998</v>
      </c>
      <c r="M57">
        <v>4.5916693998032141</v>
      </c>
      <c r="N57">
        <v>12.069495475485592</v>
      </c>
      <c r="O57">
        <v>0.62737184427195469</v>
      </c>
      <c r="P57">
        <v>63.60776377980455</v>
      </c>
      <c r="Q57">
        <v>1.516582182022993</v>
      </c>
      <c r="R57">
        <v>0.41591485978164472</v>
      </c>
      <c r="S57">
        <v>0.29004908522980816</v>
      </c>
      <c r="T57">
        <v>6.0775047258979207</v>
      </c>
      <c r="U57">
        <v>6.2395065333235991</v>
      </c>
      <c r="V57" s="10">
        <v>1.7874269770686197</v>
      </c>
    </row>
    <row r="58" spans="1:22" x14ac:dyDescent="0.2">
      <c r="A58" t="s">
        <v>671</v>
      </c>
      <c r="B58" t="s">
        <v>672</v>
      </c>
      <c r="C58">
        <v>19.05</v>
      </c>
      <c r="D58">
        <v>1232.92</v>
      </c>
      <c r="E58">
        <v>714.69</v>
      </c>
      <c r="F58">
        <v>7354.13</v>
      </c>
      <c r="G58">
        <v>159.08000000000001</v>
      </c>
      <c r="H58">
        <v>37.21</v>
      </c>
      <c r="I58">
        <v>1.95</v>
      </c>
      <c r="J58">
        <v>41.42</v>
      </c>
      <c r="K58">
        <v>37.68</v>
      </c>
      <c r="L58" s="10">
        <v>6.75</v>
      </c>
      <c r="M58">
        <v>8.9256430679848187</v>
      </c>
      <c r="N58">
        <v>11.732809557388393</v>
      </c>
      <c r="O58">
        <v>6.3089402474000762</v>
      </c>
      <c r="P58">
        <v>61.597382701944795</v>
      </c>
      <c r="Q58">
        <v>13.176291289798895</v>
      </c>
      <c r="R58">
        <v>1.8965921485876225</v>
      </c>
      <c r="S58">
        <v>0.29004908522980816</v>
      </c>
      <c r="T58">
        <v>9.7873345935727798</v>
      </c>
      <c r="U58">
        <v>1.1460690561354843</v>
      </c>
      <c r="V58" s="10">
        <v>5.8854302903478946</v>
      </c>
    </row>
    <row r="59" spans="1:22" x14ac:dyDescent="0.2">
      <c r="A59" t="s">
        <v>673</v>
      </c>
      <c r="B59" t="s">
        <v>674</v>
      </c>
      <c r="C59">
        <v>10.89</v>
      </c>
      <c r="D59">
        <v>585.21</v>
      </c>
      <c r="E59">
        <v>112.88</v>
      </c>
      <c r="F59">
        <v>7412.17</v>
      </c>
      <c r="G59">
        <v>38.729999999999997</v>
      </c>
      <c r="H59">
        <v>6.58</v>
      </c>
      <c r="I59">
        <v>1.95</v>
      </c>
      <c r="J59">
        <v>5.98</v>
      </c>
      <c r="K59">
        <v>2.5099999999999998</v>
      </c>
      <c r="L59" s="10">
        <v>2.0499999999999998</v>
      </c>
      <c r="M59">
        <v>5.1023754861078574</v>
      </c>
      <c r="N59">
        <v>5.5690210890238303</v>
      </c>
      <c r="O59">
        <v>0.99645045422004019</v>
      </c>
      <c r="P59">
        <v>62.083519347886721</v>
      </c>
      <c r="Q59">
        <v>3.2079316171354733</v>
      </c>
      <c r="R59">
        <v>0.33538232565725762</v>
      </c>
      <c r="S59">
        <v>0.29004908522980816</v>
      </c>
      <c r="T59">
        <v>1.4130434782608696</v>
      </c>
      <c r="U59">
        <v>7.6343772051487943E-2</v>
      </c>
      <c r="V59" s="10">
        <v>1.7874269770686197</v>
      </c>
    </row>
    <row r="60" spans="1:22" x14ac:dyDescent="0.2">
      <c r="A60" t="s">
        <v>675</v>
      </c>
      <c r="B60" t="s">
        <v>676</v>
      </c>
      <c r="C60">
        <v>25.46</v>
      </c>
      <c r="D60">
        <v>10508.31</v>
      </c>
      <c r="E60">
        <v>11328.21</v>
      </c>
      <c r="F60">
        <v>7360.39</v>
      </c>
      <c r="G60">
        <v>107.92</v>
      </c>
      <c r="H60">
        <v>1.1599999999999999</v>
      </c>
      <c r="I60">
        <v>2.0299999999999998</v>
      </c>
      <c r="J60">
        <v>38.08</v>
      </c>
      <c r="K60">
        <v>1346.93</v>
      </c>
      <c r="L60" s="10">
        <v>6.3</v>
      </c>
      <c r="M60">
        <v>11.928969685611207</v>
      </c>
      <c r="N60">
        <v>100</v>
      </c>
      <c r="O60">
        <v>100</v>
      </c>
      <c r="P60">
        <v>61.649815772303107</v>
      </c>
      <c r="Q60">
        <v>8.9388066129940693</v>
      </c>
      <c r="R60">
        <v>5.9125151635625962E-2</v>
      </c>
      <c r="S60">
        <v>0.3019485348802618</v>
      </c>
      <c r="T60">
        <v>8.9981096408317587</v>
      </c>
      <c r="U60">
        <v>40.968014696936514</v>
      </c>
      <c r="V60" s="10">
        <v>5.4930682709913681</v>
      </c>
    </row>
    <row r="61" spans="1:22" x14ac:dyDescent="0.2">
      <c r="A61" t="s">
        <v>677</v>
      </c>
      <c r="B61" t="s">
        <v>678</v>
      </c>
      <c r="C61">
        <v>82.98</v>
      </c>
      <c r="D61">
        <v>10508.31</v>
      </c>
      <c r="E61">
        <v>5054.79</v>
      </c>
      <c r="F61">
        <v>3367.98</v>
      </c>
      <c r="G61">
        <v>83.42</v>
      </c>
      <c r="H61">
        <v>1.1599999999999999</v>
      </c>
      <c r="I61">
        <v>5.01</v>
      </c>
      <c r="J61">
        <v>32.54</v>
      </c>
      <c r="K61">
        <v>3070.44</v>
      </c>
      <c r="L61" s="10">
        <v>4.7</v>
      </c>
      <c r="M61">
        <v>38.879257836292929</v>
      </c>
      <c r="N61">
        <v>100</v>
      </c>
      <c r="O61">
        <v>44.62125966944469</v>
      </c>
      <c r="P61">
        <v>28.209829441755318</v>
      </c>
      <c r="Q61">
        <v>6.9095186031872258</v>
      </c>
      <c r="R61">
        <v>5.9125151635625962E-2</v>
      </c>
      <c r="S61">
        <v>0.74520303435966084</v>
      </c>
      <c r="T61">
        <v>7.6890359168241966</v>
      </c>
      <c r="U61">
        <v>93.390028469231325</v>
      </c>
      <c r="V61" s="10">
        <v>4.0980033132792748</v>
      </c>
    </row>
    <row r="62" spans="1:22" x14ac:dyDescent="0.2">
      <c r="A62" t="s">
        <v>679</v>
      </c>
      <c r="B62" t="s">
        <v>680</v>
      </c>
      <c r="C62">
        <v>208.21</v>
      </c>
      <c r="D62">
        <v>10508.31</v>
      </c>
      <c r="E62">
        <v>11328.21</v>
      </c>
      <c r="F62">
        <v>4658.43</v>
      </c>
      <c r="G62">
        <v>180</v>
      </c>
      <c r="H62">
        <v>1.1599999999999999</v>
      </c>
      <c r="I62">
        <v>672.3</v>
      </c>
      <c r="J62">
        <v>39.479999999999997</v>
      </c>
      <c r="K62">
        <v>3287.76</v>
      </c>
      <c r="L62" s="10">
        <v>16.82</v>
      </c>
      <c r="M62">
        <v>97.554233238064</v>
      </c>
      <c r="N62">
        <v>100</v>
      </c>
      <c r="O62">
        <v>100</v>
      </c>
      <c r="P62">
        <v>39.018496477519534</v>
      </c>
      <c r="Q62">
        <v>14.90905476592784</v>
      </c>
      <c r="R62">
        <v>5.9125151635625962E-2</v>
      </c>
      <c r="S62">
        <v>100</v>
      </c>
      <c r="T62">
        <v>9.3289224952741012</v>
      </c>
      <c r="U62">
        <v>100</v>
      </c>
      <c r="V62" s="10">
        <v>14.665620367948385</v>
      </c>
    </row>
    <row r="64" spans="1:22" s="21" customFormat="1" x14ac:dyDescent="0.2"/>
    <row r="65" spans="1:14" s="21" customFormat="1" x14ac:dyDescent="0.2">
      <c r="A65" s="21" t="s">
        <v>1155</v>
      </c>
      <c r="C65" s="21" t="s">
        <v>272</v>
      </c>
      <c r="F65" s="21" t="s">
        <v>381</v>
      </c>
      <c r="I65" s="21" t="s">
        <v>1145</v>
      </c>
      <c r="L65" s="21" t="s">
        <v>9</v>
      </c>
    </row>
    <row r="66" spans="1:14" s="21" customFormat="1" x14ac:dyDescent="0.2">
      <c r="B66" s="21" t="s">
        <v>1127</v>
      </c>
      <c r="C66" s="21" t="s">
        <v>1073</v>
      </c>
      <c r="D66" s="21" t="s">
        <v>1074</v>
      </c>
      <c r="E66" s="21" t="s">
        <v>1075</v>
      </c>
      <c r="F66" s="21" t="s">
        <v>1142</v>
      </c>
      <c r="G66" s="21" t="s">
        <v>1143</v>
      </c>
      <c r="H66" s="21" t="s">
        <v>1144</v>
      </c>
      <c r="I66" s="113" t="s">
        <v>1146</v>
      </c>
      <c r="J66" s="113" t="s">
        <v>1147</v>
      </c>
      <c r="K66" s="113" t="s">
        <v>1143</v>
      </c>
      <c r="L66" s="246" t="s">
        <v>1149</v>
      </c>
      <c r="M66" s="113" t="s">
        <v>1150</v>
      </c>
      <c r="N66" s="113" t="s">
        <v>1143</v>
      </c>
    </row>
    <row r="67" spans="1:14" s="21" customFormat="1" x14ac:dyDescent="0.2">
      <c r="A67" s="21" t="s">
        <v>1152</v>
      </c>
      <c r="B67" s="21" t="s">
        <v>7</v>
      </c>
      <c r="C67" s="21">
        <v>0.09</v>
      </c>
      <c r="D67" s="21" t="s">
        <v>1131</v>
      </c>
      <c r="E67" s="21">
        <v>2.9999999999999997E-4</v>
      </c>
      <c r="F67" s="113" t="s">
        <v>1133</v>
      </c>
      <c r="G67" s="113" t="s">
        <v>1133</v>
      </c>
      <c r="H67" s="113" t="s">
        <v>1133</v>
      </c>
      <c r="I67" s="21">
        <v>0.99970000000000003</v>
      </c>
      <c r="J67" s="21">
        <v>0.82040000000000002</v>
      </c>
      <c r="K67" s="21">
        <v>0.85009999999999997</v>
      </c>
      <c r="L67" s="113" t="s">
        <v>1133</v>
      </c>
      <c r="M67" s="113" t="s">
        <v>1133</v>
      </c>
      <c r="N67" s="113" t="s">
        <v>1133</v>
      </c>
    </row>
    <row r="68" spans="1:14" s="21" customFormat="1" x14ac:dyDescent="0.2">
      <c r="A68" s="21" t="s">
        <v>1153</v>
      </c>
      <c r="B68" s="21" t="s">
        <v>7</v>
      </c>
      <c r="C68" s="21">
        <v>0.77</v>
      </c>
      <c r="D68" s="21" t="s">
        <v>1131</v>
      </c>
      <c r="E68" s="21">
        <v>2.0000000000000001E-4</v>
      </c>
      <c r="F68" s="21">
        <v>0.9929</v>
      </c>
      <c r="G68" s="113">
        <v>0.99939999999999996</v>
      </c>
      <c r="H68" s="113">
        <v>0.81269999999999998</v>
      </c>
      <c r="I68" s="113">
        <v>0.99970000000000003</v>
      </c>
      <c r="J68" s="113">
        <v>0.97729999999999995</v>
      </c>
      <c r="K68" s="113">
        <v>0.99909999999999999</v>
      </c>
      <c r="L68" s="113">
        <v>0.99919999999999998</v>
      </c>
      <c r="M68" s="113">
        <v>0.99919999999999998</v>
      </c>
      <c r="N68" s="113">
        <v>0.99960000000000004</v>
      </c>
    </row>
    <row r="69" spans="1:14" s="21" customFormat="1" x14ac:dyDescent="0.2">
      <c r="A69" s="113" t="s">
        <v>1151</v>
      </c>
      <c r="B69" s="21" t="s">
        <v>7</v>
      </c>
      <c r="C69" s="21">
        <v>0.64549999999999996</v>
      </c>
      <c r="D69" s="21">
        <v>4.3E-3</v>
      </c>
      <c r="E69" s="21">
        <v>3.3099999999999997E-2</v>
      </c>
      <c r="F69" s="113">
        <v>0.97140000000000004</v>
      </c>
      <c r="G69" s="113">
        <v>0.9153</v>
      </c>
      <c r="H69" s="113">
        <v>0.18479999999999999</v>
      </c>
      <c r="I69" s="113">
        <v>0.99970000000000003</v>
      </c>
      <c r="J69" s="113">
        <v>0.94820000000000004</v>
      </c>
      <c r="K69" s="113">
        <v>0.98819999999999997</v>
      </c>
      <c r="L69" s="113">
        <v>0.20419999999999999</v>
      </c>
      <c r="M69" s="113">
        <v>3.9699999999999999E-2</v>
      </c>
      <c r="N69" s="113">
        <v>0.6069</v>
      </c>
    </row>
    <row r="70" spans="1:14" s="21" customFormat="1" x14ac:dyDescent="0.2">
      <c r="A70" s="113" t="s">
        <v>321</v>
      </c>
      <c r="B70" s="21" t="s">
        <v>7</v>
      </c>
      <c r="C70" s="113">
        <v>0.99980000000000002</v>
      </c>
      <c r="D70" s="21">
        <v>0.99909999999999999</v>
      </c>
      <c r="E70" s="113">
        <v>0.7944</v>
      </c>
      <c r="F70" s="113">
        <v>0.25490000000000002</v>
      </c>
      <c r="G70" s="113">
        <v>0.15609999999999999</v>
      </c>
      <c r="H70" s="113">
        <v>6.9999999999999999E-4</v>
      </c>
      <c r="I70" s="21" t="s">
        <v>1133</v>
      </c>
      <c r="J70" s="113">
        <v>0.99960000000000004</v>
      </c>
      <c r="K70" s="113">
        <v>0.99970000000000003</v>
      </c>
      <c r="L70" s="21" t="s">
        <v>1131</v>
      </c>
      <c r="M70" s="21" t="s">
        <v>1131</v>
      </c>
      <c r="N70" s="21" t="s">
        <v>1131</v>
      </c>
    </row>
    <row r="71" spans="1:14" s="21" customFormat="1" x14ac:dyDescent="0.2">
      <c r="A71" s="113" t="s">
        <v>1154</v>
      </c>
      <c r="B71" s="21" t="s">
        <v>7</v>
      </c>
      <c r="C71" s="113">
        <v>0.99960000000000004</v>
      </c>
      <c r="D71" s="21">
        <v>2.6800000000000001E-2</v>
      </c>
      <c r="E71" s="113">
        <v>0.1522</v>
      </c>
      <c r="F71" s="113">
        <v>0.99990000000000001</v>
      </c>
      <c r="G71" s="113" t="s">
        <v>1133</v>
      </c>
      <c r="H71" s="113">
        <v>0.46489999999999998</v>
      </c>
      <c r="I71" s="113">
        <v>0.99970000000000003</v>
      </c>
      <c r="J71" s="113">
        <v>0.58589999999999998</v>
      </c>
      <c r="K71" s="113">
        <v>0.27589999999999998</v>
      </c>
      <c r="L71" s="113">
        <v>0.99939999999999996</v>
      </c>
      <c r="M71" s="113">
        <v>0.38090000000000002</v>
      </c>
      <c r="N71" s="113">
        <v>0.16500000000000001</v>
      </c>
    </row>
    <row r="72" spans="1:14" s="21" customFormat="1" x14ac:dyDescent="0.2">
      <c r="A72" s="113" t="s">
        <v>15</v>
      </c>
      <c r="B72" s="21" t="s">
        <v>7</v>
      </c>
      <c r="C72" s="113">
        <v>0.95689999999999997</v>
      </c>
      <c r="D72" s="113">
        <v>0.999</v>
      </c>
      <c r="E72" s="113">
        <v>0.99960000000000004</v>
      </c>
      <c r="F72" s="113">
        <v>0.36259999999999998</v>
      </c>
      <c r="G72" s="113">
        <v>0.6482</v>
      </c>
      <c r="H72" s="113">
        <v>6.7100000000000007E-2</v>
      </c>
      <c r="I72" s="113">
        <v>0.99970000000000003</v>
      </c>
      <c r="J72" s="113">
        <v>0.99570000000000003</v>
      </c>
      <c r="K72" s="113">
        <v>0.99980000000000002</v>
      </c>
      <c r="L72" s="113">
        <v>5.3E-3</v>
      </c>
      <c r="M72" s="113">
        <v>5.0000000000000001E-4</v>
      </c>
      <c r="N72" s="113">
        <v>5.0000000000000001E-4</v>
      </c>
    </row>
    <row r="73" spans="1:14" s="21" customFormat="1" x14ac:dyDescent="0.2">
      <c r="A73" s="113" t="s">
        <v>10</v>
      </c>
      <c r="B73" s="21" t="s">
        <v>7</v>
      </c>
      <c r="C73" s="113" t="s">
        <v>1133</v>
      </c>
      <c r="D73" s="113">
        <v>0.99929999999999997</v>
      </c>
      <c r="E73" s="113">
        <v>0.99990000000000001</v>
      </c>
      <c r="F73" s="113">
        <v>0.99939999999999996</v>
      </c>
      <c r="G73" s="113">
        <v>0.99909999999999999</v>
      </c>
      <c r="H73" s="113">
        <v>0.50880000000000003</v>
      </c>
      <c r="I73" s="113">
        <v>0.99980000000000002</v>
      </c>
      <c r="J73" s="113">
        <v>0.99939999999999996</v>
      </c>
      <c r="K73" s="21" t="s">
        <v>1133</v>
      </c>
      <c r="L73" s="113">
        <v>7.2700000000000001E-2</v>
      </c>
      <c r="M73" s="113">
        <v>8.9999999999999998E-4</v>
      </c>
      <c r="N73" s="21" t="s">
        <v>1131</v>
      </c>
    </row>
    <row r="74" spans="1:14" s="21" customFormat="1" x14ac:dyDescent="0.2"/>
    <row r="75" spans="1:14" s="21" customFormat="1" x14ac:dyDescent="0.2"/>
    <row r="76" spans="1:14" s="21" customFormat="1" x14ac:dyDescent="0.2"/>
    <row r="77" spans="1:14" s="21" customFormat="1" x14ac:dyDescent="0.2"/>
    <row r="78" spans="1:14" s="21" customFormat="1" x14ac:dyDescent="0.2"/>
    <row r="79" spans="1:14" s="21" customFormat="1" x14ac:dyDescent="0.2"/>
    <row r="80" spans="1:14" s="21" customFormat="1" x14ac:dyDescent="0.2"/>
    <row r="81" s="21" customFormat="1" x14ac:dyDescent="0.2"/>
    <row r="82" s="21" customFormat="1" x14ac:dyDescent="0.2"/>
    <row r="83" s="21" customFormat="1" x14ac:dyDescent="0.2"/>
    <row r="84" s="21" customFormat="1" x14ac:dyDescent="0.2"/>
    <row r="85" s="21" customFormat="1" x14ac:dyDescent="0.2"/>
    <row r="86" s="21" customFormat="1" x14ac:dyDescent="0.2"/>
    <row r="87" s="21" customFormat="1" x14ac:dyDescent="0.2"/>
    <row r="88" s="21" customFormat="1" x14ac:dyDescent="0.2"/>
    <row r="89" s="21" customFormat="1" x14ac:dyDescent="0.2"/>
    <row r="90" s="21" customFormat="1" x14ac:dyDescent="0.2"/>
    <row r="91" s="21" customFormat="1" x14ac:dyDescent="0.2"/>
    <row r="92" s="21" customFormat="1" x14ac:dyDescent="0.2"/>
    <row r="93" s="21" customFormat="1" x14ac:dyDescent="0.2"/>
    <row r="94" s="21" customFormat="1" x14ac:dyDescent="0.2"/>
    <row r="95" s="21" customFormat="1" x14ac:dyDescent="0.2"/>
    <row r="96" s="21" customFormat="1" x14ac:dyDescent="0.2"/>
    <row r="97" s="21" customFormat="1" x14ac:dyDescent="0.2"/>
    <row r="98" s="21" customFormat="1" x14ac:dyDescent="0.2"/>
    <row r="99" s="21" customFormat="1" x14ac:dyDescent="0.2"/>
    <row r="100" s="21" customFormat="1" x14ac:dyDescent="0.2"/>
    <row r="101" s="21" customFormat="1" x14ac:dyDescent="0.2"/>
    <row r="102" s="21" customFormat="1" x14ac:dyDescent="0.2"/>
    <row r="103" s="21" customFormat="1" x14ac:dyDescent="0.2"/>
    <row r="104" s="21" customFormat="1" x14ac:dyDescent="0.2"/>
    <row r="105" s="21" customFormat="1" x14ac:dyDescent="0.2"/>
    <row r="106" s="21" customFormat="1" x14ac:dyDescent="0.2"/>
    <row r="107" s="21" customFormat="1" x14ac:dyDescent="0.2"/>
    <row r="108" s="21" customFormat="1" x14ac:dyDescent="0.2"/>
    <row r="109" s="21" customFormat="1" x14ac:dyDescent="0.2"/>
    <row r="110" s="21" customFormat="1" x14ac:dyDescent="0.2"/>
    <row r="111" s="21" customFormat="1" x14ac:dyDescent="0.2"/>
    <row r="112" s="21" customFormat="1" x14ac:dyDescent="0.2"/>
    <row r="113" s="21" customFormat="1" x14ac:dyDescent="0.2"/>
    <row r="114" s="21" customFormat="1" x14ac:dyDescent="0.2"/>
    <row r="115" s="21" customFormat="1" x14ac:dyDescent="0.2"/>
    <row r="116" s="21" customFormat="1" x14ac:dyDescent="0.2"/>
    <row r="117" s="21" customFormat="1" x14ac:dyDescent="0.2"/>
    <row r="118" s="21" customFormat="1" x14ac:dyDescent="0.2"/>
    <row r="119" s="21" customFormat="1" x14ac:dyDescent="0.2"/>
    <row r="120" s="21" customFormat="1" x14ac:dyDescent="0.2"/>
    <row r="121" s="21" customFormat="1" x14ac:dyDescent="0.2"/>
    <row r="122" s="21" customFormat="1" x14ac:dyDescent="0.2"/>
    <row r="123" s="21" customFormat="1" x14ac:dyDescent="0.2"/>
    <row r="124" s="21" customFormat="1" x14ac:dyDescent="0.2"/>
    <row r="125" s="21" customFormat="1" x14ac:dyDescent="0.2"/>
    <row r="126" s="21" customFormat="1" x14ac:dyDescent="0.2"/>
    <row r="127" s="21" customFormat="1" x14ac:dyDescent="0.2"/>
    <row r="128" s="21" customFormat="1" x14ac:dyDescent="0.2"/>
    <row r="129" s="21" customFormat="1" x14ac:dyDescent="0.2"/>
    <row r="130" s="21" customFormat="1" x14ac:dyDescent="0.2"/>
    <row r="131" s="21" customFormat="1" x14ac:dyDescent="0.2"/>
    <row r="132" s="21" customFormat="1" x14ac:dyDescent="0.2"/>
    <row r="133" s="21" customFormat="1" x14ac:dyDescent="0.2"/>
    <row r="134" s="21" customFormat="1" x14ac:dyDescent="0.2"/>
    <row r="135" s="21" customFormat="1" x14ac:dyDescent="0.2"/>
    <row r="136" s="21" customFormat="1" x14ac:dyDescent="0.2"/>
    <row r="137" s="21" customFormat="1" x14ac:dyDescent="0.2"/>
    <row r="138" s="21" customFormat="1" x14ac:dyDescent="0.2"/>
    <row r="139" s="21" customFormat="1" x14ac:dyDescent="0.2"/>
    <row r="140" s="21" customFormat="1" x14ac:dyDescent="0.2"/>
    <row r="141" s="21" customFormat="1" x14ac:dyDescent="0.2"/>
    <row r="142" s="21" customFormat="1" x14ac:dyDescent="0.2"/>
    <row r="143" s="21" customFormat="1" x14ac:dyDescent="0.2"/>
    <row r="144" s="21" customFormat="1" x14ac:dyDescent="0.2"/>
    <row r="145" s="21" customFormat="1" x14ac:dyDescent="0.2"/>
    <row r="146" s="21" customFormat="1" x14ac:dyDescent="0.2"/>
    <row r="147" s="21" customFormat="1" x14ac:dyDescent="0.2"/>
    <row r="148" s="21" customFormat="1" x14ac:dyDescent="0.2"/>
    <row r="149" s="21" customFormat="1" x14ac:dyDescent="0.2"/>
    <row r="150" s="21" customFormat="1" x14ac:dyDescent="0.2"/>
    <row r="151" s="21" customFormat="1" x14ac:dyDescent="0.2"/>
    <row r="152" s="21" customFormat="1" x14ac:dyDescent="0.2"/>
    <row r="153" s="21" customFormat="1" x14ac:dyDescent="0.2"/>
    <row r="154" s="21" customFormat="1" x14ac:dyDescent="0.2"/>
    <row r="155" s="21" customFormat="1" x14ac:dyDescent="0.2"/>
    <row r="156" s="21" customFormat="1" x14ac:dyDescent="0.2"/>
    <row r="157" s="21" customFormat="1" x14ac:dyDescent="0.2"/>
    <row r="158" s="21" customFormat="1" x14ac:dyDescent="0.2"/>
    <row r="159" s="21" customFormat="1" x14ac:dyDescent="0.2"/>
    <row r="160" s="21" customFormat="1" x14ac:dyDescent="0.2"/>
    <row r="161" s="21" customFormat="1" x14ac:dyDescent="0.2"/>
    <row r="162" s="21" customFormat="1" x14ac:dyDescent="0.2"/>
    <row r="163" s="21" customFormat="1" x14ac:dyDescent="0.2"/>
    <row r="164" s="21" customFormat="1" x14ac:dyDescent="0.2"/>
    <row r="165" s="21" customFormat="1" x14ac:dyDescent="0.2"/>
    <row r="166" s="21" customFormat="1" x14ac:dyDescent="0.2"/>
    <row r="167" s="21" customFormat="1" x14ac:dyDescent="0.2"/>
    <row r="168" s="21" customFormat="1" x14ac:dyDescent="0.2"/>
    <row r="169" s="21" customFormat="1" x14ac:dyDescent="0.2"/>
    <row r="170" s="21" customFormat="1" x14ac:dyDescent="0.2"/>
    <row r="171" s="21" customFormat="1" x14ac:dyDescent="0.2"/>
    <row r="172" s="21" customFormat="1" x14ac:dyDescent="0.2"/>
    <row r="173" s="21" customFormat="1" x14ac:dyDescent="0.2"/>
    <row r="174" s="21" customFormat="1" x14ac:dyDescent="0.2"/>
    <row r="175" s="21" customFormat="1" x14ac:dyDescent="0.2"/>
    <row r="176" s="21" customFormat="1" x14ac:dyDescent="0.2"/>
    <row r="177" s="21" customFormat="1" x14ac:dyDescent="0.2"/>
    <row r="178" s="21" customFormat="1" x14ac:dyDescent="0.2"/>
    <row r="179" s="21" customFormat="1" x14ac:dyDescent="0.2"/>
    <row r="180" s="21" customFormat="1" x14ac:dyDescent="0.2"/>
    <row r="181" s="21" customFormat="1" x14ac:dyDescent="0.2"/>
    <row r="182" s="21" customFormat="1" x14ac:dyDescent="0.2"/>
    <row r="183" s="21" customFormat="1" x14ac:dyDescent="0.2"/>
    <row r="184" s="21" customFormat="1" x14ac:dyDescent="0.2"/>
    <row r="185" s="21" customFormat="1" x14ac:dyDescent="0.2"/>
    <row r="186" s="21" customFormat="1" x14ac:dyDescent="0.2"/>
    <row r="187" s="21" customFormat="1" x14ac:dyDescent="0.2"/>
    <row r="188" s="21" customFormat="1" x14ac:dyDescent="0.2"/>
    <row r="189" s="21" customFormat="1" x14ac:dyDescent="0.2"/>
    <row r="190" s="21" customFormat="1" x14ac:dyDescent="0.2"/>
    <row r="191" s="21" customFormat="1" x14ac:dyDescent="0.2"/>
    <row r="192" s="21" customFormat="1" x14ac:dyDescent="0.2"/>
    <row r="193" s="21" customFormat="1" x14ac:dyDescent="0.2"/>
    <row r="194" s="21" customFormat="1" x14ac:dyDescent="0.2"/>
    <row r="195" s="21" customFormat="1" x14ac:dyDescent="0.2"/>
    <row r="196" s="21" customFormat="1" x14ac:dyDescent="0.2"/>
    <row r="197" s="21" customFormat="1" x14ac:dyDescent="0.2"/>
    <row r="198" s="21" customFormat="1" x14ac:dyDescent="0.2"/>
    <row r="199" s="21" customFormat="1" x14ac:dyDescent="0.2"/>
    <row r="200" s="21" customFormat="1" x14ac:dyDescent="0.2"/>
    <row r="201" s="21" customFormat="1" x14ac:dyDescent="0.2"/>
    <row r="202" s="21" customFormat="1" x14ac:dyDescent="0.2"/>
    <row r="203" s="21" customFormat="1" x14ac:dyDescent="0.2"/>
    <row r="204" s="21" customFormat="1" x14ac:dyDescent="0.2"/>
    <row r="205" s="21" customFormat="1" x14ac:dyDescent="0.2"/>
    <row r="206" s="21" customFormat="1" x14ac:dyDescent="0.2"/>
    <row r="207" s="21" customFormat="1" x14ac:dyDescent="0.2"/>
    <row r="208" s="21" customFormat="1" x14ac:dyDescent="0.2"/>
    <row r="209" s="21" customFormat="1" x14ac:dyDescent="0.2"/>
    <row r="210" s="21" customFormat="1" x14ac:dyDescent="0.2"/>
    <row r="211" s="21" customFormat="1" x14ac:dyDescent="0.2"/>
    <row r="212" s="21" customFormat="1" x14ac:dyDescent="0.2"/>
    <row r="213" s="21" customFormat="1" x14ac:dyDescent="0.2"/>
    <row r="214" s="21" customFormat="1" x14ac:dyDescent="0.2"/>
    <row r="215" s="21" customFormat="1" x14ac:dyDescent="0.2"/>
    <row r="216" s="21" customFormat="1" x14ac:dyDescent="0.2"/>
    <row r="217" s="21" customFormat="1" x14ac:dyDescent="0.2"/>
    <row r="218" s="21" customFormat="1" x14ac:dyDescent="0.2"/>
    <row r="219" s="21" customFormat="1" x14ac:dyDescent="0.2"/>
    <row r="220" s="21" customFormat="1" x14ac:dyDescent="0.2"/>
    <row r="221" s="21" customFormat="1" x14ac:dyDescent="0.2"/>
    <row r="222" s="21" customFormat="1" x14ac:dyDescent="0.2"/>
    <row r="223" s="21" customFormat="1" x14ac:dyDescent="0.2"/>
    <row r="224" s="21" customFormat="1" x14ac:dyDescent="0.2"/>
    <row r="225" s="21" customFormat="1" x14ac:dyDescent="0.2"/>
    <row r="226" s="21" customFormat="1" x14ac:dyDescent="0.2"/>
    <row r="227" s="21" customFormat="1" x14ac:dyDescent="0.2"/>
    <row r="228" s="21" customFormat="1" x14ac:dyDescent="0.2"/>
    <row r="229" s="21" customFormat="1" x14ac:dyDescent="0.2"/>
    <row r="230" s="21" customFormat="1" x14ac:dyDescent="0.2"/>
    <row r="231" s="21" customFormat="1" x14ac:dyDescent="0.2"/>
    <row r="232" s="21" customFormat="1" x14ac:dyDescent="0.2"/>
    <row r="233" s="21" customFormat="1" x14ac:dyDescent="0.2"/>
    <row r="234" s="21" customFormat="1" x14ac:dyDescent="0.2"/>
    <row r="235" s="21" customFormat="1" x14ac:dyDescent="0.2"/>
    <row r="236" s="21" customFormat="1" x14ac:dyDescent="0.2"/>
    <row r="237" s="21" customFormat="1" x14ac:dyDescent="0.2"/>
    <row r="238" s="21" customFormat="1" x14ac:dyDescent="0.2"/>
    <row r="239" s="21" customFormat="1" x14ac:dyDescent="0.2"/>
    <row r="240" s="21" customFormat="1" x14ac:dyDescent="0.2"/>
    <row r="241" s="21" customFormat="1" x14ac:dyDescent="0.2"/>
    <row r="242" s="21" customFormat="1" x14ac:dyDescent="0.2"/>
    <row r="243" s="21" customFormat="1" x14ac:dyDescent="0.2"/>
    <row r="244" s="21" customFormat="1" x14ac:dyDescent="0.2"/>
    <row r="245" s="21" customFormat="1" x14ac:dyDescent="0.2"/>
    <row r="246" s="21" customFormat="1" x14ac:dyDescent="0.2"/>
    <row r="247" s="21" customFormat="1" x14ac:dyDescent="0.2"/>
    <row r="248" s="21" customFormat="1" x14ac:dyDescent="0.2"/>
    <row r="249" s="21" customFormat="1" x14ac:dyDescent="0.2"/>
    <row r="250" s="21" customFormat="1" x14ac:dyDescent="0.2"/>
    <row r="251" s="21" customFormat="1" x14ac:dyDescent="0.2"/>
    <row r="252" s="21" customFormat="1" x14ac:dyDescent="0.2"/>
    <row r="253" s="21" customFormat="1" x14ac:dyDescent="0.2"/>
    <row r="254" s="21" customFormat="1" x14ac:dyDescent="0.2"/>
    <row r="255" s="21" customFormat="1" x14ac:dyDescent="0.2"/>
  </sheetData>
  <phoneticPr fontId="22" type="noConversion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A86AF1-0D88-A641-9899-F300F172B13E}">
  <sheetPr codeName="Sheet18"/>
  <dimension ref="A1:V68"/>
  <sheetViews>
    <sheetView topLeftCell="A38" zoomScaleNormal="100" workbookViewId="0">
      <selection activeCell="D74" sqref="D74"/>
    </sheetView>
  </sheetViews>
  <sheetFormatPr baseColWidth="10" defaultRowHeight="16" x14ac:dyDescent="0.2"/>
  <sheetData>
    <row r="1" spans="1:22" x14ac:dyDescent="0.2">
      <c r="A1" t="s">
        <v>108</v>
      </c>
      <c r="M1" t="s">
        <v>569</v>
      </c>
    </row>
    <row r="2" spans="1:22" x14ac:dyDescent="0.2">
      <c r="A2" s="17" t="s">
        <v>122</v>
      </c>
      <c r="B2" s="18"/>
      <c r="C2" s="18" t="s">
        <v>15</v>
      </c>
      <c r="D2" s="18" t="s">
        <v>321</v>
      </c>
      <c r="E2" s="18" t="s">
        <v>99</v>
      </c>
      <c r="F2" s="18" t="s">
        <v>100</v>
      </c>
      <c r="G2" s="18" t="s">
        <v>150</v>
      </c>
      <c r="H2" s="18" t="s">
        <v>682</v>
      </c>
      <c r="I2" s="18" t="s">
        <v>139</v>
      </c>
      <c r="J2" s="18" t="s">
        <v>102</v>
      </c>
      <c r="K2" s="18" t="s">
        <v>10</v>
      </c>
      <c r="L2" s="19" t="s">
        <v>103</v>
      </c>
      <c r="M2" s="17" t="s">
        <v>15</v>
      </c>
      <c r="N2" s="18" t="s">
        <v>321</v>
      </c>
      <c r="O2" s="18" t="s">
        <v>99</v>
      </c>
      <c r="P2" s="18" t="s">
        <v>100</v>
      </c>
      <c r="Q2" s="18" t="s">
        <v>150</v>
      </c>
      <c r="R2" s="18" t="s">
        <v>682</v>
      </c>
      <c r="S2" s="18" t="s">
        <v>139</v>
      </c>
      <c r="T2" s="18" t="s">
        <v>102</v>
      </c>
      <c r="U2" s="18" t="s">
        <v>10</v>
      </c>
      <c r="V2" s="19" t="s">
        <v>103</v>
      </c>
    </row>
    <row r="3" spans="1:22" x14ac:dyDescent="0.2">
      <c r="A3" s="20" t="s">
        <v>683</v>
      </c>
      <c r="B3" s="21" t="s">
        <v>629</v>
      </c>
      <c r="C3" s="21">
        <v>9.8000000000000007</v>
      </c>
      <c r="D3" s="21">
        <v>2.97</v>
      </c>
      <c r="E3" s="21">
        <v>2.0699999999999998</v>
      </c>
      <c r="F3" s="21">
        <v>2.14</v>
      </c>
      <c r="G3" s="21">
        <v>680.7</v>
      </c>
      <c r="H3" s="21">
        <v>9.8000000000000007</v>
      </c>
      <c r="I3" s="21">
        <v>9.8000000000000007</v>
      </c>
      <c r="J3" s="21">
        <v>11.85</v>
      </c>
      <c r="K3" s="21">
        <v>4.25</v>
      </c>
      <c r="L3" s="10">
        <v>3.82</v>
      </c>
      <c r="M3" s="20">
        <v>0.10156061355046579</v>
      </c>
      <c r="N3" s="21">
        <v>1.529745042492918</v>
      </c>
      <c r="O3" s="21">
        <v>6.4924067069384056E-2</v>
      </c>
      <c r="P3" s="21">
        <v>0.12963647267638739</v>
      </c>
      <c r="Q3" s="21">
        <v>7.7632278239924455</v>
      </c>
      <c r="R3" s="21">
        <v>5.6542810985460425</v>
      </c>
      <c r="S3" s="21">
        <v>5.6334789606806162</v>
      </c>
      <c r="T3" s="21">
        <v>35.757392878696436</v>
      </c>
      <c r="U3" s="21">
        <v>31.551596139569408</v>
      </c>
      <c r="V3" s="10">
        <v>5.8868854985359835</v>
      </c>
    </row>
    <row r="4" spans="1:22" x14ac:dyDescent="0.2">
      <c r="A4" s="20" t="s">
        <v>684</v>
      </c>
      <c r="B4" s="21" t="s">
        <v>631</v>
      </c>
      <c r="C4" s="21">
        <v>194.73</v>
      </c>
      <c r="D4" s="21">
        <v>70.55</v>
      </c>
      <c r="E4" s="21">
        <v>3188.34</v>
      </c>
      <c r="F4" s="21">
        <v>302.37</v>
      </c>
      <c r="G4" s="21">
        <v>592.37</v>
      </c>
      <c r="H4" s="21">
        <v>31.19</v>
      </c>
      <c r="I4" s="21">
        <v>41.38</v>
      </c>
      <c r="J4" s="21">
        <v>22.89</v>
      </c>
      <c r="K4" s="21">
        <v>6</v>
      </c>
      <c r="L4" s="10">
        <v>5.37</v>
      </c>
      <c r="M4" s="20">
        <v>2.0180508445594083</v>
      </c>
      <c r="N4" s="21">
        <v>36.337883080092709</v>
      </c>
      <c r="O4" s="21">
        <v>100</v>
      </c>
      <c r="P4" s="21">
        <v>18.316906655681894</v>
      </c>
      <c r="Q4" s="21">
        <v>6.7558443750527468</v>
      </c>
      <c r="R4" s="21">
        <v>17.995615047311333</v>
      </c>
      <c r="S4" s="21">
        <v>23.787077489077948</v>
      </c>
      <c r="T4" s="21">
        <v>69.070609535304769</v>
      </c>
      <c r="U4" s="21">
        <v>44.543429844097993</v>
      </c>
      <c r="V4" s="10">
        <v>8.2755432269995381</v>
      </c>
    </row>
    <row r="5" spans="1:22" x14ac:dyDescent="0.2">
      <c r="A5" s="20" t="s">
        <v>685</v>
      </c>
      <c r="B5" s="21" t="s">
        <v>633</v>
      </c>
      <c r="C5" s="21">
        <v>163.33000000000001</v>
      </c>
      <c r="D5" s="21">
        <v>150.66</v>
      </c>
      <c r="E5" s="21">
        <v>2993.63</v>
      </c>
      <c r="F5" s="21">
        <v>1027.6500000000001</v>
      </c>
      <c r="G5" s="21">
        <v>850.05</v>
      </c>
      <c r="H5" s="21">
        <v>37.15</v>
      </c>
      <c r="I5" s="21">
        <v>173.96</v>
      </c>
      <c r="J5" s="21">
        <v>32.15</v>
      </c>
      <c r="K5" s="21">
        <v>5.12</v>
      </c>
      <c r="L5" s="10">
        <v>9.39</v>
      </c>
      <c r="M5" s="20">
        <v>1.6926423480813853</v>
      </c>
      <c r="N5" s="21">
        <v>77.59979397373165</v>
      </c>
      <c r="O5" s="21">
        <v>93.893060338608805</v>
      </c>
      <c r="P5" s="21">
        <v>62.252766890602572</v>
      </c>
      <c r="Q5" s="21">
        <v>9.6946258436679553</v>
      </c>
      <c r="R5" s="21">
        <v>21.434341103161781</v>
      </c>
      <c r="S5" s="21">
        <v>100</v>
      </c>
      <c r="T5" s="21">
        <v>97.012673506336739</v>
      </c>
      <c r="U5" s="21">
        <v>38.01039346696362</v>
      </c>
      <c r="V5" s="10">
        <v>14.470642625982432</v>
      </c>
    </row>
    <row r="6" spans="1:22" x14ac:dyDescent="0.2">
      <c r="A6" s="20" t="s">
        <v>686</v>
      </c>
      <c r="B6" s="21" t="s">
        <v>635</v>
      </c>
      <c r="C6" s="21">
        <v>17.86</v>
      </c>
      <c r="D6" s="21">
        <v>147.19999999999999</v>
      </c>
      <c r="E6" s="21">
        <v>1309.98</v>
      </c>
      <c r="F6" s="21">
        <v>174.4</v>
      </c>
      <c r="G6" s="21">
        <v>586.67999999999995</v>
      </c>
      <c r="H6" s="21">
        <v>9.8000000000000007</v>
      </c>
      <c r="I6" s="21">
        <v>44.25</v>
      </c>
      <c r="J6" s="21">
        <v>14.29</v>
      </c>
      <c r="K6" s="21">
        <v>3.29</v>
      </c>
      <c r="L6" s="10">
        <v>6.46</v>
      </c>
      <c r="M6" s="20">
        <v>0.18508903653176723</v>
      </c>
      <c r="N6" s="21">
        <v>75.817666752510931</v>
      </c>
      <c r="O6" s="21">
        <v>41.086584241329341</v>
      </c>
      <c r="P6" s="21">
        <v>10.56476674521587</v>
      </c>
      <c r="Q6" s="21">
        <v>6.6909512263550575</v>
      </c>
      <c r="R6" s="21">
        <v>5.6542810985460425</v>
      </c>
      <c r="S6" s="21">
        <v>25.436882041848701</v>
      </c>
      <c r="T6" s="21">
        <v>43.120096560048275</v>
      </c>
      <c r="U6" s="21">
        <v>24.424647364513731</v>
      </c>
      <c r="V6" s="10">
        <v>9.955308984435197</v>
      </c>
    </row>
    <row r="7" spans="1:22" x14ac:dyDescent="0.2">
      <c r="A7" s="20" t="s">
        <v>687</v>
      </c>
      <c r="B7" s="21" t="s">
        <v>637</v>
      </c>
      <c r="C7" s="21">
        <v>2028.75</v>
      </c>
      <c r="D7" s="21">
        <v>89.23</v>
      </c>
      <c r="E7" s="21">
        <v>3188.34</v>
      </c>
      <c r="F7" s="21">
        <v>386.27</v>
      </c>
      <c r="G7" s="21">
        <v>3253.56</v>
      </c>
      <c r="H7" s="21">
        <v>173.32</v>
      </c>
      <c r="I7" s="21">
        <v>9.8000000000000007</v>
      </c>
      <c r="J7" s="21">
        <v>22.88</v>
      </c>
      <c r="K7" s="21">
        <v>7.74</v>
      </c>
      <c r="L7" s="10">
        <v>48.16</v>
      </c>
      <c r="M7" s="20">
        <v>21.024601504133415</v>
      </c>
      <c r="N7" s="21">
        <v>45.959309812001031</v>
      </c>
      <c r="O7" s="21">
        <v>100</v>
      </c>
      <c r="P7" s="21">
        <v>23.399383318087921</v>
      </c>
      <c r="Q7" s="21">
        <v>37.106107711222066</v>
      </c>
      <c r="R7" s="21">
        <v>100</v>
      </c>
      <c r="S7" s="21">
        <v>5.6334789606806162</v>
      </c>
      <c r="T7" s="21">
        <v>69.040434520217246</v>
      </c>
      <c r="U7" s="21">
        <v>57.461024498886417</v>
      </c>
      <c r="V7" s="10">
        <v>74.217907227615967</v>
      </c>
    </row>
    <row r="8" spans="1:22" x14ac:dyDescent="0.2">
      <c r="A8" s="20" t="s">
        <v>688</v>
      </c>
      <c r="B8" s="21" t="s">
        <v>639</v>
      </c>
      <c r="C8" s="21">
        <v>1437.68</v>
      </c>
      <c r="D8" s="21">
        <v>58.8</v>
      </c>
      <c r="E8" s="21">
        <v>1929.58</v>
      </c>
      <c r="F8" s="21">
        <v>279.3</v>
      </c>
      <c r="G8" s="21">
        <v>759.22</v>
      </c>
      <c r="H8" s="21">
        <v>119.86</v>
      </c>
      <c r="I8" s="21">
        <v>9.8000000000000007</v>
      </c>
      <c r="J8" s="21">
        <v>16.87</v>
      </c>
      <c r="K8" s="21">
        <v>6.5</v>
      </c>
      <c r="L8" s="10">
        <v>43.97</v>
      </c>
      <c r="M8" s="20">
        <v>14.899149274411597</v>
      </c>
      <c r="N8" s="21">
        <v>30.285861447334533</v>
      </c>
      <c r="O8" s="21">
        <v>60.519894365092796</v>
      </c>
      <c r="P8" s="21">
        <v>16.919377017997665</v>
      </c>
      <c r="Q8" s="21">
        <v>8.6587304664779552</v>
      </c>
      <c r="R8" s="21">
        <v>69.155319639972319</v>
      </c>
      <c r="S8" s="21">
        <v>5.6334789606806162</v>
      </c>
      <c r="T8" s="21">
        <v>50.905250452625225</v>
      </c>
      <c r="U8" s="21">
        <v>48.255382331106162</v>
      </c>
      <c r="V8" s="10">
        <v>67.760826013253194</v>
      </c>
    </row>
    <row r="9" spans="1:22" x14ac:dyDescent="0.2">
      <c r="A9" s="20" t="s">
        <v>689</v>
      </c>
      <c r="B9" s="21" t="s">
        <v>641</v>
      </c>
      <c r="C9" s="21">
        <v>1574.13</v>
      </c>
      <c r="D9" s="21">
        <v>135.61000000000001</v>
      </c>
      <c r="E9" s="21">
        <v>2751.78</v>
      </c>
      <c r="F9" s="21">
        <v>205.76</v>
      </c>
      <c r="G9" s="21">
        <v>635.70000000000005</v>
      </c>
      <c r="H9" s="21">
        <v>89.91</v>
      </c>
      <c r="I9" s="21">
        <v>9.8000000000000007</v>
      </c>
      <c r="J9" s="21">
        <v>19.78</v>
      </c>
      <c r="K9" s="21">
        <v>6.04</v>
      </c>
      <c r="L9" s="10">
        <v>64.89</v>
      </c>
      <c r="M9" s="20">
        <v>16.313225368183133</v>
      </c>
      <c r="N9" s="21">
        <v>69.848055627092464</v>
      </c>
      <c r="O9" s="21">
        <v>86.307608347917736</v>
      </c>
      <c r="P9" s="21">
        <v>12.464486270043675</v>
      </c>
      <c r="Q9" s="21">
        <v>7.250013115486996</v>
      </c>
      <c r="R9" s="21">
        <v>51.87514424186476</v>
      </c>
      <c r="S9" s="21">
        <v>5.6334789606806162</v>
      </c>
      <c r="T9" s="21">
        <v>59.686179843089924</v>
      </c>
      <c r="U9" s="21">
        <v>44.840386043058643</v>
      </c>
      <c r="V9" s="10">
        <v>100</v>
      </c>
    </row>
    <row r="10" spans="1:22" x14ac:dyDescent="0.2">
      <c r="A10" s="20" t="s">
        <v>690</v>
      </c>
      <c r="B10" s="21" t="s">
        <v>643</v>
      </c>
      <c r="C10" s="21">
        <v>17.600000000000001</v>
      </c>
      <c r="D10" s="21">
        <v>3.32</v>
      </c>
      <c r="E10" s="21">
        <v>62.71</v>
      </c>
      <c r="F10" s="21">
        <v>11.52</v>
      </c>
      <c r="G10" s="21">
        <v>906.68</v>
      </c>
      <c r="H10" s="21">
        <v>9.8000000000000007</v>
      </c>
      <c r="I10" s="21">
        <v>9.8000000000000007</v>
      </c>
      <c r="J10" s="21">
        <v>9.8000000000000007</v>
      </c>
      <c r="K10" s="21">
        <v>3.43</v>
      </c>
      <c r="L10" s="10">
        <v>3.61</v>
      </c>
      <c r="M10" s="20">
        <v>0.18239457127430589</v>
      </c>
      <c r="N10" s="21">
        <v>1.7100180272984804</v>
      </c>
      <c r="O10" s="21">
        <v>1.9668542250826446</v>
      </c>
      <c r="P10" s="21">
        <v>0.6978561519775619</v>
      </c>
      <c r="Q10" s="21">
        <v>10.340478042393816</v>
      </c>
      <c r="R10" s="21">
        <v>5.6542810985460425</v>
      </c>
      <c r="S10" s="21">
        <v>5.6334789606806162</v>
      </c>
      <c r="T10" s="21">
        <v>29.571514785757397</v>
      </c>
      <c r="U10" s="21">
        <v>25.463994060876022</v>
      </c>
      <c r="V10" s="10">
        <v>5.5632609030667277</v>
      </c>
    </row>
    <row r="11" spans="1:22" x14ac:dyDescent="0.2">
      <c r="A11" s="20" t="s">
        <v>691</v>
      </c>
      <c r="B11" s="21" t="s">
        <v>645</v>
      </c>
      <c r="C11" s="21">
        <v>135.38</v>
      </c>
      <c r="D11" s="21">
        <v>42.47</v>
      </c>
      <c r="E11" s="21">
        <v>1213.04</v>
      </c>
      <c r="F11" s="21">
        <v>75.430000000000007</v>
      </c>
      <c r="G11" s="21">
        <v>920.46</v>
      </c>
      <c r="H11" s="21">
        <v>14.77</v>
      </c>
      <c r="I11" s="21">
        <v>9.8000000000000007</v>
      </c>
      <c r="J11" s="21">
        <v>10.59</v>
      </c>
      <c r="K11" s="21">
        <v>4.24</v>
      </c>
      <c r="L11" s="10">
        <v>4.8899999999999997</v>
      </c>
      <c r="M11" s="20">
        <v>1.4029873329042917</v>
      </c>
      <c r="N11" s="21">
        <v>21.87483904197785</v>
      </c>
      <c r="O11" s="21">
        <v>38.046130588331231</v>
      </c>
      <c r="P11" s="21">
        <v>4.5693827728878045</v>
      </c>
      <c r="Q11" s="21">
        <v>10.497635790909484</v>
      </c>
      <c r="R11" s="21">
        <v>8.5218093699515336</v>
      </c>
      <c r="S11" s="21">
        <v>5.6334789606806162</v>
      </c>
      <c r="T11" s="21">
        <v>31.955340977670488</v>
      </c>
      <c r="U11" s="21">
        <v>31.477357089829251</v>
      </c>
      <c r="V11" s="10">
        <v>7.5358298659269529</v>
      </c>
    </row>
    <row r="12" spans="1:22" x14ac:dyDescent="0.2">
      <c r="A12" s="20" t="s">
        <v>692</v>
      </c>
      <c r="B12" s="21" t="s">
        <v>647</v>
      </c>
      <c r="C12" s="21">
        <v>1132.27</v>
      </c>
      <c r="D12" s="21">
        <v>194.15</v>
      </c>
      <c r="E12" s="21">
        <v>3188.34</v>
      </c>
      <c r="F12" s="21">
        <v>1650.77</v>
      </c>
      <c r="G12" s="21">
        <v>2929.47</v>
      </c>
      <c r="H12" s="21">
        <v>103.39</v>
      </c>
      <c r="I12" s="21">
        <v>21.36</v>
      </c>
      <c r="J12" s="21">
        <v>33.14</v>
      </c>
      <c r="K12" s="21">
        <v>10.32</v>
      </c>
      <c r="L12" s="10">
        <v>32.79</v>
      </c>
      <c r="M12" s="20">
        <v>11.734085296406723</v>
      </c>
      <c r="N12" s="21">
        <v>100</v>
      </c>
      <c r="O12" s="21">
        <v>100</v>
      </c>
      <c r="P12" s="21">
        <v>100</v>
      </c>
      <c r="Q12" s="21">
        <v>33.409935380565805</v>
      </c>
      <c r="R12" s="21">
        <v>59.652665589660749</v>
      </c>
      <c r="S12" s="21">
        <v>12.278684755116117</v>
      </c>
      <c r="T12" s="21">
        <v>100</v>
      </c>
      <c r="U12" s="21">
        <v>76.614699331848541</v>
      </c>
      <c r="V12" s="10">
        <v>50.531668978270915</v>
      </c>
    </row>
    <row r="13" spans="1:22" x14ac:dyDescent="0.2">
      <c r="A13" s="20" t="s">
        <v>648</v>
      </c>
      <c r="B13" s="21" t="s">
        <v>649</v>
      </c>
      <c r="C13" s="21">
        <v>27.25</v>
      </c>
      <c r="D13" s="21">
        <v>4.1399999999999997</v>
      </c>
      <c r="E13" s="21">
        <v>100.47</v>
      </c>
      <c r="F13" s="21">
        <v>12.25</v>
      </c>
      <c r="G13" s="21">
        <v>607.49</v>
      </c>
      <c r="H13" s="21">
        <v>9.8000000000000007</v>
      </c>
      <c r="I13" s="21">
        <v>9.8000000000000007</v>
      </c>
      <c r="J13" s="21">
        <v>9.8000000000000007</v>
      </c>
      <c r="K13" s="21">
        <v>3.99</v>
      </c>
      <c r="L13" s="10">
        <v>4.1399999999999997</v>
      </c>
      <c r="M13" s="20">
        <v>0.28240068563777476</v>
      </c>
      <c r="N13" s="21">
        <v>2.1323718774143701</v>
      </c>
      <c r="O13" s="21">
        <v>3.151169574135757</v>
      </c>
      <c r="P13" s="21">
        <v>0.74207793938586231</v>
      </c>
      <c r="Q13" s="21">
        <v>6.928284517110578</v>
      </c>
      <c r="R13" s="21">
        <v>5.6542810985460425</v>
      </c>
      <c r="S13" s="21">
        <v>5.6334789606806162</v>
      </c>
      <c r="T13" s="21">
        <v>29.571514785757397</v>
      </c>
      <c r="U13" s="21">
        <v>29.621380846325167</v>
      </c>
      <c r="V13" s="10">
        <v>6.3800277392510401</v>
      </c>
    </row>
    <row r="14" spans="1:22" x14ac:dyDescent="0.2">
      <c r="A14" s="20" t="s">
        <v>650</v>
      </c>
      <c r="B14" s="21" t="s">
        <v>651</v>
      </c>
      <c r="C14" s="21">
        <v>9.8000000000000007</v>
      </c>
      <c r="D14" s="21">
        <v>3.24</v>
      </c>
      <c r="E14" s="21">
        <v>4.21</v>
      </c>
      <c r="F14" s="21">
        <v>2.14</v>
      </c>
      <c r="G14" s="21">
        <v>882.26</v>
      </c>
      <c r="H14" s="21">
        <v>9.8000000000000007</v>
      </c>
      <c r="I14" s="21">
        <v>9.8000000000000007</v>
      </c>
      <c r="J14" s="21">
        <v>10.24</v>
      </c>
      <c r="K14" s="21">
        <v>4.12</v>
      </c>
      <c r="L14" s="10">
        <v>3.7</v>
      </c>
      <c r="M14" s="20">
        <v>0.10156061355046579</v>
      </c>
      <c r="N14" s="21">
        <v>1.6688127736286376</v>
      </c>
      <c r="O14" s="21">
        <v>0.13204363399135599</v>
      </c>
      <c r="P14" s="21">
        <v>0.12963647267638739</v>
      </c>
      <c r="Q14" s="21">
        <v>10.061973527244858</v>
      </c>
      <c r="R14" s="21">
        <v>5.6542810985460425</v>
      </c>
      <c r="S14" s="21">
        <v>5.6334789606806162</v>
      </c>
      <c r="T14" s="21">
        <v>30.899215449607727</v>
      </c>
      <c r="U14" s="21">
        <v>30.586488492947289</v>
      </c>
      <c r="V14" s="10">
        <v>5.7019571582678381</v>
      </c>
    </row>
    <row r="15" spans="1:22" x14ac:dyDescent="0.2">
      <c r="A15" s="20" t="s">
        <v>652</v>
      </c>
      <c r="B15" s="21" t="s">
        <v>653</v>
      </c>
      <c r="C15" s="21">
        <v>9649.41</v>
      </c>
      <c r="D15" s="21">
        <v>148.4</v>
      </c>
      <c r="E15" s="21">
        <v>14.8</v>
      </c>
      <c r="F15" s="21">
        <v>2.14</v>
      </c>
      <c r="G15" s="21">
        <v>8768.26</v>
      </c>
      <c r="H15" s="21">
        <v>21.47</v>
      </c>
      <c r="I15" s="21">
        <v>9.8000000000000007</v>
      </c>
      <c r="J15" s="21">
        <v>13.22</v>
      </c>
      <c r="K15" s="21">
        <v>13.47</v>
      </c>
      <c r="L15" s="10">
        <v>4.33</v>
      </c>
      <c r="M15" s="20">
        <v>100</v>
      </c>
      <c r="N15" s="21">
        <v>76.43574555755859</v>
      </c>
      <c r="O15" s="21">
        <v>0.46419139740429183</v>
      </c>
      <c r="P15" s="21">
        <v>0.12963647267638739</v>
      </c>
      <c r="Q15" s="21">
        <v>100</v>
      </c>
      <c r="R15" s="21">
        <v>12.387491345488115</v>
      </c>
      <c r="S15" s="21">
        <v>5.6334789606806162</v>
      </c>
      <c r="T15" s="21">
        <v>39.891369945684971</v>
      </c>
      <c r="U15" s="21">
        <v>100</v>
      </c>
      <c r="V15" s="10">
        <v>6.6728309446756047</v>
      </c>
    </row>
    <row r="16" spans="1:22" x14ac:dyDescent="0.2">
      <c r="A16" s="20"/>
      <c r="B16" s="21"/>
      <c r="C16" s="21"/>
      <c r="D16" s="21"/>
      <c r="E16" s="21"/>
      <c r="F16" s="21"/>
      <c r="G16" s="21"/>
      <c r="H16" s="21"/>
      <c r="I16" s="21"/>
      <c r="J16" s="21"/>
      <c r="K16" s="21"/>
      <c r="L16" s="10"/>
      <c r="M16" s="20"/>
      <c r="N16" s="21"/>
      <c r="O16" s="21"/>
      <c r="P16" s="21"/>
      <c r="Q16" s="21"/>
      <c r="R16" s="21"/>
      <c r="S16" s="21"/>
      <c r="T16" s="21"/>
      <c r="U16" s="21"/>
      <c r="V16" s="10"/>
    </row>
    <row r="17" spans="1:22" x14ac:dyDescent="0.2">
      <c r="A17" s="20" t="s">
        <v>693</v>
      </c>
      <c r="B17" s="21" t="s">
        <v>656</v>
      </c>
      <c r="C17" s="21">
        <v>9.8000000000000007</v>
      </c>
      <c r="D17" s="21">
        <v>2.97</v>
      </c>
      <c r="E17" s="21">
        <v>2.5099999999999998</v>
      </c>
      <c r="F17" s="21">
        <v>2.14</v>
      </c>
      <c r="G17" s="21">
        <v>998.42</v>
      </c>
      <c r="H17" s="21">
        <v>9.8000000000000007</v>
      </c>
      <c r="I17" s="21">
        <v>9.8000000000000007</v>
      </c>
      <c r="J17" s="21">
        <v>9.8000000000000007</v>
      </c>
      <c r="K17" s="21">
        <v>4.0599999999999996</v>
      </c>
      <c r="L17" s="10">
        <v>3.41</v>
      </c>
      <c r="M17" s="20">
        <v>0.37686364842467152</v>
      </c>
      <c r="N17" s="21">
        <v>1.9427001569858715</v>
      </c>
      <c r="O17" s="21">
        <v>7.8724351857079211E-2</v>
      </c>
      <c r="P17" s="21">
        <v>9.3705938504383177E-2</v>
      </c>
      <c r="Q17" s="21">
        <v>11.386751761466925</v>
      </c>
      <c r="R17" s="21">
        <v>3.6911487758945385</v>
      </c>
      <c r="S17" s="21">
        <v>3.7940379403794036</v>
      </c>
      <c r="T17" s="21">
        <v>21.22590426683994</v>
      </c>
      <c r="U17" s="21">
        <v>46.828143021914642</v>
      </c>
      <c r="V17" s="10">
        <v>3.6199575371549892</v>
      </c>
    </row>
    <row r="18" spans="1:22" x14ac:dyDescent="0.2">
      <c r="A18" s="20" t="s">
        <v>694</v>
      </c>
      <c r="B18" s="21" t="s">
        <v>658</v>
      </c>
      <c r="C18" s="21">
        <v>171.36</v>
      </c>
      <c r="D18" s="21">
        <v>8.68</v>
      </c>
      <c r="E18" s="21">
        <v>3188.34</v>
      </c>
      <c r="F18" s="21">
        <v>306.68</v>
      </c>
      <c r="G18" s="21">
        <v>888.03</v>
      </c>
      <c r="H18" s="21">
        <v>34.54</v>
      </c>
      <c r="I18" s="21">
        <v>54.85</v>
      </c>
      <c r="J18" s="21">
        <v>19.95</v>
      </c>
      <c r="K18" s="21">
        <v>5.09</v>
      </c>
      <c r="L18" s="10">
        <v>5.86</v>
      </c>
      <c r="M18" s="20">
        <v>6.5897300810256851</v>
      </c>
      <c r="N18" s="21">
        <v>5.6776556776556779</v>
      </c>
      <c r="O18" s="21">
        <v>100</v>
      </c>
      <c r="P18" s="21">
        <v>13.428849168469267</v>
      </c>
      <c r="Q18" s="21">
        <v>10.127779057646556</v>
      </c>
      <c r="R18" s="21">
        <v>13.009416195856874</v>
      </c>
      <c r="S18" s="21">
        <v>21.234998064266357</v>
      </c>
      <c r="T18" s="21">
        <v>43.209876543209873</v>
      </c>
      <c r="U18" s="21">
        <v>58.708189158016147</v>
      </c>
      <c r="V18" s="10">
        <v>6.2208067940552016</v>
      </c>
    </row>
    <row r="19" spans="1:22" x14ac:dyDescent="0.2">
      <c r="A19" s="20" t="s">
        <v>695</v>
      </c>
      <c r="B19" s="21" t="s">
        <v>660</v>
      </c>
      <c r="C19" s="21">
        <v>185.49</v>
      </c>
      <c r="D19" s="21">
        <v>33.159999999999997</v>
      </c>
      <c r="E19" s="21">
        <v>3188.34</v>
      </c>
      <c r="F19" s="21">
        <v>2283.7399999999998</v>
      </c>
      <c r="G19" s="21">
        <v>1550.32</v>
      </c>
      <c r="H19" s="21">
        <v>35.33</v>
      </c>
      <c r="I19" s="21">
        <v>258.3</v>
      </c>
      <c r="J19" s="21">
        <v>46.17</v>
      </c>
      <c r="K19" s="21">
        <v>6.2</v>
      </c>
      <c r="L19" s="10">
        <v>12.84</v>
      </c>
      <c r="M19" s="20">
        <v>7.133105933295135</v>
      </c>
      <c r="N19" s="21">
        <v>21.690214547357403</v>
      </c>
      <c r="O19" s="21">
        <v>100</v>
      </c>
      <c r="P19" s="21">
        <v>100</v>
      </c>
      <c r="Q19" s="21">
        <v>17.68104504200377</v>
      </c>
      <c r="R19" s="21">
        <v>13.306967984934087</v>
      </c>
      <c r="S19" s="21">
        <v>100</v>
      </c>
      <c r="T19" s="21">
        <v>100</v>
      </c>
      <c r="U19" s="21">
        <v>71.510957324106116</v>
      </c>
      <c r="V19" s="10">
        <v>13.630573248407643</v>
      </c>
    </row>
    <row r="20" spans="1:22" x14ac:dyDescent="0.2">
      <c r="A20" s="20" t="s">
        <v>696</v>
      </c>
      <c r="B20" s="21" t="s">
        <v>662</v>
      </c>
      <c r="C20" s="21">
        <v>19.45</v>
      </c>
      <c r="D20" s="21">
        <v>6.09</v>
      </c>
      <c r="E20" s="21">
        <v>1587.36</v>
      </c>
      <c r="F20" s="21">
        <v>183.3</v>
      </c>
      <c r="G20" s="21">
        <v>1091.71</v>
      </c>
      <c r="H20" s="21">
        <v>9.8000000000000007</v>
      </c>
      <c r="I20" s="21">
        <v>59.93</v>
      </c>
      <c r="J20" s="21">
        <v>19.14</v>
      </c>
      <c r="K20" s="21">
        <v>4.49</v>
      </c>
      <c r="L20" s="10">
        <v>4.25</v>
      </c>
      <c r="M20" s="20">
        <v>0.74795897569998582</v>
      </c>
      <c r="N20" s="21">
        <v>3.9835164835164831</v>
      </c>
      <c r="O20" s="21">
        <v>49.786409228626802</v>
      </c>
      <c r="P20" s="21">
        <v>8.0263077232959983</v>
      </c>
      <c r="Q20" s="21">
        <v>12.450702876055226</v>
      </c>
      <c r="R20" s="21">
        <v>3.6911487758945385</v>
      </c>
      <c r="S20" s="21">
        <v>23.201703445605883</v>
      </c>
      <c r="T20" s="21">
        <v>41.455490578297592</v>
      </c>
      <c r="U20" s="21">
        <v>51.787773933102656</v>
      </c>
      <c r="V20" s="10">
        <v>4.511677282377919</v>
      </c>
    </row>
    <row r="21" spans="1:22" x14ac:dyDescent="0.2">
      <c r="A21" s="20" t="s">
        <v>697</v>
      </c>
      <c r="B21" s="21" t="s">
        <v>664</v>
      </c>
      <c r="C21" s="21">
        <v>2600.41</v>
      </c>
      <c r="D21" s="21">
        <v>139.56</v>
      </c>
      <c r="E21" s="21">
        <v>3188.34</v>
      </c>
      <c r="F21" s="21">
        <v>682.11</v>
      </c>
      <c r="G21" s="21">
        <v>4540.45</v>
      </c>
      <c r="H21" s="21">
        <v>265.5</v>
      </c>
      <c r="I21" s="21">
        <v>10.11</v>
      </c>
      <c r="J21" s="21">
        <v>25.16</v>
      </c>
      <c r="K21" s="21">
        <v>8.67</v>
      </c>
      <c r="L21" s="10">
        <v>65.02</v>
      </c>
      <c r="M21" s="20">
        <v>100</v>
      </c>
      <c r="N21" s="21">
        <v>91.287284144427005</v>
      </c>
      <c r="O21" s="21">
        <v>100</v>
      </c>
      <c r="P21" s="21">
        <v>29.868111080946168</v>
      </c>
      <c r="Q21" s="21">
        <v>51.782793849634935</v>
      </c>
      <c r="R21" s="21">
        <v>100</v>
      </c>
      <c r="S21" s="21">
        <v>3.9140534262485476</v>
      </c>
      <c r="T21" s="21">
        <v>54.494260342213551</v>
      </c>
      <c r="U21" s="21">
        <v>100</v>
      </c>
      <c r="V21" s="10">
        <v>69.023354564755834</v>
      </c>
    </row>
    <row r="22" spans="1:22" x14ac:dyDescent="0.2">
      <c r="A22" s="20" t="s">
        <v>698</v>
      </c>
      <c r="B22" s="21" t="s">
        <v>666</v>
      </c>
      <c r="C22" s="21">
        <v>1693.46</v>
      </c>
      <c r="D22" s="21">
        <v>62.22</v>
      </c>
      <c r="E22" s="21">
        <v>3026.47</v>
      </c>
      <c r="F22" s="21">
        <v>415.44</v>
      </c>
      <c r="G22" s="21">
        <v>1438.2</v>
      </c>
      <c r="H22" s="21">
        <v>219.92</v>
      </c>
      <c r="I22" s="21">
        <v>9.8000000000000007</v>
      </c>
      <c r="J22" s="21">
        <v>23.65</v>
      </c>
      <c r="K22" s="21">
        <v>8.39</v>
      </c>
      <c r="L22" s="10">
        <v>94.2</v>
      </c>
      <c r="M22" s="20">
        <v>65.122807557269823</v>
      </c>
      <c r="N22" s="21">
        <v>40.698587127158561</v>
      </c>
      <c r="O22" s="21">
        <v>94.923063412308579</v>
      </c>
      <c r="P22" s="21">
        <v>18.191212659935022</v>
      </c>
      <c r="Q22" s="21">
        <v>16.402342083834192</v>
      </c>
      <c r="R22" s="21">
        <v>82.83239171374764</v>
      </c>
      <c r="S22" s="21">
        <v>3.7940379403794036</v>
      </c>
      <c r="T22" s="21">
        <v>51.223738358241278</v>
      </c>
      <c r="U22" s="21">
        <v>96.770472895040371</v>
      </c>
      <c r="V22" s="10">
        <v>100</v>
      </c>
    </row>
    <row r="23" spans="1:22" x14ac:dyDescent="0.2">
      <c r="A23" s="20" t="s">
        <v>667</v>
      </c>
      <c r="B23" s="21" t="s">
        <v>668</v>
      </c>
      <c r="C23" s="21">
        <v>971.48</v>
      </c>
      <c r="D23" s="21">
        <v>30.46</v>
      </c>
      <c r="E23" s="21">
        <v>2063.38</v>
      </c>
      <c r="F23" s="21">
        <v>92.08</v>
      </c>
      <c r="G23" s="21">
        <v>617.83000000000004</v>
      </c>
      <c r="H23" s="21">
        <v>46.59</v>
      </c>
      <c r="I23" s="21">
        <v>9.8000000000000007</v>
      </c>
      <c r="J23" s="21">
        <v>13.62</v>
      </c>
      <c r="K23" s="21">
        <v>5.08</v>
      </c>
      <c r="L23" s="10">
        <v>52.56</v>
      </c>
      <c r="M23" s="20">
        <v>37.358724201183662</v>
      </c>
      <c r="N23" s="21">
        <v>19.924123495552067</v>
      </c>
      <c r="O23" s="21">
        <v>64.716435511896478</v>
      </c>
      <c r="P23" s="21">
        <v>4.0319826249923381</v>
      </c>
      <c r="Q23" s="21">
        <v>7.0462098523538312</v>
      </c>
      <c r="R23" s="21">
        <v>17.548022598870059</v>
      </c>
      <c r="S23" s="21">
        <v>3.7940379403794036</v>
      </c>
      <c r="T23" s="21">
        <v>29.4996751137102</v>
      </c>
      <c r="U23" s="21">
        <v>58.592848904267591</v>
      </c>
      <c r="V23" s="10">
        <v>55.796178343949045</v>
      </c>
    </row>
    <row r="24" spans="1:22" x14ac:dyDescent="0.2">
      <c r="A24" s="20" t="s">
        <v>699</v>
      </c>
      <c r="B24" s="21" t="s">
        <v>670</v>
      </c>
      <c r="C24" s="21">
        <v>15.76</v>
      </c>
      <c r="D24" s="21">
        <v>3.84</v>
      </c>
      <c r="E24" s="21">
        <v>93.43</v>
      </c>
      <c r="F24" s="21">
        <v>17.239999999999998</v>
      </c>
      <c r="G24" s="21">
        <v>554.79999999999995</v>
      </c>
      <c r="H24" s="21">
        <v>9.8000000000000007</v>
      </c>
      <c r="I24" s="21">
        <v>9.8000000000000007</v>
      </c>
      <c r="J24" s="21">
        <v>9.8000000000000007</v>
      </c>
      <c r="K24" s="21">
        <v>3.77</v>
      </c>
      <c r="L24" s="10">
        <v>3.49</v>
      </c>
      <c r="M24" s="20">
        <v>0.60605827542579827</v>
      </c>
      <c r="N24" s="21">
        <v>2.5117739403453689</v>
      </c>
      <c r="O24" s="21">
        <v>2.9303650175326346</v>
      </c>
      <c r="P24" s="21">
        <v>0.75490204664278771</v>
      </c>
      <c r="Q24" s="21">
        <v>6.3273671173071966</v>
      </c>
      <c r="R24" s="21">
        <v>3.6911487758945385</v>
      </c>
      <c r="S24" s="21">
        <v>3.7940379403794036</v>
      </c>
      <c r="T24" s="21">
        <v>21.22590426683994</v>
      </c>
      <c r="U24" s="21">
        <v>43.483275663206463</v>
      </c>
      <c r="V24" s="10">
        <v>3.7048832271762207</v>
      </c>
    </row>
    <row r="25" spans="1:22" x14ac:dyDescent="0.2">
      <c r="A25" s="20" t="s">
        <v>700</v>
      </c>
      <c r="B25" s="21" t="s">
        <v>672</v>
      </c>
      <c r="C25" s="21">
        <v>128.13</v>
      </c>
      <c r="D25" s="21">
        <v>22.03</v>
      </c>
      <c r="E25" s="21">
        <v>2577.5700000000002</v>
      </c>
      <c r="F25" s="21">
        <v>87.82</v>
      </c>
      <c r="G25" s="21">
        <v>1062.25</v>
      </c>
      <c r="H25" s="21">
        <v>24.04</v>
      </c>
      <c r="I25" s="21">
        <v>10.119999999999999</v>
      </c>
      <c r="J25" s="21">
        <v>12.62</v>
      </c>
      <c r="K25" s="21">
        <v>4.6900000000000004</v>
      </c>
      <c r="L25" s="10">
        <v>9.23</v>
      </c>
      <c r="M25" s="20">
        <v>4.9272999257809351</v>
      </c>
      <c r="N25" s="21">
        <v>14.409994767137627</v>
      </c>
      <c r="O25" s="21">
        <v>80.84363650049869</v>
      </c>
      <c r="P25" s="21">
        <v>3.8454465044181916</v>
      </c>
      <c r="Q25" s="21">
        <v>12.114718313553658</v>
      </c>
      <c r="R25" s="21">
        <v>9.0546139359698685</v>
      </c>
      <c r="S25" s="21">
        <v>3.9179248935346496</v>
      </c>
      <c r="T25" s="21">
        <v>27.33376651505306</v>
      </c>
      <c r="U25" s="21">
        <v>54.094579008073815</v>
      </c>
      <c r="V25" s="10">
        <v>9.7983014861995752</v>
      </c>
    </row>
    <row r="26" spans="1:22" x14ac:dyDescent="0.2">
      <c r="A26" s="20" t="s">
        <v>701</v>
      </c>
      <c r="B26" s="21" t="s">
        <v>674</v>
      </c>
      <c r="C26" s="21">
        <v>370.74</v>
      </c>
      <c r="D26" s="21">
        <v>152.88</v>
      </c>
      <c r="E26" s="21">
        <v>3188.34</v>
      </c>
      <c r="F26" s="21">
        <v>306.17</v>
      </c>
      <c r="G26" s="21">
        <v>1920.12</v>
      </c>
      <c r="H26" s="21">
        <v>34.119999999999997</v>
      </c>
      <c r="I26" s="21">
        <v>15.94</v>
      </c>
      <c r="J26" s="21">
        <v>22.72</v>
      </c>
      <c r="K26" s="21">
        <v>6.16</v>
      </c>
      <c r="L26" s="10">
        <v>7.25</v>
      </c>
      <c r="M26" s="20">
        <v>14.2569825527513</v>
      </c>
      <c r="N26" s="21">
        <v>100</v>
      </c>
      <c r="O26" s="21">
        <v>100</v>
      </c>
      <c r="P26" s="21">
        <v>13.406517379386448</v>
      </c>
      <c r="Q26" s="21">
        <v>21.89852946878856</v>
      </c>
      <c r="R26" s="21">
        <v>12.851224105461393</v>
      </c>
      <c r="S26" s="21">
        <v>6.1711188540456829</v>
      </c>
      <c r="T26" s="21">
        <v>49.209443361490138</v>
      </c>
      <c r="U26" s="21">
        <v>71.049596309111891</v>
      </c>
      <c r="V26" s="10">
        <v>7.6963906581740975</v>
      </c>
    </row>
    <row r="27" spans="1:22" x14ac:dyDescent="0.2">
      <c r="A27" s="20" t="s">
        <v>702</v>
      </c>
      <c r="B27" s="21" t="s">
        <v>678</v>
      </c>
      <c r="C27" s="21">
        <v>9.8000000000000007</v>
      </c>
      <c r="D27" s="21">
        <v>3.04</v>
      </c>
      <c r="E27" s="21">
        <v>3.91</v>
      </c>
      <c r="F27" s="21">
        <v>2.14</v>
      </c>
      <c r="G27" s="21">
        <v>845</v>
      </c>
      <c r="H27" s="21">
        <v>9.8000000000000007</v>
      </c>
      <c r="I27" s="21">
        <v>9.8000000000000007</v>
      </c>
      <c r="J27" s="21">
        <v>10.31</v>
      </c>
      <c r="K27" s="21">
        <v>4.68</v>
      </c>
      <c r="L27" s="10">
        <v>3.96</v>
      </c>
      <c r="M27" s="20">
        <v>0.37686364842467152</v>
      </c>
      <c r="N27" s="21">
        <v>1.9884877027734171</v>
      </c>
      <c r="O27" s="21">
        <v>0.12263434890883657</v>
      </c>
      <c r="P27" s="21">
        <v>9.3705938504383177E-2</v>
      </c>
      <c r="Q27" s="21">
        <v>9.6370317486023449</v>
      </c>
      <c r="R27" s="21">
        <v>3.6911487758945385</v>
      </c>
      <c r="S27" s="21">
        <v>3.7940379403794036</v>
      </c>
      <c r="T27" s="21">
        <v>22.330517652155081</v>
      </c>
      <c r="U27" s="21">
        <v>53.979238754325252</v>
      </c>
      <c r="V27" s="10">
        <v>4.2038216560509554</v>
      </c>
    </row>
    <row r="28" spans="1:22" x14ac:dyDescent="0.2">
      <c r="A28" s="20" t="s">
        <v>703</v>
      </c>
      <c r="B28" s="21" t="s">
        <v>680</v>
      </c>
      <c r="C28" s="21">
        <v>13.13</v>
      </c>
      <c r="D28" s="21">
        <v>4.29</v>
      </c>
      <c r="E28" s="21">
        <v>9.93</v>
      </c>
      <c r="F28" s="21">
        <v>2.14</v>
      </c>
      <c r="G28" s="21">
        <v>1130.31</v>
      </c>
      <c r="H28" s="21">
        <v>9.8000000000000007</v>
      </c>
      <c r="I28" s="21">
        <v>9.8000000000000007</v>
      </c>
      <c r="J28" s="21">
        <v>12.61</v>
      </c>
      <c r="K28" s="21">
        <v>3.82</v>
      </c>
      <c r="L28" s="10">
        <v>3.94</v>
      </c>
      <c r="M28" s="20">
        <v>0.50492037794040179</v>
      </c>
      <c r="N28" s="21">
        <v>2.806122448979592</v>
      </c>
      <c r="O28" s="21">
        <v>0.31144733623139309</v>
      </c>
      <c r="P28" s="21">
        <v>9.3705938504383177E-2</v>
      </c>
      <c r="Q28" s="21">
        <v>12.890927048239901</v>
      </c>
      <c r="R28" s="21">
        <v>3.6911487758945385</v>
      </c>
      <c r="S28" s="21">
        <v>3.7940379403794036</v>
      </c>
      <c r="T28" s="21">
        <v>27.31210742906649</v>
      </c>
      <c r="U28" s="21">
        <v>44.059976931949244</v>
      </c>
      <c r="V28" s="10">
        <v>4.1825902335456471</v>
      </c>
    </row>
    <row r="29" spans="1:22" x14ac:dyDescent="0.2">
      <c r="A29" s="20" t="s">
        <v>704</v>
      </c>
      <c r="B29" s="21" t="s">
        <v>705</v>
      </c>
      <c r="C29" s="21">
        <v>483.27</v>
      </c>
      <c r="D29" s="21">
        <v>14.66</v>
      </c>
      <c r="E29" s="21">
        <v>20.73</v>
      </c>
      <c r="F29" s="21">
        <v>2.14</v>
      </c>
      <c r="G29" s="21">
        <v>8768.26</v>
      </c>
      <c r="H29" s="21">
        <v>9.8000000000000007</v>
      </c>
      <c r="I29" s="21">
        <v>9.8000000000000007</v>
      </c>
      <c r="J29" s="21">
        <v>10.64</v>
      </c>
      <c r="K29" s="21">
        <v>4.49</v>
      </c>
      <c r="L29" s="10">
        <v>5.82</v>
      </c>
      <c r="M29" s="20">
        <v>18.584377078999083</v>
      </c>
      <c r="N29" s="21">
        <v>9.5892203035060177</v>
      </c>
      <c r="O29" s="21">
        <v>0.65018159920209262</v>
      </c>
      <c r="P29" s="21">
        <v>9.3705938504383177E-2</v>
      </c>
      <c r="Q29" s="21">
        <v>100</v>
      </c>
      <c r="R29" s="21">
        <v>3.6911487758945385</v>
      </c>
      <c r="S29" s="21">
        <v>3.7940379403794036</v>
      </c>
      <c r="T29" s="21">
        <v>23.045267489711936</v>
      </c>
      <c r="U29" s="21">
        <v>51.787773933102656</v>
      </c>
      <c r="V29" s="10">
        <v>6.1783439490445859</v>
      </c>
    </row>
    <row r="30" spans="1:22" x14ac:dyDescent="0.2">
      <c r="A30" s="20"/>
      <c r="B30" s="21"/>
      <c r="C30" s="21"/>
      <c r="D30" s="21"/>
      <c r="E30" s="21"/>
      <c r="F30" s="21"/>
      <c r="G30" s="21"/>
      <c r="H30" s="21"/>
      <c r="I30" s="21"/>
      <c r="J30" s="21"/>
      <c r="K30" s="21"/>
      <c r="L30" s="10"/>
      <c r="M30" s="20"/>
      <c r="N30" s="21"/>
      <c r="O30" s="21"/>
      <c r="P30" s="21"/>
      <c r="Q30" s="21"/>
      <c r="R30" s="21"/>
      <c r="S30" s="21"/>
      <c r="T30" s="21"/>
      <c r="U30" s="21"/>
      <c r="V30" s="10"/>
    </row>
    <row r="31" spans="1:22" x14ac:dyDescent="0.2">
      <c r="A31" s="20" t="s">
        <v>706</v>
      </c>
      <c r="B31" s="21" t="s">
        <v>707</v>
      </c>
      <c r="C31" s="21">
        <v>9.8000000000000007</v>
      </c>
      <c r="D31" s="21">
        <v>3.76</v>
      </c>
      <c r="E31" s="21">
        <v>2.0699999999999998</v>
      </c>
      <c r="F31" s="21">
        <v>2.14</v>
      </c>
      <c r="G31" s="21">
        <v>461.72</v>
      </c>
      <c r="H31" s="21">
        <v>9.8000000000000007</v>
      </c>
      <c r="I31" s="21">
        <v>9.8000000000000007</v>
      </c>
      <c r="J31" s="21">
        <v>14.06</v>
      </c>
      <c r="K31" s="21">
        <v>6.02</v>
      </c>
      <c r="L31" s="10">
        <v>3.8</v>
      </c>
      <c r="M31" s="20">
        <v>16.551258233406521</v>
      </c>
      <c r="N31" s="21">
        <v>0.40292765519680224</v>
      </c>
      <c r="O31" s="21">
        <v>6.4924067069384056E-2</v>
      </c>
      <c r="P31" s="21">
        <v>4.9473591736523069E-2</v>
      </c>
      <c r="Q31" s="21">
        <v>14.706800445930881</v>
      </c>
      <c r="R31" s="21" t="s">
        <v>708</v>
      </c>
      <c r="S31" s="21">
        <v>2.8695244788006562</v>
      </c>
      <c r="T31" s="21">
        <v>20.175060984359309</v>
      </c>
      <c r="U31" s="21">
        <v>81.793478260869563</v>
      </c>
      <c r="V31" s="10" t="s">
        <v>708</v>
      </c>
    </row>
    <row r="32" spans="1:22" x14ac:dyDescent="0.2">
      <c r="A32" s="20" t="s">
        <v>709</v>
      </c>
      <c r="B32" s="21" t="s">
        <v>710</v>
      </c>
      <c r="C32" s="21">
        <v>9.9600000000000009</v>
      </c>
      <c r="D32" s="21">
        <v>19.079999999999998</v>
      </c>
      <c r="E32" s="21">
        <v>1721.73</v>
      </c>
      <c r="F32" s="21">
        <v>70.47</v>
      </c>
      <c r="G32" s="21">
        <v>534.79</v>
      </c>
      <c r="H32" s="21">
        <v>9.8000000000000007</v>
      </c>
      <c r="I32" s="21">
        <v>17.66</v>
      </c>
      <c r="J32" s="21">
        <v>13.57</v>
      </c>
      <c r="K32" s="21">
        <v>6.84</v>
      </c>
      <c r="L32" s="10">
        <v>3.45</v>
      </c>
      <c r="M32" s="20">
        <v>16.821482857625401</v>
      </c>
      <c r="N32" s="21">
        <v>2.0446435269029219</v>
      </c>
      <c r="O32" s="21">
        <v>54.000828017087258</v>
      </c>
      <c r="P32" s="21">
        <v>1.6291607521835425</v>
      </c>
      <c r="Q32" s="21">
        <v>17.034241121197642</v>
      </c>
      <c r="R32" s="21"/>
      <c r="S32" s="21">
        <v>5.1710002342468968</v>
      </c>
      <c r="T32" s="21">
        <v>19.471947194719473</v>
      </c>
      <c r="U32" s="21">
        <v>92.934782608695642</v>
      </c>
      <c r="V32" s="10"/>
    </row>
    <row r="33" spans="1:22" x14ac:dyDescent="0.2">
      <c r="A33" s="20" t="s">
        <v>711</v>
      </c>
      <c r="B33" s="21" t="s">
        <v>712</v>
      </c>
      <c r="C33" s="21">
        <v>13.21</v>
      </c>
      <c r="D33" s="21">
        <v>461.74</v>
      </c>
      <c r="E33" s="21">
        <v>3188.34</v>
      </c>
      <c r="F33" s="21">
        <v>4325.54</v>
      </c>
      <c r="G33" s="21">
        <v>687.71</v>
      </c>
      <c r="H33" s="21">
        <v>9.8000000000000007</v>
      </c>
      <c r="I33" s="21">
        <v>297.14999999999998</v>
      </c>
      <c r="J33" s="21">
        <v>36.119999999999997</v>
      </c>
      <c r="K33" s="21">
        <v>7.36</v>
      </c>
      <c r="L33" s="10">
        <v>4.3099999999999996</v>
      </c>
      <c r="M33" s="20">
        <v>22.310420537071444</v>
      </c>
      <c r="N33" s="21">
        <v>49.480801997492421</v>
      </c>
      <c r="O33" s="21">
        <v>100</v>
      </c>
      <c r="P33" s="21">
        <v>100</v>
      </c>
      <c r="Q33" s="21">
        <v>21.905080426819559</v>
      </c>
      <c r="R33" s="21"/>
      <c r="S33" s="21">
        <v>87.008081517919891</v>
      </c>
      <c r="T33" s="21">
        <v>51.82953077916487</v>
      </c>
      <c r="U33" s="21">
        <v>100</v>
      </c>
      <c r="V33" s="10"/>
    </row>
    <row r="34" spans="1:22" x14ac:dyDescent="0.2">
      <c r="A34" s="20" t="s">
        <v>713</v>
      </c>
      <c r="B34" s="21" t="s">
        <v>714</v>
      </c>
      <c r="C34" s="21">
        <v>44.08</v>
      </c>
      <c r="D34" s="21">
        <v>933.77</v>
      </c>
      <c r="E34" s="21">
        <v>2514.65</v>
      </c>
      <c r="F34" s="21">
        <v>2293.0500000000002</v>
      </c>
      <c r="G34" s="21">
        <v>1848.8</v>
      </c>
      <c r="H34" s="21">
        <v>9.8000000000000007</v>
      </c>
      <c r="I34" s="21">
        <v>341.52</v>
      </c>
      <c r="J34" s="21">
        <v>69.69</v>
      </c>
      <c r="K34" s="21">
        <v>4.8499999999999996</v>
      </c>
      <c r="L34" s="10">
        <v>4.0199999999999996</v>
      </c>
      <c r="M34" s="20">
        <v>74.446883972301976</v>
      </c>
      <c r="N34" s="21">
        <v>100.0642969662548</v>
      </c>
      <c r="O34" s="21">
        <v>78.870195775858292</v>
      </c>
      <c r="P34" s="21">
        <v>53.011878285716932</v>
      </c>
      <c r="Q34" s="21">
        <v>58.8883580187928</v>
      </c>
      <c r="R34" s="21"/>
      <c r="S34" s="21">
        <v>100</v>
      </c>
      <c r="T34" s="21">
        <v>100</v>
      </c>
      <c r="U34" s="21">
        <v>65.896739130434781</v>
      </c>
      <c r="V34" s="10"/>
    </row>
    <row r="35" spans="1:22" x14ac:dyDescent="0.2">
      <c r="A35" s="20" t="s">
        <v>715</v>
      </c>
      <c r="B35" s="21" t="s">
        <v>716</v>
      </c>
      <c r="C35" s="21">
        <v>10.19</v>
      </c>
      <c r="D35" s="21">
        <v>3.61</v>
      </c>
      <c r="E35" s="21">
        <v>49.1</v>
      </c>
      <c r="F35" s="21">
        <v>15.03</v>
      </c>
      <c r="G35" s="21">
        <v>227.66</v>
      </c>
      <c r="H35" s="21">
        <v>9.8000000000000007</v>
      </c>
      <c r="I35" s="21">
        <v>9.8000000000000007</v>
      </c>
      <c r="J35" s="21">
        <v>9.8000000000000007</v>
      </c>
      <c r="K35" s="21">
        <v>4.08</v>
      </c>
      <c r="L35" s="10">
        <v>3.1</v>
      </c>
      <c r="M35" s="20">
        <v>17.209930754940043</v>
      </c>
      <c r="N35" s="21">
        <v>0.38685341363310005</v>
      </c>
      <c r="O35" s="21">
        <v>1.5399863251723467</v>
      </c>
      <c r="P35" s="21">
        <v>0.34747106719623444</v>
      </c>
      <c r="Q35" s="21">
        <v>7.2514731645166437</v>
      </c>
      <c r="R35" s="21"/>
      <c r="S35" s="21">
        <v>2.8695244788006562</v>
      </c>
      <c r="T35" s="21">
        <v>14.062275792796672</v>
      </c>
      <c r="U35" s="21">
        <v>55.434782608695656</v>
      </c>
      <c r="V35" s="10"/>
    </row>
    <row r="36" spans="1:22" x14ac:dyDescent="0.2">
      <c r="A36" s="20" t="s">
        <v>717</v>
      </c>
      <c r="B36" s="21" t="s">
        <v>718</v>
      </c>
      <c r="C36" s="21">
        <v>16.39</v>
      </c>
      <c r="D36" s="21">
        <v>3.41</v>
      </c>
      <c r="E36" s="21">
        <v>49.73</v>
      </c>
      <c r="F36" s="21">
        <v>23.35</v>
      </c>
      <c r="G36" s="21">
        <v>259.27999999999997</v>
      </c>
      <c r="H36" s="21">
        <v>9.8000000000000007</v>
      </c>
      <c r="I36" s="21">
        <v>9.8000000000000007</v>
      </c>
      <c r="J36" s="21">
        <v>10.199999999999999</v>
      </c>
      <c r="K36" s="21">
        <v>4.25</v>
      </c>
      <c r="L36" s="10">
        <v>4.41</v>
      </c>
      <c r="M36" s="20">
        <v>27.681134943421721</v>
      </c>
      <c r="N36" s="21">
        <v>0.36542109154816382</v>
      </c>
      <c r="O36" s="21">
        <v>1.5597458238456374</v>
      </c>
      <c r="P36" s="21">
        <v>0.53981699394757654</v>
      </c>
      <c r="Q36" s="21">
        <v>8.2586399108138231</v>
      </c>
      <c r="R36" s="21"/>
      <c r="S36" s="21">
        <v>2.8695244788006562</v>
      </c>
      <c r="T36" s="21">
        <v>14.636246233318984</v>
      </c>
      <c r="U36" s="21">
        <v>57.744565217391298</v>
      </c>
      <c r="V36" s="10"/>
    </row>
    <row r="37" spans="1:22" x14ac:dyDescent="0.2">
      <c r="A37" s="20" t="s">
        <v>719</v>
      </c>
      <c r="B37" s="21" t="s">
        <v>573</v>
      </c>
      <c r="C37" s="21">
        <v>11.51</v>
      </c>
      <c r="D37" s="21">
        <v>3.79</v>
      </c>
      <c r="E37" s="21">
        <v>77.430000000000007</v>
      </c>
      <c r="F37" s="21">
        <v>15.1</v>
      </c>
      <c r="G37" s="21">
        <v>118.16</v>
      </c>
      <c r="H37" s="21">
        <v>9.8000000000000007</v>
      </c>
      <c r="I37" s="21">
        <v>9.8000000000000007</v>
      </c>
      <c r="J37" s="21">
        <v>9.8000000000000007</v>
      </c>
      <c r="K37" s="21">
        <v>3.99</v>
      </c>
      <c r="L37" s="10">
        <v>3.22</v>
      </c>
      <c r="M37" s="20">
        <v>19.439283904745817</v>
      </c>
      <c r="N37" s="21">
        <v>0.40614250350954278</v>
      </c>
      <c r="O37" s="21">
        <v>2.4285364797982649</v>
      </c>
      <c r="P37" s="21">
        <v>0.34908936225303661</v>
      </c>
      <c r="Q37" s="21">
        <v>3.7636566332218506</v>
      </c>
      <c r="R37" s="21"/>
      <c r="S37" s="21">
        <v>2.8695244788006562</v>
      </c>
      <c r="T37" s="21">
        <v>14.062275792796672</v>
      </c>
      <c r="U37" s="21">
        <v>54.211956521739133</v>
      </c>
      <c r="V37" s="10"/>
    </row>
    <row r="38" spans="1:22" x14ac:dyDescent="0.2">
      <c r="A38" s="20" t="s">
        <v>720</v>
      </c>
      <c r="B38" s="21" t="s">
        <v>575</v>
      </c>
      <c r="C38" s="21">
        <v>9.8000000000000007</v>
      </c>
      <c r="D38" s="21">
        <v>4.62</v>
      </c>
      <c r="E38" s="21">
        <v>16.82</v>
      </c>
      <c r="F38" s="21">
        <v>10.53</v>
      </c>
      <c r="G38" s="21">
        <v>409.99</v>
      </c>
      <c r="H38" s="21">
        <v>9.8000000000000007</v>
      </c>
      <c r="I38" s="21">
        <v>9.8000000000000007</v>
      </c>
      <c r="J38" s="21">
        <v>9.8000000000000007</v>
      </c>
      <c r="K38" s="21">
        <v>4.9800000000000004</v>
      </c>
      <c r="L38" s="10">
        <v>3.61</v>
      </c>
      <c r="M38" s="20">
        <v>16.551258233406521</v>
      </c>
      <c r="N38" s="21">
        <v>0.49508664016202841</v>
      </c>
      <c r="O38" s="21">
        <v>0.527547250293256</v>
      </c>
      <c r="P38" s="21">
        <v>0.24343781354466726</v>
      </c>
      <c r="Q38" s="21">
        <v>13.059085841694538</v>
      </c>
      <c r="R38" s="21"/>
      <c r="S38" s="21">
        <v>2.8695244788006562</v>
      </c>
      <c r="T38" s="21">
        <v>14.062275792796672</v>
      </c>
      <c r="U38" s="21">
        <v>67.663043478260875</v>
      </c>
      <c r="V38" s="10"/>
    </row>
    <row r="39" spans="1:22" x14ac:dyDescent="0.2">
      <c r="A39" s="20" t="s">
        <v>721</v>
      </c>
      <c r="B39" s="21" t="s">
        <v>577</v>
      </c>
      <c r="C39" s="21">
        <v>9.8000000000000007</v>
      </c>
      <c r="D39" s="21">
        <v>15.14</v>
      </c>
      <c r="E39" s="21">
        <v>330.94</v>
      </c>
      <c r="F39" s="21">
        <v>58.76</v>
      </c>
      <c r="G39" s="21">
        <v>594.41999999999996</v>
      </c>
      <c r="H39" s="21">
        <v>9.8000000000000007</v>
      </c>
      <c r="I39" s="21">
        <v>10.039999999999999</v>
      </c>
      <c r="J39" s="21">
        <v>9.8000000000000007</v>
      </c>
      <c r="K39" s="21">
        <v>4.59</v>
      </c>
      <c r="L39" s="10">
        <v>3.27</v>
      </c>
      <c r="M39" s="20">
        <v>16.551258233406521</v>
      </c>
      <c r="N39" s="21">
        <v>1.6224267818296774</v>
      </c>
      <c r="O39" s="21">
        <v>10.379696017363267</v>
      </c>
      <c r="P39" s="21">
        <v>1.358443107681353</v>
      </c>
      <c r="Q39" s="21">
        <v>18.933588150979457</v>
      </c>
      <c r="R39" s="21"/>
      <c r="S39" s="21">
        <v>2.9397985476692434</v>
      </c>
      <c r="T39" s="21">
        <v>14.062275792796672</v>
      </c>
      <c r="U39" s="21">
        <v>62.364130434782602</v>
      </c>
      <c r="V39" s="10"/>
    </row>
    <row r="40" spans="1:22" x14ac:dyDescent="0.2">
      <c r="A40" s="20" t="s">
        <v>722</v>
      </c>
      <c r="B40" s="21" t="s">
        <v>579</v>
      </c>
      <c r="C40" s="21">
        <v>18.32</v>
      </c>
      <c r="D40" s="21">
        <v>49.54</v>
      </c>
      <c r="E40" s="21">
        <v>2154.3000000000002</v>
      </c>
      <c r="F40" s="21">
        <v>205.57</v>
      </c>
      <c r="G40" s="21">
        <v>399.18</v>
      </c>
      <c r="H40" s="21">
        <v>9.8000000000000007</v>
      </c>
      <c r="I40" s="21">
        <v>14.18</v>
      </c>
      <c r="J40" s="21">
        <v>12.02</v>
      </c>
      <c r="K40" s="21">
        <v>4.5199999999999996</v>
      </c>
      <c r="L40" s="10">
        <v>3.31</v>
      </c>
      <c r="M40" s="20">
        <v>30.940719473061982</v>
      </c>
      <c r="N40" s="21">
        <v>5.3087861804387195</v>
      </c>
      <c r="O40" s="21">
        <v>67.568076177572038</v>
      </c>
      <c r="P40" s="21">
        <v>4.7524702118117048</v>
      </c>
      <c r="Q40" s="21">
        <v>12.714763497372195</v>
      </c>
      <c r="R40" s="21"/>
      <c r="S40" s="21">
        <v>4.1520262356523778</v>
      </c>
      <c r="T40" s="21">
        <v>17.24781173769551</v>
      </c>
      <c r="U40" s="21">
        <v>61.413043478260867</v>
      </c>
      <c r="V40" s="10"/>
    </row>
    <row r="41" spans="1:22" x14ac:dyDescent="0.2">
      <c r="A41" s="20" t="s">
        <v>723</v>
      </c>
      <c r="B41" s="21" t="s">
        <v>587</v>
      </c>
      <c r="C41" s="21">
        <v>9.8000000000000007</v>
      </c>
      <c r="D41" s="21">
        <v>3.29</v>
      </c>
      <c r="E41" s="21">
        <v>2.0699999999999998</v>
      </c>
      <c r="F41" s="21">
        <v>2.14</v>
      </c>
      <c r="G41" s="21">
        <v>656.62</v>
      </c>
      <c r="H41" s="21">
        <v>9.8000000000000007</v>
      </c>
      <c r="I41" s="21">
        <v>9.8000000000000007</v>
      </c>
      <c r="J41" s="21">
        <v>16.059999999999999</v>
      </c>
      <c r="K41" s="21">
        <v>5.7</v>
      </c>
      <c r="L41" s="10">
        <v>3.63</v>
      </c>
      <c r="M41" s="20">
        <v>16.551258233406521</v>
      </c>
      <c r="N41" s="21">
        <v>0.35256169829720202</v>
      </c>
      <c r="O41" s="21">
        <v>6.4924067069384056E-2</v>
      </c>
      <c r="P41" s="21">
        <v>4.9473591736523069E-2</v>
      </c>
      <c r="Q41" s="21">
        <v>20.914795349577957</v>
      </c>
      <c r="R41" s="21"/>
      <c r="S41" s="21">
        <v>2.8695244788006562</v>
      </c>
      <c r="T41" s="21">
        <v>23.04491318697087</v>
      </c>
      <c r="U41" s="21">
        <v>77.445652173913032</v>
      </c>
      <c r="V41" s="10"/>
    </row>
    <row r="42" spans="1:22" x14ac:dyDescent="0.2">
      <c r="A42" s="20" t="s">
        <v>724</v>
      </c>
      <c r="B42" s="21" t="s">
        <v>589</v>
      </c>
      <c r="C42" s="21">
        <v>9.8000000000000007</v>
      </c>
      <c r="D42" s="21">
        <v>3.61</v>
      </c>
      <c r="E42" s="21">
        <v>2.0699999999999998</v>
      </c>
      <c r="F42" s="21">
        <v>2.14</v>
      </c>
      <c r="G42" s="21">
        <v>541.86</v>
      </c>
      <c r="H42" s="21">
        <v>9.8000000000000007</v>
      </c>
      <c r="I42" s="21">
        <v>9.8000000000000007</v>
      </c>
      <c r="J42" s="21">
        <v>11.26</v>
      </c>
      <c r="K42" s="21">
        <v>3.69</v>
      </c>
      <c r="L42" s="10">
        <v>3.23</v>
      </c>
      <c r="M42" s="20">
        <v>16.551258233406521</v>
      </c>
      <c r="N42" s="21">
        <v>0.38685341363310005</v>
      </c>
      <c r="O42" s="21">
        <v>6.4924067069384056E-2</v>
      </c>
      <c r="P42" s="21">
        <v>4.9473591736523069E-2</v>
      </c>
      <c r="Q42" s="21">
        <v>17.259436215957955</v>
      </c>
      <c r="R42" s="21"/>
      <c r="S42" s="21">
        <v>2.8695244788006562</v>
      </c>
      <c r="T42" s="21">
        <v>16.157267900703115</v>
      </c>
      <c r="U42" s="21">
        <v>50.135869565217384</v>
      </c>
      <c r="V42" s="10"/>
    </row>
    <row r="43" spans="1:22" x14ac:dyDescent="0.2">
      <c r="A43" s="20" t="s">
        <v>725</v>
      </c>
      <c r="B43" s="21" t="s">
        <v>591</v>
      </c>
      <c r="C43" s="21">
        <v>59.21</v>
      </c>
      <c r="D43" s="21">
        <v>11.12</v>
      </c>
      <c r="E43" s="21">
        <v>2.0699999999999998</v>
      </c>
      <c r="F43" s="21">
        <v>2.14</v>
      </c>
      <c r="G43" s="21">
        <v>3139.5</v>
      </c>
      <c r="H43" s="21">
        <v>9.8000000000000007</v>
      </c>
      <c r="I43" s="21">
        <v>9.8000000000000007</v>
      </c>
      <c r="J43" s="21">
        <v>9.8000000000000007</v>
      </c>
      <c r="K43" s="21">
        <v>3.44</v>
      </c>
      <c r="L43" s="10">
        <v>3.55</v>
      </c>
      <c r="M43" s="20">
        <v>100</v>
      </c>
      <c r="N43" s="21">
        <v>1.1916371079224579</v>
      </c>
      <c r="O43" s="21">
        <v>6.4924067069384056E-2</v>
      </c>
      <c r="P43" s="21">
        <v>4.9473591736523069E-2</v>
      </c>
      <c r="Q43" s="21">
        <v>100</v>
      </c>
      <c r="R43" s="21"/>
      <c r="S43" s="21">
        <v>2.8695244788006562</v>
      </c>
      <c r="T43" s="21">
        <v>14.062275792796672</v>
      </c>
      <c r="U43" s="21">
        <v>46.739130434782602</v>
      </c>
      <c r="V43" s="10"/>
    </row>
    <row r="44" spans="1:22" x14ac:dyDescent="0.2">
      <c r="A44" s="20"/>
      <c r="B44" s="21"/>
      <c r="C44" s="21"/>
      <c r="D44" s="21"/>
      <c r="E44" s="21"/>
      <c r="F44" s="21"/>
      <c r="G44" s="21"/>
      <c r="H44" s="21"/>
      <c r="I44" s="21"/>
      <c r="J44" s="21"/>
      <c r="K44" s="21"/>
      <c r="L44" s="10"/>
      <c r="M44" s="20"/>
      <c r="N44" s="21"/>
      <c r="O44" s="21"/>
      <c r="P44" s="21"/>
      <c r="Q44" s="21"/>
      <c r="R44" s="21"/>
      <c r="S44" s="21"/>
      <c r="T44" s="21"/>
      <c r="U44" s="21"/>
      <c r="V44" s="10"/>
    </row>
    <row r="45" spans="1:22" x14ac:dyDescent="0.2">
      <c r="A45" s="20" t="s">
        <v>726</v>
      </c>
      <c r="B45" s="21" t="s">
        <v>592</v>
      </c>
      <c r="C45" s="21">
        <v>9.8000000000000007</v>
      </c>
      <c r="D45" s="21">
        <v>3.64</v>
      </c>
      <c r="E45" s="21">
        <v>2.0699999999999998</v>
      </c>
      <c r="F45" s="21">
        <v>2.14</v>
      </c>
      <c r="G45" s="21">
        <v>580.82000000000005</v>
      </c>
      <c r="H45" s="21">
        <v>9.8000000000000007</v>
      </c>
      <c r="I45" s="21">
        <v>9.8000000000000007</v>
      </c>
      <c r="J45" s="21">
        <v>9.8000000000000007</v>
      </c>
      <c r="K45" s="21">
        <v>6.47</v>
      </c>
      <c r="L45" s="10">
        <v>3.8</v>
      </c>
      <c r="M45" s="20">
        <v>0.1827219605693467</v>
      </c>
      <c r="N45" s="21">
        <v>0.13337925879240473</v>
      </c>
      <c r="O45" s="21">
        <v>8.4386121540474757E-2</v>
      </c>
      <c r="P45" s="21">
        <v>3.1373054943895008E-2</v>
      </c>
      <c r="Q45" s="21">
        <v>6.6241192665363489</v>
      </c>
      <c r="R45" s="21" t="s">
        <v>727</v>
      </c>
      <c r="S45" s="21">
        <v>1.2172400943982113</v>
      </c>
      <c r="T45" s="21">
        <v>9.9694811800610399</v>
      </c>
      <c r="U45" s="21">
        <v>100</v>
      </c>
      <c r="V45" s="10" t="s">
        <v>728</v>
      </c>
    </row>
    <row r="46" spans="1:22" x14ac:dyDescent="0.2">
      <c r="A46" s="20" t="s">
        <v>729</v>
      </c>
      <c r="B46" s="21" t="s">
        <v>593</v>
      </c>
      <c r="C46" s="21">
        <v>9.8000000000000007</v>
      </c>
      <c r="D46" s="21">
        <v>46.98</v>
      </c>
      <c r="E46" s="21">
        <v>1173.76</v>
      </c>
      <c r="F46" s="21">
        <v>93.5</v>
      </c>
      <c r="G46" s="21">
        <v>371.71</v>
      </c>
      <c r="H46" s="21">
        <v>9.8000000000000007</v>
      </c>
      <c r="I46" s="21">
        <v>27.33</v>
      </c>
      <c r="J46" s="21">
        <v>9.8000000000000007</v>
      </c>
      <c r="K46" s="21">
        <v>6.13</v>
      </c>
      <c r="L46" s="10">
        <v>4.0199999999999996</v>
      </c>
      <c r="M46" s="20">
        <v>0.1827219605693467</v>
      </c>
      <c r="N46" s="21">
        <v>1.7214718621063663</v>
      </c>
      <c r="O46" s="21">
        <v>47.849784550409488</v>
      </c>
      <c r="P46" s="21">
        <v>1.370738615539338</v>
      </c>
      <c r="Q46" s="21">
        <v>4.2392675399680213</v>
      </c>
      <c r="R46" s="21"/>
      <c r="S46" s="21">
        <v>3.3946093652962359</v>
      </c>
      <c r="T46" s="21">
        <v>9.9694811800610399</v>
      </c>
      <c r="U46" s="21">
        <v>94.744976816074185</v>
      </c>
      <c r="V46" s="10"/>
    </row>
    <row r="47" spans="1:22" x14ac:dyDescent="0.2">
      <c r="A47" s="20" t="s">
        <v>730</v>
      </c>
      <c r="B47" s="21" t="s">
        <v>594</v>
      </c>
      <c r="C47" s="21">
        <v>14.62</v>
      </c>
      <c r="D47" s="21">
        <v>439.31</v>
      </c>
      <c r="E47" s="21">
        <v>1940.6</v>
      </c>
      <c r="F47" s="21">
        <v>1277.71</v>
      </c>
      <c r="G47" s="21">
        <v>438.34</v>
      </c>
      <c r="H47" s="21">
        <v>9.8000000000000007</v>
      </c>
      <c r="I47" s="21">
        <v>256.32</v>
      </c>
      <c r="J47" s="21">
        <v>21.88</v>
      </c>
      <c r="K47" s="21">
        <v>4.91</v>
      </c>
      <c r="L47" s="10">
        <v>6.39</v>
      </c>
      <c r="M47" s="20">
        <v>0.2725913330126376</v>
      </c>
      <c r="N47" s="21">
        <v>16.097484115409703</v>
      </c>
      <c r="O47" s="21">
        <v>79.110969788137837</v>
      </c>
      <c r="P47" s="21">
        <v>18.73161964129163</v>
      </c>
      <c r="Q47" s="21">
        <v>4.9991674516950901</v>
      </c>
      <c r="R47" s="21"/>
      <c r="S47" s="21">
        <v>31.837038877158115</v>
      </c>
      <c r="T47" s="21">
        <v>22.258392675483215</v>
      </c>
      <c r="U47" s="21">
        <v>75.888717156105102</v>
      </c>
      <c r="V47" s="10"/>
    </row>
    <row r="48" spans="1:22" x14ac:dyDescent="0.2">
      <c r="A48" s="20" t="s">
        <v>731</v>
      </c>
      <c r="B48" s="21" t="s">
        <v>596</v>
      </c>
      <c r="C48" s="21">
        <v>40.51</v>
      </c>
      <c r="D48" s="21">
        <v>2729.06</v>
      </c>
      <c r="E48" s="21">
        <v>2357.71</v>
      </c>
      <c r="F48" s="21">
        <v>6821.14</v>
      </c>
      <c r="G48" s="21">
        <v>1160.55</v>
      </c>
      <c r="H48" s="21">
        <v>9.8000000000000007</v>
      </c>
      <c r="I48" s="21">
        <v>805.1</v>
      </c>
      <c r="J48" s="21">
        <v>98.3</v>
      </c>
      <c r="K48" s="21">
        <v>5.49</v>
      </c>
      <c r="L48" s="10">
        <v>11.78</v>
      </c>
      <c r="M48" s="20">
        <v>0.75531292068002398</v>
      </c>
      <c r="N48" s="21">
        <v>100</v>
      </c>
      <c r="O48" s="21">
        <v>96.114977109754946</v>
      </c>
      <c r="P48" s="21">
        <v>100</v>
      </c>
      <c r="Q48" s="21">
        <v>13.235807332355565</v>
      </c>
      <c r="R48" s="21"/>
      <c r="S48" s="21">
        <v>100</v>
      </c>
      <c r="T48" s="21">
        <v>100</v>
      </c>
      <c r="U48" s="21">
        <v>84.853168469860904</v>
      </c>
      <c r="V48" s="10"/>
    </row>
    <row r="49" spans="1:22" x14ac:dyDescent="0.2">
      <c r="A49" s="20" t="s">
        <v>732</v>
      </c>
      <c r="B49" s="21" t="s">
        <v>598</v>
      </c>
      <c r="C49" s="21">
        <v>14.67</v>
      </c>
      <c r="D49" s="21">
        <v>3.47</v>
      </c>
      <c r="E49" s="21">
        <v>28.13</v>
      </c>
      <c r="F49" s="21">
        <v>24.16</v>
      </c>
      <c r="G49" s="21">
        <v>330.12</v>
      </c>
      <c r="H49" s="21">
        <v>9.8000000000000007</v>
      </c>
      <c r="I49" s="21">
        <v>9.8000000000000007</v>
      </c>
      <c r="J49" s="21">
        <v>9.8000000000000007</v>
      </c>
      <c r="K49" s="21">
        <v>4.78</v>
      </c>
      <c r="L49" s="10">
        <v>4.2699999999999996</v>
      </c>
      <c r="M49" s="20">
        <v>0.27352358791350162</v>
      </c>
      <c r="N49" s="21">
        <v>0.12715000769495724</v>
      </c>
      <c r="O49" s="21">
        <v>1.1467543956200748</v>
      </c>
      <c r="P49" s="21">
        <v>0.35419299413294553</v>
      </c>
      <c r="Q49" s="21">
        <v>3.7649431015959833</v>
      </c>
      <c r="R49" s="21"/>
      <c r="S49" s="21">
        <v>1.2172400943982113</v>
      </c>
      <c r="T49" s="21">
        <v>9.9694811800610399</v>
      </c>
      <c r="U49" s="21">
        <v>73.879443585780535</v>
      </c>
      <c r="V49" s="10"/>
    </row>
    <row r="50" spans="1:22" x14ac:dyDescent="0.2">
      <c r="A50" s="20" t="s">
        <v>733</v>
      </c>
      <c r="B50" s="21" t="s">
        <v>600</v>
      </c>
      <c r="C50" s="21">
        <v>17.899999999999999</v>
      </c>
      <c r="D50" s="21">
        <v>4.7699999999999996</v>
      </c>
      <c r="E50" s="21">
        <v>17.53</v>
      </c>
      <c r="F50" s="21">
        <v>29.88</v>
      </c>
      <c r="G50" s="21">
        <v>166.32</v>
      </c>
      <c r="H50" s="21">
        <v>9.8000000000000007</v>
      </c>
      <c r="I50" s="21">
        <v>9.8000000000000007</v>
      </c>
      <c r="J50" s="21">
        <v>9.8000000000000007</v>
      </c>
      <c r="K50" s="21">
        <v>4.0599999999999996</v>
      </c>
      <c r="L50" s="10">
        <v>4.16</v>
      </c>
      <c r="M50" s="20">
        <v>0.33374725450931692</v>
      </c>
      <c r="N50" s="21">
        <v>0.1747854572636732</v>
      </c>
      <c r="O50" s="21">
        <v>0.71463222734517995</v>
      </c>
      <c r="P50" s="21">
        <v>0.43804994473064612</v>
      </c>
      <c r="Q50" s="21">
        <v>1.8968415626361443</v>
      </c>
      <c r="R50" s="21"/>
      <c r="S50" s="21">
        <v>1.2172400943982113</v>
      </c>
      <c r="T50" s="21">
        <v>9.9694811800610399</v>
      </c>
      <c r="U50" s="21">
        <v>62.751159196290573</v>
      </c>
      <c r="V50" s="10"/>
    </row>
    <row r="51" spans="1:22" x14ac:dyDescent="0.2">
      <c r="A51" s="20" t="s">
        <v>734</v>
      </c>
      <c r="B51" s="21" t="s">
        <v>602</v>
      </c>
      <c r="C51" s="21">
        <v>117.63</v>
      </c>
      <c r="D51" s="21">
        <v>11.48</v>
      </c>
      <c r="E51" s="21">
        <v>357.13</v>
      </c>
      <c r="F51" s="21">
        <v>71.05</v>
      </c>
      <c r="G51" s="21">
        <v>200.39</v>
      </c>
      <c r="H51" s="21">
        <v>9.8000000000000007</v>
      </c>
      <c r="I51" s="21">
        <v>10.220000000000001</v>
      </c>
      <c r="J51" s="21">
        <v>9.8000000000000007</v>
      </c>
      <c r="K51" s="21">
        <v>4.91</v>
      </c>
      <c r="L51" s="10">
        <v>17.04</v>
      </c>
      <c r="M51" s="20">
        <v>2.1932228797726787</v>
      </c>
      <c r="N51" s="21">
        <v>0.42065766234527641</v>
      </c>
      <c r="O51" s="21">
        <v>14.55884810905785</v>
      </c>
      <c r="P51" s="21">
        <v>1.0416147447494113</v>
      </c>
      <c r="Q51" s="21">
        <v>2.2854021208312707</v>
      </c>
      <c r="R51" s="21"/>
      <c r="S51" s="21">
        <v>1.2694075270152776</v>
      </c>
      <c r="T51" s="21">
        <v>9.9694811800610399</v>
      </c>
      <c r="U51" s="21">
        <v>75.888717156105102</v>
      </c>
      <c r="V51" s="10"/>
    </row>
    <row r="52" spans="1:22" x14ac:dyDescent="0.2">
      <c r="A52" s="20" t="s">
        <v>735</v>
      </c>
      <c r="B52" s="21" t="s">
        <v>604</v>
      </c>
      <c r="C52" s="21">
        <v>9.8000000000000007</v>
      </c>
      <c r="D52" s="21">
        <v>4.83</v>
      </c>
      <c r="E52" s="21">
        <v>11.18</v>
      </c>
      <c r="F52" s="21">
        <v>14.95</v>
      </c>
      <c r="G52" s="21">
        <v>486.91</v>
      </c>
      <c r="H52" s="21">
        <v>9.8000000000000007</v>
      </c>
      <c r="I52" s="21">
        <v>9.8000000000000007</v>
      </c>
      <c r="J52" s="21">
        <v>9.8000000000000007</v>
      </c>
      <c r="K52" s="21">
        <v>4.91</v>
      </c>
      <c r="L52" s="10">
        <v>3.49</v>
      </c>
      <c r="M52" s="20">
        <v>0.1827219605693467</v>
      </c>
      <c r="N52" s="21">
        <v>0.17698401647453704</v>
      </c>
      <c r="O52" s="21">
        <v>0.4557665888031438</v>
      </c>
      <c r="P52" s="21">
        <v>0.21917157542580856</v>
      </c>
      <c r="Q52" s="21">
        <v>5.5530971937419737</v>
      </c>
      <c r="R52" s="21"/>
      <c r="S52" s="21">
        <v>1.2172400943982113</v>
      </c>
      <c r="T52" s="21">
        <v>9.9694811800610399</v>
      </c>
      <c r="U52" s="21">
        <v>75.888717156105102</v>
      </c>
      <c r="V52" s="10"/>
    </row>
    <row r="53" spans="1:22" x14ac:dyDescent="0.2">
      <c r="A53" s="20" t="s">
        <v>736</v>
      </c>
      <c r="B53" s="21" t="s">
        <v>606</v>
      </c>
      <c r="C53" s="21">
        <v>9.8000000000000007</v>
      </c>
      <c r="D53" s="21">
        <v>24.53</v>
      </c>
      <c r="E53" s="21">
        <v>55.4</v>
      </c>
      <c r="F53" s="21">
        <v>69.680000000000007</v>
      </c>
      <c r="G53" s="21">
        <v>614.1</v>
      </c>
      <c r="H53" s="21">
        <v>9.8000000000000007</v>
      </c>
      <c r="I53" s="21">
        <v>10.06</v>
      </c>
      <c r="J53" s="21">
        <v>9.8000000000000007</v>
      </c>
      <c r="K53" s="21">
        <v>4.26</v>
      </c>
      <c r="L53" s="10">
        <v>3.37</v>
      </c>
      <c r="M53" s="20">
        <v>0.1827219605693467</v>
      </c>
      <c r="N53" s="21">
        <v>0.89884429070815597</v>
      </c>
      <c r="O53" s="21">
        <v>2.2584498228706771</v>
      </c>
      <c r="P53" s="21">
        <v>1.0215301254628992</v>
      </c>
      <c r="Q53" s="21">
        <v>7.0036700554043794</v>
      </c>
      <c r="R53" s="21"/>
      <c r="S53" s="21">
        <v>1.2495342193516334</v>
      </c>
      <c r="T53" s="21">
        <v>9.9694811800610399</v>
      </c>
      <c r="U53" s="21">
        <v>65.842349304482227</v>
      </c>
      <c r="V53" s="10"/>
    </row>
    <row r="54" spans="1:22" x14ac:dyDescent="0.2">
      <c r="A54" s="20" t="s">
        <v>737</v>
      </c>
      <c r="B54" s="21" t="s">
        <v>608</v>
      </c>
      <c r="C54" s="21">
        <v>52.42</v>
      </c>
      <c r="D54" s="21">
        <v>242.33</v>
      </c>
      <c r="E54" s="21">
        <v>2453.0100000000002</v>
      </c>
      <c r="F54" s="21">
        <v>673.07</v>
      </c>
      <c r="G54" s="21">
        <v>1144.3</v>
      </c>
      <c r="H54" s="21">
        <v>9.8000000000000007</v>
      </c>
      <c r="I54" s="21">
        <v>26.82</v>
      </c>
      <c r="J54" s="21">
        <v>17.77</v>
      </c>
      <c r="K54" s="21">
        <v>8.7100000000000009</v>
      </c>
      <c r="L54" s="10">
        <v>7.73</v>
      </c>
      <c r="M54" s="20">
        <v>0.97737603806583218</v>
      </c>
      <c r="N54" s="21">
        <v>8.8796142261438007</v>
      </c>
      <c r="O54" s="21">
        <v>100</v>
      </c>
      <c r="P54" s="21">
        <v>9.8674121920969213</v>
      </c>
      <c r="Q54" s="21">
        <v>13.050479798728595</v>
      </c>
      <c r="R54" s="21"/>
      <c r="S54" s="21">
        <v>3.3312631971183704</v>
      </c>
      <c r="T54" s="21">
        <v>18.077314343845373</v>
      </c>
      <c r="U54" s="21">
        <v>134.62132921174654</v>
      </c>
      <c r="V54" s="10"/>
    </row>
    <row r="55" spans="1:22" x14ac:dyDescent="0.2">
      <c r="A55" s="20" t="s">
        <v>738</v>
      </c>
      <c r="B55" s="21" t="s">
        <v>616</v>
      </c>
      <c r="C55" s="21">
        <v>9.8000000000000007</v>
      </c>
      <c r="D55" s="21">
        <v>3.67</v>
      </c>
      <c r="E55" s="21">
        <v>2.0699999999999998</v>
      </c>
      <c r="F55" s="21">
        <v>2.14</v>
      </c>
      <c r="G55" s="21">
        <v>470.38</v>
      </c>
      <c r="H55" s="21">
        <v>9.8000000000000007</v>
      </c>
      <c r="I55" s="21">
        <v>9.8000000000000007</v>
      </c>
      <c r="J55" s="21">
        <v>9.8000000000000007</v>
      </c>
      <c r="K55" s="21">
        <v>4.32</v>
      </c>
      <c r="L55" s="10">
        <v>3.43</v>
      </c>
      <c r="M55" s="20">
        <v>0.1827219605693467</v>
      </c>
      <c r="N55" s="21">
        <v>0.13447853839783663</v>
      </c>
      <c r="O55" s="21">
        <v>8.4386121540474757E-2</v>
      </c>
      <c r="P55" s="21">
        <v>3.1373054943895008E-2</v>
      </c>
      <c r="Q55" s="21">
        <v>5.3645763241509714</v>
      </c>
      <c r="R55" s="21"/>
      <c r="S55" s="21">
        <v>1.2172400943982113</v>
      </c>
      <c r="T55" s="21">
        <v>9.9694811800610399</v>
      </c>
      <c r="U55" s="21">
        <v>66.76970633693972</v>
      </c>
      <c r="V55" s="10"/>
    </row>
    <row r="56" spans="1:22" x14ac:dyDescent="0.2">
      <c r="A56" s="20" t="s">
        <v>739</v>
      </c>
      <c r="B56" s="21" t="s">
        <v>618</v>
      </c>
      <c r="C56" s="21">
        <v>9.8000000000000007</v>
      </c>
      <c r="D56" s="21">
        <v>4.62</v>
      </c>
      <c r="E56" s="21">
        <v>2.0699999999999998</v>
      </c>
      <c r="F56" s="21">
        <v>2.14</v>
      </c>
      <c r="G56" s="21">
        <v>454.31</v>
      </c>
      <c r="H56" s="21">
        <v>9.8000000000000007</v>
      </c>
      <c r="I56" s="21">
        <v>9.8000000000000007</v>
      </c>
      <c r="J56" s="21">
        <v>9.8000000000000007</v>
      </c>
      <c r="K56" s="21">
        <v>4.3899999999999997</v>
      </c>
      <c r="L56" s="10">
        <v>3.33</v>
      </c>
      <c r="M56" s="20">
        <v>0.1827219605693467</v>
      </c>
      <c r="N56" s="21">
        <v>0.16928905923651369</v>
      </c>
      <c r="O56" s="21">
        <v>8.4386121540474757E-2</v>
      </c>
      <c r="P56" s="21">
        <v>3.1373054943895008E-2</v>
      </c>
      <c r="Q56" s="21">
        <v>5.1813016493580255</v>
      </c>
      <c r="R56" s="21"/>
      <c r="S56" s="21">
        <v>1.2172400943982113</v>
      </c>
      <c r="T56" s="21">
        <v>9.9694811800610399</v>
      </c>
      <c r="U56" s="21">
        <v>67.851622874806793</v>
      </c>
      <c r="V56" s="10"/>
    </row>
    <row r="57" spans="1:22" x14ac:dyDescent="0.2">
      <c r="A57" s="28" t="s">
        <v>740</v>
      </c>
      <c r="B57" s="26" t="s">
        <v>620</v>
      </c>
      <c r="C57" s="26">
        <v>5363.34</v>
      </c>
      <c r="D57" s="26">
        <v>61.97</v>
      </c>
      <c r="E57" s="26">
        <v>2.0699999999999998</v>
      </c>
      <c r="F57" s="26">
        <v>2.14</v>
      </c>
      <c r="G57" s="26">
        <v>8768.26</v>
      </c>
      <c r="H57" s="26">
        <v>9.8000000000000007</v>
      </c>
      <c r="I57" s="26">
        <v>9.8000000000000007</v>
      </c>
      <c r="J57" s="26">
        <v>9.8800000000000008</v>
      </c>
      <c r="K57" s="26">
        <v>4.71</v>
      </c>
      <c r="L57" s="11">
        <v>3.96</v>
      </c>
      <c r="M57" s="28">
        <v>100</v>
      </c>
      <c r="N57" s="26">
        <v>2.270745238287176</v>
      </c>
      <c r="O57" s="26">
        <v>8.4386121540474757E-2</v>
      </c>
      <c r="P57" s="26">
        <v>3.1373054943895008E-2</v>
      </c>
      <c r="Q57" s="26">
        <v>100</v>
      </c>
      <c r="R57" s="26"/>
      <c r="S57" s="26">
        <v>1.2172400943982113</v>
      </c>
      <c r="T57" s="26">
        <v>10.050864699898272</v>
      </c>
      <c r="U57" s="26">
        <v>72.797527047913448</v>
      </c>
      <c r="V57" s="11"/>
    </row>
    <row r="60" spans="1:22" x14ac:dyDescent="0.2">
      <c r="A60" s="21" t="s">
        <v>1155</v>
      </c>
      <c r="B60" s="21"/>
      <c r="C60" s="21" t="s">
        <v>272</v>
      </c>
      <c r="D60" s="21"/>
      <c r="E60" s="21"/>
      <c r="F60" s="21" t="s">
        <v>381</v>
      </c>
      <c r="G60" s="21"/>
      <c r="H60" s="21"/>
      <c r="I60" s="21" t="s">
        <v>1145</v>
      </c>
      <c r="J60" s="21"/>
      <c r="K60" s="21"/>
      <c r="L60" s="21" t="s">
        <v>9</v>
      </c>
      <c r="M60" s="21"/>
      <c r="N60" s="21"/>
    </row>
    <row r="61" spans="1:22" x14ac:dyDescent="0.2">
      <c r="A61" s="21"/>
      <c r="B61" s="21" t="s">
        <v>1127</v>
      </c>
      <c r="C61" s="21" t="s">
        <v>1073</v>
      </c>
      <c r="D61" s="21" t="s">
        <v>1074</v>
      </c>
      <c r="E61" s="21" t="s">
        <v>1075</v>
      </c>
      <c r="F61" s="21" t="s">
        <v>1142</v>
      </c>
      <c r="G61" s="21" t="s">
        <v>1143</v>
      </c>
      <c r="H61" s="21" t="s">
        <v>1144</v>
      </c>
      <c r="I61" s="113" t="s">
        <v>1146</v>
      </c>
      <c r="J61" s="113" t="s">
        <v>1147</v>
      </c>
      <c r="K61" s="113" t="s">
        <v>1143</v>
      </c>
      <c r="L61" s="246" t="s">
        <v>1149</v>
      </c>
      <c r="M61" s="113" t="s">
        <v>1150</v>
      </c>
      <c r="N61" s="113" t="s">
        <v>1143</v>
      </c>
    </row>
    <row r="62" spans="1:22" x14ac:dyDescent="0.2">
      <c r="A62" s="21" t="s">
        <v>1152</v>
      </c>
      <c r="B62" s="21" t="s">
        <v>7</v>
      </c>
      <c r="C62" s="21">
        <v>0.96899999999999997</v>
      </c>
      <c r="D62" s="21" t="s">
        <v>1131</v>
      </c>
      <c r="E62" s="21" t="s">
        <v>1131</v>
      </c>
      <c r="F62" s="113" t="s">
        <v>1133</v>
      </c>
      <c r="G62" s="113" t="s">
        <v>1133</v>
      </c>
      <c r="H62" s="113" t="s">
        <v>1133</v>
      </c>
      <c r="I62" s="113" t="s">
        <v>1133</v>
      </c>
      <c r="J62" s="113" t="s">
        <v>1133</v>
      </c>
      <c r="K62" s="21">
        <v>0.99960000000000004</v>
      </c>
      <c r="L62" s="100" t="s">
        <v>1133</v>
      </c>
      <c r="M62" s="100" t="s">
        <v>1133</v>
      </c>
      <c r="N62" s="100" t="s">
        <v>1133</v>
      </c>
    </row>
    <row r="63" spans="1:22" x14ac:dyDescent="0.2">
      <c r="A63" s="21" t="s">
        <v>1153</v>
      </c>
      <c r="B63" s="21" t="s">
        <v>7</v>
      </c>
      <c r="C63" s="21">
        <v>0.96660000000000001</v>
      </c>
      <c r="D63" s="21">
        <v>7.0599999999999996E-2</v>
      </c>
      <c r="E63" s="21">
        <v>4.3999999999999997E-2</v>
      </c>
      <c r="F63" s="113">
        <v>0.97089999999999999</v>
      </c>
      <c r="G63" s="113">
        <v>0.99909999999999999</v>
      </c>
      <c r="H63" s="113">
        <v>0.99939999999999996</v>
      </c>
      <c r="I63" s="113">
        <v>0.99970000000000003</v>
      </c>
      <c r="J63" s="113" t="s">
        <v>1133</v>
      </c>
      <c r="K63" s="113">
        <v>0.68140000000000001</v>
      </c>
      <c r="L63" s="113" t="s">
        <v>1133</v>
      </c>
      <c r="M63" s="113" t="s">
        <v>1133</v>
      </c>
      <c r="N63" s="113" t="s">
        <v>1133</v>
      </c>
    </row>
    <row r="64" spans="1:22" x14ac:dyDescent="0.2">
      <c r="A64" s="113" t="s">
        <v>66</v>
      </c>
      <c r="B64" s="21" t="s">
        <v>7</v>
      </c>
      <c r="C64" s="21">
        <v>4.4999999999999997E-3</v>
      </c>
      <c r="D64" s="21">
        <v>2.9999999999999997E-4</v>
      </c>
      <c r="E64" s="21">
        <v>1.5599999999999999E-2</v>
      </c>
      <c r="F64" s="113">
        <v>0.10680000000000001</v>
      </c>
      <c r="G64" s="113">
        <v>0.3206</v>
      </c>
      <c r="H64" s="113">
        <v>0.25519999999999998</v>
      </c>
      <c r="I64" s="113" t="s">
        <v>1156</v>
      </c>
      <c r="J64" s="113">
        <v>0.53080000000000005</v>
      </c>
      <c r="K64" s="113">
        <v>4.0000000000000002E-4</v>
      </c>
      <c r="L64" s="113" t="s">
        <v>1133</v>
      </c>
      <c r="M64" s="113" t="s">
        <v>1133</v>
      </c>
      <c r="N64" s="113" t="s">
        <v>1133</v>
      </c>
    </row>
    <row r="65" spans="1:14" x14ac:dyDescent="0.2">
      <c r="A65" s="113" t="s">
        <v>1151</v>
      </c>
      <c r="B65" s="21" t="s">
        <v>7</v>
      </c>
      <c r="C65" s="21">
        <v>0.99909999999999999</v>
      </c>
      <c r="D65" s="21">
        <v>4.0000000000000002E-4</v>
      </c>
      <c r="E65" s="21">
        <v>5.7200000000000001E-2</v>
      </c>
      <c r="F65" s="113">
        <v>0.97370000000000001</v>
      </c>
      <c r="G65" s="113">
        <v>0.99909999999999999</v>
      </c>
      <c r="H65" s="113">
        <v>0.99960000000000004</v>
      </c>
      <c r="I65" s="113" t="s">
        <v>1133</v>
      </c>
      <c r="J65" s="113">
        <v>0.99970000000000003</v>
      </c>
      <c r="K65" s="113">
        <v>0.25819999999999999</v>
      </c>
      <c r="L65" s="113" t="s">
        <v>1133</v>
      </c>
      <c r="M65" s="113" t="s">
        <v>1133</v>
      </c>
      <c r="N65" s="113" t="s">
        <v>1133</v>
      </c>
    </row>
    <row r="66" spans="1:14" x14ac:dyDescent="0.2">
      <c r="A66" s="113" t="s">
        <v>321</v>
      </c>
      <c r="B66" s="21" t="s">
        <v>7</v>
      </c>
      <c r="C66" s="113">
        <v>0.99929999999999997</v>
      </c>
      <c r="D66" s="21">
        <v>0.33739999999999998</v>
      </c>
      <c r="E66" s="262">
        <v>1.54E-2</v>
      </c>
      <c r="F66" s="113">
        <v>0.55220000000000002</v>
      </c>
      <c r="G66" s="113">
        <v>0.98550000000000004</v>
      </c>
      <c r="H66" s="113">
        <v>0.9234</v>
      </c>
      <c r="I66" s="113" t="s">
        <v>1133</v>
      </c>
      <c r="J66" s="113">
        <v>0.99939999999999996</v>
      </c>
      <c r="K66" s="113">
        <v>0.10630000000000001</v>
      </c>
      <c r="L66" s="113" t="s">
        <v>1133</v>
      </c>
      <c r="M66" s="113" t="s">
        <v>1133</v>
      </c>
      <c r="N66" s="21">
        <v>0.92869999999999997</v>
      </c>
    </row>
    <row r="67" spans="1:14" x14ac:dyDescent="0.2">
      <c r="A67" s="113" t="s">
        <v>15</v>
      </c>
      <c r="B67" s="21" t="s">
        <v>7</v>
      </c>
      <c r="C67" s="113">
        <v>0.99980000000000002</v>
      </c>
      <c r="D67" s="113">
        <v>0.99970000000000003</v>
      </c>
      <c r="E67" s="113">
        <v>0.96679999999999999</v>
      </c>
      <c r="F67" s="113">
        <v>0.37619999999999998</v>
      </c>
      <c r="G67" s="113">
        <v>0.70750000000000002</v>
      </c>
      <c r="H67" s="113">
        <v>0.9698</v>
      </c>
      <c r="I67" s="113" t="s">
        <v>1133</v>
      </c>
      <c r="J67" s="113">
        <v>0.99990000000000001</v>
      </c>
      <c r="K67" s="113">
        <v>0.999</v>
      </c>
      <c r="L67" s="113" t="s">
        <v>1133</v>
      </c>
      <c r="M67" s="113" t="s">
        <v>1133</v>
      </c>
      <c r="N67" s="113">
        <v>2.9999999999999997E-4</v>
      </c>
    </row>
    <row r="68" spans="1:14" x14ac:dyDescent="0.2">
      <c r="A68" s="113" t="s">
        <v>150</v>
      </c>
      <c r="B68" s="21" t="s">
        <v>7</v>
      </c>
      <c r="C68" s="113">
        <v>0.99990000000000001</v>
      </c>
      <c r="D68" s="113">
        <v>0.99929999999999997</v>
      </c>
      <c r="E68" s="113">
        <v>0.57230000000000003</v>
      </c>
      <c r="F68" s="113">
        <v>0.26590000000000003</v>
      </c>
      <c r="G68" s="113">
        <v>0.99980000000000002</v>
      </c>
      <c r="H68" s="113">
        <v>0.996</v>
      </c>
      <c r="I68" s="113">
        <v>0.99970000000000003</v>
      </c>
      <c r="J68" s="113">
        <v>0.99960000000000004</v>
      </c>
      <c r="K68" s="113">
        <v>0.70479999999999998</v>
      </c>
      <c r="L68" s="113" t="s">
        <v>1133</v>
      </c>
      <c r="M68" s="113">
        <v>0.99980000000000002</v>
      </c>
      <c r="N68" s="21" t="s">
        <v>1131</v>
      </c>
    </row>
  </sheetData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CD9EC5-A346-2C43-BE0C-02F48BF71CFD}">
  <sheetPr codeName="Sheet19"/>
  <dimension ref="A1:P57"/>
  <sheetViews>
    <sheetView zoomScale="79" zoomScaleNormal="79" workbookViewId="0">
      <selection activeCell="N24" sqref="N24"/>
    </sheetView>
  </sheetViews>
  <sheetFormatPr baseColWidth="10" defaultRowHeight="16" x14ac:dyDescent="0.2"/>
  <cols>
    <col min="3" max="3" width="10.83203125" style="21"/>
    <col min="5" max="5" width="10.83203125" style="10"/>
    <col min="11" max="11" width="12" customWidth="1"/>
  </cols>
  <sheetData>
    <row r="1" spans="1:16" x14ac:dyDescent="0.2">
      <c r="B1" t="s">
        <v>108</v>
      </c>
      <c r="F1" t="s">
        <v>1211</v>
      </c>
    </row>
    <row r="2" spans="1:16" x14ac:dyDescent="0.2">
      <c r="A2" t="s">
        <v>741</v>
      </c>
      <c r="B2" t="s">
        <v>742</v>
      </c>
      <c r="C2" s="21" t="s">
        <v>98</v>
      </c>
      <c r="D2" t="s">
        <v>139</v>
      </c>
      <c r="E2" s="10" t="s">
        <v>10</v>
      </c>
      <c r="F2" t="s">
        <v>98</v>
      </c>
      <c r="G2" t="s">
        <v>139</v>
      </c>
      <c r="H2" t="s">
        <v>10</v>
      </c>
      <c r="J2" s="17" t="s">
        <v>1134</v>
      </c>
      <c r="K2" s="266" t="s">
        <v>1127</v>
      </c>
      <c r="L2" s="232" t="s">
        <v>272</v>
      </c>
      <c r="M2" s="232" t="s">
        <v>273</v>
      </c>
      <c r="N2" s="232" t="s">
        <v>1157</v>
      </c>
      <c r="O2" s="232" t="s">
        <v>1145</v>
      </c>
      <c r="P2" s="233" t="s">
        <v>9</v>
      </c>
    </row>
    <row r="3" spans="1:16" x14ac:dyDescent="0.2">
      <c r="A3">
        <v>14</v>
      </c>
      <c r="B3" s="146" t="s">
        <v>7</v>
      </c>
      <c r="C3" s="21">
        <v>4.91</v>
      </c>
      <c r="D3">
        <v>1.05</v>
      </c>
      <c r="E3" s="10">
        <v>22.05</v>
      </c>
      <c r="F3">
        <v>1</v>
      </c>
      <c r="G3">
        <v>1</v>
      </c>
      <c r="H3">
        <v>1</v>
      </c>
      <c r="J3" s="20" t="s">
        <v>321</v>
      </c>
      <c r="K3" s="265" t="s">
        <v>20</v>
      </c>
      <c r="L3" s="21">
        <v>5.8400000000000001E-2</v>
      </c>
      <c r="M3" s="21">
        <v>0.224</v>
      </c>
      <c r="N3" s="21" t="s">
        <v>1131</v>
      </c>
      <c r="O3" s="21">
        <v>0.35399999999999998</v>
      </c>
      <c r="P3" s="10" t="s">
        <v>1131</v>
      </c>
    </row>
    <row r="4" spans="1:16" x14ac:dyDescent="0.2">
      <c r="A4">
        <v>14</v>
      </c>
      <c r="B4" s="146" t="s">
        <v>104</v>
      </c>
      <c r="C4" s="21">
        <v>17.41</v>
      </c>
      <c r="D4">
        <v>13.06</v>
      </c>
      <c r="E4" s="10">
        <v>62.51</v>
      </c>
      <c r="F4">
        <v>3.5458248472505089</v>
      </c>
      <c r="G4">
        <v>12.438095238095238</v>
      </c>
      <c r="H4">
        <v>2.8349206349206346</v>
      </c>
      <c r="J4" s="20"/>
      <c r="K4" s="265" t="s">
        <v>273</v>
      </c>
      <c r="L4" s="21">
        <v>0.98580000000000001</v>
      </c>
      <c r="M4" s="260"/>
      <c r="N4" s="21">
        <v>2.5399999999999999E-2</v>
      </c>
      <c r="O4" s="21">
        <v>0.99980000000000002</v>
      </c>
      <c r="P4" s="10">
        <v>4.0000000000000002E-4</v>
      </c>
    </row>
    <row r="5" spans="1:16" x14ac:dyDescent="0.2">
      <c r="A5">
        <v>14</v>
      </c>
      <c r="B5" s="146" t="s">
        <v>105</v>
      </c>
      <c r="C5" s="21">
        <v>8.32</v>
      </c>
      <c r="D5">
        <v>1.08</v>
      </c>
      <c r="E5" s="10">
        <v>98.81</v>
      </c>
      <c r="F5">
        <v>1.6945010183299389</v>
      </c>
      <c r="G5">
        <v>1.0285714285714287</v>
      </c>
      <c r="H5">
        <v>4.4811791383219957</v>
      </c>
      <c r="J5" s="20"/>
      <c r="K5" s="265" t="s">
        <v>1157</v>
      </c>
      <c r="L5" s="21">
        <v>0.1144</v>
      </c>
      <c r="M5" s="21">
        <v>2.5399999999999999E-2</v>
      </c>
      <c r="N5" s="260"/>
      <c r="O5" s="21">
        <v>1.2500000000000001E-2</v>
      </c>
      <c r="P5" s="10">
        <v>0.66600000000000004</v>
      </c>
    </row>
    <row r="6" spans="1:16" x14ac:dyDescent="0.2">
      <c r="A6">
        <v>14</v>
      </c>
      <c r="B6" s="146" t="s">
        <v>9</v>
      </c>
      <c r="C6" s="21">
        <v>13.68</v>
      </c>
      <c r="D6">
        <v>1.1599999999999999</v>
      </c>
      <c r="E6" s="10">
        <v>222.14</v>
      </c>
      <c r="F6">
        <v>2.7861507128309571</v>
      </c>
      <c r="G6">
        <v>1.1047619047619046</v>
      </c>
      <c r="H6">
        <v>10.074376417233559</v>
      </c>
      <c r="J6" s="20"/>
      <c r="K6" s="265" t="s">
        <v>1145</v>
      </c>
      <c r="L6" s="21">
        <v>0.93600000000000005</v>
      </c>
      <c r="M6" s="21">
        <v>0.99980000000000002</v>
      </c>
      <c r="N6" s="21">
        <v>1.2500000000000001E-2</v>
      </c>
      <c r="O6" s="260"/>
      <c r="P6" s="10">
        <v>2.0000000000000001E-4</v>
      </c>
    </row>
    <row r="7" spans="1:16" x14ac:dyDescent="0.2">
      <c r="A7">
        <v>14</v>
      </c>
      <c r="B7" s="146" t="s">
        <v>313</v>
      </c>
      <c r="C7" s="21">
        <v>19.420000000000002</v>
      </c>
      <c r="D7">
        <v>9.3000000000000007</v>
      </c>
      <c r="E7" s="10">
        <v>104.03</v>
      </c>
      <c r="F7">
        <v>3.9551934826883914</v>
      </c>
      <c r="G7">
        <v>8.8571428571428577</v>
      </c>
      <c r="H7">
        <v>4.717913832199546</v>
      </c>
      <c r="J7" s="20"/>
      <c r="K7" s="265" t="s">
        <v>9</v>
      </c>
      <c r="L7" s="21">
        <v>2.5999999999999999E-3</v>
      </c>
      <c r="M7" s="21">
        <v>4.0000000000000002E-4</v>
      </c>
      <c r="N7" s="21">
        <v>0.66600000000000004</v>
      </c>
      <c r="O7" s="21">
        <v>2.0000000000000001E-4</v>
      </c>
      <c r="P7" s="263"/>
    </row>
    <row r="8" spans="1:16" x14ac:dyDescent="0.2">
      <c r="A8">
        <v>14</v>
      </c>
      <c r="B8" s="146" t="s">
        <v>743</v>
      </c>
      <c r="C8" s="21">
        <v>10.07</v>
      </c>
      <c r="D8">
        <v>2.35</v>
      </c>
      <c r="E8" s="10">
        <v>71.56</v>
      </c>
      <c r="F8">
        <v>2.05091649694501</v>
      </c>
      <c r="G8">
        <v>2.2380952380952381</v>
      </c>
      <c r="H8">
        <v>3.2453514739229026</v>
      </c>
      <c r="J8" s="17" t="s">
        <v>139</v>
      </c>
      <c r="K8" s="266" t="s">
        <v>20</v>
      </c>
      <c r="L8" s="18" t="s">
        <v>1131</v>
      </c>
      <c r="M8" s="18">
        <v>1E-3</v>
      </c>
      <c r="N8" s="18">
        <v>0.98050000000000004</v>
      </c>
      <c r="O8" s="18">
        <v>8.0000000000000004E-4</v>
      </c>
      <c r="P8" s="19">
        <v>0.99070000000000003</v>
      </c>
    </row>
    <row r="9" spans="1:16" x14ac:dyDescent="0.2">
      <c r="J9" s="20"/>
      <c r="K9" s="265" t="s">
        <v>273</v>
      </c>
      <c r="L9" s="21">
        <v>4.0000000000000002E-4</v>
      </c>
      <c r="M9" s="260"/>
      <c r="N9" s="21">
        <v>7.1000000000000004E-3</v>
      </c>
      <c r="O9" s="21" t="s">
        <v>1133</v>
      </c>
      <c r="P9" s="10">
        <v>5.3E-3</v>
      </c>
    </row>
    <row r="10" spans="1:16" x14ac:dyDescent="0.2">
      <c r="A10" s="146">
        <v>15</v>
      </c>
      <c r="B10" s="146" t="s">
        <v>7</v>
      </c>
      <c r="C10" s="71">
        <v>5.72</v>
      </c>
      <c r="D10" s="64">
        <v>4.3600000000000003</v>
      </c>
      <c r="E10" s="72">
        <v>171.68</v>
      </c>
      <c r="F10" s="64">
        <v>1</v>
      </c>
      <c r="G10" s="64">
        <v>1</v>
      </c>
      <c r="H10" s="64">
        <v>1</v>
      </c>
      <c r="J10" s="20"/>
      <c r="K10" s="265" t="s">
        <v>1157</v>
      </c>
      <c r="L10" s="21" t="s">
        <v>1131</v>
      </c>
      <c r="M10" s="21">
        <v>7.1000000000000004E-3</v>
      </c>
      <c r="N10" s="260"/>
      <c r="O10" s="21">
        <v>5.7999999999999996E-3</v>
      </c>
      <c r="P10" s="10" t="s">
        <v>1133</v>
      </c>
    </row>
    <row r="11" spans="1:16" x14ac:dyDescent="0.2">
      <c r="A11" s="146">
        <v>15</v>
      </c>
      <c r="B11" s="146" t="s">
        <v>104</v>
      </c>
      <c r="C11" s="71">
        <v>14.21</v>
      </c>
      <c r="D11" s="64">
        <v>303.3</v>
      </c>
      <c r="E11" s="72">
        <v>123.64</v>
      </c>
      <c r="F11" s="64">
        <v>2.4842657342657346</v>
      </c>
      <c r="G11" s="64">
        <v>69.564220183486242</v>
      </c>
      <c r="H11" s="64">
        <v>0.72017707362534944</v>
      </c>
      <c r="J11" s="20"/>
      <c r="K11" s="265" t="s">
        <v>1145</v>
      </c>
      <c r="L11" s="21">
        <v>4.0000000000000002E-4</v>
      </c>
      <c r="M11" s="21" t="s">
        <v>1133</v>
      </c>
      <c r="N11" s="21">
        <v>5.7999999999999996E-3</v>
      </c>
      <c r="O11" s="260"/>
      <c r="P11" s="10">
        <v>4.3E-3</v>
      </c>
    </row>
    <row r="12" spans="1:16" x14ac:dyDescent="0.2">
      <c r="A12" s="146">
        <v>15</v>
      </c>
      <c r="B12" s="146" t="s">
        <v>105</v>
      </c>
      <c r="C12" s="71">
        <v>51.39</v>
      </c>
      <c r="D12" s="64">
        <v>6.59</v>
      </c>
      <c r="E12" s="72">
        <v>284.33999999999997</v>
      </c>
      <c r="F12" s="64">
        <v>8.984265734265735</v>
      </c>
      <c r="G12" s="64">
        <v>1.5114678899082568</v>
      </c>
      <c r="H12" s="64">
        <v>1.656220876048462</v>
      </c>
      <c r="J12" s="28"/>
      <c r="K12" s="267" t="s">
        <v>9</v>
      </c>
      <c r="L12" s="26" t="s">
        <v>1131</v>
      </c>
      <c r="M12" s="26">
        <v>5.3E-3</v>
      </c>
      <c r="N12" s="26" t="s">
        <v>1133</v>
      </c>
      <c r="O12" s="26">
        <v>4.3E-3</v>
      </c>
      <c r="P12" s="264"/>
    </row>
    <row r="13" spans="1:16" x14ac:dyDescent="0.2">
      <c r="A13" s="146">
        <v>15</v>
      </c>
      <c r="B13" s="146" t="s">
        <v>9</v>
      </c>
      <c r="C13" s="71">
        <v>247.94</v>
      </c>
      <c r="D13" s="64">
        <v>5.46</v>
      </c>
      <c r="E13" s="72">
        <v>6260.34</v>
      </c>
      <c r="F13" s="64">
        <v>43.346153846153847</v>
      </c>
      <c r="G13" s="64">
        <v>1.2522935779816513</v>
      </c>
      <c r="H13" s="64">
        <v>36.465167753960856</v>
      </c>
      <c r="J13" s="20" t="s">
        <v>10</v>
      </c>
      <c r="K13" s="265" t="s">
        <v>20</v>
      </c>
      <c r="L13" s="21">
        <v>0.92230000000000001</v>
      </c>
      <c r="M13" s="21">
        <v>0.85289999999999999</v>
      </c>
      <c r="N13" s="21">
        <v>7.4300000000000005E-2</v>
      </c>
      <c r="O13" s="21">
        <v>0.70879999999999999</v>
      </c>
      <c r="P13" s="10" t="s">
        <v>1131</v>
      </c>
    </row>
    <row r="14" spans="1:16" x14ac:dyDescent="0.2">
      <c r="A14" s="146">
        <v>15</v>
      </c>
      <c r="B14" s="146" t="s">
        <v>743</v>
      </c>
      <c r="C14" s="71">
        <v>18.170000000000002</v>
      </c>
      <c r="D14" s="64">
        <v>305.91000000000003</v>
      </c>
      <c r="E14" s="72">
        <v>139.02000000000001</v>
      </c>
      <c r="F14" s="64">
        <v>3.1765734265734271</v>
      </c>
      <c r="G14" s="64">
        <v>70.162844036697251</v>
      </c>
      <c r="H14" s="64">
        <v>0.80976234855545204</v>
      </c>
      <c r="J14" s="20"/>
      <c r="K14" s="265" t="s">
        <v>273</v>
      </c>
      <c r="L14" s="21" t="s">
        <v>1133</v>
      </c>
      <c r="M14" s="260"/>
      <c r="N14" s="21">
        <v>0.55310000000000004</v>
      </c>
      <c r="O14" s="21">
        <v>0.99980000000000002</v>
      </c>
      <c r="P14" s="10">
        <v>2.0000000000000001E-4</v>
      </c>
    </row>
    <row r="15" spans="1:16" x14ac:dyDescent="0.2">
      <c r="A15" s="146">
        <v>15</v>
      </c>
      <c r="B15" s="146" t="s">
        <v>313</v>
      </c>
      <c r="C15" s="71">
        <v>19.2</v>
      </c>
      <c r="D15" s="64">
        <v>17.68</v>
      </c>
      <c r="E15" s="72">
        <v>416.56</v>
      </c>
      <c r="F15" s="64">
        <v>3.3566433566433567</v>
      </c>
      <c r="G15" s="64">
        <v>4.0550458715596323</v>
      </c>
      <c r="H15" s="64">
        <v>2.4263746505125816</v>
      </c>
      <c r="J15" s="20"/>
      <c r="K15" s="265" t="s">
        <v>1157</v>
      </c>
      <c r="L15" s="21">
        <v>0.44090000000000001</v>
      </c>
      <c r="M15" s="21">
        <v>0.55310000000000004</v>
      </c>
      <c r="N15" s="260"/>
      <c r="O15" s="21">
        <v>0.72309999999999997</v>
      </c>
      <c r="P15" s="10">
        <v>1.8599999999999998E-2</v>
      </c>
    </row>
    <row r="16" spans="1:16" x14ac:dyDescent="0.2">
      <c r="A16" s="146"/>
      <c r="B16" s="146"/>
      <c r="C16" s="71"/>
      <c r="D16" s="64"/>
      <c r="E16" s="72"/>
      <c r="F16" s="64"/>
      <c r="G16" s="64"/>
      <c r="H16" s="64"/>
      <c r="J16" s="20"/>
      <c r="K16" s="265" t="s">
        <v>1145</v>
      </c>
      <c r="L16" s="21">
        <v>0.99739999999999995</v>
      </c>
      <c r="M16" s="21">
        <v>0.99980000000000002</v>
      </c>
      <c r="N16" s="21">
        <v>0.72130000000000005</v>
      </c>
      <c r="O16" s="260"/>
      <c r="P16" s="10">
        <v>4.0000000000000002E-4</v>
      </c>
    </row>
    <row r="17" spans="1:16" x14ac:dyDescent="0.2">
      <c r="A17" s="146">
        <v>16</v>
      </c>
      <c r="B17" s="146" t="s">
        <v>7</v>
      </c>
      <c r="C17" s="71">
        <v>28.7</v>
      </c>
      <c r="D17" s="64">
        <v>2.88</v>
      </c>
      <c r="E17" s="72">
        <v>434.36</v>
      </c>
      <c r="F17" s="64">
        <v>1</v>
      </c>
      <c r="G17" s="64">
        <v>1</v>
      </c>
      <c r="H17" s="64">
        <v>1</v>
      </c>
      <c r="J17" s="28"/>
      <c r="K17" s="267" t="s">
        <v>9</v>
      </c>
      <c r="L17" s="26" t="s">
        <v>1131</v>
      </c>
      <c r="M17" s="26">
        <v>2.0000000000000001E-4</v>
      </c>
      <c r="N17" s="26">
        <v>1.8599999999999998E-2</v>
      </c>
      <c r="O17" s="26">
        <v>4.0000000000000002E-4</v>
      </c>
      <c r="P17" s="264"/>
    </row>
    <row r="18" spans="1:16" x14ac:dyDescent="0.2">
      <c r="A18" s="146">
        <v>16</v>
      </c>
      <c r="B18" s="146" t="s">
        <v>104</v>
      </c>
      <c r="C18" s="71">
        <v>93.62</v>
      </c>
      <c r="D18" s="64">
        <v>148.96</v>
      </c>
      <c r="E18" s="72">
        <v>439.08</v>
      </c>
      <c r="F18" s="64">
        <v>3.2620209059233454</v>
      </c>
      <c r="G18" s="64">
        <v>51.722222222222229</v>
      </c>
      <c r="H18" s="64">
        <v>1.0108665622985542</v>
      </c>
    </row>
    <row r="19" spans="1:16" x14ac:dyDescent="0.2">
      <c r="A19" s="146">
        <v>16</v>
      </c>
      <c r="B19" s="146" t="s">
        <v>105</v>
      </c>
      <c r="C19" s="71">
        <v>127.91</v>
      </c>
      <c r="D19" s="64">
        <v>4.13</v>
      </c>
      <c r="E19" s="72">
        <v>684.59</v>
      </c>
      <c r="F19" s="64">
        <v>4.4567944250871081</v>
      </c>
      <c r="G19" s="64">
        <v>1.4340277777777779</v>
      </c>
      <c r="H19" s="64">
        <v>1.5760889584676305</v>
      </c>
    </row>
    <row r="20" spans="1:16" x14ac:dyDescent="0.2">
      <c r="A20" s="146">
        <v>16</v>
      </c>
      <c r="B20" s="146" t="s">
        <v>9</v>
      </c>
      <c r="C20" s="71">
        <v>129.80000000000001</v>
      </c>
      <c r="D20" s="64">
        <v>2.31</v>
      </c>
      <c r="E20" s="72">
        <v>1255.52</v>
      </c>
      <c r="F20" s="64">
        <v>4.522648083623694</v>
      </c>
      <c r="G20" s="64">
        <v>0.80208333333333337</v>
      </c>
      <c r="H20" s="64">
        <v>2.8905055714154155</v>
      </c>
    </row>
    <row r="21" spans="1:16" x14ac:dyDescent="0.2">
      <c r="A21" s="146">
        <v>16</v>
      </c>
      <c r="B21" s="146" t="s">
        <v>743</v>
      </c>
      <c r="C21" s="71">
        <v>33.020000000000003</v>
      </c>
      <c r="D21" s="64">
        <v>8.9700000000000006</v>
      </c>
      <c r="E21" s="72">
        <v>389.57</v>
      </c>
      <c r="F21" s="64">
        <v>1.1505226480836239</v>
      </c>
      <c r="G21" s="64">
        <v>3.1145833333333335</v>
      </c>
      <c r="H21" s="64">
        <v>0.89688277005249095</v>
      </c>
    </row>
    <row r="22" spans="1:16" x14ac:dyDescent="0.2">
      <c r="A22" s="146">
        <v>16</v>
      </c>
      <c r="B22" s="146" t="s">
        <v>313</v>
      </c>
      <c r="C22" s="71">
        <v>49.29</v>
      </c>
      <c r="D22" s="64">
        <v>19.48</v>
      </c>
      <c r="E22" s="72">
        <v>429.87</v>
      </c>
      <c r="F22" s="64">
        <v>1.7174216027874565</v>
      </c>
      <c r="G22" s="64">
        <v>6.7638888888888893</v>
      </c>
      <c r="H22" s="64">
        <v>0.98966295238972279</v>
      </c>
    </row>
    <row r="23" spans="1:16" x14ac:dyDescent="0.2">
      <c r="A23" s="146"/>
      <c r="B23" s="146"/>
      <c r="C23" s="71"/>
      <c r="D23" s="64"/>
      <c r="E23" s="72"/>
      <c r="F23" s="64"/>
      <c r="G23" s="64"/>
      <c r="H23" s="64"/>
    </row>
    <row r="24" spans="1:16" x14ac:dyDescent="0.2">
      <c r="A24" s="146">
        <v>17</v>
      </c>
      <c r="B24" s="146" t="s">
        <v>7</v>
      </c>
      <c r="C24" s="71">
        <v>37.89</v>
      </c>
      <c r="D24" s="64">
        <v>2.88</v>
      </c>
      <c r="E24" s="72">
        <v>385.74</v>
      </c>
      <c r="F24" s="64">
        <v>1</v>
      </c>
      <c r="G24" s="64">
        <v>1</v>
      </c>
      <c r="H24" s="64">
        <v>1</v>
      </c>
    </row>
    <row r="25" spans="1:16" x14ac:dyDescent="0.2">
      <c r="A25" s="146">
        <v>17</v>
      </c>
      <c r="B25" s="146" t="s">
        <v>104</v>
      </c>
      <c r="C25" s="71">
        <v>52.93</v>
      </c>
      <c r="D25" s="64">
        <v>243.68</v>
      </c>
      <c r="E25" s="72">
        <v>309.27</v>
      </c>
      <c r="F25" s="64">
        <v>1.3969385062021642</v>
      </c>
      <c r="G25" s="64">
        <v>84.611111111111114</v>
      </c>
      <c r="H25" s="64">
        <v>0.80175766060040432</v>
      </c>
    </row>
    <row r="26" spans="1:16" x14ac:dyDescent="0.2">
      <c r="A26" s="146">
        <v>17</v>
      </c>
      <c r="B26" s="146" t="s">
        <v>105</v>
      </c>
      <c r="C26" s="71">
        <v>177.79</v>
      </c>
      <c r="D26" s="64">
        <v>5.71</v>
      </c>
      <c r="E26" s="72">
        <v>697.46</v>
      </c>
      <c r="F26" s="64">
        <v>4.6922670889416729</v>
      </c>
      <c r="G26" s="64">
        <v>1.9826388888888888</v>
      </c>
      <c r="H26" s="64">
        <v>1.8081090890236948</v>
      </c>
    </row>
    <row r="27" spans="1:16" x14ac:dyDescent="0.2">
      <c r="A27" s="146">
        <v>17</v>
      </c>
      <c r="B27" s="146" t="s">
        <v>9</v>
      </c>
      <c r="C27" s="71">
        <v>568.75</v>
      </c>
      <c r="D27" s="64">
        <v>9.3000000000000007</v>
      </c>
      <c r="E27" s="72">
        <v>2251.8200000000002</v>
      </c>
      <c r="F27" s="64">
        <v>15.010556875164951</v>
      </c>
      <c r="G27" s="64">
        <v>3.229166666666667</v>
      </c>
      <c r="H27" s="64">
        <v>5.8376626743402298</v>
      </c>
    </row>
    <row r="28" spans="1:16" x14ac:dyDescent="0.2">
      <c r="A28" s="146">
        <v>17</v>
      </c>
      <c r="B28" s="146" t="s">
        <v>743</v>
      </c>
      <c r="C28" s="71">
        <v>88.45</v>
      </c>
      <c r="D28" s="64">
        <v>14.69</v>
      </c>
      <c r="E28" s="72">
        <v>700.6</v>
      </c>
      <c r="F28" s="64">
        <v>2.3343890208498284</v>
      </c>
      <c r="G28" s="64">
        <v>5.1006944444444446</v>
      </c>
      <c r="H28" s="64">
        <v>1.8162492870845648</v>
      </c>
    </row>
    <row r="29" spans="1:16" x14ac:dyDescent="0.2">
      <c r="A29" s="146">
        <v>17</v>
      </c>
      <c r="B29" s="146" t="s">
        <v>313</v>
      </c>
      <c r="C29" s="71">
        <v>84.28</v>
      </c>
      <c r="D29" s="64">
        <v>81.48</v>
      </c>
      <c r="E29" s="72">
        <v>278</v>
      </c>
      <c r="F29" s="64">
        <v>2.2243335972552125</v>
      </c>
      <c r="G29" s="64">
        <v>28.291666666666668</v>
      </c>
      <c r="H29" s="64">
        <v>0.7206926945611033</v>
      </c>
    </row>
    <row r="30" spans="1:16" x14ac:dyDescent="0.2">
      <c r="A30" s="146"/>
      <c r="B30" s="146"/>
      <c r="C30" s="71"/>
      <c r="D30" s="64"/>
      <c r="E30" s="72"/>
      <c r="F30" s="64"/>
      <c r="G30" s="64"/>
      <c r="H30" s="64"/>
    </row>
    <row r="31" spans="1:16" x14ac:dyDescent="0.2">
      <c r="A31" s="146">
        <v>18</v>
      </c>
      <c r="B31" s="146" t="s">
        <v>7</v>
      </c>
      <c r="C31" s="71">
        <v>14.22</v>
      </c>
      <c r="D31">
        <v>1.75</v>
      </c>
      <c r="E31" s="72">
        <v>91.89</v>
      </c>
      <c r="F31" s="64">
        <v>1</v>
      </c>
      <c r="G31">
        <v>1</v>
      </c>
      <c r="H31" s="64">
        <v>1</v>
      </c>
    </row>
    <row r="32" spans="1:16" x14ac:dyDescent="0.2">
      <c r="A32" s="146">
        <v>18</v>
      </c>
      <c r="B32" s="146" t="s">
        <v>104</v>
      </c>
      <c r="C32" s="71">
        <v>58.6</v>
      </c>
      <c r="D32" s="64">
        <v>977.37</v>
      </c>
      <c r="E32" s="72">
        <v>440.01</v>
      </c>
      <c r="F32" s="64">
        <v>4.1209563994374117</v>
      </c>
      <c r="G32" s="64">
        <v>558.49714285714288</v>
      </c>
      <c r="H32" s="64">
        <v>4.7884427032321248</v>
      </c>
    </row>
    <row r="33" spans="1:8" x14ac:dyDescent="0.2">
      <c r="A33" s="146">
        <v>18</v>
      </c>
      <c r="B33" s="146" t="s">
        <v>743</v>
      </c>
      <c r="C33" s="71">
        <v>75.010000000000005</v>
      </c>
      <c r="D33" s="64">
        <v>77.86</v>
      </c>
      <c r="E33" s="72">
        <v>177</v>
      </c>
      <c r="F33" s="64">
        <v>5.2749648382559773</v>
      </c>
      <c r="G33" s="64">
        <v>44.491428571428571</v>
      </c>
      <c r="H33" s="64">
        <v>1.9262161279791055</v>
      </c>
    </row>
    <row r="34" spans="1:8" x14ac:dyDescent="0.2">
      <c r="A34" s="146">
        <v>18</v>
      </c>
      <c r="B34" s="146" t="s">
        <v>105</v>
      </c>
      <c r="C34" s="71">
        <v>264.41000000000003</v>
      </c>
      <c r="D34">
        <v>1.75</v>
      </c>
      <c r="E34" s="72">
        <v>301.77999999999997</v>
      </c>
      <c r="F34" s="64">
        <v>18.59423347398031</v>
      </c>
      <c r="G34">
        <v>1</v>
      </c>
      <c r="H34" s="64">
        <v>3.2841440853194035</v>
      </c>
    </row>
    <row r="35" spans="1:8" x14ac:dyDescent="0.2">
      <c r="A35" s="146">
        <v>18</v>
      </c>
      <c r="B35" s="146" t="s">
        <v>9</v>
      </c>
      <c r="C35" s="71">
        <v>1868.34</v>
      </c>
      <c r="D35">
        <v>1.75</v>
      </c>
      <c r="E35" s="72">
        <v>5253.83</v>
      </c>
      <c r="F35" s="64">
        <v>131.38818565400842</v>
      </c>
      <c r="G35">
        <v>1</v>
      </c>
      <c r="H35" s="64">
        <v>57.175209489607141</v>
      </c>
    </row>
    <row r="36" spans="1:8" x14ac:dyDescent="0.2">
      <c r="A36" s="146">
        <v>18</v>
      </c>
      <c r="B36" s="146" t="s">
        <v>313</v>
      </c>
      <c r="C36" s="71">
        <v>22.28</v>
      </c>
      <c r="D36" s="64">
        <v>11.11</v>
      </c>
      <c r="E36" s="72">
        <v>376.66</v>
      </c>
      <c r="F36" s="64">
        <v>1.5668073136427567</v>
      </c>
      <c r="G36" s="64">
        <v>6.3485714285714279</v>
      </c>
      <c r="H36" s="64">
        <v>4.0990314506475132</v>
      </c>
    </row>
    <row r="38" spans="1:8" x14ac:dyDescent="0.2">
      <c r="A38">
        <v>19</v>
      </c>
      <c r="B38" s="146" t="s">
        <v>7</v>
      </c>
      <c r="C38" s="21">
        <v>1.0900000000000001</v>
      </c>
      <c r="D38">
        <v>3.82</v>
      </c>
      <c r="E38" s="72">
        <v>1153.8800000000001</v>
      </c>
      <c r="F38">
        <v>1</v>
      </c>
      <c r="G38">
        <v>1</v>
      </c>
      <c r="H38" s="64">
        <v>1</v>
      </c>
    </row>
    <row r="39" spans="1:8" x14ac:dyDescent="0.2">
      <c r="A39">
        <v>19</v>
      </c>
      <c r="B39" s="146" t="s">
        <v>104</v>
      </c>
      <c r="C39" s="21">
        <v>1.0900000000000001</v>
      </c>
      <c r="D39" s="64">
        <v>63.1</v>
      </c>
      <c r="E39" s="72">
        <v>411.73</v>
      </c>
      <c r="F39">
        <v>1</v>
      </c>
      <c r="G39" s="64">
        <v>16.518324607329845</v>
      </c>
      <c r="H39" s="64">
        <v>0.35682219988213676</v>
      </c>
    </row>
    <row r="40" spans="1:8" x14ac:dyDescent="0.2">
      <c r="A40">
        <v>19</v>
      </c>
      <c r="B40" s="146" t="s">
        <v>743</v>
      </c>
      <c r="C40" s="71">
        <v>1.86</v>
      </c>
      <c r="D40">
        <v>3.82</v>
      </c>
      <c r="E40" s="72">
        <v>1260.1400000000001</v>
      </c>
      <c r="F40" s="64">
        <v>1.7064220183486238</v>
      </c>
      <c r="G40">
        <v>1</v>
      </c>
      <c r="H40" s="64">
        <v>1.0920892987139044</v>
      </c>
    </row>
    <row r="41" spans="1:8" x14ac:dyDescent="0.2">
      <c r="A41">
        <v>19</v>
      </c>
      <c r="B41" s="146" t="s">
        <v>105</v>
      </c>
      <c r="C41" s="71">
        <v>7.95</v>
      </c>
      <c r="D41">
        <v>3.82</v>
      </c>
      <c r="E41" s="72">
        <v>9160.6200000000008</v>
      </c>
      <c r="F41" s="64">
        <v>7.2935779816513762</v>
      </c>
      <c r="G41">
        <v>1</v>
      </c>
      <c r="H41" s="64">
        <v>7.9389711235137099</v>
      </c>
    </row>
    <row r="42" spans="1:8" x14ac:dyDescent="0.2">
      <c r="A42">
        <v>19</v>
      </c>
      <c r="B42" s="146" t="s">
        <v>9</v>
      </c>
      <c r="C42" s="21">
        <v>1.0900000000000001</v>
      </c>
      <c r="D42">
        <v>3.82</v>
      </c>
      <c r="E42" s="72">
        <v>628.29999999999995</v>
      </c>
      <c r="F42">
        <v>1</v>
      </c>
      <c r="G42">
        <v>1</v>
      </c>
      <c r="H42" s="64">
        <v>0.54451069435296551</v>
      </c>
    </row>
    <row r="43" spans="1:8" x14ac:dyDescent="0.2">
      <c r="A43">
        <v>19</v>
      </c>
      <c r="B43" s="146" t="s">
        <v>313</v>
      </c>
      <c r="C43" s="21">
        <v>1.0900000000000001</v>
      </c>
      <c r="D43" s="64">
        <v>24.72</v>
      </c>
      <c r="E43" s="72">
        <v>345.6</v>
      </c>
      <c r="F43">
        <v>1</v>
      </c>
      <c r="G43" s="64">
        <v>6.4712041884816758</v>
      </c>
      <c r="H43" s="64">
        <v>0.29951121433771277</v>
      </c>
    </row>
    <row r="44" spans="1:8" x14ac:dyDescent="0.2">
      <c r="A44" s="146"/>
      <c r="B44" s="146"/>
      <c r="C44" s="71"/>
      <c r="D44" s="64"/>
      <c r="E44" s="72"/>
      <c r="F44" s="64"/>
      <c r="G44" s="64"/>
      <c r="H44" s="64"/>
    </row>
    <row r="45" spans="1:8" x14ac:dyDescent="0.2">
      <c r="A45" s="146">
        <v>20</v>
      </c>
      <c r="B45" s="146" t="s">
        <v>7</v>
      </c>
      <c r="C45" s="71">
        <v>4.0999999999999996</v>
      </c>
      <c r="D45" s="64">
        <v>2.46</v>
      </c>
      <c r="E45" s="72">
        <v>27.04</v>
      </c>
      <c r="F45" s="64">
        <v>1</v>
      </c>
      <c r="G45" s="64">
        <v>1</v>
      </c>
      <c r="H45" s="64">
        <v>1</v>
      </c>
    </row>
    <row r="46" spans="1:8" x14ac:dyDescent="0.2">
      <c r="A46" s="146">
        <v>20</v>
      </c>
      <c r="B46" s="146" t="s">
        <v>104</v>
      </c>
      <c r="C46" s="71">
        <v>46.74</v>
      </c>
      <c r="D46" s="64">
        <v>79.91</v>
      </c>
      <c r="E46" s="72">
        <v>84.83</v>
      </c>
      <c r="F46" s="64">
        <v>11.400000000000002</v>
      </c>
      <c r="G46" s="64">
        <v>32.483739837398375</v>
      </c>
      <c r="H46" s="64">
        <v>3.1372041420118344</v>
      </c>
    </row>
    <row r="47" spans="1:8" x14ac:dyDescent="0.2">
      <c r="A47" s="146">
        <v>20</v>
      </c>
      <c r="B47" s="146" t="s">
        <v>105</v>
      </c>
      <c r="C47" s="71">
        <v>88.86</v>
      </c>
      <c r="D47" s="64">
        <v>4.66</v>
      </c>
      <c r="E47" s="72">
        <v>73.319999999999993</v>
      </c>
      <c r="F47" s="64">
        <v>21.673170731707319</v>
      </c>
      <c r="G47" s="64">
        <v>1.8943089430894309</v>
      </c>
      <c r="H47" s="64">
        <v>2.7115384615384612</v>
      </c>
    </row>
    <row r="48" spans="1:8" x14ac:dyDescent="0.2">
      <c r="A48" s="146">
        <v>20</v>
      </c>
      <c r="B48" s="146" t="s">
        <v>9</v>
      </c>
      <c r="C48" s="71">
        <v>168.63</v>
      </c>
      <c r="D48" s="64">
        <v>4.54</v>
      </c>
      <c r="E48" s="72">
        <v>2624.52</v>
      </c>
      <c r="F48" s="64">
        <v>41.12926829268293</v>
      </c>
      <c r="G48" s="64">
        <v>1.8455284552845528</v>
      </c>
      <c r="H48" s="64">
        <v>97.060650887573971</v>
      </c>
    </row>
    <row r="49" spans="1:8" x14ac:dyDescent="0.2">
      <c r="A49" s="146">
        <v>20</v>
      </c>
      <c r="B49" s="146" t="s">
        <v>743</v>
      </c>
      <c r="C49" s="71">
        <v>6.63</v>
      </c>
      <c r="D49" s="64">
        <v>3.84</v>
      </c>
      <c r="E49" s="72">
        <v>147.58000000000001</v>
      </c>
      <c r="F49" s="64">
        <v>1.6170731707317074</v>
      </c>
      <c r="G49" s="64">
        <v>1.5609756097560976</v>
      </c>
      <c r="H49" s="64">
        <v>5.4578402366863914</v>
      </c>
    </row>
    <row r="50" spans="1:8" x14ac:dyDescent="0.2">
      <c r="A50" s="146">
        <v>20</v>
      </c>
      <c r="B50" s="146" t="s">
        <v>313</v>
      </c>
      <c r="C50" s="71">
        <v>6.22</v>
      </c>
      <c r="D50" s="64">
        <v>3.38</v>
      </c>
      <c r="E50" s="72">
        <v>123.61</v>
      </c>
      <c r="F50" s="64">
        <v>1.5170731707317073</v>
      </c>
      <c r="G50" s="64">
        <v>1.3739837398373984</v>
      </c>
      <c r="H50" s="64">
        <v>4.5713757396449708</v>
      </c>
    </row>
    <row r="51" spans="1:8" x14ac:dyDescent="0.2">
      <c r="A51" s="146"/>
      <c r="B51" s="146"/>
      <c r="C51" s="71"/>
      <c r="D51" s="64"/>
      <c r="E51" s="72"/>
      <c r="F51" s="64"/>
      <c r="G51" s="64"/>
      <c r="H51" s="64"/>
    </row>
    <row r="52" spans="1:8" x14ac:dyDescent="0.2">
      <c r="A52" s="146">
        <v>21</v>
      </c>
      <c r="B52" s="146" t="s">
        <v>7</v>
      </c>
      <c r="C52" s="71">
        <v>17.72</v>
      </c>
      <c r="D52" s="64">
        <v>4.1900000000000004</v>
      </c>
      <c r="E52" s="72">
        <v>54.51</v>
      </c>
      <c r="F52" s="64">
        <v>1</v>
      </c>
      <c r="G52" s="64">
        <v>1</v>
      </c>
      <c r="H52" s="64">
        <v>1</v>
      </c>
    </row>
    <row r="53" spans="1:8" x14ac:dyDescent="0.2">
      <c r="A53" s="146">
        <v>21</v>
      </c>
      <c r="B53" s="146" t="s">
        <v>104</v>
      </c>
      <c r="C53" s="71">
        <v>80.2</v>
      </c>
      <c r="D53" s="64">
        <v>198.5</v>
      </c>
      <c r="E53" s="72">
        <v>151.21</v>
      </c>
      <c r="F53" s="64">
        <v>4.5259593679458243</v>
      </c>
      <c r="G53" s="64">
        <v>47.374701670644384</v>
      </c>
      <c r="H53" s="64">
        <v>2.7739864245092645</v>
      </c>
    </row>
    <row r="54" spans="1:8" x14ac:dyDescent="0.2">
      <c r="A54" s="146">
        <v>21</v>
      </c>
      <c r="B54" s="146" t="s">
        <v>105</v>
      </c>
      <c r="C54" s="71">
        <v>538.82000000000005</v>
      </c>
      <c r="D54" s="64">
        <v>5.46</v>
      </c>
      <c r="E54" s="72">
        <v>408.41</v>
      </c>
      <c r="F54" s="64">
        <v>30.407449209932285</v>
      </c>
      <c r="G54" s="64">
        <v>1.3031026252983293</v>
      </c>
      <c r="H54" s="64">
        <v>7.492386718033389</v>
      </c>
    </row>
    <row r="55" spans="1:8" x14ac:dyDescent="0.2">
      <c r="A55" s="146">
        <v>21</v>
      </c>
      <c r="B55" s="146" t="s">
        <v>9</v>
      </c>
      <c r="C55" s="71">
        <v>1144.74</v>
      </c>
      <c r="D55" s="64">
        <v>4.78</v>
      </c>
      <c r="E55" s="72">
        <v>2467.92</v>
      </c>
      <c r="F55" s="64">
        <v>64.601580135440187</v>
      </c>
      <c r="G55" s="64">
        <v>1.1408114558472553</v>
      </c>
      <c r="H55" s="64">
        <v>45.274628508530547</v>
      </c>
    </row>
    <row r="56" spans="1:8" x14ac:dyDescent="0.2">
      <c r="A56" s="146">
        <v>21</v>
      </c>
      <c r="B56" s="146" t="s">
        <v>743</v>
      </c>
      <c r="C56" s="71">
        <v>79.67</v>
      </c>
      <c r="D56" s="64">
        <v>97.95</v>
      </c>
      <c r="E56" s="72">
        <v>49.67</v>
      </c>
      <c r="F56" s="64">
        <v>4.4960496613995486</v>
      </c>
      <c r="G56" s="64">
        <v>23.377088305489259</v>
      </c>
      <c r="H56" s="64">
        <v>0.91120895248578249</v>
      </c>
    </row>
    <row r="57" spans="1:8" x14ac:dyDescent="0.2">
      <c r="A57" s="146">
        <v>21</v>
      </c>
      <c r="B57" s="146" t="s">
        <v>313</v>
      </c>
      <c r="C57" s="71">
        <v>71.84</v>
      </c>
      <c r="D57" s="64">
        <v>56.4</v>
      </c>
      <c r="E57" s="72">
        <v>130.36000000000001</v>
      </c>
      <c r="F57" s="64">
        <v>4.0541760722347631</v>
      </c>
      <c r="G57" s="64">
        <v>13.460620525059664</v>
      </c>
      <c r="H57" s="64">
        <v>2.391487800403596</v>
      </c>
    </row>
  </sheetData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58A2BB-7945-4D48-A81D-EB0AB3E490DB}">
  <sheetPr codeName="Sheet20"/>
  <dimension ref="A1:AB54"/>
  <sheetViews>
    <sheetView zoomScale="72" zoomScaleNormal="72" workbookViewId="0">
      <selection activeCell="J34" sqref="J34"/>
    </sheetView>
  </sheetViews>
  <sheetFormatPr baseColWidth="10" defaultRowHeight="16" x14ac:dyDescent="0.2"/>
  <cols>
    <col min="1" max="1" width="14.83203125" customWidth="1"/>
    <col min="9" max="9" width="10.83203125" style="10"/>
    <col min="19" max="19" width="10.83203125" style="10"/>
  </cols>
  <sheetData>
    <row r="1" spans="1:28" x14ac:dyDescent="0.2">
      <c r="A1" t="s">
        <v>1236</v>
      </c>
      <c r="K1" t="s">
        <v>1237</v>
      </c>
      <c r="U1" t="s">
        <v>1238</v>
      </c>
    </row>
    <row r="2" spans="1:28" x14ac:dyDescent="0.2">
      <c r="A2" t="s">
        <v>741</v>
      </c>
      <c r="B2" t="s">
        <v>97</v>
      </c>
      <c r="C2" t="s">
        <v>17</v>
      </c>
      <c r="D2" t="s">
        <v>98</v>
      </c>
      <c r="E2" t="s">
        <v>66</v>
      </c>
      <c r="F2" t="s">
        <v>100</v>
      </c>
      <c r="G2" t="s">
        <v>101</v>
      </c>
      <c r="H2" t="s">
        <v>102</v>
      </c>
      <c r="I2" s="10" t="s">
        <v>10</v>
      </c>
      <c r="K2" t="s">
        <v>97</v>
      </c>
      <c r="L2" t="s">
        <v>17</v>
      </c>
      <c r="M2" t="s">
        <v>15</v>
      </c>
      <c r="N2" t="s">
        <v>98</v>
      </c>
      <c r="O2" t="s">
        <v>100</v>
      </c>
      <c r="P2" t="s">
        <v>139</v>
      </c>
      <c r="Q2" t="s">
        <v>102</v>
      </c>
      <c r="R2" t="s">
        <v>10</v>
      </c>
      <c r="S2" s="10" t="s">
        <v>103</v>
      </c>
      <c r="U2" t="s">
        <v>97</v>
      </c>
      <c r="V2" t="s">
        <v>15</v>
      </c>
      <c r="W2" t="s">
        <v>321</v>
      </c>
      <c r="X2" t="s">
        <v>66</v>
      </c>
      <c r="Y2" t="s">
        <v>100</v>
      </c>
      <c r="Z2" t="s">
        <v>150</v>
      </c>
      <c r="AA2" t="s">
        <v>101</v>
      </c>
      <c r="AB2" t="s">
        <v>102</v>
      </c>
    </row>
    <row r="3" spans="1:28" x14ac:dyDescent="0.2">
      <c r="A3">
        <v>14</v>
      </c>
      <c r="B3" s="146" t="s">
        <v>7</v>
      </c>
      <c r="C3">
        <v>1</v>
      </c>
      <c r="D3">
        <v>1</v>
      </c>
      <c r="E3">
        <v>1</v>
      </c>
      <c r="F3">
        <v>1</v>
      </c>
      <c r="G3">
        <v>1</v>
      </c>
      <c r="H3" s="118">
        <v>1</v>
      </c>
      <c r="I3" s="10">
        <v>1</v>
      </c>
      <c r="K3" t="s">
        <v>9</v>
      </c>
      <c r="L3">
        <v>32.304568527918782</v>
      </c>
      <c r="M3">
        <v>18.70845165652468</v>
      </c>
      <c r="N3">
        <v>2091.8921232876714</v>
      </c>
      <c r="O3">
        <v>106.91000000000001</v>
      </c>
      <c r="P3">
        <v>1</v>
      </c>
      <c r="Q3">
        <v>0.4327380952380952</v>
      </c>
      <c r="R3">
        <v>7.5920992191088654</v>
      </c>
      <c r="S3" s="10">
        <v>100.72413793103449</v>
      </c>
      <c r="U3" t="s">
        <v>104</v>
      </c>
      <c r="V3">
        <v>16.666326530612245</v>
      </c>
      <c r="W3">
        <v>50.72727272727272</v>
      </c>
      <c r="X3">
        <v>1446.1980676328503</v>
      </c>
      <c r="Y3">
        <v>480.21028037383178</v>
      </c>
      <c r="Z3">
        <v>1.2487880123402377</v>
      </c>
      <c r="AA3">
        <v>17.751020408163264</v>
      </c>
      <c r="AB3">
        <v>2.7130801687763713</v>
      </c>
    </row>
    <row r="4" spans="1:28" x14ac:dyDescent="0.2">
      <c r="A4" s="146">
        <v>15</v>
      </c>
      <c r="B4" s="146" t="s">
        <v>7</v>
      </c>
      <c r="C4" s="64">
        <v>1</v>
      </c>
      <c r="D4" s="64">
        <v>1</v>
      </c>
      <c r="E4" s="64">
        <v>1</v>
      </c>
      <c r="F4" s="64">
        <v>1</v>
      </c>
      <c r="G4" s="64">
        <v>1</v>
      </c>
      <c r="H4" s="64">
        <v>1</v>
      </c>
      <c r="I4" s="72">
        <v>1</v>
      </c>
      <c r="K4" t="s">
        <v>9</v>
      </c>
      <c r="L4">
        <v>61.674193548387095</v>
      </c>
      <c r="M4">
        <v>3.7337801367398344</v>
      </c>
      <c r="N4">
        <v>451.13183161004434</v>
      </c>
      <c r="O4">
        <v>532.40566037735846</v>
      </c>
      <c r="P4">
        <v>1</v>
      </c>
      <c r="Q4">
        <v>17.017699115044248</v>
      </c>
      <c r="R4">
        <v>260.5</v>
      </c>
      <c r="S4" s="10">
        <v>141.2329411764706</v>
      </c>
      <c r="U4" t="s">
        <v>105</v>
      </c>
      <c r="V4">
        <v>146.70204081632653</v>
      </c>
      <c r="W4">
        <v>19.797979797979796</v>
      </c>
      <c r="X4">
        <v>932.16425120772954</v>
      </c>
      <c r="Y4">
        <v>130.51401869158877</v>
      </c>
      <c r="Z4">
        <v>1.1153518436903187</v>
      </c>
      <c r="AA4">
        <v>1</v>
      </c>
      <c r="AB4">
        <v>1.4236286919831225</v>
      </c>
    </row>
    <row r="5" spans="1:28" x14ac:dyDescent="0.2">
      <c r="A5" s="146">
        <v>16</v>
      </c>
      <c r="B5" s="146" t="s">
        <v>7</v>
      </c>
      <c r="C5" s="64">
        <v>1</v>
      </c>
      <c r="D5" s="64">
        <v>1</v>
      </c>
      <c r="E5" s="64">
        <v>1</v>
      </c>
      <c r="F5" s="64">
        <v>1</v>
      </c>
      <c r="G5" s="64">
        <v>1</v>
      </c>
      <c r="H5" s="64">
        <v>1</v>
      </c>
      <c r="I5" s="72">
        <v>1</v>
      </c>
      <c r="K5" t="s">
        <v>9</v>
      </c>
      <c r="L5">
        <v>2.2061224489795919</v>
      </c>
      <c r="M5">
        <v>7.8131603405331047</v>
      </c>
      <c r="N5">
        <v>116.76159554730982</v>
      </c>
      <c r="O5">
        <v>212.88590604026845</v>
      </c>
      <c r="P5">
        <v>1</v>
      </c>
      <c r="Q5">
        <v>5.9264413518886672</v>
      </c>
      <c r="R5">
        <v>4.828678917667486</v>
      </c>
      <c r="S5" s="10">
        <v>16.121951219512194</v>
      </c>
      <c r="U5" t="s">
        <v>313</v>
      </c>
      <c r="V5">
        <v>13.814285714285713</v>
      </c>
      <c r="W5">
        <v>14.299663299663298</v>
      </c>
      <c r="X5">
        <v>586.00966183574883</v>
      </c>
      <c r="Y5">
        <v>35.247663551401871</v>
      </c>
      <c r="Z5">
        <v>1.3522256500661083</v>
      </c>
      <c r="AA5">
        <v>1</v>
      </c>
      <c r="AB5">
        <v>0.89367088607594936</v>
      </c>
    </row>
    <row r="6" spans="1:28" x14ac:dyDescent="0.2">
      <c r="A6" s="146">
        <v>17</v>
      </c>
      <c r="B6" s="146" t="s">
        <v>7</v>
      </c>
      <c r="C6" s="64">
        <v>1</v>
      </c>
      <c r="D6" s="64">
        <v>1</v>
      </c>
      <c r="E6" s="64">
        <v>1</v>
      </c>
      <c r="F6" s="64">
        <v>1</v>
      </c>
      <c r="G6" s="64">
        <v>1</v>
      </c>
      <c r="H6" s="64">
        <v>1</v>
      </c>
      <c r="I6" s="72">
        <v>1</v>
      </c>
      <c r="K6" t="s">
        <v>9</v>
      </c>
      <c r="L6">
        <v>8.4673469387755098</v>
      </c>
      <c r="M6">
        <v>8.3039448105827116</v>
      </c>
      <c r="N6">
        <v>49.513076697032027</v>
      </c>
      <c r="O6">
        <v>55.245033112582782</v>
      </c>
      <c r="P6">
        <v>1</v>
      </c>
      <c r="Q6">
        <v>18.077777777777776</v>
      </c>
      <c r="R6">
        <v>19.348667212804841</v>
      </c>
      <c r="S6" s="10">
        <v>2.2926829268292686</v>
      </c>
      <c r="U6" t="s">
        <v>9</v>
      </c>
      <c r="V6">
        <v>1</v>
      </c>
      <c r="W6">
        <v>1.0909090909090899</v>
      </c>
      <c r="X6">
        <v>2.0338164251207731</v>
      </c>
      <c r="Y6">
        <v>1</v>
      </c>
      <c r="Z6">
        <v>1.2961069487292491</v>
      </c>
      <c r="AA6">
        <v>1</v>
      </c>
      <c r="AB6">
        <v>0.86413502109704643</v>
      </c>
    </row>
    <row r="7" spans="1:28" x14ac:dyDescent="0.2">
      <c r="A7" s="146">
        <v>18</v>
      </c>
      <c r="B7" s="146" t="s">
        <v>7</v>
      </c>
      <c r="C7" s="64">
        <v>1</v>
      </c>
      <c r="D7" s="64">
        <v>1</v>
      </c>
      <c r="E7" s="64">
        <v>1</v>
      </c>
      <c r="F7" s="64">
        <v>1</v>
      </c>
      <c r="G7" s="118">
        <v>1</v>
      </c>
      <c r="H7" s="64">
        <v>1</v>
      </c>
      <c r="I7" s="72">
        <v>1</v>
      </c>
      <c r="K7" t="s">
        <v>9</v>
      </c>
      <c r="L7">
        <v>24.713039485766757</v>
      </c>
      <c r="M7">
        <v>4.8396362721843884</v>
      </c>
      <c r="N7">
        <v>515.3772119119551</v>
      </c>
      <c r="O7">
        <v>31.632203389830508</v>
      </c>
      <c r="P7">
        <v>1</v>
      </c>
      <c r="Q7">
        <v>11.15068493150685</v>
      </c>
      <c r="R7">
        <v>22.604674796747968</v>
      </c>
      <c r="S7" s="10">
        <v>5.6288377192982466</v>
      </c>
      <c r="U7" t="s">
        <v>104</v>
      </c>
      <c r="V7">
        <v>18.927551020408163</v>
      </c>
      <c r="W7">
        <v>11.164983164983163</v>
      </c>
      <c r="X7">
        <v>1270.2549800796814</v>
      </c>
      <c r="Y7">
        <v>1067.1682242990653</v>
      </c>
      <c r="Z7">
        <v>1.5527733819434706</v>
      </c>
      <c r="AA7">
        <v>26.357142857142858</v>
      </c>
      <c r="AB7">
        <v>4.7112244897959181</v>
      </c>
    </row>
    <row r="8" spans="1:28" x14ac:dyDescent="0.2">
      <c r="A8">
        <v>19</v>
      </c>
      <c r="B8" s="146" t="s">
        <v>7</v>
      </c>
      <c r="C8" s="64">
        <v>1</v>
      </c>
      <c r="D8" s="119">
        <v>1</v>
      </c>
      <c r="E8" s="64">
        <v>1</v>
      </c>
      <c r="F8" s="64">
        <v>1</v>
      </c>
      <c r="G8" s="118">
        <v>1</v>
      </c>
      <c r="H8" s="64">
        <v>1</v>
      </c>
      <c r="I8" s="72">
        <v>1</v>
      </c>
      <c r="K8" t="s">
        <v>9</v>
      </c>
      <c r="L8">
        <v>36.486033519553075</v>
      </c>
      <c r="M8">
        <v>32.914213624894863</v>
      </c>
      <c r="N8">
        <v>229.36458333333334</v>
      </c>
      <c r="O8">
        <v>6.3985507246376816</v>
      </c>
      <c r="P8">
        <v>1</v>
      </c>
      <c r="Q8">
        <v>19</v>
      </c>
      <c r="R8">
        <v>0.55821078431372539</v>
      </c>
      <c r="S8" s="10">
        <v>1</v>
      </c>
      <c r="U8" t="s">
        <v>105</v>
      </c>
      <c r="V8">
        <v>172.80204081632652</v>
      </c>
      <c r="W8">
        <v>20.949494949494948</v>
      </c>
      <c r="X8">
        <v>1205.7649402390439</v>
      </c>
      <c r="Y8">
        <v>194.13084112149531</v>
      </c>
      <c r="Z8">
        <v>1.4404759520041668</v>
      </c>
      <c r="AA8">
        <v>1</v>
      </c>
      <c r="AB8">
        <v>2.4132653061224487</v>
      </c>
    </row>
    <row r="9" spans="1:28" x14ac:dyDescent="0.2">
      <c r="A9" s="146">
        <v>20</v>
      </c>
      <c r="B9" s="146" t="s">
        <v>7</v>
      </c>
      <c r="C9" s="64">
        <v>1</v>
      </c>
      <c r="D9" s="64">
        <v>1</v>
      </c>
      <c r="E9" s="64">
        <v>1</v>
      </c>
      <c r="F9" s="64">
        <v>1</v>
      </c>
      <c r="G9" s="64">
        <v>1</v>
      </c>
      <c r="H9" s="118">
        <v>1</v>
      </c>
      <c r="I9" s="72">
        <v>1</v>
      </c>
      <c r="K9" t="s">
        <v>9</v>
      </c>
      <c r="L9">
        <v>6.4189944134078214</v>
      </c>
      <c r="M9">
        <v>31.972106322761352</v>
      </c>
      <c r="N9">
        <v>56.192773738708972</v>
      </c>
      <c r="O9">
        <v>83.161835748792285</v>
      </c>
      <c r="P9">
        <v>1</v>
      </c>
      <c r="Q9">
        <v>4.9726368159203984</v>
      </c>
      <c r="R9">
        <v>7.3558648111332001</v>
      </c>
      <c r="S9" s="10">
        <v>1.0438775510204081</v>
      </c>
      <c r="U9" t="s">
        <v>313</v>
      </c>
      <c r="V9">
        <v>13.074489795918366</v>
      </c>
      <c r="W9">
        <v>7.4175084175084178</v>
      </c>
      <c r="X9">
        <v>1026.9203187250998</v>
      </c>
      <c r="Y9">
        <v>41.037383177570085</v>
      </c>
      <c r="Z9">
        <v>1.0639310109973759</v>
      </c>
      <c r="AA9">
        <v>1.0326530612244897</v>
      </c>
      <c r="AB9">
        <v>1.2877551020408162</v>
      </c>
    </row>
    <row r="10" spans="1:28" x14ac:dyDescent="0.2">
      <c r="A10" s="146">
        <v>21</v>
      </c>
      <c r="B10" s="146" t="s">
        <v>7</v>
      </c>
      <c r="C10" s="64">
        <v>1</v>
      </c>
      <c r="D10" s="64">
        <v>1</v>
      </c>
      <c r="E10" s="64">
        <v>1</v>
      </c>
      <c r="F10" s="64">
        <v>1</v>
      </c>
      <c r="G10" s="64">
        <v>1</v>
      </c>
      <c r="H10" s="64">
        <v>1</v>
      </c>
      <c r="I10" s="72">
        <v>1</v>
      </c>
      <c r="K10" t="s">
        <v>9</v>
      </c>
      <c r="L10">
        <v>51.598393574297184</v>
      </c>
      <c r="M10">
        <v>2.7913390139212613</v>
      </c>
      <c r="N10">
        <v>45.427226813590451</v>
      </c>
      <c r="O10">
        <v>87.283446712018147</v>
      </c>
      <c r="P10">
        <v>1</v>
      </c>
      <c r="Q10">
        <v>1.1914563106796117</v>
      </c>
      <c r="R10">
        <v>21.141214057507987</v>
      </c>
      <c r="S10" s="10">
        <v>23.775221238938055</v>
      </c>
      <c r="U10" t="s">
        <v>9</v>
      </c>
      <c r="V10">
        <v>1.3397959183673469</v>
      </c>
      <c r="W10">
        <v>1.4444444444444444</v>
      </c>
      <c r="X10">
        <v>3.9561752988047809</v>
      </c>
      <c r="Y10">
        <v>1</v>
      </c>
      <c r="Z10">
        <v>1.1320987159712346</v>
      </c>
      <c r="AA10">
        <v>1</v>
      </c>
      <c r="AB10">
        <v>1.2867346938775508</v>
      </c>
    </row>
    <row r="11" spans="1:28" x14ac:dyDescent="0.2">
      <c r="A11">
        <v>14</v>
      </c>
      <c r="B11" s="146" t="s">
        <v>104</v>
      </c>
      <c r="C11">
        <v>1.5478966041561073</v>
      </c>
      <c r="D11">
        <v>3.5458248472505089</v>
      </c>
      <c r="E11">
        <v>61.857865879375794</v>
      </c>
      <c r="F11">
        <v>1.7822445561139031</v>
      </c>
      <c r="G11">
        <v>12.438095238095238</v>
      </c>
      <c r="H11">
        <v>6.2692307692307692</v>
      </c>
      <c r="I11" s="10">
        <v>2.8349206349206346</v>
      </c>
      <c r="K11" t="s">
        <v>9</v>
      </c>
      <c r="L11">
        <v>108.8100558659218</v>
      </c>
      <c r="M11">
        <v>5.791445348216504</v>
      </c>
      <c r="N11">
        <v>36.970978389487456</v>
      </c>
      <c r="O11">
        <v>83.855072463768124</v>
      </c>
      <c r="P11">
        <v>1</v>
      </c>
      <c r="Q11">
        <v>1.9713216957605986</v>
      </c>
      <c r="R11">
        <v>22.463837158943267</v>
      </c>
      <c r="S11" s="10">
        <v>14.488265330022953</v>
      </c>
      <c r="U11" t="s">
        <v>104</v>
      </c>
      <c r="V11">
        <v>1.3479591836734695</v>
      </c>
      <c r="W11">
        <v>122.80319148936171</v>
      </c>
      <c r="X11">
        <v>1540.2608695652175</v>
      </c>
      <c r="Y11">
        <v>2021.2803738317755</v>
      </c>
      <c r="Z11">
        <v>1.4894524820237374</v>
      </c>
      <c r="AA11">
        <v>30.321428571428566</v>
      </c>
      <c r="AB11">
        <v>2.5689900426742529</v>
      </c>
    </row>
    <row r="12" spans="1:28" x14ac:dyDescent="0.2">
      <c r="A12" s="146">
        <v>15</v>
      </c>
      <c r="B12" s="146" t="s">
        <v>104</v>
      </c>
      <c r="C12" s="64">
        <v>2.0354892205638473</v>
      </c>
      <c r="D12" s="64">
        <v>2.4842657342657346</v>
      </c>
      <c r="E12" s="64">
        <v>0.96124736190961368</v>
      </c>
      <c r="F12" s="64">
        <v>5.4434523809523805</v>
      </c>
      <c r="G12" s="64">
        <v>69.564220183486242</v>
      </c>
      <c r="H12" s="64">
        <v>10.748983739837398</v>
      </c>
      <c r="I12" s="72">
        <v>0.72017707362534944</v>
      </c>
      <c r="K12" t="s">
        <v>105</v>
      </c>
      <c r="L12">
        <v>2.3705583756345177</v>
      </c>
      <c r="M12">
        <v>3.9316805649462854</v>
      </c>
      <c r="N12">
        <v>666.88356164383561</v>
      </c>
      <c r="O12">
        <v>69.510000000000005</v>
      </c>
      <c r="P12">
        <v>1</v>
      </c>
      <c r="Q12">
        <v>1.6309523809523807</v>
      </c>
      <c r="R12">
        <v>8.3690858980248048</v>
      </c>
      <c r="S12" s="10">
        <v>69.133004926108384</v>
      </c>
      <c r="U12" t="s">
        <v>105</v>
      </c>
      <c r="V12">
        <v>1.6724489795918367</v>
      </c>
      <c r="W12">
        <v>0.90691489361702138</v>
      </c>
      <c r="X12">
        <v>24.024154589371982</v>
      </c>
      <c r="Y12">
        <v>10.911214953271028</v>
      </c>
      <c r="Z12">
        <v>0.56155245603395987</v>
      </c>
      <c r="AA12">
        <v>1</v>
      </c>
      <c r="AB12">
        <v>0.72546230440967274</v>
      </c>
    </row>
    <row r="13" spans="1:28" x14ac:dyDescent="0.2">
      <c r="A13" s="146">
        <v>16</v>
      </c>
      <c r="B13" s="146" t="s">
        <v>104</v>
      </c>
      <c r="C13" s="64">
        <v>2.8053278688524594</v>
      </c>
      <c r="D13" s="64">
        <v>3.2620209059233454</v>
      </c>
      <c r="E13" s="64">
        <v>6.3030878859857484</v>
      </c>
      <c r="F13" s="64">
        <v>106.71634615384615</v>
      </c>
      <c r="G13" s="64">
        <v>51.722222222222229</v>
      </c>
      <c r="H13" s="64">
        <v>23.163766632548619</v>
      </c>
      <c r="I13" s="72">
        <v>1.0108665622985542</v>
      </c>
      <c r="K13" t="s">
        <v>105</v>
      </c>
      <c r="L13">
        <v>3.63225806451613</v>
      </c>
      <c r="M13">
        <v>3.7337801367398344</v>
      </c>
      <c r="N13">
        <v>451.13183161004434</v>
      </c>
      <c r="O13">
        <v>85.327044025157221</v>
      </c>
      <c r="P13">
        <v>2.6048780487804879</v>
      </c>
      <c r="Q13">
        <v>6.5730088495575227</v>
      </c>
      <c r="R13">
        <v>22.505050505050505</v>
      </c>
      <c r="S13" s="10">
        <v>20.225882352941174</v>
      </c>
      <c r="U13" t="s">
        <v>313</v>
      </c>
      <c r="V13">
        <v>1</v>
      </c>
      <c r="W13">
        <v>4.0265957446808516</v>
      </c>
      <c r="X13">
        <v>159.8743961352657</v>
      </c>
      <c r="Y13">
        <v>27.457943925233643</v>
      </c>
      <c r="Z13">
        <v>1.2874036212423112</v>
      </c>
      <c r="AA13">
        <v>1.0244897959183672</v>
      </c>
      <c r="AB13">
        <v>0.69701280227596019</v>
      </c>
    </row>
    <row r="14" spans="1:28" x14ac:dyDescent="0.2">
      <c r="A14" s="146">
        <v>17</v>
      </c>
      <c r="B14" s="146" t="s">
        <v>104</v>
      </c>
      <c r="C14" s="64">
        <v>1.4262031633257211</v>
      </c>
      <c r="D14" s="64">
        <v>1.3969385062021642</v>
      </c>
      <c r="E14" s="64">
        <v>7.976670201484624</v>
      </c>
      <c r="F14" s="64">
        <v>30.069868995633186</v>
      </c>
      <c r="G14" s="64">
        <v>84.611111111111114</v>
      </c>
      <c r="H14" s="64">
        <v>23.390547263681594</v>
      </c>
      <c r="I14" s="72">
        <v>0.80175766060040432</v>
      </c>
      <c r="K14" t="s">
        <v>105</v>
      </c>
      <c r="L14">
        <v>1</v>
      </c>
      <c r="M14">
        <v>2.6115989441986689</v>
      </c>
      <c r="N14">
        <v>12.677489177489178</v>
      </c>
      <c r="O14">
        <v>42.181208053691279</v>
      </c>
      <c r="P14">
        <v>1</v>
      </c>
      <c r="Q14">
        <v>1.7932405566600396</v>
      </c>
      <c r="R14">
        <v>1.2436695123715815</v>
      </c>
      <c r="S14" s="10">
        <v>1</v>
      </c>
      <c r="U14" t="s">
        <v>9</v>
      </c>
      <c r="V14">
        <v>1</v>
      </c>
      <c r="W14">
        <v>0.96010638297872342</v>
      </c>
      <c r="X14">
        <v>1</v>
      </c>
      <c r="Y14">
        <v>1</v>
      </c>
      <c r="Z14">
        <v>1.1735683964307373</v>
      </c>
      <c r="AA14">
        <v>1</v>
      </c>
      <c r="AB14">
        <v>0.80085348506401133</v>
      </c>
    </row>
    <row r="15" spans="1:28" x14ac:dyDescent="0.2">
      <c r="A15" s="146">
        <v>18</v>
      </c>
      <c r="B15" s="146" t="s">
        <v>104</v>
      </c>
      <c r="C15" s="64">
        <v>1.9452662721893492</v>
      </c>
      <c r="D15" s="64">
        <v>4.1209563994374117</v>
      </c>
      <c r="E15" s="64">
        <v>55.191975171802262</v>
      </c>
      <c r="F15" s="64">
        <v>14.585365853658537</v>
      </c>
      <c r="G15" s="64">
        <v>558.49714285714288</v>
      </c>
      <c r="H15" s="64">
        <v>35.516447368421055</v>
      </c>
      <c r="I15" s="72">
        <v>4.7884427032321248</v>
      </c>
      <c r="K15" t="s">
        <v>105</v>
      </c>
      <c r="L15">
        <v>1</v>
      </c>
      <c r="M15">
        <v>1.2963033205316643</v>
      </c>
      <c r="N15">
        <v>16.711039279067489</v>
      </c>
      <c r="O15">
        <v>20.225165562913908</v>
      </c>
      <c r="P15">
        <v>1</v>
      </c>
      <c r="Q15">
        <v>17.222222222222221</v>
      </c>
      <c r="R15">
        <v>0.26328060999432856</v>
      </c>
      <c r="S15" s="10">
        <v>1</v>
      </c>
      <c r="U15" t="s">
        <v>104</v>
      </c>
      <c r="V15">
        <v>1.4918367346938775</v>
      </c>
      <c r="W15">
        <v>120.68956043956044</v>
      </c>
      <c r="X15">
        <v>937.48792270531408</v>
      </c>
      <c r="Y15">
        <v>597.06074766355141</v>
      </c>
      <c r="Z15">
        <v>0.75469164284976398</v>
      </c>
      <c r="AA15">
        <v>26.155102040816324</v>
      </c>
      <c r="AB15">
        <v>2.2326530612244895</v>
      </c>
    </row>
    <row r="16" spans="1:28" x14ac:dyDescent="0.2">
      <c r="A16">
        <v>19</v>
      </c>
      <c r="B16" s="146" t="s">
        <v>104</v>
      </c>
      <c r="C16" s="64">
        <v>0.42990654205607476</v>
      </c>
      <c r="D16" s="119">
        <v>1</v>
      </c>
      <c r="E16" s="82">
        <v>9.3544747884707977</v>
      </c>
      <c r="F16" s="64">
        <v>42.10526315789474</v>
      </c>
      <c r="G16" s="64">
        <v>16.518324607329845</v>
      </c>
      <c r="H16" s="64">
        <v>19.941734417344172</v>
      </c>
      <c r="I16" s="72">
        <v>0.35682219988213676</v>
      </c>
      <c r="K16" t="s">
        <v>105</v>
      </c>
      <c r="L16">
        <v>3.7213039485766757</v>
      </c>
      <c r="M16">
        <v>0.49863158258090917</v>
      </c>
      <c r="N16">
        <v>3.1968062149331025</v>
      </c>
      <c r="O16">
        <v>5.5107344632768367</v>
      </c>
      <c r="P16">
        <v>1</v>
      </c>
      <c r="Q16">
        <v>2.0753424657534247</v>
      </c>
      <c r="R16">
        <v>3.2100271002710028</v>
      </c>
      <c r="S16" s="10">
        <v>11.851425438596491</v>
      </c>
      <c r="U16" t="s">
        <v>105</v>
      </c>
      <c r="V16">
        <v>1.8265306122448977</v>
      </c>
      <c r="W16">
        <v>1.3104395604395602</v>
      </c>
      <c r="X16">
        <v>8.4685990338164263</v>
      </c>
      <c r="Y16">
        <v>13.962616822429906</v>
      </c>
      <c r="Z16">
        <v>0.28635377569642917</v>
      </c>
      <c r="AA16">
        <v>1</v>
      </c>
      <c r="AB16">
        <v>1</v>
      </c>
    </row>
    <row r="17" spans="1:28" x14ac:dyDescent="0.2">
      <c r="A17" s="146">
        <v>20</v>
      </c>
      <c r="B17" s="146" t="s">
        <v>104</v>
      </c>
      <c r="C17" s="64">
        <v>2.0130718954248366</v>
      </c>
      <c r="D17" s="64">
        <v>11.400000000000002</v>
      </c>
      <c r="E17" s="64">
        <v>49.740341988600385</v>
      </c>
      <c r="F17" s="64">
        <v>3.9403669724770638</v>
      </c>
      <c r="G17" s="64">
        <v>32.483739837398375</v>
      </c>
      <c r="H17" s="64">
        <v>8.453125</v>
      </c>
      <c r="I17" s="72">
        <v>3.1372041420118344</v>
      </c>
      <c r="K17" t="s">
        <v>105</v>
      </c>
      <c r="L17">
        <v>1</v>
      </c>
      <c r="M17">
        <v>15.29439504986183</v>
      </c>
      <c r="N17">
        <v>483.32291666666669</v>
      </c>
      <c r="O17">
        <v>10.884057971014494</v>
      </c>
      <c r="P17">
        <v>1</v>
      </c>
      <c r="Q17">
        <v>9.3433734939759034</v>
      </c>
      <c r="R17">
        <v>3.0876225490196076</v>
      </c>
      <c r="S17" s="10">
        <v>1</v>
      </c>
      <c r="U17" t="s">
        <v>313</v>
      </c>
      <c r="V17">
        <v>1</v>
      </c>
      <c r="W17">
        <v>6.7390109890109891</v>
      </c>
      <c r="X17">
        <v>26.763285024154591</v>
      </c>
      <c r="Y17">
        <v>32.560747663551403</v>
      </c>
      <c r="Z17">
        <v>1.0572983024000551</v>
      </c>
      <c r="AA17">
        <v>1.0265306122448978</v>
      </c>
      <c r="AB17">
        <v>1</v>
      </c>
    </row>
    <row r="18" spans="1:28" x14ac:dyDescent="0.2">
      <c r="A18" s="146">
        <v>21</v>
      </c>
      <c r="B18" s="146" t="s">
        <v>104</v>
      </c>
      <c r="C18" s="64">
        <v>2.611126335982461</v>
      </c>
      <c r="D18" s="64">
        <v>4.5259593679458243</v>
      </c>
      <c r="E18" s="64">
        <v>18.585247883917773</v>
      </c>
      <c r="F18" s="64">
        <v>12.580152671755725</v>
      </c>
      <c r="G18" s="64">
        <v>47.374701670644384</v>
      </c>
      <c r="H18" s="64">
        <v>22.806010928961747</v>
      </c>
      <c r="I18" s="72">
        <v>2.7739864245092645</v>
      </c>
      <c r="K18" t="s">
        <v>105</v>
      </c>
      <c r="L18">
        <v>1</v>
      </c>
      <c r="M18">
        <v>12.009745280541535</v>
      </c>
      <c r="N18">
        <v>49.854813835646617</v>
      </c>
      <c r="O18">
        <v>6.2971014492753632</v>
      </c>
      <c r="P18">
        <v>1</v>
      </c>
      <c r="Q18">
        <v>3.7524875621890552</v>
      </c>
      <c r="R18">
        <v>8.9940357852882702</v>
      </c>
      <c r="S18" s="10">
        <v>1</v>
      </c>
      <c r="U18" t="s">
        <v>9</v>
      </c>
      <c r="V18">
        <v>1</v>
      </c>
      <c r="W18">
        <v>1.2692307692307692</v>
      </c>
      <c r="X18">
        <v>1</v>
      </c>
      <c r="Y18">
        <v>1</v>
      </c>
      <c r="Z18">
        <v>0.78218725250507903</v>
      </c>
      <c r="AA18">
        <v>1</v>
      </c>
      <c r="AB18">
        <v>1</v>
      </c>
    </row>
    <row r="19" spans="1:28" x14ac:dyDescent="0.2">
      <c r="A19">
        <v>14</v>
      </c>
      <c r="B19" s="146" t="s">
        <v>743</v>
      </c>
      <c r="C19">
        <v>0.96629498226051702</v>
      </c>
      <c r="D19">
        <v>2.05091649694501</v>
      </c>
      <c r="E19">
        <v>5.8237030788696753</v>
      </c>
      <c r="F19">
        <v>1.5611390284757121</v>
      </c>
      <c r="G19">
        <v>2.2380952380952381</v>
      </c>
      <c r="H19">
        <v>2.401098901098901</v>
      </c>
      <c r="I19" s="10">
        <v>3.2453514739229026</v>
      </c>
      <c r="K19" t="s">
        <v>105</v>
      </c>
      <c r="L19">
        <v>5.1445783132530121</v>
      </c>
      <c r="M19">
        <v>2.3565880809547464</v>
      </c>
      <c r="N19">
        <v>6.2848943985307617</v>
      </c>
      <c r="O19">
        <v>57.986394557823125</v>
      </c>
      <c r="P19">
        <v>39.494623655913976</v>
      </c>
      <c r="Q19">
        <v>1.9339805825242717</v>
      </c>
      <c r="R19">
        <v>6.4051118210862619</v>
      </c>
      <c r="S19" s="10">
        <v>8.2480999479437802</v>
      </c>
      <c r="U19" t="s">
        <v>104</v>
      </c>
      <c r="V19">
        <v>20.053061224489795</v>
      </c>
      <c r="W19">
        <v>5.1790123456790127</v>
      </c>
      <c r="X19">
        <v>1374.9855072463768</v>
      </c>
      <c r="Y19">
        <v>439.21962616822424</v>
      </c>
      <c r="Z19">
        <v>1.5690865214311016</v>
      </c>
      <c r="AA19">
        <v>14.450000000000001</v>
      </c>
      <c r="AB19">
        <v>2.4261538461538459</v>
      </c>
    </row>
    <row r="20" spans="1:28" x14ac:dyDescent="0.2">
      <c r="A20" s="146">
        <v>15</v>
      </c>
      <c r="B20" s="146" t="s">
        <v>743</v>
      </c>
      <c r="C20" s="64">
        <v>0.94626865671641802</v>
      </c>
      <c r="D20" s="64">
        <v>3.1765734265734271</v>
      </c>
      <c r="E20" s="64">
        <v>0.83070737209810053</v>
      </c>
      <c r="F20" s="64">
        <v>2.5863095238095237</v>
      </c>
      <c r="G20" s="64">
        <v>70.162844036697251</v>
      </c>
      <c r="H20" s="64">
        <v>7.0558943089430901</v>
      </c>
      <c r="I20" s="72">
        <v>0.80976234855545204</v>
      </c>
      <c r="K20" t="s">
        <v>105</v>
      </c>
      <c r="L20">
        <v>8.8547486033519558</v>
      </c>
      <c r="M20">
        <v>5.791445348216504</v>
      </c>
      <c r="N20">
        <v>7.085414460982749</v>
      </c>
      <c r="O20">
        <v>11.985507246376812</v>
      </c>
      <c r="P20">
        <v>1</v>
      </c>
      <c r="Q20">
        <v>3.7057356608478802</v>
      </c>
      <c r="R20">
        <v>4.3806842789086184</v>
      </c>
      <c r="S20" s="10">
        <v>9.4832529161006232</v>
      </c>
      <c r="U20" t="s">
        <v>105</v>
      </c>
      <c r="V20">
        <v>17.196938775510201</v>
      </c>
      <c r="W20">
        <v>0.63580246913580241</v>
      </c>
      <c r="X20">
        <v>127.57004830917874</v>
      </c>
      <c r="Y20">
        <v>9.9252336448598122</v>
      </c>
      <c r="Z20">
        <v>0.46439957492029754</v>
      </c>
      <c r="AA20">
        <v>1</v>
      </c>
      <c r="AB20">
        <v>1.2115384615384615</v>
      </c>
    </row>
    <row r="21" spans="1:28" x14ac:dyDescent="0.2">
      <c r="A21" s="146">
        <v>16</v>
      </c>
      <c r="B21" s="146" t="s">
        <v>743</v>
      </c>
      <c r="C21" s="64">
        <v>0.84211065573770494</v>
      </c>
      <c r="D21" s="64">
        <v>1.1505226480836239</v>
      </c>
      <c r="E21" s="64">
        <v>3.0130980658296576</v>
      </c>
      <c r="F21" s="64">
        <v>1.5528846153846154</v>
      </c>
      <c r="G21" s="64">
        <v>3.1145833333333335</v>
      </c>
      <c r="H21" s="64">
        <v>0.92323439099283522</v>
      </c>
      <c r="I21" s="72">
        <v>0.89688277005249095</v>
      </c>
      <c r="K21" t="s">
        <v>744</v>
      </c>
      <c r="L21">
        <v>39.147208121827411</v>
      </c>
      <c r="M21">
        <v>3.1809480880474794</v>
      </c>
      <c r="N21">
        <v>28.712328767123289</v>
      </c>
      <c r="O21">
        <v>26.906666666666666</v>
      </c>
      <c r="P21">
        <v>86.917073170731712</v>
      </c>
      <c r="Q21">
        <v>2.0333333333333332</v>
      </c>
      <c r="R21">
        <v>5.4800183739090489</v>
      </c>
      <c r="S21" s="10">
        <v>11.512315270935963</v>
      </c>
      <c r="U21" t="s">
        <v>313</v>
      </c>
      <c r="V21">
        <v>36.137755102040813</v>
      </c>
      <c r="W21">
        <v>1.1131687242798354</v>
      </c>
      <c r="X21">
        <v>1077.5555555555557</v>
      </c>
      <c r="Y21">
        <v>15.387850467289718</v>
      </c>
      <c r="Z21">
        <v>2.6923707049238397</v>
      </c>
      <c r="AA21">
        <v>1.0285714285714285</v>
      </c>
      <c r="AB21">
        <v>1.0792307692307692</v>
      </c>
    </row>
    <row r="22" spans="1:28" x14ac:dyDescent="0.2">
      <c r="A22" s="146">
        <v>17</v>
      </c>
      <c r="B22" s="146" t="s">
        <v>743</v>
      </c>
      <c r="C22" s="64">
        <v>1.4707772984860017</v>
      </c>
      <c r="D22" s="64">
        <v>2.3343890208498284</v>
      </c>
      <c r="E22" s="64">
        <v>7.2664369034994696</v>
      </c>
      <c r="F22" s="64">
        <v>3.2707423580786026</v>
      </c>
      <c r="G22" s="64">
        <v>5.1006944444444446</v>
      </c>
      <c r="H22" s="64">
        <v>4.2164179104477615</v>
      </c>
      <c r="I22" s="72">
        <v>1.8162492870845648</v>
      </c>
      <c r="K22" t="s">
        <v>744</v>
      </c>
      <c r="L22">
        <v>28.109677419354838</v>
      </c>
      <c r="M22">
        <v>2.2095777857742593</v>
      </c>
      <c r="N22">
        <v>26.64254062038405</v>
      </c>
      <c r="O22">
        <v>92.305031446540866</v>
      </c>
      <c r="P22">
        <v>180.05365853658537</v>
      </c>
      <c r="Q22">
        <v>6.9314159292035402</v>
      </c>
      <c r="R22">
        <v>32.353535353535356</v>
      </c>
      <c r="S22" s="10">
        <v>73.945882352941169</v>
      </c>
      <c r="U22" t="s">
        <v>9</v>
      </c>
      <c r="V22">
        <v>1</v>
      </c>
      <c r="W22">
        <v>0.68312757201646079</v>
      </c>
      <c r="X22">
        <v>1</v>
      </c>
      <c r="Y22">
        <v>1</v>
      </c>
      <c r="Z22">
        <v>0.88869332270634072</v>
      </c>
      <c r="AA22">
        <v>1</v>
      </c>
      <c r="AB22">
        <v>0.85307692307692307</v>
      </c>
    </row>
    <row r="23" spans="1:28" x14ac:dyDescent="0.2">
      <c r="A23" s="146">
        <v>18</v>
      </c>
      <c r="B23" s="146" t="s">
        <v>743</v>
      </c>
      <c r="C23" s="64">
        <v>5.9144970414201188</v>
      </c>
      <c r="D23" s="64">
        <v>5.2749648382559773</v>
      </c>
      <c r="E23" s="64">
        <v>44.123475947683445</v>
      </c>
      <c r="F23" s="64">
        <v>2.0853658536585367</v>
      </c>
      <c r="G23" s="64">
        <v>44.491428571428571</v>
      </c>
      <c r="H23" s="64">
        <v>9.0526315789473681</v>
      </c>
      <c r="I23" s="72">
        <v>1.9262161279791055</v>
      </c>
      <c r="K23" t="s">
        <v>744</v>
      </c>
      <c r="L23">
        <v>4.1795918367346934</v>
      </c>
      <c r="M23">
        <v>1.6184616528495483</v>
      </c>
      <c r="N23">
        <v>10.081632653061225</v>
      </c>
      <c r="O23">
        <v>159.77852348993289</v>
      </c>
      <c r="P23">
        <v>66.90517241379311</v>
      </c>
      <c r="Q23">
        <v>14.556660039761431</v>
      </c>
      <c r="R23">
        <v>0.6964259875560701</v>
      </c>
      <c r="S23" s="10">
        <v>9.5902439024390258</v>
      </c>
      <c r="U23" t="s">
        <v>104</v>
      </c>
      <c r="V23">
        <v>6.2438775510204074</v>
      </c>
      <c r="W23">
        <v>1.299212598425197</v>
      </c>
      <c r="X23">
        <v>1113.5942028985507</v>
      </c>
      <c r="Y23">
        <v>157.34112149532709</v>
      </c>
      <c r="Z23">
        <v>0.73048930158216707</v>
      </c>
      <c r="AA23">
        <v>6.4377551020408159</v>
      </c>
      <c r="AB23">
        <v>1.4674922600619196</v>
      </c>
    </row>
    <row r="24" spans="1:28" x14ac:dyDescent="0.2">
      <c r="A24">
        <v>19</v>
      </c>
      <c r="B24" s="146" t="s">
        <v>743</v>
      </c>
      <c r="C24" s="64">
        <v>8.4034267912772584</v>
      </c>
      <c r="D24" s="64">
        <v>1.7064220183486238</v>
      </c>
      <c r="E24" s="82">
        <v>9.3544747884707977</v>
      </c>
      <c r="F24" s="64">
        <v>9.5350877192982466</v>
      </c>
      <c r="G24" s="118">
        <v>1</v>
      </c>
      <c r="H24" s="64">
        <v>0.24254742547425476</v>
      </c>
      <c r="I24" s="72">
        <v>1.0920892987139044</v>
      </c>
      <c r="K24" t="s">
        <v>744</v>
      </c>
      <c r="L24">
        <v>1.943877551020408</v>
      </c>
      <c r="M24">
        <v>0.9742860303763059</v>
      </c>
      <c r="N24">
        <v>7.000587716720541</v>
      </c>
      <c r="O24">
        <v>105.35099337748345</v>
      </c>
      <c r="P24">
        <v>32.077586206896555</v>
      </c>
      <c r="Q24">
        <v>23.011111111111113</v>
      </c>
      <c r="R24">
        <v>0.2374440733505577</v>
      </c>
      <c r="S24" s="10">
        <v>3.2926829268292686</v>
      </c>
      <c r="U24" t="s">
        <v>105</v>
      </c>
      <c r="V24">
        <v>23.261224489795918</v>
      </c>
      <c r="W24">
        <v>1.0314960629921259</v>
      </c>
      <c r="X24">
        <v>483.73429951690827</v>
      </c>
      <c r="Y24">
        <v>15.280373831775702</v>
      </c>
      <c r="Z24">
        <v>0.38167045638337349</v>
      </c>
      <c r="AA24">
        <v>1</v>
      </c>
      <c r="AB24">
        <v>0.78328173374612997</v>
      </c>
    </row>
    <row r="25" spans="1:28" x14ac:dyDescent="0.2">
      <c r="A25" s="146">
        <v>20</v>
      </c>
      <c r="B25" s="146" t="s">
        <v>743</v>
      </c>
      <c r="C25" s="64">
        <v>1.9084967320261437</v>
      </c>
      <c r="D25" s="64">
        <v>1.6170731707317074</v>
      </c>
      <c r="E25" s="64">
        <v>5.2013932868904371</v>
      </c>
      <c r="F25" s="64">
        <v>1.6467889908256879</v>
      </c>
      <c r="G25" s="64">
        <v>1.5609756097560976</v>
      </c>
      <c r="H25" s="64">
        <v>1.671875</v>
      </c>
      <c r="I25" s="72">
        <v>5.4578402366863914</v>
      </c>
      <c r="K25" t="s">
        <v>744</v>
      </c>
      <c r="L25">
        <v>2.0413223140495869</v>
      </c>
      <c r="M25">
        <v>4.8396362721843884</v>
      </c>
      <c r="N25">
        <v>139.64350453172204</v>
      </c>
      <c r="O25">
        <v>31.759322033898307</v>
      </c>
      <c r="P25">
        <v>1</v>
      </c>
      <c r="Q25">
        <v>3.8595890410958904</v>
      </c>
      <c r="R25">
        <v>25.055894308943088</v>
      </c>
      <c r="S25" s="10">
        <v>5.1540570175438605</v>
      </c>
      <c r="U25" t="s">
        <v>313</v>
      </c>
      <c r="V25">
        <v>16.707142857142856</v>
      </c>
      <c r="W25">
        <v>0.92388451443569553</v>
      </c>
      <c r="X25">
        <v>749.90821256038646</v>
      </c>
      <c r="Y25">
        <v>16.429906542056074</v>
      </c>
      <c r="Z25">
        <v>1.037104339304912</v>
      </c>
      <c r="AA25">
        <v>1.0153061224489794</v>
      </c>
      <c r="AB25">
        <v>1.2043343653250775</v>
      </c>
    </row>
    <row r="26" spans="1:28" x14ac:dyDescent="0.2">
      <c r="A26" s="146">
        <v>21</v>
      </c>
      <c r="B26" s="146" t="s">
        <v>743</v>
      </c>
      <c r="C26" s="64">
        <v>5.4675253494107974</v>
      </c>
      <c r="D26" s="64">
        <v>4.4960496613995486</v>
      </c>
      <c r="E26" s="64">
        <v>16.692261185006046</v>
      </c>
      <c r="F26" s="64">
        <v>1.9338422391857504</v>
      </c>
      <c r="G26" s="64">
        <v>23.377088305489259</v>
      </c>
      <c r="H26" s="64">
        <v>6.0068306010928953</v>
      </c>
      <c r="I26" s="72">
        <v>0.91120895248578249</v>
      </c>
      <c r="K26" t="s">
        <v>744</v>
      </c>
      <c r="L26">
        <v>2.3519553072625698</v>
      </c>
      <c r="M26">
        <v>0.46569746485642194</v>
      </c>
      <c r="N26">
        <v>183.85416666666669</v>
      </c>
      <c r="O26">
        <v>19.905797101449277</v>
      </c>
      <c r="P26">
        <v>43.107526881720432</v>
      </c>
      <c r="Q26">
        <v>4.3975903614457836</v>
      </c>
      <c r="R26">
        <v>0.12071078431372549</v>
      </c>
      <c r="S26" s="10">
        <v>1</v>
      </c>
      <c r="U26" t="s">
        <v>9</v>
      </c>
      <c r="V26">
        <v>1</v>
      </c>
      <c r="W26">
        <v>0.79790026246719159</v>
      </c>
      <c r="X26">
        <v>1</v>
      </c>
      <c r="Y26">
        <v>1</v>
      </c>
      <c r="Z26">
        <v>1.0047474526443978</v>
      </c>
      <c r="AA26">
        <v>1</v>
      </c>
      <c r="AB26">
        <v>0.75851393188854499</v>
      </c>
    </row>
    <row r="27" spans="1:28" x14ac:dyDescent="0.2">
      <c r="A27">
        <v>14</v>
      </c>
      <c r="B27" s="146" t="s">
        <v>105</v>
      </c>
      <c r="C27">
        <v>3.5765331981753672</v>
      </c>
      <c r="D27">
        <v>1.6945010183299389</v>
      </c>
      <c r="E27">
        <v>11.494306199915647</v>
      </c>
      <c r="F27">
        <v>1.3467336683417084</v>
      </c>
      <c r="G27">
        <v>1.0285714285714287</v>
      </c>
      <c r="H27">
        <v>1.1483516483516483</v>
      </c>
      <c r="I27" s="10">
        <v>4.4811791383219957</v>
      </c>
      <c r="K27" t="s">
        <v>744</v>
      </c>
      <c r="L27">
        <v>1</v>
      </c>
      <c r="M27">
        <v>0.51518688180200156</v>
      </c>
      <c r="N27">
        <v>4.439964749944922</v>
      </c>
      <c r="O27">
        <v>6.4130434782608701</v>
      </c>
      <c r="P27">
        <v>22.688172043010752</v>
      </c>
      <c r="Q27">
        <v>2.4514925373134333</v>
      </c>
      <c r="R27">
        <v>0.39165009940357848</v>
      </c>
      <c r="S27" s="10">
        <v>1</v>
      </c>
      <c r="U27" t="s">
        <v>104</v>
      </c>
      <c r="V27">
        <v>1.7387755102040814</v>
      </c>
      <c r="W27">
        <v>58.082539682539689</v>
      </c>
      <c r="X27">
        <v>1221.9951690821258</v>
      </c>
      <c r="Y27">
        <v>579.29906542056074</v>
      </c>
      <c r="Z27">
        <v>2.79368075756638</v>
      </c>
      <c r="AA27">
        <v>21.430612244897958</v>
      </c>
      <c r="AB27">
        <v>2.0683673469387753</v>
      </c>
    </row>
    <row r="28" spans="1:28" x14ac:dyDescent="0.2">
      <c r="A28" s="146">
        <v>15</v>
      </c>
      <c r="B28" s="146" t="s">
        <v>105</v>
      </c>
      <c r="C28" s="64">
        <v>3.5393034825870648</v>
      </c>
      <c r="D28" s="64">
        <v>8.984265734265735</v>
      </c>
      <c r="E28" s="64">
        <v>1.0251437304417437</v>
      </c>
      <c r="F28" s="64">
        <v>4.8095238095238093</v>
      </c>
      <c r="G28" s="64">
        <v>1.5114678899082568</v>
      </c>
      <c r="H28" s="64">
        <v>1.3160569105691056</v>
      </c>
      <c r="I28" s="72">
        <v>1.656220876048462</v>
      </c>
      <c r="K28" t="s">
        <v>744</v>
      </c>
      <c r="L28">
        <v>88.518072289156621</v>
      </c>
      <c r="M28">
        <v>1.6579623756575343</v>
      </c>
      <c r="N28">
        <v>10.564929599020507</v>
      </c>
      <c r="O28">
        <v>245.58730158730157</v>
      </c>
      <c r="P28">
        <v>432.61290322580641</v>
      </c>
      <c r="Q28">
        <v>5.9883495145631063</v>
      </c>
      <c r="R28">
        <v>2.7309904153354632</v>
      </c>
      <c r="S28" s="10">
        <v>4.9943258719416974</v>
      </c>
      <c r="U28" t="s">
        <v>105</v>
      </c>
      <c r="V28">
        <v>2.2806122448979593</v>
      </c>
      <c r="W28">
        <v>1.1746031746031746</v>
      </c>
      <c r="X28">
        <v>4.7391304347826093</v>
      </c>
      <c r="Y28">
        <v>6.7383177570093453</v>
      </c>
      <c r="Z28">
        <v>1.1067958160549607</v>
      </c>
      <c r="AA28">
        <v>1</v>
      </c>
      <c r="AB28">
        <v>1</v>
      </c>
    </row>
    <row r="29" spans="1:28" x14ac:dyDescent="0.2">
      <c r="A29" s="146">
        <v>16</v>
      </c>
      <c r="B29" s="146" t="s">
        <v>105</v>
      </c>
      <c r="C29" s="64">
        <v>0.96147540983606572</v>
      </c>
      <c r="D29" s="64">
        <v>4.4567944250871081</v>
      </c>
      <c r="E29" s="64">
        <v>2.4974550390227352</v>
      </c>
      <c r="F29" s="64">
        <v>2.0408653846153846</v>
      </c>
      <c r="G29" s="64">
        <v>1.4340277777777779</v>
      </c>
      <c r="H29" s="64">
        <v>0.70829068577277388</v>
      </c>
      <c r="I29" s="72">
        <v>1.5760889584676305</v>
      </c>
      <c r="K29" t="s">
        <v>744</v>
      </c>
      <c r="L29">
        <v>51.167597765363126</v>
      </c>
      <c r="M29">
        <v>0.94544070779622313</v>
      </c>
      <c r="N29">
        <v>3.0850719312449399</v>
      </c>
      <c r="O29">
        <v>160.4033816425121</v>
      </c>
      <c r="P29">
        <v>104.87096774193547</v>
      </c>
      <c r="Q29">
        <v>3.3167082294264341</v>
      </c>
      <c r="R29">
        <v>0.30705933304460803</v>
      </c>
      <c r="S29" s="10">
        <v>23.644071766524572</v>
      </c>
      <c r="U29" t="s">
        <v>313</v>
      </c>
      <c r="V29">
        <v>3.0989795918367347</v>
      </c>
      <c r="W29">
        <v>106.65079365079364</v>
      </c>
      <c r="X29">
        <v>1256.594202898551</v>
      </c>
      <c r="Y29">
        <v>682.0560747663551</v>
      </c>
      <c r="Z29">
        <v>1.8709228198304142</v>
      </c>
      <c r="AA29">
        <v>13.521428571428569</v>
      </c>
      <c r="AB29">
        <v>2.4102040816326529</v>
      </c>
    </row>
    <row r="30" spans="1:28" x14ac:dyDescent="0.2">
      <c r="A30" s="146">
        <v>17</v>
      </c>
      <c r="B30" s="146" t="s">
        <v>105</v>
      </c>
      <c r="C30" s="64">
        <v>0.55476613380698636</v>
      </c>
      <c r="D30" s="64">
        <v>4.6922670889416729</v>
      </c>
      <c r="E30" s="64">
        <v>2.4612937433722166</v>
      </c>
      <c r="F30" s="64">
        <v>4.0043668122270741</v>
      </c>
      <c r="G30" s="64">
        <v>1.9826388888888888</v>
      </c>
      <c r="H30" s="64">
        <v>3.3457711442786073</v>
      </c>
      <c r="I30" s="72">
        <v>1.8081090890236948</v>
      </c>
      <c r="K30" t="s">
        <v>104</v>
      </c>
      <c r="L30">
        <v>30.80710659898477</v>
      </c>
      <c r="M30">
        <v>0.69981218541056278</v>
      </c>
      <c r="N30">
        <v>51.455479452054796</v>
      </c>
      <c r="O30">
        <v>52.016666666666673</v>
      </c>
      <c r="P30">
        <v>183.4926829268293</v>
      </c>
      <c r="Q30">
        <v>7.1678571428571427</v>
      </c>
      <c r="R30">
        <v>5.5679834634818564</v>
      </c>
      <c r="S30" s="10">
        <v>6.7487684729064039</v>
      </c>
      <c r="U30" t="s">
        <v>9</v>
      </c>
      <c r="V30">
        <v>1</v>
      </c>
      <c r="W30">
        <v>0.94285714285714295</v>
      </c>
      <c r="X30">
        <v>1</v>
      </c>
      <c r="Y30">
        <v>1</v>
      </c>
      <c r="Z30">
        <v>6.0832456520393636</v>
      </c>
      <c r="AA30">
        <v>1</v>
      </c>
      <c r="AB30">
        <v>1</v>
      </c>
    </row>
    <row r="31" spans="1:28" x14ac:dyDescent="0.2">
      <c r="A31" s="146">
        <v>18</v>
      </c>
      <c r="B31" s="146" t="s">
        <v>105</v>
      </c>
      <c r="C31" s="64">
        <v>6.7310650887573971</v>
      </c>
      <c r="D31" s="64">
        <v>18.59423347398031</v>
      </c>
      <c r="E31" s="64">
        <v>37.569496785635117</v>
      </c>
      <c r="F31" s="64">
        <v>2.4918699186991868</v>
      </c>
      <c r="G31" s="118">
        <v>1</v>
      </c>
      <c r="H31" s="64">
        <v>3.0855263157894739</v>
      </c>
      <c r="I31" s="72">
        <v>3.2841440853194035</v>
      </c>
      <c r="K31" t="s">
        <v>104</v>
      </c>
      <c r="L31">
        <v>34.109677419354838</v>
      </c>
      <c r="M31">
        <v>2.1586182079884852</v>
      </c>
      <c r="N31">
        <v>7.444608567208272</v>
      </c>
      <c r="O31">
        <v>235.32075471698113</v>
      </c>
      <c r="P31">
        <v>686.68292682926835</v>
      </c>
      <c r="Q31">
        <v>40.230088495575224</v>
      </c>
      <c r="R31">
        <v>9.3131313131313131</v>
      </c>
      <c r="S31" s="10">
        <v>46.985882352941175</v>
      </c>
      <c r="U31" t="s">
        <v>104</v>
      </c>
      <c r="V31">
        <v>1.1255102040816325</v>
      </c>
      <c r="W31">
        <v>50.357142857142854</v>
      </c>
      <c r="X31">
        <v>1097.4057971014495</v>
      </c>
      <c r="Y31">
        <v>337.10743801652893</v>
      </c>
      <c r="Z31">
        <v>1.6133928571428573</v>
      </c>
      <c r="AA31">
        <v>20.757142857142853</v>
      </c>
      <c r="AB31">
        <v>2.3326530612244896</v>
      </c>
    </row>
    <row r="32" spans="1:28" x14ac:dyDescent="0.2">
      <c r="A32">
        <v>19</v>
      </c>
      <c r="B32" s="146" t="s">
        <v>105</v>
      </c>
      <c r="C32" s="64">
        <v>6.7850467289719631</v>
      </c>
      <c r="D32" s="64">
        <v>7.2935779816513762</v>
      </c>
      <c r="E32" s="82">
        <v>9.3544747884707977</v>
      </c>
      <c r="F32" s="64">
        <v>0.92543859649122806</v>
      </c>
      <c r="G32" s="118">
        <v>1</v>
      </c>
      <c r="H32" s="118">
        <v>0.21002710027100271</v>
      </c>
      <c r="I32" s="72">
        <v>7.9389711235137099</v>
      </c>
      <c r="K32" t="s">
        <v>104</v>
      </c>
      <c r="L32">
        <v>18.292857142857141</v>
      </c>
      <c r="M32">
        <v>1.3179895163388975</v>
      </c>
      <c r="N32">
        <v>27.138012780869921</v>
      </c>
      <c r="O32">
        <v>714.255033557047</v>
      </c>
      <c r="P32">
        <v>1435.2155172413793</v>
      </c>
      <c r="Q32">
        <v>76.910536779324048</v>
      </c>
      <c r="R32">
        <v>2.3275936912169009</v>
      </c>
      <c r="S32" s="10">
        <v>23.678048780487806</v>
      </c>
      <c r="U32" t="s">
        <v>105</v>
      </c>
      <c r="V32">
        <v>2.0142857142857138</v>
      </c>
      <c r="W32">
        <v>0.70714285714285718</v>
      </c>
      <c r="X32">
        <v>16.062801932367151</v>
      </c>
      <c r="Y32">
        <v>6.5371900826446288</v>
      </c>
      <c r="Z32">
        <v>0.92321428571428577</v>
      </c>
      <c r="AA32">
        <v>1</v>
      </c>
      <c r="AB32">
        <v>1</v>
      </c>
    </row>
    <row r="33" spans="1:28" x14ac:dyDescent="0.2">
      <c r="A33" s="146">
        <v>20</v>
      </c>
      <c r="B33" s="146" t="s">
        <v>105</v>
      </c>
      <c r="C33" s="64">
        <v>3.4248366013071898</v>
      </c>
      <c r="D33" s="64">
        <v>21.673170731707319</v>
      </c>
      <c r="E33" s="64">
        <v>5.2647245091830275</v>
      </c>
      <c r="F33" s="64">
        <v>2.9633027522935778</v>
      </c>
      <c r="G33" s="64">
        <v>1.8943089430894309</v>
      </c>
      <c r="H33" s="64">
        <v>2.3802083333333335</v>
      </c>
      <c r="I33" s="72">
        <v>2.7115384615384612</v>
      </c>
      <c r="K33" t="s">
        <v>104</v>
      </c>
      <c r="L33">
        <v>14.074489795918367</v>
      </c>
      <c r="M33">
        <v>2.0326126467845684</v>
      </c>
      <c r="N33">
        <v>15.513468508179058</v>
      </c>
      <c r="O33">
        <v>799.54966887417208</v>
      </c>
      <c r="P33">
        <v>1691.3275862068967</v>
      </c>
      <c r="Q33">
        <v>235.11111111111109</v>
      </c>
      <c r="R33">
        <v>0.9588505891990674</v>
      </c>
      <c r="S33" s="10">
        <v>33.419512195121953</v>
      </c>
      <c r="U33" t="s">
        <v>313</v>
      </c>
      <c r="V33">
        <v>2.2887755102040814</v>
      </c>
      <c r="W33">
        <v>174.89047619047616</v>
      </c>
      <c r="X33">
        <v>1261.6473429951693</v>
      </c>
      <c r="Y33">
        <v>560.97520661157023</v>
      </c>
      <c r="Z33">
        <v>1.9345145089285716</v>
      </c>
      <c r="AA33">
        <v>24.861224489795916</v>
      </c>
      <c r="AB33">
        <v>2.740816326530612</v>
      </c>
    </row>
    <row r="34" spans="1:28" x14ac:dyDescent="0.2">
      <c r="A34" s="146">
        <v>21</v>
      </c>
      <c r="B34" s="146" t="s">
        <v>105</v>
      </c>
      <c r="C34" s="64">
        <v>11.537133461222252</v>
      </c>
      <c r="D34" s="64">
        <v>30.407449209932285</v>
      </c>
      <c r="E34" s="64">
        <v>15.29292623941959</v>
      </c>
      <c r="F34" s="64">
        <v>11.592875318066158</v>
      </c>
      <c r="G34" s="64">
        <v>1.3031026252983293</v>
      </c>
      <c r="H34" s="64">
        <v>3.9125683060109289</v>
      </c>
      <c r="I34" s="72">
        <v>7.492386718033389</v>
      </c>
      <c r="K34" t="s">
        <v>104</v>
      </c>
      <c r="L34">
        <v>4.3783287419651051</v>
      </c>
      <c r="M34">
        <v>4.1566011963173537</v>
      </c>
      <c r="N34">
        <v>20.359085023737592</v>
      </c>
      <c r="O34">
        <v>60.114689265536725</v>
      </c>
      <c r="P34">
        <v>399.34905660377359</v>
      </c>
      <c r="Q34">
        <v>5.8424657534246576</v>
      </c>
      <c r="R34">
        <v>48.647696476964768</v>
      </c>
      <c r="S34" s="10">
        <v>3.859649122807018</v>
      </c>
      <c r="U34" t="s">
        <v>9</v>
      </c>
      <c r="V34">
        <v>1</v>
      </c>
      <c r="W34">
        <v>1.3761904761904762</v>
      </c>
      <c r="X34">
        <v>1</v>
      </c>
      <c r="Y34">
        <v>3.2396694214876032</v>
      </c>
      <c r="Z34">
        <v>4.0858816964285722</v>
      </c>
      <c r="AA34">
        <v>1</v>
      </c>
      <c r="AB34">
        <v>1</v>
      </c>
    </row>
    <row r="35" spans="1:28" x14ac:dyDescent="0.2">
      <c r="A35">
        <v>14</v>
      </c>
      <c r="B35" s="146" t="s">
        <v>313</v>
      </c>
      <c r="C35">
        <v>1.8968575772934615</v>
      </c>
      <c r="D35">
        <v>3.9551934826883914</v>
      </c>
      <c r="E35">
        <v>13.119358920286798</v>
      </c>
      <c r="F35">
        <v>0.93132328308207701</v>
      </c>
      <c r="G35">
        <v>8.8571428571428577</v>
      </c>
      <c r="H35">
        <v>6.2032967032967026</v>
      </c>
      <c r="I35" s="10">
        <v>4.717913832199546</v>
      </c>
      <c r="K35" t="s">
        <v>104</v>
      </c>
      <c r="L35">
        <v>25.508379888268156</v>
      </c>
      <c r="M35">
        <v>5.0700768953502342</v>
      </c>
      <c r="N35">
        <v>292.02083333333331</v>
      </c>
      <c r="O35">
        <v>246.33091787439614</v>
      </c>
      <c r="P35">
        <v>1483.505376344086</v>
      </c>
      <c r="Q35">
        <v>161.12048192771084</v>
      </c>
      <c r="R35">
        <v>1.7916666666666665</v>
      </c>
      <c r="S35" s="10">
        <v>3.1459183673469382</v>
      </c>
    </row>
    <row r="36" spans="1:28" x14ac:dyDescent="0.2">
      <c r="A36" s="146">
        <v>15</v>
      </c>
      <c r="B36" s="146" t="s">
        <v>313</v>
      </c>
      <c r="C36" s="64">
        <v>2.0009950248756221</v>
      </c>
      <c r="D36" s="64">
        <v>3.3566433566433567</v>
      </c>
      <c r="E36" s="64">
        <v>1.8918746816097809</v>
      </c>
      <c r="F36" s="64">
        <v>2.4702380952380953</v>
      </c>
      <c r="G36" s="64">
        <v>4.0550458715596323</v>
      </c>
      <c r="H36" s="64">
        <v>3.9613821138211378</v>
      </c>
      <c r="I36" s="72">
        <v>2.4263746505125816</v>
      </c>
      <c r="K36" t="s">
        <v>104</v>
      </c>
      <c r="L36">
        <v>28.541899441340785</v>
      </c>
      <c r="M36">
        <v>2.7407872085898521</v>
      </c>
      <c r="N36">
        <v>22.852831020048466</v>
      </c>
      <c r="O36">
        <v>274.39130434782612</v>
      </c>
      <c r="P36">
        <v>1715.5913978494623</v>
      </c>
      <c r="Q36">
        <v>38.429104477611951</v>
      </c>
      <c r="R36">
        <v>3.7654075546719681</v>
      </c>
      <c r="S36" s="10">
        <v>3.1010204081632651</v>
      </c>
    </row>
    <row r="37" spans="1:28" x14ac:dyDescent="0.2">
      <c r="A37" s="146">
        <v>16</v>
      </c>
      <c r="B37" s="146" t="s">
        <v>313</v>
      </c>
      <c r="C37" s="64">
        <v>1.5292008196721312</v>
      </c>
      <c r="D37" s="64">
        <v>1.7174216027874565</v>
      </c>
      <c r="E37" s="64">
        <v>7.0971157108924334</v>
      </c>
      <c r="F37" s="64">
        <v>4.3245192307692299</v>
      </c>
      <c r="G37" s="64">
        <v>6.7638888888888893</v>
      </c>
      <c r="H37" s="64">
        <v>2.4953940634595702</v>
      </c>
      <c r="I37" s="72">
        <v>0.98966295238972279</v>
      </c>
      <c r="K37" t="s">
        <v>104</v>
      </c>
      <c r="L37">
        <v>8.453815261044177</v>
      </c>
      <c r="M37">
        <v>0.96214639613821917</v>
      </c>
      <c r="N37">
        <v>2.6531603917967552</v>
      </c>
      <c r="O37">
        <v>230.25396825396822</v>
      </c>
      <c r="P37">
        <v>1050.7741935483871</v>
      </c>
      <c r="Q37">
        <v>8.2811650485436896</v>
      </c>
      <c r="R37">
        <v>1.6191693290734823</v>
      </c>
      <c r="S37" s="10">
        <v>6.3888079125455493</v>
      </c>
    </row>
    <row r="38" spans="1:28" x14ac:dyDescent="0.2">
      <c r="A38" s="146">
        <v>17</v>
      </c>
      <c r="B38" s="146" t="s">
        <v>313</v>
      </c>
      <c r="C38" s="64">
        <v>0.58267783134568218</v>
      </c>
      <c r="D38" s="64">
        <v>2.2243335972552125</v>
      </c>
      <c r="E38" s="64">
        <v>8.2450954400848353</v>
      </c>
      <c r="F38" s="64">
        <v>4.1310043668122276</v>
      </c>
      <c r="G38" s="64">
        <v>28.291666666666668</v>
      </c>
      <c r="H38" s="64">
        <v>5.2363184079601997</v>
      </c>
      <c r="I38" s="72">
        <v>0.7206926945611033</v>
      </c>
      <c r="K38" t="s">
        <v>104</v>
      </c>
      <c r="L38">
        <v>4.6312849162011167</v>
      </c>
      <c r="M38">
        <v>1.5134270930779519</v>
      </c>
      <c r="N38">
        <v>2.0204895061343962</v>
      </c>
      <c r="O38">
        <v>258.35265700483092</v>
      </c>
      <c r="P38">
        <v>1111.6989247311828</v>
      </c>
      <c r="Q38">
        <v>10.182044887780549</v>
      </c>
      <c r="R38">
        <v>1.4244261585101776</v>
      </c>
      <c r="S38" s="10">
        <v>1.7503162036820161</v>
      </c>
    </row>
    <row r="39" spans="1:28" x14ac:dyDescent="0.2">
      <c r="A39" s="146">
        <v>18</v>
      </c>
      <c r="B39" s="146" t="s">
        <v>313</v>
      </c>
      <c r="C39" s="64">
        <v>1.7656804733727811</v>
      </c>
      <c r="D39" s="64">
        <v>1.5668073136427567</v>
      </c>
      <c r="E39" s="64">
        <v>48.18820660607404</v>
      </c>
      <c r="F39" s="64">
        <v>1.2886178861788617</v>
      </c>
      <c r="G39" s="64">
        <v>6.3485714285714279</v>
      </c>
      <c r="H39" s="64">
        <v>1.1266447368421051</v>
      </c>
      <c r="I39" s="72">
        <v>4.0990314506475132</v>
      </c>
    </row>
    <row r="40" spans="1:28" x14ac:dyDescent="0.2">
      <c r="A40">
        <v>19</v>
      </c>
      <c r="B40" s="146" t="s">
        <v>313</v>
      </c>
      <c r="C40" s="64">
        <v>1.0482866043613708</v>
      </c>
      <c r="D40" s="119">
        <v>1</v>
      </c>
      <c r="E40" s="82">
        <v>9.3544747884707977</v>
      </c>
      <c r="F40" s="64">
        <v>0.89912280701754388</v>
      </c>
      <c r="G40" s="64">
        <v>6.4712041884816758</v>
      </c>
      <c r="H40" s="64">
        <v>0.45799457994579945</v>
      </c>
      <c r="I40" s="72">
        <v>0.29951121433771277</v>
      </c>
    </row>
    <row r="41" spans="1:28" x14ac:dyDescent="0.2">
      <c r="A41" s="146">
        <v>20</v>
      </c>
      <c r="B41" s="146" t="s">
        <v>313</v>
      </c>
      <c r="C41" s="64">
        <v>0.98039215686274506</v>
      </c>
      <c r="D41" s="64">
        <v>1.5170731707317073</v>
      </c>
      <c r="E41" s="64">
        <v>3.0101329955668148</v>
      </c>
      <c r="F41" s="64">
        <v>1.963302752293578</v>
      </c>
      <c r="G41" s="64">
        <v>1.3739837398373984</v>
      </c>
      <c r="H41" s="118">
        <v>1</v>
      </c>
      <c r="I41" s="72">
        <v>4.5713757396449708</v>
      </c>
    </row>
    <row r="42" spans="1:28" x14ac:dyDescent="0.2">
      <c r="A42" s="146">
        <v>21</v>
      </c>
      <c r="B42" s="146" t="s">
        <v>313</v>
      </c>
      <c r="C42" s="64">
        <v>2.0443957248561246</v>
      </c>
      <c r="D42" s="64">
        <v>4.0541760722347631</v>
      </c>
      <c r="E42" s="64">
        <v>13.955864570737607</v>
      </c>
      <c r="F42" s="64">
        <v>1.3994910941475827</v>
      </c>
      <c r="G42" s="64">
        <v>13.460620525059664</v>
      </c>
      <c r="H42" s="64">
        <v>2.4275956284153004</v>
      </c>
      <c r="I42" s="72">
        <v>2.391487800403596</v>
      </c>
    </row>
    <row r="43" spans="1:28" x14ac:dyDescent="0.2">
      <c r="A43">
        <v>14</v>
      </c>
      <c r="B43" s="146" t="s">
        <v>9</v>
      </c>
      <c r="C43">
        <v>14.230106436898124</v>
      </c>
      <c r="D43">
        <v>2.7861507128309571</v>
      </c>
      <c r="E43">
        <v>3.7642345002108812</v>
      </c>
      <c r="F43">
        <v>0.96984924623115587</v>
      </c>
      <c r="G43">
        <v>1.1047619047619046</v>
      </c>
      <c r="H43">
        <v>2.6318681318681318</v>
      </c>
      <c r="I43" s="10">
        <v>10.074376417233559</v>
      </c>
    </row>
    <row r="44" spans="1:28" x14ac:dyDescent="0.2">
      <c r="A44" s="146">
        <v>15</v>
      </c>
      <c r="B44" s="146" t="s">
        <v>9</v>
      </c>
      <c r="C44" s="64">
        <v>31.281923714759536</v>
      </c>
      <c r="D44" s="64">
        <v>43.346153846153847</v>
      </c>
      <c r="E44" s="64">
        <v>1.303671494068845</v>
      </c>
      <c r="F44" s="64">
        <v>3.9375000000000004</v>
      </c>
      <c r="G44" s="64">
        <v>1.2522935779816513</v>
      </c>
      <c r="H44" s="64">
        <v>4.7306910569105689</v>
      </c>
      <c r="I44" s="72">
        <v>36.465167753960856</v>
      </c>
    </row>
    <row r="45" spans="1:28" x14ac:dyDescent="0.2">
      <c r="A45" s="146">
        <v>16</v>
      </c>
      <c r="B45" s="146" t="s">
        <v>9</v>
      </c>
      <c r="C45" s="64">
        <v>5.3364754098360665</v>
      </c>
      <c r="D45" s="64">
        <v>4.522648083623694</v>
      </c>
      <c r="E45" s="64">
        <v>1.0948761452324398</v>
      </c>
      <c r="F45" s="64">
        <v>1.4254807692307692</v>
      </c>
      <c r="G45" s="64">
        <v>0.80208333333333337</v>
      </c>
      <c r="H45" s="64">
        <v>0.62743091095189352</v>
      </c>
      <c r="I45" s="72">
        <v>2.8905055714154155</v>
      </c>
    </row>
    <row r="46" spans="1:28" x14ac:dyDescent="0.2">
      <c r="A46" s="146">
        <v>17</v>
      </c>
      <c r="B46" s="146" t="s">
        <v>9</v>
      </c>
      <c r="C46" s="64">
        <v>8.5716823141334686</v>
      </c>
      <c r="D46" s="64">
        <v>15.010556875164951</v>
      </c>
      <c r="E46" s="64">
        <v>1.875</v>
      </c>
      <c r="F46" s="64">
        <v>4.4585152838427948</v>
      </c>
      <c r="G46" s="64">
        <v>3.229166666666667</v>
      </c>
      <c r="H46" s="64">
        <v>9.8880597014925389</v>
      </c>
      <c r="I46" s="72">
        <v>5.8376626743402298</v>
      </c>
    </row>
    <row r="47" spans="1:28" x14ac:dyDescent="0.2">
      <c r="A47" s="146">
        <v>18</v>
      </c>
      <c r="B47" s="146" t="s">
        <v>9</v>
      </c>
      <c r="C47" s="82">
        <v>317.39526627218936</v>
      </c>
      <c r="D47" s="64">
        <v>131.38818565400842</v>
      </c>
      <c r="E47" s="64">
        <v>10.420749279538905</v>
      </c>
      <c r="F47" s="64">
        <v>2.7357723577235773</v>
      </c>
      <c r="G47" s="118">
        <v>1</v>
      </c>
      <c r="H47" s="64">
        <v>3.8684210526315788</v>
      </c>
      <c r="I47" s="72">
        <v>57.175209489607141</v>
      </c>
    </row>
    <row r="48" spans="1:28" x14ac:dyDescent="0.2">
      <c r="A48">
        <v>19</v>
      </c>
      <c r="B48" s="146" t="s">
        <v>9</v>
      </c>
      <c r="C48" s="64">
        <v>0.4190031152647975</v>
      </c>
      <c r="D48" s="119">
        <v>1</v>
      </c>
      <c r="E48" s="64">
        <v>1.84711426016372</v>
      </c>
      <c r="F48" s="64">
        <v>1.0657894736842106</v>
      </c>
      <c r="G48" s="118">
        <v>1</v>
      </c>
      <c r="H48" s="118">
        <v>0.21002710027100271</v>
      </c>
      <c r="I48" s="72">
        <v>0.54451069435296551</v>
      </c>
    </row>
    <row r="49" spans="1:9" x14ac:dyDescent="0.2">
      <c r="A49" s="146">
        <v>20</v>
      </c>
      <c r="B49" s="146" t="s">
        <v>9</v>
      </c>
      <c r="C49" s="64">
        <v>53.509803921568633</v>
      </c>
      <c r="D49" s="64">
        <v>41.12926829268293</v>
      </c>
      <c r="E49" s="64">
        <v>3.1469284357188094</v>
      </c>
      <c r="F49" s="64">
        <v>2.6697247706422016</v>
      </c>
      <c r="G49" s="64">
        <v>1.8455284552845528</v>
      </c>
      <c r="H49" s="64">
        <v>2.619791666666667</v>
      </c>
      <c r="I49" s="72">
        <v>97.060650887573971</v>
      </c>
    </row>
    <row r="50" spans="1:9" x14ac:dyDescent="0.2">
      <c r="A50" s="146">
        <v>21</v>
      </c>
      <c r="B50" s="146" t="s">
        <v>9</v>
      </c>
      <c r="C50" s="64">
        <v>71.644012058098099</v>
      </c>
      <c r="D50" s="64">
        <v>64.601580135440187</v>
      </c>
      <c r="E50" s="64">
        <v>8.2273276904474013</v>
      </c>
      <c r="F50" s="64">
        <v>2.5038167938931295</v>
      </c>
      <c r="G50" s="64">
        <v>1.1408114558472553</v>
      </c>
      <c r="H50" s="64">
        <v>6.5136612021857925</v>
      </c>
      <c r="I50" s="72">
        <v>45.274628508530547</v>
      </c>
    </row>
    <row r="53" spans="1:9" x14ac:dyDescent="0.2">
      <c r="C53" s="159" t="s">
        <v>751</v>
      </c>
      <c r="D53" t="s">
        <v>752</v>
      </c>
    </row>
    <row r="54" spans="1:9" x14ac:dyDescent="0.2">
      <c r="C54" s="82" t="s">
        <v>753</v>
      </c>
      <c r="D54" t="s">
        <v>754</v>
      </c>
    </row>
  </sheetData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2737A4-8EC6-7B45-9D5E-6DDA7A44F48D}">
  <sheetPr codeName="Sheet21"/>
  <dimension ref="A1:V160"/>
  <sheetViews>
    <sheetView zoomScale="80" zoomScaleNormal="80" workbookViewId="0">
      <selection activeCell="J31" sqref="J31"/>
    </sheetView>
  </sheetViews>
  <sheetFormatPr baseColWidth="10" defaultRowHeight="16" x14ac:dyDescent="0.2"/>
  <cols>
    <col min="5" max="5" width="10.83203125" style="10"/>
    <col min="10" max="10" width="10.83203125" style="10"/>
    <col min="11" max="11" width="10.83203125" style="21"/>
    <col min="15" max="15" width="4.83203125" style="10" customWidth="1"/>
    <col min="19" max="19" width="10.83203125" style="10"/>
  </cols>
  <sheetData>
    <row r="1" spans="1:22" x14ac:dyDescent="0.2">
      <c r="A1" t="s">
        <v>1239</v>
      </c>
      <c r="F1" t="s">
        <v>1240</v>
      </c>
      <c r="L1" t="s">
        <v>1241</v>
      </c>
      <c r="P1" t="s">
        <v>1242</v>
      </c>
      <c r="T1" t="s">
        <v>1243</v>
      </c>
    </row>
    <row r="2" spans="1:22" x14ac:dyDescent="0.2">
      <c r="B2" t="s">
        <v>747</v>
      </c>
      <c r="D2" t="s">
        <v>748</v>
      </c>
    </row>
    <row r="3" spans="1:22" x14ac:dyDescent="0.2">
      <c r="F3" t="s">
        <v>758</v>
      </c>
    </row>
    <row r="4" spans="1:22" x14ac:dyDescent="0.2">
      <c r="F4" t="s">
        <v>759</v>
      </c>
    </row>
    <row r="5" spans="1:22" x14ac:dyDescent="0.2">
      <c r="L5" t="s">
        <v>745</v>
      </c>
      <c r="N5" t="s">
        <v>745</v>
      </c>
      <c r="P5" t="s">
        <v>745</v>
      </c>
      <c r="R5" t="s">
        <v>745</v>
      </c>
      <c r="T5" t="s">
        <v>745</v>
      </c>
      <c r="V5" t="s">
        <v>745</v>
      </c>
    </row>
    <row r="6" spans="1:22" x14ac:dyDescent="0.2">
      <c r="F6" t="s">
        <v>760</v>
      </c>
      <c r="I6" t="s">
        <v>760</v>
      </c>
    </row>
    <row r="12" spans="1:22" x14ac:dyDescent="0.2">
      <c r="B12" t="s">
        <v>745</v>
      </c>
      <c r="D12" t="s">
        <v>745</v>
      </c>
    </row>
    <row r="13" spans="1:22" x14ac:dyDescent="0.2">
      <c r="L13" s="21"/>
    </row>
    <row r="14" spans="1:22" x14ac:dyDescent="0.2">
      <c r="F14" t="s">
        <v>761</v>
      </c>
      <c r="I14" t="s">
        <v>761</v>
      </c>
      <c r="L14" s="21"/>
      <c r="M14" t="s">
        <v>746</v>
      </c>
      <c r="N14" t="s">
        <v>746</v>
      </c>
      <c r="Q14" t="s">
        <v>746</v>
      </c>
      <c r="R14" t="s">
        <v>746</v>
      </c>
    </row>
    <row r="15" spans="1:22" x14ac:dyDescent="0.2">
      <c r="T15" t="s">
        <v>790</v>
      </c>
      <c r="V15" t="s">
        <v>790</v>
      </c>
    </row>
    <row r="21" spans="2:22" x14ac:dyDescent="0.2">
      <c r="B21" t="s">
        <v>746</v>
      </c>
      <c r="D21" t="s">
        <v>746</v>
      </c>
      <c r="F21" t="s">
        <v>762</v>
      </c>
      <c r="I21" t="s">
        <v>762</v>
      </c>
    </row>
    <row r="22" spans="2:22" x14ac:dyDescent="0.2">
      <c r="L22" t="s">
        <v>768</v>
      </c>
      <c r="N22" t="s">
        <v>768</v>
      </c>
      <c r="P22" t="s">
        <v>768</v>
      </c>
      <c r="R22" t="s">
        <v>768</v>
      </c>
    </row>
    <row r="23" spans="2:22" x14ac:dyDescent="0.2">
      <c r="T23" t="s">
        <v>768</v>
      </c>
      <c r="V23" t="s">
        <v>768</v>
      </c>
    </row>
    <row r="29" spans="2:22" x14ac:dyDescent="0.2">
      <c r="F29" t="s">
        <v>763</v>
      </c>
      <c r="I29" t="s">
        <v>763</v>
      </c>
    </row>
    <row r="30" spans="2:22" x14ac:dyDescent="0.2">
      <c r="L30" t="s">
        <v>780</v>
      </c>
      <c r="N30" t="s">
        <v>780</v>
      </c>
      <c r="P30" t="s">
        <v>770</v>
      </c>
      <c r="R30" t="s">
        <v>770</v>
      </c>
      <c r="T30" t="s">
        <v>770</v>
      </c>
      <c r="V30" t="s">
        <v>770</v>
      </c>
    </row>
    <row r="32" spans="2:22" x14ac:dyDescent="0.2">
      <c r="B32" t="s">
        <v>755</v>
      </c>
      <c r="D32" t="s">
        <v>755</v>
      </c>
    </row>
    <row r="36" spans="2:22" x14ac:dyDescent="0.2">
      <c r="F36" t="s">
        <v>764</v>
      </c>
      <c r="I36" t="s">
        <v>764</v>
      </c>
    </row>
    <row r="38" spans="2:22" x14ac:dyDescent="0.2">
      <c r="L38" t="s">
        <v>782</v>
      </c>
      <c r="N38" t="s">
        <v>782</v>
      </c>
      <c r="P38" t="s">
        <v>786</v>
      </c>
      <c r="R38" t="s">
        <v>786</v>
      </c>
      <c r="T38" t="s">
        <v>786</v>
      </c>
      <c r="V38" t="s">
        <v>786</v>
      </c>
    </row>
    <row r="42" spans="2:22" x14ac:dyDescent="0.2">
      <c r="B42" t="s">
        <v>756</v>
      </c>
      <c r="D42" t="s">
        <v>756</v>
      </c>
    </row>
    <row r="44" spans="2:22" x14ac:dyDescent="0.2">
      <c r="F44" t="s">
        <v>765</v>
      </c>
      <c r="I44" t="s">
        <v>781</v>
      </c>
    </row>
    <row r="45" spans="2:22" x14ac:dyDescent="0.2">
      <c r="L45" t="s">
        <v>783</v>
      </c>
      <c r="N45" t="s">
        <v>783</v>
      </c>
    </row>
    <row r="46" spans="2:22" x14ac:dyDescent="0.2">
      <c r="P46" t="s">
        <v>782</v>
      </c>
      <c r="R46" t="s">
        <v>782</v>
      </c>
      <c r="T46" t="s">
        <v>782</v>
      </c>
      <c r="V46" t="s">
        <v>782</v>
      </c>
    </row>
    <row r="51" spans="2:22" x14ac:dyDescent="0.2">
      <c r="B51" t="s">
        <v>757</v>
      </c>
      <c r="D51" t="s">
        <v>757</v>
      </c>
    </row>
    <row r="52" spans="2:22" x14ac:dyDescent="0.2">
      <c r="F52" t="s">
        <v>1138</v>
      </c>
      <c r="I52" t="s">
        <v>1138</v>
      </c>
    </row>
    <row r="53" spans="2:22" x14ac:dyDescent="0.2">
      <c r="P53" t="s">
        <v>787</v>
      </c>
      <c r="R53" t="s">
        <v>787</v>
      </c>
      <c r="T53" t="s">
        <v>787</v>
      </c>
      <c r="V53" t="s">
        <v>787</v>
      </c>
    </row>
    <row r="60" spans="2:22" x14ac:dyDescent="0.2">
      <c r="F60" t="s">
        <v>766</v>
      </c>
      <c r="I60" t="s">
        <v>766</v>
      </c>
      <c r="P60" t="s">
        <v>788</v>
      </c>
      <c r="R60" t="s">
        <v>788</v>
      </c>
      <c r="T60" t="s">
        <v>788</v>
      </c>
      <c r="V60" t="s">
        <v>788</v>
      </c>
    </row>
    <row r="67" spans="6:22" x14ac:dyDescent="0.2">
      <c r="F67" t="s">
        <v>767</v>
      </c>
      <c r="I67" t="s">
        <v>767</v>
      </c>
      <c r="P67" t="s">
        <v>789</v>
      </c>
      <c r="R67" t="s">
        <v>789</v>
      </c>
      <c r="T67" t="s">
        <v>789</v>
      </c>
      <c r="V67" t="s">
        <v>789</v>
      </c>
    </row>
    <row r="74" spans="6:22" x14ac:dyDescent="0.2">
      <c r="F74" t="s">
        <v>768</v>
      </c>
      <c r="I74" t="s">
        <v>768</v>
      </c>
    </row>
    <row r="76" spans="6:22" x14ac:dyDescent="0.2">
      <c r="P76" t="s">
        <v>766</v>
      </c>
      <c r="R76" t="s">
        <v>766</v>
      </c>
      <c r="T76" t="s">
        <v>766</v>
      </c>
      <c r="V76" t="s">
        <v>766</v>
      </c>
    </row>
    <row r="82" spans="6:22" x14ac:dyDescent="0.2">
      <c r="F82" t="s">
        <v>769</v>
      </c>
      <c r="I82" t="s">
        <v>769</v>
      </c>
    </row>
    <row r="83" spans="6:22" x14ac:dyDescent="0.2">
      <c r="P83" t="s">
        <v>757</v>
      </c>
      <c r="R83" t="s">
        <v>757</v>
      </c>
      <c r="T83" t="s">
        <v>757</v>
      </c>
      <c r="V83" t="s">
        <v>757</v>
      </c>
    </row>
    <row r="90" spans="6:22" x14ac:dyDescent="0.2">
      <c r="F90" t="s">
        <v>770</v>
      </c>
      <c r="I90" t="s">
        <v>770</v>
      </c>
    </row>
    <row r="97" spans="6:9" x14ac:dyDescent="0.2">
      <c r="F97" t="s">
        <v>771</v>
      </c>
      <c r="I97" t="s">
        <v>771</v>
      </c>
    </row>
    <row r="106" spans="6:9" x14ac:dyDescent="0.2">
      <c r="F106" t="s">
        <v>772</v>
      </c>
      <c r="I106" t="s">
        <v>772</v>
      </c>
    </row>
    <row r="113" spans="6:9" x14ac:dyDescent="0.2">
      <c r="F113" t="s">
        <v>773</v>
      </c>
      <c r="I113" t="s">
        <v>773</v>
      </c>
    </row>
    <row r="120" spans="6:9" x14ac:dyDescent="0.2">
      <c r="F120" t="s">
        <v>774</v>
      </c>
      <c r="I120" t="s">
        <v>774</v>
      </c>
    </row>
    <row r="128" spans="6:9" x14ac:dyDescent="0.2">
      <c r="F128" t="s">
        <v>775</v>
      </c>
      <c r="I128" t="s">
        <v>775</v>
      </c>
    </row>
    <row r="136" spans="6:9" x14ac:dyDescent="0.2">
      <c r="F136" t="s">
        <v>776</v>
      </c>
      <c r="I136" t="s">
        <v>776</v>
      </c>
    </row>
    <row r="145" spans="6:9" x14ac:dyDescent="0.2">
      <c r="F145" t="s">
        <v>777</v>
      </c>
      <c r="I145" t="s">
        <v>777</v>
      </c>
    </row>
    <row r="152" spans="6:9" x14ac:dyDescent="0.2">
      <c r="F152" t="s">
        <v>778</v>
      </c>
      <c r="I152" t="s">
        <v>778</v>
      </c>
    </row>
    <row r="160" spans="6:9" x14ac:dyDescent="0.2">
      <c r="F160" t="s">
        <v>779</v>
      </c>
      <c r="I160" t="s">
        <v>779</v>
      </c>
    </row>
  </sheetData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497E31-0E6F-4944-9403-34F8756CC68E}">
  <sheetPr codeName="Sheet22"/>
  <dimension ref="A1:BD290"/>
  <sheetViews>
    <sheetView zoomScale="91" zoomScaleNormal="91" workbookViewId="0">
      <selection activeCell="K53" sqref="K53"/>
    </sheetView>
  </sheetViews>
  <sheetFormatPr baseColWidth="10" defaultColWidth="8.83203125" defaultRowHeight="16" x14ac:dyDescent="0.2"/>
  <cols>
    <col min="1" max="2" width="16" customWidth="1"/>
    <col min="20" max="20" width="8.83203125" style="10"/>
    <col min="38" max="38" width="8.83203125" style="10"/>
  </cols>
  <sheetData>
    <row r="1" spans="1:56" x14ac:dyDescent="0.2">
      <c r="C1" t="s">
        <v>797</v>
      </c>
      <c r="U1" t="s">
        <v>1119</v>
      </c>
      <c r="AM1" t="s">
        <v>806</v>
      </c>
    </row>
    <row r="2" spans="1:56" x14ac:dyDescent="0.2">
      <c r="C2" t="s">
        <v>104</v>
      </c>
      <c r="I2" t="s">
        <v>9</v>
      </c>
      <c r="O2" t="s">
        <v>352</v>
      </c>
      <c r="U2" t="s">
        <v>104</v>
      </c>
      <c r="AA2" t="s">
        <v>9</v>
      </c>
      <c r="AG2" t="s">
        <v>352</v>
      </c>
      <c r="AM2" t="s">
        <v>104</v>
      </c>
      <c r="AS2" t="s">
        <v>9</v>
      </c>
      <c r="AY2" t="s">
        <v>352</v>
      </c>
      <c r="BD2" s="10"/>
    </row>
    <row r="3" spans="1:56" x14ac:dyDescent="0.2">
      <c r="B3" t="s">
        <v>792</v>
      </c>
      <c r="C3">
        <v>0</v>
      </c>
      <c r="D3">
        <v>4</v>
      </c>
      <c r="E3">
        <v>8</v>
      </c>
      <c r="F3">
        <v>24</v>
      </c>
      <c r="G3">
        <v>48</v>
      </c>
      <c r="H3">
        <v>72</v>
      </c>
      <c r="I3">
        <v>0</v>
      </c>
      <c r="J3">
        <v>4</v>
      </c>
      <c r="K3">
        <v>8</v>
      </c>
      <c r="L3">
        <v>24</v>
      </c>
      <c r="M3">
        <v>48</v>
      </c>
      <c r="N3">
        <v>72</v>
      </c>
      <c r="O3">
        <v>0</v>
      </c>
      <c r="P3">
        <v>4</v>
      </c>
      <c r="Q3">
        <v>8</v>
      </c>
      <c r="R3">
        <v>24</v>
      </c>
      <c r="S3">
        <v>48</v>
      </c>
      <c r="T3" s="10">
        <v>72</v>
      </c>
      <c r="U3">
        <v>0</v>
      </c>
      <c r="V3">
        <v>4</v>
      </c>
      <c r="W3">
        <v>8</v>
      </c>
      <c r="X3">
        <v>24</v>
      </c>
      <c r="Y3">
        <v>48</v>
      </c>
      <c r="Z3">
        <v>72</v>
      </c>
      <c r="AA3">
        <v>0</v>
      </c>
      <c r="AB3">
        <v>4</v>
      </c>
      <c r="AC3">
        <v>8</v>
      </c>
      <c r="AD3">
        <v>24</v>
      </c>
      <c r="AE3">
        <v>48</v>
      </c>
      <c r="AF3">
        <v>72</v>
      </c>
      <c r="AG3">
        <v>0</v>
      </c>
      <c r="AH3">
        <v>4</v>
      </c>
      <c r="AI3">
        <v>8</v>
      </c>
      <c r="AJ3">
        <v>24</v>
      </c>
      <c r="AK3">
        <v>48</v>
      </c>
      <c r="AL3" s="10">
        <v>72</v>
      </c>
      <c r="AM3">
        <v>0</v>
      </c>
      <c r="AN3">
        <v>4</v>
      </c>
      <c r="AO3">
        <v>8</v>
      </c>
      <c r="AP3">
        <v>24</v>
      </c>
      <c r="AQ3">
        <v>48</v>
      </c>
      <c r="AR3">
        <v>72</v>
      </c>
      <c r="AS3">
        <v>0</v>
      </c>
      <c r="AT3">
        <v>4</v>
      </c>
      <c r="AU3">
        <v>8</v>
      </c>
      <c r="AV3">
        <v>24</v>
      </c>
      <c r="AW3">
        <v>48</v>
      </c>
      <c r="AX3">
        <v>72</v>
      </c>
      <c r="AY3">
        <v>0</v>
      </c>
      <c r="AZ3">
        <v>4</v>
      </c>
      <c r="BA3">
        <v>8</v>
      </c>
      <c r="BB3">
        <v>24</v>
      </c>
      <c r="BC3">
        <v>48</v>
      </c>
      <c r="BD3" s="10">
        <v>72</v>
      </c>
    </row>
    <row r="4" spans="1:56" x14ac:dyDescent="0.2">
      <c r="A4" t="s">
        <v>804</v>
      </c>
      <c r="B4">
        <v>3</v>
      </c>
      <c r="C4">
        <v>0</v>
      </c>
      <c r="D4">
        <v>100</v>
      </c>
      <c r="E4">
        <v>16.841552990556139</v>
      </c>
      <c r="F4">
        <v>16.474291710388247</v>
      </c>
      <c r="G4">
        <v>0</v>
      </c>
      <c r="H4">
        <v>0</v>
      </c>
      <c r="I4">
        <v>0</v>
      </c>
      <c r="J4">
        <v>8.9192025183630648</v>
      </c>
      <c r="K4">
        <v>10.388247639034628</v>
      </c>
      <c r="L4">
        <v>0</v>
      </c>
      <c r="M4">
        <v>0</v>
      </c>
      <c r="N4">
        <v>0</v>
      </c>
      <c r="O4" t="s">
        <v>802</v>
      </c>
      <c r="P4" t="s">
        <v>802</v>
      </c>
      <c r="Q4" t="s">
        <v>802</v>
      </c>
      <c r="R4" t="s">
        <v>802</v>
      </c>
      <c r="S4" t="s">
        <v>802</v>
      </c>
      <c r="T4" t="s">
        <v>802</v>
      </c>
      <c r="U4" s="172">
        <v>0</v>
      </c>
      <c r="V4" s="63">
        <v>100</v>
      </c>
      <c r="W4" s="63">
        <v>16.841552990556139</v>
      </c>
      <c r="X4" s="63">
        <v>16.474291710388247</v>
      </c>
      <c r="Y4" s="63">
        <v>0</v>
      </c>
      <c r="Z4" s="63">
        <v>0</v>
      </c>
      <c r="AA4" s="63">
        <v>0</v>
      </c>
      <c r="AB4" s="63">
        <v>8.9192025183630648</v>
      </c>
      <c r="AC4" s="63">
        <v>10.388247639034628</v>
      </c>
      <c r="AD4" s="63">
        <v>0</v>
      </c>
      <c r="AE4" s="63">
        <v>0</v>
      </c>
      <c r="AF4" s="77">
        <v>0</v>
      </c>
      <c r="AG4" t="s">
        <v>803</v>
      </c>
      <c r="AM4" t="s">
        <v>803</v>
      </c>
      <c r="BD4" s="21"/>
    </row>
    <row r="5" spans="1:56" x14ac:dyDescent="0.2">
      <c r="A5" t="s">
        <v>804</v>
      </c>
      <c r="B5">
        <v>4</v>
      </c>
      <c r="C5">
        <v>8.0693069306930703</v>
      </c>
      <c r="D5">
        <v>8.6633663366336631</v>
      </c>
      <c r="E5">
        <v>100</v>
      </c>
      <c r="F5">
        <v>75.247524752475243</v>
      </c>
      <c r="G5">
        <v>0.75247524752475248</v>
      </c>
      <c r="H5">
        <v>0.55445544554455439</v>
      </c>
      <c r="I5">
        <v>5.4455445544554459</v>
      </c>
      <c r="J5">
        <v>9.6039603960396036</v>
      </c>
      <c r="K5">
        <v>3.7128712871287126</v>
      </c>
      <c r="L5">
        <v>0.70792079207920799</v>
      </c>
      <c r="M5">
        <v>0.73267326732673277</v>
      </c>
      <c r="N5">
        <v>0.4024752475247525</v>
      </c>
      <c r="O5" t="s">
        <v>802</v>
      </c>
      <c r="P5" t="s">
        <v>802</v>
      </c>
      <c r="Q5" t="s">
        <v>802</v>
      </c>
      <c r="R5" t="s">
        <v>802</v>
      </c>
      <c r="S5" t="s">
        <v>802</v>
      </c>
      <c r="T5" t="s">
        <v>802</v>
      </c>
      <c r="U5" s="172">
        <v>0</v>
      </c>
      <c r="V5" s="63">
        <v>0.59405940594059281</v>
      </c>
      <c r="W5" s="63">
        <v>91.930693069306926</v>
      </c>
      <c r="X5" s="63">
        <v>67.178217821782169</v>
      </c>
      <c r="Y5" s="63">
        <v>-7.316831683168318</v>
      </c>
      <c r="Z5" s="63">
        <v>-7.5148514851485162</v>
      </c>
      <c r="AA5" s="63">
        <v>0</v>
      </c>
      <c r="AB5" s="63">
        <v>4.1584158415841577</v>
      </c>
      <c r="AC5" s="63">
        <v>-1.7326732673267333</v>
      </c>
      <c r="AD5" s="63">
        <v>-4.7376237623762378</v>
      </c>
      <c r="AE5" s="63">
        <v>-4.7128712871287135</v>
      </c>
      <c r="AF5" s="77">
        <v>-5.0430693069306933</v>
      </c>
      <c r="BD5" s="21"/>
    </row>
    <row r="6" spans="1:56" x14ac:dyDescent="0.2">
      <c r="A6" t="s">
        <v>804</v>
      </c>
      <c r="B6">
        <v>2</v>
      </c>
      <c r="C6">
        <v>0</v>
      </c>
      <c r="D6">
        <v>14.347357065803667</v>
      </c>
      <c r="E6">
        <v>100</v>
      </c>
      <c r="F6">
        <v>13.484358144552319</v>
      </c>
      <c r="G6">
        <v>6.2891046386192011</v>
      </c>
      <c r="H6">
        <v>0</v>
      </c>
      <c r="I6">
        <v>0</v>
      </c>
      <c r="J6">
        <v>14.886731391585762</v>
      </c>
      <c r="K6">
        <v>6.2028047464940661</v>
      </c>
      <c r="L6">
        <v>0</v>
      </c>
      <c r="M6">
        <v>0</v>
      </c>
      <c r="N6">
        <v>0</v>
      </c>
      <c r="O6" t="s">
        <v>802</v>
      </c>
      <c r="P6" t="s">
        <v>802</v>
      </c>
      <c r="Q6" t="s">
        <v>802</v>
      </c>
      <c r="R6" t="s">
        <v>802</v>
      </c>
      <c r="S6" t="s">
        <v>802</v>
      </c>
      <c r="T6" t="s">
        <v>802</v>
      </c>
      <c r="U6" s="172">
        <v>0</v>
      </c>
      <c r="V6" s="63">
        <v>14.347357065803667</v>
      </c>
      <c r="W6" s="63">
        <v>100</v>
      </c>
      <c r="X6" s="63">
        <v>13.484358144552319</v>
      </c>
      <c r="Y6" s="63">
        <v>6.2891046386192011</v>
      </c>
      <c r="Z6" s="63">
        <v>0</v>
      </c>
      <c r="AA6" s="63">
        <v>0</v>
      </c>
      <c r="AB6" s="63">
        <v>14.886731391585762</v>
      </c>
      <c r="AC6" s="63">
        <v>6.2028047464940661</v>
      </c>
      <c r="AD6" s="63">
        <v>0</v>
      </c>
      <c r="AE6" s="63">
        <v>0</v>
      </c>
      <c r="AF6" s="77">
        <v>0</v>
      </c>
      <c r="BD6" s="21"/>
    </row>
    <row r="7" spans="1:56" x14ac:dyDescent="0.2">
      <c r="A7" t="s">
        <v>804</v>
      </c>
      <c r="B7">
        <v>5</v>
      </c>
      <c r="C7">
        <v>0</v>
      </c>
      <c r="D7">
        <v>31.867219917012445</v>
      </c>
      <c r="E7">
        <v>100</v>
      </c>
      <c r="F7">
        <v>0</v>
      </c>
      <c r="G7">
        <v>0</v>
      </c>
      <c r="H7">
        <v>0</v>
      </c>
      <c r="I7">
        <v>0</v>
      </c>
      <c r="J7">
        <v>0</v>
      </c>
      <c r="K7">
        <v>0</v>
      </c>
      <c r="L7">
        <v>0</v>
      </c>
      <c r="M7">
        <v>0</v>
      </c>
      <c r="N7">
        <v>0</v>
      </c>
      <c r="O7" t="s">
        <v>802</v>
      </c>
      <c r="P7" t="s">
        <v>802</v>
      </c>
      <c r="Q7" t="s">
        <v>802</v>
      </c>
      <c r="R7" t="s">
        <v>802</v>
      </c>
      <c r="S7" t="s">
        <v>802</v>
      </c>
      <c r="T7" t="s">
        <v>802</v>
      </c>
      <c r="U7" s="173">
        <v>0</v>
      </c>
      <c r="V7" s="174">
        <v>31.867219917012445</v>
      </c>
      <c r="W7" s="174">
        <v>100</v>
      </c>
      <c r="X7" s="174">
        <v>0</v>
      </c>
      <c r="Y7" s="174">
        <v>0</v>
      </c>
      <c r="Z7" s="174">
        <v>0</v>
      </c>
      <c r="AA7" s="174">
        <v>0</v>
      </c>
      <c r="AB7" s="174">
        <v>0</v>
      </c>
      <c r="AC7" s="174">
        <v>0</v>
      </c>
      <c r="AD7" s="174">
        <v>0</v>
      </c>
      <c r="AE7" s="174">
        <v>0</v>
      </c>
      <c r="AF7" s="175">
        <v>0</v>
      </c>
      <c r="BD7" s="21"/>
    </row>
    <row r="8" spans="1:56" x14ac:dyDescent="0.2">
      <c r="A8" t="s">
        <v>766</v>
      </c>
      <c r="B8">
        <v>3</v>
      </c>
      <c r="C8">
        <v>0.115</v>
      </c>
      <c r="D8">
        <v>0.11799999999999999</v>
      </c>
      <c r="E8">
        <v>0.15</v>
      </c>
      <c r="F8">
        <v>0.34899999999999998</v>
      </c>
      <c r="G8">
        <v>0.28899999999999998</v>
      </c>
      <c r="H8">
        <v>0.182</v>
      </c>
      <c r="I8">
        <v>0.114</v>
      </c>
      <c r="J8">
        <v>1.03</v>
      </c>
      <c r="K8">
        <v>0.755</v>
      </c>
      <c r="L8">
        <v>0.27200000000000002</v>
      </c>
      <c r="M8">
        <v>0.20200000000000001</v>
      </c>
      <c r="N8">
        <v>6.3500000000000001E-2</v>
      </c>
      <c r="O8">
        <v>0.19600000000000001</v>
      </c>
      <c r="P8">
        <v>0.188</v>
      </c>
      <c r="Q8">
        <v>0.27400000000000002</v>
      </c>
      <c r="R8">
        <v>0.20799999999999999</v>
      </c>
      <c r="S8">
        <v>0.17399999999999999</v>
      </c>
      <c r="T8" s="10">
        <v>0.157</v>
      </c>
      <c r="U8">
        <f>C8/(MAX($C8:$T8))*100</f>
        <v>11.165048543689322</v>
      </c>
      <c r="V8">
        <f t="shared" ref="V8:AL17" si="0">D8/(MAX($C8:$T8))*100</f>
        <v>11.456310679611649</v>
      </c>
      <c r="W8">
        <f t="shared" si="0"/>
        <v>14.563106796116504</v>
      </c>
      <c r="X8">
        <f t="shared" si="0"/>
        <v>33.883495145631066</v>
      </c>
      <c r="Y8">
        <f t="shared" si="0"/>
        <v>28.058252427184467</v>
      </c>
      <c r="Z8">
        <f t="shared" si="0"/>
        <v>17.669902912621357</v>
      </c>
      <c r="AA8">
        <f t="shared" si="0"/>
        <v>11.067961165048544</v>
      </c>
      <c r="AB8">
        <f t="shared" si="0"/>
        <v>100</v>
      </c>
      <c r="AC8">
        <f t="shared" si="0"/>
        <v>73.300970873786412</v>
      </c>
      <c r="AD8">
        <f t="shared" si="0"/>
        <v>26.407766990291265</v>
      </c>
      <c r="AE8">
        <f t="shared" si="0"/>
        <v>19.611650485436893</v>
      </c>
      <c r="AF8">
        <f t="shared" si="0"/>
        <v>6.1650485436893199</v>
      </c>
      <c r="AG8">
        <f t="shared" si="0"/>
        <v>19.029126213592235</v>
      </c>
      <c r="AH8">
        <f t="shared" si="0"/>
        <v>18.252427184466018</v>
      </c>
      <c r="AI8">
        <f t="shared" si="0"/>
        <v>26.601941747572816</v>
      </c>
      <c r="AJ8">
        <f t="shared" si="0"/>
        <v>20.194174757281552</v>
      </c>
      <c r="AK8">
        <f t="shared" si="0"/>
        <v>16.893203883495143</v>
      </c>
      <c r="AL8" s="10">
        <f t="shared" si="0"/>
        <v>15.242718446601941</v>
      </c>
      <c r="AM8">
        <f>U8-$U8</f>
        <v>0</v>
      </c>
      <c r="AN8">
        <f t="shared" ref="AN8:AR18" si="1">V8-$U8</f>
        <v>0.2912621359223273</v>
      </c>
      <c r="AO8">
        <f t="shared" si="1"/>
        <v>3.3980582524271821</v>
      </c>
      <c r="AP8">
        <f t="shared" si="1"/>
        <v>22.718446601941743</v>
      </c>
      <c r="AQ8">
        <f t="shared" si="1"/>
        <v>16.893203883495147</v>
      </c>
      <c r="AR8">
        <f t="shared" si="1"/>
        <v>6.5048543689320351</v>
      </c>
      <c r="AS8">
        <f>AA8-$AA8</f>
        <v>0</v>
      </c>
      <c r="AT8">
        <f t="shared" ref="AT8:AX18" si="2">AB8-$AA8</f>
        <v>88.932038834951456</v>
      </c>
      <c r="AU8">
        <f t="shared" si="2"/>
        <v>62.233009708737868</v>
      </c>
      <c r="AV8">
        <f t="shared" si="2"/>
        <v>15.339805825242721</v>
      </c>
      <c r="AW8">
        <f t="shared" si="2"/>
        <v>8.5436893203883493</v>
      </c>
      <c r="AX8">
        <f t="shared" si="2"/>
        <v>-4.9029126213592242</v>
      </c>
      <c r="AY8">
        <f>AG8-$AG8</f>
        <v>0</v>
      </c>
      <c r="AZ8">
        <f t="shared" ref="AZ8:BD18" si="3">AH8-$AG8</f>
        <v>-0.7766990291262168</v>
      </c>
      <c r="BA8">
        <f t="shared" si="3"/>
        <v>7.5728155339805809</v>
      </c>
      <c r="BB8">
        <f t="shared" si="3"/>
        <v>1.1650485436893163</v>
      </c>
      <c r="BC8">
        <f t="shared" si="3"/>
        <v>-2.1359223300970918</v>
      </c>
      <c r="BD8">
        <f t="shared" si="3"/>
        <v>-3.786407766990294</v>
      </c>
    </row>
    <row r="9" spans="1:56" x14ac:dyDescent="0.2">
      <c r="A9" t="s">
        <v>766</v>
      </c>
      <c r="B9">
        <v>4</v>
      </c>
      <c r="C9">
        <v>2.8500000000000001E-2</v>
      </c>
      <c r="D9">
        <v>1.2E-2</v>
      </c>
      <c r="E9">
        <v>1.32E-3</v>
      </c>
      <c r="F9">
        <v>3.3000000000000002E-2</v>
      </c>
      <c r="G9">
        <v>1.72E-2</v>
      </c>
      <c r="H9">
        <v>2.86E-2</v>
      </c>
      <c r="I9">
        <v>1.6899999999999998E-2</v>
      </c>
      <c r="J9">
        <v>0.05</v>
      </c>
      <c r="K9">
        <v>0.11799999999999999</v>
      </c>
      <c r="L9">
        <v>8.5999999999999993E-2</v>
      </c>
      <c r="M9">
        <v>6.25E-2</v>
      </c>
      <c r="N9">
        <v>3.9899999999999998E-2</v>
      </c>
      <c r="O9">
        <v>2.2899999999999999E-3</v>
      </c>
      <c r="P9">
        <v>2.0899999999999998E-2</v>
      </c>
      <c r="Q9">
        <v>2.5600000000000001E-2</v>
      </c>
      <c r="R9">
        <v>3.9899999999999998E-2</v>
      </c>
      <c r="S9">
        <v>2.07E-2</v>
      </c>
      <c r="T9" s="10">
        <v>2.12E-2</v>
      </c>
      <c r="U9">
        <f t="shared" ref="U9:AJ26" si="4">C9/(MAX($C9:$T9))*100</f>
        <v>24.152542372881356</v>
      </c>
      <c r="V9">
        <f t="shared" si="0"/>
        <v>10.16949152542373</v>
      </c>
      <c r="W9">
        <f t="shared" si="0"/>
        <v>1.1186440677966103</v>
      </c>
      <c r="X9">
        <f t="shared" si="0"/>
        <v>27.966101694915256</v>
      </c>
      <c r="Y9">
        <f t="shared" si="0"/>
        <v>14.576271186440678</v>
      </c>
      <c r="Z9">
        <f t="shared" si="0"/>
        <v>24.237288135593221</v>
      </c>
      <c r="AA9">
        <f t="shared" si="0"/>
        <v>14.322033898305083</v>
      </c>
      <c r="AB9">
        <f t="shared" si="0"/>
        <v>42.372881355932208</v>
      </c>
      <c r="AC9">
        <f t="shared" si="0"/>
        <v>100</v>
      </c>
      <c r="AD9">
        <f t="shared" si="0"/>
        <v>72.881355932203391</v>
      </c>
      <c r="AE9">
        <f t="shared" si="0"/>
        <v>52.96610169491526</v>
      </c>
      <c r="AF9">
        <f t="shared" si="0"/>
        <v>33.813559322033896</v>
      </c>
      <c r="AG9">
        <f t="shared" si="0"/>
        <v>1.9406779661016949</v>
      </c>
      <c r="AH9">
        <f t="shared" si="0"/>
        <v>17.711864406779661</v>
      </c>
      <c r="AI9">
        <f t="shared" si="0"/>
        <v>21.694915254237291</v>
      </c>
      <c r="AJ9">
        <f t="shared" si="0"/>
        <v>33.813559322033896</v>
      </c>
      <c r="AK9">
        <f t="shared" si="0"/>
        <v>17.542372881355934</v>
      </c>
      <c r="AL9" s="10">
        <f t="shared" si="0"/>
        <v>17.966101694915253</v>
      </c>
      <c r="AM9">
        <f t="shared" ref="AM9:AR30" si="5">U9-$U9</f>
        <v>0</v>
      </c>
      <c r="AN9">
        <f t="shared" si="1"/>
        <v>-13.983050847457626</v>
      </c>
      <c r="AO9">
        <f t="shared" si="1"/>
        <v>-23.033898305084747</v>
      </c>
      <c r="AP9">
        <f t="shared" si="1"/>
        <v>3.8135593220338997</v>
      </c>
      <c r="AQ9">
        <f t="shared" si="1"/>
        <v>-9.5762711864406782</v>
      </c>
      <c r="AR9">
        <f t="shared" si="1"/>
        <v>8.4745762711865069E-2</v>
      </c>
      <c r="AS9">
        <f t="shared" ref="AS9:AX30" si="6">AA9-$AA9</f>
        <v>0</v>
      </c>
      <c r="AT9">
        <f t="shared" si="2"/>
        <v>28.050847457627125</v>
      </c>
      <c r="AU9">
        <f t="shared" si="2"/>
        <v>85.677966101694921</v>
      </c>
      <c r="AV9">
        <f t="shared" si="2"/>
        <v>58.559322033898312</v>
      </c>
      <c r="AW9">
        <f t="shared" si="2"/>
        <v>38.644067796610173</v>
      </c>
      <c r="AX9">
        <f t="shared" si="2"/>
        <v>19.491525423728813</v>
      </c>
      <c r="AY9">
        <f t="shared" ref="AY9:BD30" si="7">AG9-$AG9</f>
        <v>0</v>
      </c>
      <c r="AZ9">
        <f t="shared" si="3"/>
        <v>15.771186440677965</v>
      </c>
      <c r="BA9">
        <f t="shared" si="3"/>
        <v>19.754237288135595</v>
      </c>
      <c r="BB9">
        <f t="shared" si="3"/>
        <v>31.872881355932201</v>
      </c>
      <c r="BC9">
        <f t="shared" si="3"/>
        <v>15.601694915254239</v>
      </c>
      <c r="BD9">
        <f t="shared" si="3"/>
        <v>16.025423728813557</v>
      </c>
    </row>
    <row r="10" spans="1:56" x14ac:dyDescent="0.2">
      <c r="A10" t="s">
        <v>766</v>
      </c>
      <c r="B10">
        <v>5</v>
      </c>
      <c r="C10">
        <v>0.156</v>
      </c>
      <c r="D10">
        <v>0.223</v>
      </c>
      <c r="E10">
        <v>0.48699999999999999</v>
      </c>
      <c r="F10">
        <v>0.65900000000000003</v>
      </c>
      <c r="G10">
        <v>0.58399999999999996</v>
      </c>
      <c r="H10">
        <v>0.48499999999999999</v>
      </c>
      <c r="I10">
        <v>0.14499999999999999</v>
      </c>
      <c r="J10">
        <v>1.79</v>
      </c>
      <c r="K10">
        <v>1.48</v>
      </c>
      <c r="L10">
        <v>0.85399999999999998</v>
      </c>
      <c r="M10">
        <v>0.78600000000000003</v>
      </c>
      <c r="N10">
        <v>0.69</v>
      </c>
      <c r="O10">
        <v>0.192</v>
      </c>
      <c r="P10">
        <v>0.107</v>
      </c>
      <c r="Q10">
        <v>0.192</v>
      </c>
      <c r="R10">
        <v>0.35299999999999998</v>
      </c>
      <c r="S10">
        <v>0.23300000000000001</v>
      </c>
      <c r="T10" s="10">
        <v>0.28100000000000003</v>
      </c>
      <c r="U10">
        <f t="shared" si="4"/>
        <v>8.7150837988826808</v>
      </c>
      <c r="V10">
        <f t="shared" si="0"/>
        <v>12.458100558659217</v>
      </c>
      <c r="W10">
        <f t="shared" si="0"/>
        <v>27.206703910614522</v>
      </c>
      <c r="X10">
        <f t="shared" si="0"/>
        <v>36.815642458100562</v>
      </c>
      <c r="Y10">
        <f t="shared" si="0"/>
        <v>32.625698324022345</v>
      </c>
      <c r="Z10">
        <f t="shared" si="0"/>
        <v>27.094972067039102</v>
      </c>
      <c r="AA10">
        <f t="shared" si="0"/>
        <v>8.1005586592178762</v>
      </c>
      <c r="AB10">
        <f t="shared" si="0"/>
        <v>100</v>
      </c>
      <c r="AC10">
        <f t="shared" si="0"/>
        <v>82.681564245810051</v>
      </c>
      <c r="AD10">
        <f t="shared" si="0"/>
        <v>47.709497206703908</v>
      </c>
      <c r="AE10">
        <f t="shared" si="0"/>
        <v>43.910614525139671</v>
      </c>
      <c r="AF10">
        <f t="shared" si="0"/>
        <v>38.547486033519554</v>
      </c>
      <c r="AG10">
        <f t="shared" si="0"/>
        <v>10.726256983240223</v>
      </c>
      <c r="AH10">
        <f t="shared" si="0"/>
        <v>5.977653631284916</v>
      </c>
      <c r="AI10">
        <f t="shared" si="0"/>
        <v>10.726256983240223</v>
      </c>
      <c r="AJ10">
        <f t="shared" si="0"/>
        <v>19.72067039106145</v>
      </c>
      <c r="AK10">
        <f t="shared" si="0"/>
        <v>13.016759776536313</v>
      </c>
      <c r="AL10" s="10">
        <f t="shared" si="0"/>
        <v>15.69832402234637</v>
      </c>
      <c r="AM10">
        <f t="shared" si="5"/>
        <v>0</v>
      </c>
      <c r="AN10">
        <f t="shared" si="1"/>
        <v>3.7430167597765358</v>
      </c>
      <c r="AO10">
        <f t="shared" si="1"/>
        <v>18.491620111731841</v>
      </c>
      <c r="AP10">
        <f t="shared" si="1"/>
        <v>28.100558659217882</v>
      </c>
      <c r="AQ10">
        <f t="shared" si="1"/>
        <v>23.910614525139664</v>
      </c>
      <c r="AR10">
        <f t="shared" si="1"/>
        <v>18.379888268156421</v>
      </c>
      <c r="AS10">
        <f t="shared" si="6"/>
        <v>0</v>
      </c>
      <c r="AT10">
        <f t="shared" si="2"/>
        <v>91.899441340782118</v>
      </c>
      <c r="AU10">
        <f t="shared" si="2"/>
        <v>74.58100558659217</v>
      </c>
      <c r="AV10">
        <f t="shared" si="2"/>
        <v>39.608938547486034</v>
      </c>
      <c r="AW10">
        <f t="shared" si="2"/>
        <v>35.810055865921797</v>
      </c>
      <c r="AX10">
        <f t="shared" si="2"/>
        <v>30.44692737430168</v>
      </c>
      <c r="AY10">
        <f t="shared" si="7"/>
        <v>0</v>
      </c>
      <c r="AZ10">
        <f t="shared" si="3"/>
        <v>-4.7486033519553068</v>
      </c>
      <c r="BA10">
        <f t="shared" si="3"/>
        <v>0</v>
      </c>
      <c r="BB10">
        <f t="shared" si="3"/>
        <v>8.9944134078212272</v>
      </c>
      <c r="BC10">
        <f t="shared" si="3"/>
        <v>2.2905027932960902</v>
      </c>
      <c r="BD10">
        <f t="shared" si="3"/>
        <v>4.9720670391061468</v>
      </c>
    </row>
    <row r="11" spans="1:56" x14ac:dyDescent="0.2">
      <c r="A11" t="s">
        <v>768</v>
      </c>
      <c r="B11">
        <v>3</v>
      </c>
      <c r="C11">
        <v>1.72</v>
      </c>
      <c r="D11" s="160">
        <v>2.19</v>
      </c>
      <c r="E11">
        <v>2.31</v>
      </c>
      <c r="F11">
        <v>29.3</v>
      </c>
      <c r="G11">
        <v>34.4</v>
      </c>
      <c r="H11">
        <v>30.5</v>
      </c>
      <c r="I11">
        <v>0.82130000000000003</v>
      </c>
      <c r="J11">
        <v>4.75</v>
      </c>
      <c r="K11">
        <v>4.7300000000000004</v>
      </c>
      <c r="L11">
        <v>21.3</v>
      </c>
      <c r="M11">
        <v>23.9</v>
      </c>
      <c r="N11">
        <v>7.97</v>
      </c>
      <c r="O11">
        <v>0.67700000000000005</v>
      </c>
      <c r="P11">
        <v>6.23</v>
      </c>
      <c r="Q11">
        <v>7.13</v>
      </c>
      <c r="R11">
        <v>9.1300000000000008</v>
      </c>
      <c r="S11">
        <v>8.67</v>
      </c>
      <c r="T11" s="10">
        <v>9.0399999999999991</v>
      </c>
      <c r="U11">
        <f t="shared" si="4"/>
        <v>5</v>
      </c>
      <c r="V11">
        <f t="shared" si="0"/>
        <v>6.3662790697674412</v>
      </c>
      <c r="W11">
        <f t="shared" si="0"/>
        <v>6.7151162790697674</v>
      </c>
      <c r="X11">
        <f t="shared" si="0"/>
        <v>85.174418604651166</v>
      </c>
      <c r="Y11">
        <f t="shared" si="0"/>
        <v>100</v>
      </c>
      <c r="Z11">
        <f t="shared" si="0"/>
        <v>88.662790697674424</v>
      </c>
      <c r="AA11">
        <f t="shared" si="0"/>
        <v>2.3875000000000002</v>
      </c>
      <c r="AB11">
        <f t="shared" si="0"/>
        <v>13.80813953488372</v>
      </c>
      <c r="AC11">
        <f t="shared" si="0"/>
        <v>13.750000000000002</v>
      </c>
      <c r="AD11">
        <f t="shared" si="0"/>
        <v>61.918604651162802</v>
      </c>
      <c r="AE11">
        <f t="shared" si="0"/>
        <v>69.476744186046517</v>
      </c>
      <c r="AF11">
        <f t="shared" si="0"/>
        <v>23.168604651162791</v>
      </c>
      <c r="AG11">
        <f t="shared" si="0"/>
        <v>1.9680232558139537</v>
      </c>
      <c r="AH11">
        <f t="shared" si="0"/>
        <v>18.110465116279073</v>
      </c>
      <c r="AI11">
        <f t="shared" si="0"/>
        <v>20.72674418604651</v>
      </c>
      <c r="AJ11">
        <f t="shared" si="0"/>
        <v>26.540697674418606</v>
      </c>
      <c r="AK11">
        <f t="shared" si="0"/>
        <v>25.203488372093023</v>
      </c>
      <c r="AL11" s="10">
        <f t="shared" si="0"/>
        <v>26.279069767441861</v>
      </c>
      <c r="AM11">
        <f t="shared" si="5"/>
        <v>0</v>
      </c>
      <c r="AN11">
        <f t="shared" si="1"/>
        <v>1.3662790697674412</v>
      </c>
      <c r="AO11">
        <f t="shared" si="1"/>
        <v>1.7151162790697674</v>
      </c>
      <c r="AP11">
        <f t="shared" si="1"/>
        <v>80.174418604651166</v>
      </c>
      <c r="AQ11">
        <f t="shared" si="1"/>
        <v>95</v>
      </c>
      <c r="AR11">
        <f t="shared" si="1"/>
        <v>83.662790697674424</v>
      </c>
      <c r="AS11">
        <f t="shared" si="6"/>
        <v>0</v>
      </c>
      <c r="AT11">
        <f t="shared" si="2"/>
        <v>11.420639534883719</v>
      </c>
      <c r="AU11">
        <f t="shared" si="2"/>
        <v>11.362500000000001</v>
      </c>
      <c r="AV11">
        <f t="shared" si="2"/>
        <v>59.531104651162799</v>
      </c>
      <c r="AW11">
        <f t="shared" si="2"/>
        <v>67.089244186046514</v>
      </c>
      <c r="AX11">
        <f t="shared" si="2"/>
        <v>20.781104651162792</v>
      </c>
      <c r="AY11">
        <f t="shared" si="7"/>
        <v>0</v>
      </c>
      <c r="AZ11">
        <f t="shared" si="3"/>
        <v>16.142441860465119</v>
      </c>
      <c r="BA11">
        <f t="shared" si="3"/>
        <v>18.758720930232556</v>
      </c>
      <c r="BB11">
        <f t="shared" si="3"/>
        <v>24.572674418604652</v>
      </c>
      <c r="BC11">
        <f t="shared" si="3"/>
        <v>23.23546511627907</v>
      </c>
      <c r="BD11">
        <f t="shared" si="3"/>
        <v>24.311046511627907</v>
      </c>
    </row>
    <row r="12" spans="1:56" x14ac:dyDescent="0.2">
      <c r="A12" t="s">
        <v>768</v>
      </c>
      <c r="B12">
        <v>4</v>
      </c>
      <c r="C12">
        <v>1.66</v>
      </c>
      <c r="D12">
        <v>1.96</v>
      </c>
      <c r="E12">
        <v>5.61</v>
      </c>
      <c r="F12">
        <v>23.1</v>
      </c>
      <c r="G12">
        <v>20.8</v>
      </c>
      <c r="H12">
        <v>18.3</v>
      </c>
      <c r="I12">
        <v>2.0299999999999998</v>
      </c>
      <c r="J12">
        <v>5.74</v>
      </c>
      <c r="K12">
        <v>12.7</v>
      </c>
      <c r="L12">
        <v>19.600000000000001</v>
      </c>
      <c r="M12">
        <v>15.6</v>
      </c>
      <c r="N12">
        <v>14.8</v>
      </c>
      <c r="O12">
        <v>1.87</v>
      </c>
      <c r="P12">
        <v>8.86</v>
      </c>
      <c r="Q12">
        <v>14.6</v>
      </c>
      <c r="R12">
        <v>18.7</v>
      </c>
      <c r="S12">
        <v>17.5</v>
      </c>
      <c r="T12" s="10">
        <v>19.5</v>
      </c>
      <c r="U12">
        <f t="shared" si="4"/>
        <v>7.1861471861471848</v>
      </c>
      <c r="V12">
        <f t="shared" si="0"/>
        <v>8.4848484848484844</v>
      </c>
      <c r="W12">
        <f t="shared" si="0"/>
        <v>24.285714285714285</v>
      </c>
      <c r="X12">
        <f t="shared" si="0"/>
        <v>100</v>
      </c>
      <c r="Y12">
        <f t="shared" si="0"/>
        <v>90.043290043290042</v>
      </c>
      <c r="Z12">
        <f t="shared" si="0"/>
        <v>79.220779220779207</v>
      </c>
      <c r="AA12">
        <f t="shared" si="0"/>
        <v>8.7878787878787854</v>
      </c>
      <c r="AB12">
        <f t="shared" si="0"/>
        <v>24.848484848484848</v>
      </c>
      <c r="AC12">
        <f t="shared" si="0"/>
        <v>54.978354978354972</v>
      </c>
      <c r="AD12">
        <f t="shared" si="0"/>
        <v>84.848484848484844</v>
      </c>
      <c r="AE12">
        <f t="shared" si="0"/>
        <v>67.532467532467521</v>
      </c>
      <c r="AF12">
        <f t="shared" si="0"/>
        <v>64.069264069264065</v>
      </c>
      <c r="AG12">
        <f t="shared" si="0"/>
        <v>8.0952380952380949</v>
      </c>
      <c r="AH12">
        <f t="shared" si="0"/>
        <v>38.35497835497835</v>
      </c>
      <c r="AI12">
        <f t="shared" si="0"/>
        <v>63.203463203463194</v>
      </c>
      <c r="AJ12">
        <f t="shared" si="0"/>
        <v>80.952380952380949</v>
      </c>
      <c r="AK12">
        <f t="shared" si="0"/>
        <v>75.757575757575751</v>
      </c>
      <c r="AL12" s="10">
        <f t="shared" si="0"/>
        <v>84.415584415584405</v>
      </c>
      <c r="AM12">
        <f t="shared" si="5"/>
        <v>0</v>
      </c>
      <c r="AN12">
        <f t="shared" si="1"/>
        <v>1.2987012987012996</v>
      </c>
      <c r="AO12">
        <f t="shared" si="1"/>
        <v>17.0995670995671</v>
      </c>
      <c r="AP12">
        <f t="shared" si="1"/>
        <v>92.813852813852819</v>
      </c>
      <c r="AQ12">
        <f t="shared" si="1"/>
        <v>82.857142857142861</v>
      </c>
      <c r="AR12">
        <f t="shared" si="1"/>
        <v>72.034632034632025</v>
      </c>
      <c r="AS12">
        <f t="shared" si="6"/>
        <v>0</v>
      </c>
      <c r="AT12">
        <f t="shared" si="2"/>
        <v>16.060606060606062</v>
      </c>
      <c r="AU12">
        <f t="shared" si="2"/>
        <v>46.19047619047619</v>
      </c>
      <c r="AV12">
        <f t="shared" si="2"/>
        <v>76.060606060606062</v>
      </c>
      <c r="AW12">
        <f t="shared" si="2"/>
        <v>58.744588744588739</v>
      </c>
      <c r="AX12">
        <f t="shared" si="2"/>
        <v>55.281385281385283</v>
      </c>
      <c r="AY12">
        <f t="shared" si="7"/>
        <v>0</v>
      </c>
      <c r="AZ12">
        <f t="shared" si="3"/>
        <v>30.259740259740255</v>
      </c>
      <c r="BA12">
        <f t="shared" si="3"/>
        <v>55.108225108225099</v>
      </c>
      <c r="BB12">
        <f t="shared" si="3"/>
        <v>72.857142857142861</v>
      </c>
      <c r="BC12">
        <f t="shared" si="3"/>
        <v>67.662337662337649</v>
      </c>
      <c r="BD12">
        <f t="shared" si="3"/>
        <v>76.320346320346317</v>
      </c>
    </row>
    <row r="13" spans="1:56" x14ac:dyDescent="0.2">
      <c r="A13" t="s">
        <v>768</v>
      </c>
      <c r="B13">
        <v>2</v>
      </c>
      <c r="C13">
        <v>0.57799999999999996</v>
      </c>
      <c r="D13">
        <v>0.60899999999999999</v>
      </c>
      <c r="E13">
        <v>1.22</v>
      </c>
      <c r="F13">
        <v>10.6</v>
      </c>
      <c r="G13">
        <v>14.1</v>
      </c>
      <c r="H13">
        <v>13.7</v>
      </c>
      <c r="I13">
        <v>0.85199999999999998</v>
      </c>
      <c r="J13">
        <v>1.56</v>
      </c>
      <c r="K13">
        <v>2.77</v>
      </c>
      <c r="L13">
        <v>5.97</v>
      </c>
      <c r="M13">
        <v>8.6999999999999993</v>
      </c>
      <c r="N13">
        <v>2.04</v>
      </c>
      <c r="O13">
        <v>0.35499999999999998</v>
      </c>
      <c r="P13">
        <v>1.62</v>
      </c>
      <c r="Q13">
        <v>2.6</v>
      </c>
      <c r="R13">
        <v>3.25</v>
      </c>
      <c r="S13">
        <v>2.48</v>
      </c>
      <c r="T13" s="10">
        <v>2.56</v>
      </c>
      <c r="U13">
        <f t="shared" si="4"/>
        <v>4.0992907801418443</v>
      </c>
      <c r="V13">
        <f t="shared" si="0"/>
        <v>4.3191489361702127</v>
      </c>
      <c r="W13">
        <f t="shared" si="0"/>
        <v>8.6524822695035457</v>
      </c>
      <c r="X13">
        <f t="shared" si="0"/>
        <v>75.177304964539005</v>
      </c>
      <c r="Y13">
        <f t="shared" si="0"/>
        <v>100</v>
      </c>
      <c r="Z13">
        <f t="shared" si="0"/>
        <v>97.163120567375884</v>
      </c>
      <c r="AA13">
        <f t="shared" si="0"/>
        <v>6.042553191489362</v>
      </c>
      <c r="AB13">
        <f t="shared" si="0"/>
        <v>11.063829787234043</v>
      </c>
      <c r="AC13">
        <f t="shared" si="0"/>
        <v>19.645390070921987</v>
      </c>
      <c r="AD13">
        <f t="shared" si="0"/>
        <v>42.340425531914896</v>
      </c>
      <c r="AE13">
        <f t="shared" si="0"/>
        <v>61.702127659574465</v>
      </c>
      <c r="AF13">
        <f t="shared" si="0"/>
        <v>14.468085106382981</v>
      </c>
      <c r="AG13">
        <f t="shared" si="0"/>
        <v>2.5177304964539005</v>
      </c>
      <c r="AH13">
        <f t="shared" si="0"/>
        <v>11.489361702127662</v>
      </c>
      <c r="AI13">
        <f t="shared" si="0"/>
        <v>18.439716312056738</v>
      </c>
      <c r="AJ13">
        <f t="shared" si="0"/>
        <v>23.049645390070921</v>
      </c>
      <c r="AK13">
        <f t="shared" si="0"/>
        <v>17.588652482269502</v>
      </c>
      <c r="AL13" s="10">
        <f t="shared" si="0"/>
        <v>18.156028368794328</v>
      </c>
      <c r="AM13">
        <f t="shared" si="5"/>
        <v>0</v>
      </c>
      <c r="AN13">
        <f t="shared" si="1"/>
        <v>0.21985815602836833</v>
      </c>
      <c r="AO13">
        <f t="shared" si="1"/>
        <v>4.5531914893617014</v>
      </c>
      <c r="AP13">
        <f t="shared" si="1"/>
        <v>71.078014184397162</v>
      </c>
      <c r="AQ13">
        <f t="shared" si="1"/>
        <v>95.900709219858157</v>
      </c>
      <c r="AR13">
        <f t="shared" si="1"/>
        <v>93.063829787234042</v>
      </c>
      <c r="AS13">
        <f t="shared" si="6"/>
        <v>0</v>
      </c>
      <c r="AT13">
        <f t="shared" si="2"/>
        <v>5.0212765957446814</v>
      </c>
      <c r="AU13">
        <f t="shared" si="2"/>
        <v>13.602836879432626</v>
      </c>
      <c r="AV13">
        <f t="shared" si="2"/>
        <v>36.297872340425535</v>
      </c>
      <c r="AW13">
        <f t="shared" si="2"/>
        <v>55.659574468085104</v>
      </c>
      <c r="AX13">
        <f t="shared" si="2"/>
        <v>8.4255319148936181</v>
      </c>
      <c r="AY13">
        <f t="shared" si="7"/>
        <v>0</v>
      </c>
      <c r="AZ13">
        <f t="shared" si="3"/>
        <v>8.971631205673761</v>
      </c>
      <c r="BA13">
        <f t="shared" si="3"/>
        <v>15.921985815602838</v>
      </c>
      <c r="BB13">
        <f t="shared" si="3"/>
        <v>20.531914893617021</v>
      </c>
      <c r="BC13">
        <f t="shared" si="3"/>
        <v>15.070921985815602</v>
      </c>
      <c r="BD13">
        <f t="shared" si="3"/>
        <v>15.638297872340427</v>
      </c>
    </row>
    <row r="14" spans="1:56" x14ac:dyDescent="0.2">
      <c r="A14" t="s">
        <v>768</v>
      </c>
      <c r="B14">
        <v>5</v>
      </c>
      <c r="C14">
        <v>1.51</v>
      </c>
      <c r="D14">
        <v>1.5</v>
      </c>
      <c r="E14">
        <v>7.89</v>
      </c>
      <c r="F14">
        <v>31.1</v>
      </c>
      <c r="G14">
        <v>39.700000000000003</v>
      </c>
      <c r="H14">
        <v>28.7</v>
      </c>
      <c r="I14">
        <v>1.38</v>
      </c>
      <c r="J14">
        <v>5.83</v>
      </c>
      <c r="K14">
        <v>12.3</v>
      </c>
      <c r="L14">
        <v>22.2</v>
      </c>
      <c r="M14">
        <v>14</v>
      </c>
      <c r="N14">
        <v>13.5</v>
      </c>
      <c r="O14">
        <v>1.44</v>
      </c>
      <c r="P14">
        <v>19.7</v>
      </c>
      <c r="Q14">
        <v>29.7</v>
      </c>
      <c r="R14">
        <v>40.299999999999997</v>
      </c>
      <c r="S14">
        <v>33.200000000000003</v>
      </c>
      <c r="T14" s="10">
        <v>35.4</v>
      </c>
      <c r="U14">
        <f t="shared" si="4"/>
        <v>3.7468982630272958</v>
      </c>
      <c r="V14">
        <f t="shared" si="0"/>
        <v>3.7220843672456581</v>
      </c>
      <c r="W14">
        <f t="shared" si="0"/>
        <v>19.578163771712159</v>
      </c>
      <c r="X14">
        <f t="shared" si="0"/>
        <v>77.1712158808933</v>
      </c>
      <c r="Y14">
        <f t="shared" si="0"/>
        <v>98.511166253101763</v>
      </c>
      <c r="Z14">
        <f t="shared" si="0"/>
        <v>71.215880893300252</v>
      </c>
      <c r="AA14">
        <f t="shared" si="0"/>
        <v>3.4243176178660053</v>
      </c>
      <c r="AB14">
        <f t="shared" si="0"/>
        <v>14.466501240694789</v>
      </c>
      <c r="AC14">
        <f t="shared" si="0"/>
        <v>30.521091811414397</v>
      </c>
      <c r="AD14">
        <f t="shared" si="0"/>
        <v>55.086848635235732</v>
      </c>
      <c r="AE14">
        <f t="shared" si="0"/>
        <v>34.739454094292803</v>
      </c>
      <c r="AF14">
        <f t="shared" si="0"/>
        <v>33.498759305210918</v>
      </c>
      <c r="AG14">
        <f t="shared" si="0"/>
        <v>3.5732009925558312</v>
      </c>
      <c r="AH14">
        <f t="shared" si="0"/>
        <v>48.883374689826304</v>
      </c>
      <c r="AI14">
        <f t="shared" si="0"/>
        <v>73.697270471464023</v>
      </c>
      <c r="AJ14">
        <f t="shared" si="0"/>
        <v>100</v>
      </c>
      <c r="AK14">
        <f t="shared" si="0"/>
        <v>82.382133995037236</v>
      </c>
      <c r="AL14" s="10">
        <f t="shared" si="0"/>
        <v>87.841191066997524</v>
      </c>
      <c r="AM14">
        <f t="shared" si="5"/>
        <v>0</v>
      </c>
      <c r="AN14">
        <f t="shared" si="1"/>
        <v>-2.4813895781637729E-2</v>
      </c>
      <c r="AO14">
        <f t="shared" si="1"/>
        <v>15.831265508684863</v>
      </c>
      <c r="AP14">
        <f t="shared" si="1"/>
        <v>73.424317617866009</v>
      </c>
      <c r="AQ14">
        <f t="shared" si="1"/>
        <v>94.764267990074472</v>
      </c>
      <c r="AR14">
        <f t="shared" si="1"/>
        <v>67.468982630272961</v>
      </c>
      <c r="AS14">
        <f t="shared" si="6"/>
        <v>0</v>
      </c>
      <c r="AT14">
        <f t="shared" si="2"/>
        <v>11.042183622828784</v>
      </c>
      <c r="AU14">
        <f t="shared" si="2"/>
        <v>27.096774193548391</v>
      </c>
      <c r="AV14">
        <f t="shared" si="2"/>
        <v>51.66253101736973</v>
      </c>
      <c r="AW14">
        <f t="shared" si="2"/>
        <v>31.315136476426797</v>
      </c>
      <c r="AX14">
        <f t="shared" si="2"/>
        <v>30.074441687344912</v>
      </c>
      <c r="AY14">
        <f t="shared" si="7"/>
        <v>0</v>
      </c>
      <c r="AZ14">
        <f t="shared" si="3"/>
        <v>45.310173697270471</v>
      </c>
      <c r="BA14">
        <f t="shared" si="3"/>
        <v>70.124069478908197</v>
      </c>
      <c r="BB14">
        <f t="shared" si="3"/>
        <v>96.426799007444174</v>
      </c>
      <c r="BC14">
        <f t="shared" si="3"/>
        <v>78.80893300248141</v>
      </c>
      <c r="BD14">
        <f t="shared" si="3"/>
        <v>84.267990074441698</v>
      </c>
    </row>
    <row r="15" spans="1:56" x14ac:dyDescent="0.2">
      <c r="A15" t="s">
        <v>784</v>
      </c>
      <c r="B15">
        <v>4</v>
      </c>
      <c r="C15">
        <v>9.8699999999999996E-2</v>
      </c>
      <c r="D15">
        <v>7.0400000000000004E-2</v>
      </c>
      <c r="E15">
        <v>0.34799999999999998</v>
      </c>
      <c r="F15">
        <v>2.5299999999999998</v>
      </c>
      <c r="G15">
        <v>1.63</v>
      </c>
      <c r="H15">
        <v>1.22</v>
      </c>
      <c r="I15">
        <v>0.21299999999999999</v>
      </c>
      <c r="J15">
        <v>0.51100000000000001</v>
      </c>
      <c r="K15">
        <v>1.18</v>
      </c>
      <c r="L15">
        <v>1.61</v>
      </c>
      <c r="M15">
        <v>1.28</v>
      </c>
      <c r="N15">
        <v>1.02</v>
      </c>
      <c r="O15">
        <v>0.14099999999999999</v>
      </c>
      <c r="P15">
        <v>0.51600000000000001</v>
      </c>
      <c r="Q15">
        <v>1.1299999999999999</v>
      </c>
      <c r="R15">
        <v>1.1200000000000001</v>
      </c>
      <c r="S15">
        <v>1.05</v>
      </c>
      <c r="T15" s="10">
        <v>1.1000000000000001</v>
      </c>
      <c r="U15">
        <f t="shared" si="4"/>
        <v>3.9011857707509883</v>
      </c>
      <c r="V15">
        <f t="shared" si="0"/>
        <v>2.7826086956521743</v>
      </c>
      <c r="W15">
        <f t="shared" si="0"/>
        <v>13.754940711462451</v>
      </c>
      <c r="X15">
        <f t="shared" si="0"/>
        <v>100</v>
      </c>
      <c r="Y15">
        <f t="shared" si="0"/>
        <v>64.426877470355734</v>
      </c>
      <c r="Z15">
        <f t="shared" si="0"/>
        <v>48.221343873517789</v>
      </c>
      <c r="AA15">
        <f t="shared" si="0"/>
        <v>8.4189723320158105</v>
      </c>
      <c r="AB15">
        <f t="shared" si="0"/>
        <v>20.197628458498027</v>
      </c>
      <c r="AC15">
        <f t="shared" si="0"/>
        <v>46.640316205533601</v>
      </c>
      <c r="AD15">
        <f t="shared" si="0"/>
        <v>63.636363636363647</v>
      </c>
      <c r="AE15">
        <f t="shared" si="0"/>
        <v>50.592885375494077</v>
      </c>
      <c r="AF15">
        <f t="shared" si="0"/>
        <v>40.316205533596843</v>
      </c>
      <c r="AG15">
        <f t="shared" si="0"/>
        <v>5.5731225296442686</v>
      </c>
      <c r="AH15">
        <f t="shared" si="0"/>
        <v>20.39525691699605</v>
      </c>
      <c r="AI15">
        <f t="shared" si="0"/>
        <v>44.664031620553359</v>
      </c>
      <c r="AJ15">
        <f t="shared" si="0"/>
        <v>44.26877470355732</v>
      </c>
      <c r="AK15">
        <f t="shared" si="0"/>
        <v>41.501976284584984</v>
      </c>
      <c r="AL15" s="10">
        <f t="shared" si="0"/>
        <v>43.478260869565219</v>
      </c>
      <c r="AM15">
        <f t="shared" si="5"/>
        <v>0</v>
      </c>
      <c r="AN15">
        <f t="shared" si="1"/>
        <v>-1.118577075098814</v>
      </c>
      <c r="AO15">
        <f t="shared" si="1"/>
        <v>9.8537549407114629</v>
      </c>
      <c r="AP15">
        <f t="shared" si="1"/>
        <v>96.098814229249015</v>
      </c>
      <c r="AQ15">
        <f t="shared" si="1"/>
        <v>60.525691699604749</v>
      </c>
      <c r="AR15">
        <f t="shared" si="1"/>
        <v>44.320158102766797</v>
      </c>
      <c r="AS15">
        <f t="shared" si="6"/>
        <v>0</v>
      </c>
      <c r="AT15">
        <f t="shared" si="2"/>
        <v>11.778656126482216</v>
      </c>
      <c r="AU15">
        <f t="shared" si="2"/>
        <v>38.221343873517789</v>
      </c>
      <c r="AV15">
        <f t="shared" si="2"/>
        <v>55.217391304347835</v>
      </c>
      <c r="AW15">
        <f t="shared" si="2"/>
        <v>42.173913043478265</v>
      </c>
      <c r="AX15">
        <f t="shared" si="2"/>
        <v>31.897233201581031</v>
      </c>
      <c r="AY15">
        <f t="shared" si="7"/>
        <v>0</v>
      </c>
      <c r="AZ15">
        <f t="shared" si="3"/>
        <v>14.822134387351781</v>
      </c>
      <c r="BA15">
        <f t="shared" si="3"/>
        <v>39.090909090909093</v>
      </c>
      <c r="BB15">
        <f t="shared" si="3"/>
        <v>38.695652173913054</v>
      </c>
      <c r="BC15">
        <f t="shared" si="3"/>
        <v>35.928853754940718</v>
      </c>
      <c r="BD15">
        <f t="shared" si="3"/>
        <v>37.905138339920953</v>
      </c>
    </row>
    <row r="16" spans="1:56" x14ac:dyDescent="0.2">
      <c r="A16" t="s">
        <v>784</v>
      </c>
      <c r="B16">
        <v>5</v>
      </c>
      <c r="C16">
        <v>0.56899999999999995</v>
      </c>
      <c r="D16">
        <v>0.442</v>
      </c>
      <c r="E16">
        <v>1.02</v>
      </c>
      <c r="F16">
        <v>4.93</v>
      </c>
      <c r="G16">
        <v>4.21</v>
      </c>
      <c r="H16">
        <v>2.64</v>
      </c>
      <c r="I16">
        <v>0.39700000000000002</v>
      </c>
      <c r="J16">
        <v>0.91</v>
      </c>
      <c r="K16">
        <v>2.15</v>
      </c>
      <c r="L16">
        <v>2.7</v>
      </c>
      <c r="M16">
        <v>0.96399999999999997</v>
      </c>
      <c r="N16">
        <v>0.76</v>
      </c>
      <c r="O16">
        <v>0.53100000000000003</v>
      </c>
      <c r="P16">
        <v>2.62</v>
      </c>
      <c r="Q16">
        <v>5.64</v>
      </c>
      <c r="R16">
        <v>6.92</v>
      </c>
      <c r="S16">
        <v>4.13</v>
      </c>
      <c r="T16" s="10">
        <v>4.7699999999999996</v>
      </c>
      <c r="U16">
        <f t="shared" si="4"/>
        <v>8.2225433526011553</v>
      </c>
      <c r="V16">
        <f t="shared" si="0"/>
        <v>6.387283236994219</v>
      </c>
      <c r="W16">
        <f t="shared" si="0"/>
        <v>14.739884393063585</v>
      </c>
      <c r="X16">
        <f t="shared" si="0"/>
        <v>71.242774566473983</v>
      </c>
      <c r="Y16">
        <f t="shared" si="0"/>
        <v>60.838150289017342</v>
      </c>
      <c r="Z16">
        <f t="shared" si="0"/>
        <v>38.150289017341045</v>
      </c>
      <c r="AA16">
        <f t="shared" si="0"/>
        <v>5.7369942196531802</v>
      </c>
      <c r="AB16">
        <f t="shared" si="0"/>
        <v>13.150289017341041</v>
      </c>
      <c r="AC16">
        <f t="shared" si="0"/>
        <v>31.069364161849713</v>
      </c>
      <c r="AD16">
        <f t="shared" si="0"/>
        <v>39.017341040462433</v>
      </c>
      <c r="AE16">
        <f t="shared" si="0"/>
        <v>13.930635838150287</v>
      </c>
      <c r="AF16">
        <f t="shared" si="0"/>
        <v>10.982658959537572</v>
      </c>
      <c r="AG16">
        <f t="shared" si="0"/>
        <v>7.6734104046242786</v>
      </c>
      <c r="AH16">
        <f t="shared" si="0"/>
        <v>37.861271676300575</v>
      </c>
      <c r="AI16">
        <f t="shared" si="0"/>
        <v>81.502890173410407</v>
      </c>
      <c r="AJ16">
        <f t="shared" si="0"/>
        <v>100</v>
      </c>
      <c r="AK16">
        <f t="shared" si="0"/>
        <v>59.682080924855484</v>
      </c>
      <c r="AL16" s="10">
        <f t="shared" si="0"/>
        <v>68.93063583815028</v>
      </c>
      <c r="AM16">
        <f t="shared" si="5"/>
        <v>0</v>
      </c>
      <c r="AN16">
        <f t="shared" si="1"/>
        <v>-1.8352601156069364</v>
      </c>
      <c r="AO16">
        <f t="shared" si="1"/>
        <v>6.5173410404624299</v>
      </c>
      <c r="AP16">
        <f t="shared" si="1"/>
        <v>63.020231213872826</v>
      </c>
      <c r="AQ16">
        <f t="shared" si="1"/>
        <v>52.615606936416185</v>
      </c>
      <c r="AR16">
        <f t="shared" si="1"/>
        <v>29.927745664739888</v>
      </c>
      <c r="AS16">
        <f t="shared" si="6"/>
        <v>0</v>
      </c>
      <c r="AT16">
        <f t="shared" si="2"/>
        <v>7.4132947976878611</v>
      </c>
      <c r="AU16">
        <f t="shared" si="2"/>
        <v>25.332369942196532</v>
      </c>
      <c r="AV16">
        <f t="shared" si="2"/>
        <v>33.280346820809257</v>
      </c>
      <c r="AW16">
        <f t="shared" si="2"/>
        <v>8.1936416184971073</v>
      </c>
      <c r="AX16">
        <f t="shared" si="2"/>
        <v>5.2456647398843916</v>
      </c>
      <c r="AY16">
        <f t="shared" si="7"/>
        <v>0</v>
      </c>
      <c r="AZ16">
        <f t="shared" si="3"/>
        <v>30.187861271676297</v>
      </c>
      <c r="BA16">
        <f t="shared" si="3"/>
        <v>73.829479768786129</v>
      </c>
      <c r="BB16">
        <f t="shared" si="3"/>
        <v>92.326589595375722</v>
      </c>
      <c r="BC16">
        <f t="shared" si="3"/>
        <v>52.008670520231206</v>
      </c>
      <c r="BD16">
        <f t="shared" si="3"/>
        <v>61.257225433526003</v>
      </c>
    </row>
    <row r="17" spans="1:56" x14ac:dyDescent="0.2">
      <c r="A17" t="s">
        <v>770</v>
      </c>
      <c r="B17">
        <v>3</v>
      </c>
      <c r="C17">
        <v>0.95599999999999996</v>
      </c>
      <c r="D17">
        <v>1.1200000000000001</v>
      </c>
      <c r="E17">
        <v>1.01</v>
      </c>
      <c r="F17">
        <v>10.1</v>
      </c>
      <c r="G17">
        <v>10.4</v>
      </c>
      <c r="H17">
        <v>9.14</v>
      </c>
      <c r="I17">
        <v>0.85399999999999998</v>
      </c>
      <c r="J17">
        <v>1.97</v>
      </c>
      <c r="K17">
        <v>1.55</v>
      </c>
      <c r="L17">
        <v>6.93</v>
      </c>
      <c r="M17">
        <v>6.15</v>
      </c>
      <c r="N17">
        <v>0.92500000000000004</v>
      </c>
      <c r="O17">
        <v>0.38500000000000001</v>
      </c>
      <c r="P17">
        <v>0.95199999999999996</v>
      </c>
      <c r="Q17">
        <v>0.88800000000000001</v>
      </c>
      <c r="R17">
        <v>1.32</v>
      </c>
      <c r="S17">
        <v>1.27</v>
      </c>
      <c r="T17" s="10">
        <v>1.48</v>
      </c>
      <c r="U17">
        <f t="shared" si="4"/>
        <v>9.1923076923076916</v>
      </c>
      <c r="V17">
        <f t="shared" si="0"/>
        <v>10.76923076923077</v>
      </c>
      <c r="W17">
        <f t="shared" si="0"/>
        <v>9.7115384615384617</v>
      </c>
      <c r="X17">
        <f t="shared" si="0"/>
        <v>97.115384615384599</v>
      </c>
      <c r="Y17">
        <f t="shared" si="0"/>
        <v>100</v>
      </c>
      <c r="Z17">
        <f t="shared" si="0"/>
        <v>87.884615384615387</v>
      </c>
      <c r="AA17">
        <f t="shared" si="0"/>
        <v>8.2115384615384599</v>
      </c>
      <c r="AB17">
        <f t="shared" si="0"/>
        <v>18.942307692307693</v>
      </c>
      <c r="AC17">
        <f t="shared" si="0"/>
        <v>14.903846153846153</v>
      </c>
      <c r="AD17">
        <f t="shared" si="0"/>
        <v>66.634615384615387</v>
      </c>
      <c r="AE17">
        <f t="shared" si="0"/>
        <v>59.134615384615387</v>
      </c>
      <c r="AF17">
        <f t="shared" si="0"/>
        <v>8.8942307692307701</v>
      </c>
      <c r="AG17">
        <f t="shared" si="0"/>
        <v>3.7019230769230771</v>
      </c>
      <c r="AH17">
        <f t="shared" si="0"/>
        <v>9.1538461538461533</v>
      </c>
      <c r="AI17">
        <f t="shared" si="0"/>
        <v>8.5384615384615383</v>
      </c>
      <c r="AJ17">
        <f t="shared" si="0"/>
        <v>12.692307692307692</v>
      </c>
      <c r="AK17">
        <f t="shared" si="0"/>
        <v>12.211538461538462</v>
      </c>
      <c r="AL17" s="10">
        <f t="shared" si="0"/>
        <v>14.23076923076923</v>
      </c>
      <c r="AM17">
        <f t="shared" si="5"/>
        <v>0</v>
      </c>
      <c r="AN17">
        <f t="shared" si="1"/>
        <v>1.5769230769230784</v>
      </c>
      <c r="AO17">
        <f t="shared" si="1"/>
        <v>0.51923076923077005</v>
      </c>
      <c r="AP17">
        <f t="shared" si="1"/>
        <v>87.923076923076906</v>
      </c>
      <c r="AQ17">
        <f t="shared" si="1"/>
        <v>90.807692307692307</v>
      </c>
      <c r="AR17">
        <f t="shared" si="1"/>
        <v>78.692307692307693</v>
      </c>
      <c r="AS17">
        <f t="shared" si="6"/>
        <v>0</v>
      </c>
      <c r="AT17">
        <f t="shared" si="2"/>
        <v>10.730769230769234</v>
      </c>
      <c r="AU17">
        <f t="shared" si="2"/>
        <v>6.6923076923076934</v>
      </c>
      <c r="AV17">
        <f t="shared" si="2"/>
        <v>58.423076923076927</v>
      </c>
      <c r="AW17">
        <f t="shared" si="2"/>
        <v>50.923076923076927</v>
      </c>
      <c r="AX17">
        <f t="shared" si="2"/>
        <v>0.68269230769231015</v>
      </c>
      <c r="AY17">
        <f t="shared" si="7"/>
        <v>0</v>
      </c>
      <c r="AZ17">
        <f t="shared" si="3"/>
        <v>5.4519230769230766</v>
      </c>
      <c r="BA17">
        <f t="shared" si="3"/>
        <v>4.8365384615384617</v>
      </c>
      <c r="BB17">
        <f t="shared" si="3"/>
        <v>8.990384615384615</v>
      </c>
      <c r="BC17">
        <f t="shared" si="3"/>
        <v>8.509615384615385</v>
      </c>
      <c r="BD17">
        <f t="shared" si="3"/>
        <v>10.528846153846153</v>
      </c>
    </row>
    <row r="18" spans="1:56" x14ac:dyDescent="0.2">
      <c r="A18" t="s">
        <v>793</v>
      </c>
      <c r="B18">
        <v>3</v>
      </c>
      <c r="C18">
        <v>2.07E-2</v>
      </c>
      <c r="D18">
        <v>2.0899999999999998E-2</v>
      </c>
      <c r="E18">
        <v>2.12E-2</v>
      </c>
      <c r="F18">
        <v>0.22900000000000001</v>
      </c>
      <c r="G18">
        <v>0.56299999999999994</v>
      </c>
      <c r="H18">
        <v>0.39800000000000002</v>
      </c>
      <c r="I18">
        <v>1.9E-2</v>
      </c>
      <c r="J18">
        <v>0.16400000000000001</v>
      </c>
      <c r="K18">
        <v>0.189</v>
      </c>
      <c r="L18">
        <v>1.1100000000000001</v>
      </c>
      <c r="M18">
        <v>1.59</v>
      </c>
      <c r="N18">
        <v>0.64500000000000002</v>
      </c>
      <c r="O18">
        <v>2.7300000000000001E-2</v>
      </c>
      <c r="P18">
        <v>4.7100000000000003E-2</v>
      </c>
      <c r="Q18">
        <v>2.92E-2</v>
      </c>
      <c r="R18">
        <v>4.2799999999999998E-2</v>
      </c>
      <c r="S18">
        <v>6.5299999999999997E-2</v>
      </c>
      <c r="T18" s="10">
        <v>6.2399999999999997E-2</v>
      </c>
      <c r="U18">
        <f t="shared" si="4"/>
        <v>1.3018867924528301</v>
      </c>
      <c r="V18">
        <f t="shared" si="4"/>
        <v>1.3144654088050312</v>
      </c>
      <c r="W18">
        <f t="shared" si="4"/>
        <v>1.3333333333333333</v>
      </c>
      <c r="X18">
        <f t="shared" si="4"/>
        <v>14.40251572327044</v>
      </c>
      <c r="Y18">
        <f t="shared" si="4"/>
        <v>35.408805031446533</v>
      </c>
      <c r="Z18">
        <f t="shared" si="4"/>
        <v>25.031446540880502</v>
      </c>
      <c r="AA18">
        <f t="shared" si="4"/>
        <v>1.1949685534591195</v>
      </c>
      <c r="AB18">
        <f t="shared" si="4"/>
        <v>10.314465408805033</v>
      </c>
      <c r="AC18">
        <f t="shared" si="4"/>
        <v>11.886792452830189</v>
      </c>
      <c r="AD18">
        <f t="shared" si="4"/>
        <v>69.811320754716988</v>
      </c>
      <c r="AE18">
        <f t="shared" si="4"/>
        <v>100</v>
      </c>
      <c r="AF18">
        <f t="shared" si="4"/>
        <v>40.566037735849051</v>
      </c>
      <c r="AG18">
        <f t="shared" si="4"/>
        <v>1.7169811320754718</v>
      </c>
      <c r="AH18">
        <f t="shared" si="4"/>
        <v>2.9622641509433962</v>
      </c>
      <c r="AI18">
        <f t="shared" si="4"/>
        <v>1.8364779874213835</v>
      </c>
      <c r="AJ18">
        <f t="shared" si="4"/>
        <v>2.691823899371069</v>
      </c>
      <c r="AK18">
        <f t="shared" ref="AK18:AL30" si="8">S18/(MAX($C18:$T18))*100</f>
        <v>4.1069182389937104</v>
      </c>
      <c r="AL18" s="10">
        <f t="shared" si="8"/>
        <v>3.924528301886792</v>
      </c>
      <c r="AM18">
        <f t="shared" si="5"/>
        <v>0</v>
      </c>
      <c r="AN18">
        <f t="shared" si="1"/>
        <v>1.2578616352201033E-2</v>
      </c>
      <c r="AO18">
        <f t="shared" si="1"/>
        <v>3.1446540880503138E-2</v>
      </c>
      <c r="AP18">
        <f t="shared" si="1"/>
        <v>13.10062893081761</v>
      </c>
      <c r="AQ18">
        <f t="shared" si="1"/>
        <v>34.1069182389937</v>
      </c>
      <c r="AR18">
        <f t="shared" si="1"/>
        <v>23.729559748427672</v>
      </c>
      <c r="AS18">
        <f t="shared" si="6"/>
        <v>0</v>
      </c>
      <c r="AT18">
        <f t="shared" si="2"/>
        <v>9.119496855345913</v>
      </c>
      <c r="AU18">
        <f t="shared" si="2"/>
        <v>10.691823899371069</v>
      </c>
      <c r="AV18">
        <f t="shared" si="2"/>
        <v>68.616352201257868</v>
      </c>
      <c r="AW18">
        <f t="shared" si="2"/>
        <v>98.80503144654088</v>
      </c>
      <c r="AX18">
        <f t="shared" si="2"/>
        <v>39.371069182389931</v>
      </c>
      <c r="AY18">
        <f t="shared" si="7"/>
        <v>0</v>
      </c>
      <c r="AZ18">
        <f t="shared" si="3"/>
        <v>1.2452830188679245</v>
      </c>
      <c r="BA18">
        <f t="shared" si="3"/>
        <v>0.1194968553459117</v>
      </c>
      <c r="BB18">
        <f t="shared" si="3"/>
        <v>0.97484276729559727</v>
      </c>
      <c r="BC18">
        <f t="shared" si="3"/>
        <v>2.3899371069182385</v>
      </c>
      <c r="BD18">
        <f t="shared" si="3"/>
        <v>2.2075471698113205</v>
      </c>
    </row>
    <row r="19" spans="1:56" x14ac:dyDescent="0.2">
      <c r="A19" t="s">
        <v>793</v>
      </c>
      <c r="B19">
        <v>4</v>
      </c>
      <c r="C19">
        <v>8.2699999999999996E-3</v>
      </c>
      <c r="D19">
        <v>5.5500000000000002E-3</v>
      </c>
      <c r="E19">
        <v>1.01E-2</v>
      </c>
      <c r="F19">
        <v>5.16E-2</v>
      </c>
      <c r="G19">
        <v>3.8600000000000002E-2</v>
      </c>
      <c r="H19">
        <v>1.4200000000000001E-2</v>
      </c>
      <c r="I19">
        <v>2.9199999999999999E-3</v>
      </c>
      <c r="J19">
        <v>2.4400000000000002E-2</v>
      </c>
      <c r="K19">
        <v>7.0599999999999996E-2</v>
      </c>
      <c r="L19">
        <v>0.112</v>
      </c>
      <c r="M19">
        <v>9.4299999999999995E-2</v>
      </c>
      <c r="N19">
        <v>0.153</v>
      </c>
      <c r="O19">
        <v>7.2500000000000004E-3</v>
      </c>
      <c r="P19">
        <v>9.5700000000000004E-3</v>
      </c>
      <c r="Q19">
        <v>8.26E-3</v>
      </c>
      <c r="R19">
        <v>1.2999999999999999E-2</v>
      </c>
      <c r="S19">
        <v>2.01E-2</v>
      </c>
      <c r="T19" s="10">
        <v>3.5400000000000001E-2</v>
      </c>
      <c r="U19">
        <f t="shared" si="4"/>
        <v>5.405228758169935</v>
      </c>
      <c r="V19">
        <f t="shared" si="4"/>
        <v>3.6274509803921573</v>
      </c>
      <c r="W19">
        <f t="shared" si="4"/>
        <v>6.6013071895424842</v>
      </c>
      <c r="X19">
        <f t="shared" si="4"/>
        <v>33.725490196078432</v>
      </c>
      <c r="Y19">
        <f t="shared" si="4"/>
        <v>25.228758169934647</v>
      </c>
      <c r="Z19">
        <f t="shared" si="4"/>
        <v>9.2810457516339877</v>
      </c>
      <c r="AA19">
        <f t="shared" si="4"/>
        <v>1.9084967320261437</v>
      </c>
      <c r="AB19">
        <f t="shared" si="4"/>
        <v>15.947712418300656</v>
      </c>
      <c r="AC19">
        <f t="shared" si="4"/>
        <v>46.143790849673202</v>
      </c>
      <c r="AD19">
        <f t="shared" si="4"/>
        <v>73.202614379084977</v>
      </c>
      <c r="AE19">
        <f t="shared" si="4"/>
        <v>61.633986928104576</v>
      </c>
      <c r="AF19">
        <f t="shared" si="4"/>
        <v>100</v>
      </c>
      <c r="AG19">
        <f t="shared" si="4"/>
        <v>4.7385620915032689</v>
      </c>
      <c r="AH19">
        <f t="shared" si="4"/>
        <v>6.2549019607843137</v>
      </c>
      <c r="AI19">
        <f t="shared" si="4"/>
        <v>5.3986928104575167</v>
      </c>
      <c r="AJ19">
        <f t="shared" si="4"/>
        <v>8.4967320261437909</v>
      </c>
      <c r="AK19">
        <f t="shared" si="8"/>
        <v>13.137254901960786</v>
      </c>
      <c r="AL19" s="10">
        <f t="shared" si="8"/>
        <v>23.137254901960784</v>
      </c>
      <c r="AM19">
        <f t="shared" si="5"/>
        <v>0</v>
      </c>
      <c r="AN19">
        <f t="shared" si="5"/>
        <v>-1.7777777777777777</v>
      </c>
      <c r="AO19">
        <f t="shared" si="5"/>
        <v>1.1960784313725492</v>
      </c>
      <c r="AP19">
        <f t="shared" si="5"/>
        <v>28.320261437908499</v>
      </c>
      <c r="AQ19">
        <f t="shared" si="5"/>
        <v>19.82352941176471</v>
      </c>
      <c r="AR19">
        <f t="shared" si="5"/>
        <v>3.8758169934640527</v>
      </c>
      <c r="AS19">
        <f t="shared" si="6"/>
        <v>0</v>
      </c>
      <c r="AT19">
        <f t="shared" si="6"/>
        <v>14.039215686274511</v>
      </c>
      <c r="AU19">
        <f t="shared" si="6"/>
        <v>44.235294117647058</v>
      </c>
      <c r="AV19">
        <f t="shared" si="6"/>
        <v>71.29411764705884</v>
      </c>
      <c r="AW19">
        <f t="shared" si="6"/>
        <v>59.725490196078432</v>
      </c>
      <c r="AX19">
        <f t="shared" si="6"/>
        <v>98.091503267973863</v>
      </c>
      <c r="AY19">
        <f t="shared" si="7"/>
        <v>0</v>
      </c>
      <c r="AZ19">
        <f t="shared" si="7"/>
        <v>1.5163398692810448</v>
      </c>
      <c r="BA19">
        <f t="shared" si="7"/>
        <v>0.6601307189542478</v>
      </c>
      <c r="BB19">
        <f t="shared" si="7"/>
        <v>3.758169934640522</v>
      </c>
      <c r="BC19">
        <f t="shared" si="7"/>
        <v>8.3986928104575167</v>
      </c>
      <c r="BD19">
        <f t="shared" si="7"/>
        <v>18.398692810457515</v>
      </c>
    </row>
    <row r="20" spans="1:56" x14ac:dyDescent="0.2">
      <c r="A20" t="s">
        <v>793</v>
      </c>
      <c r="B20">
        <v>5</v>
      </c>
      <c r="C20">
        <v>1.6299999999999999E-2</v>
      </c>
      <c r="D20">
        <v>7.8899999999999994E-3</v>
      </c>
      <c r="E20">
        <v>1.5800000000000002E-2</v>
      </c>
      <c r="F20">
        <v>0.14699999999999999</v>
      </c>
      <c r="G20">
        <v>0.248</v>
      </c>
      <c r="H20">
        <v>0.14099999999999999</v>
      </c>
      <c r="I20">
        <v>1.54E-2</v>
      </c>
      <c r="J20">
        <v>0.122</v>
      </c>
      <c r="K20">
        <v>0.29599999999999999</v>
      </c>
      <c r="L20">
        <v>0.64400000000000002</v>
      </c>
      <c r="M20">
        <v>0.52200000000000002</v>
      </c>
      <c r="N20">
        <v>0.54100000000000004</v>
      </c>
      <c r="O20">
        <v>2.93E-2</v>
      </c>
      <c r="P20">
        <v>4.6899999999999997E-2</v>
      </c>
      <c r="Q20">
        <v>5.4600000000000003E-2</v>
      </c>
      <c r="R20">
        <v>0.13</v>
      </c>
      <c r="S20">
        <v>0.124</v>
      </c>
      <c r="T20" s="10">
        <v>0.247</v>
      </c>
      <c r="U20">
        <f t="shared" si="4"/>
        <v>2.5310559006211175</v>
      </c>
      <c r="V20">
        <f t="shared" si="4"/>
        <v>1.2251552795031055</v>
      </c>
      <c r="W20">
        <f t="shared" si="4"/>
        <v>2.4534161490683233</v>
      </c>
      <c r="X20">
        <f t="shared" si="4"/>
        <v>22.826086956521738</v>
      </c>
      <c r="Y20">
        <f t="shared" si="4"/>
        <v>38.509316770186338</v>
      </c>
      <c r="Z20">
        <f t="shared" si="4"/>
        <v>21.894409937888195</v>
      </c>
      <c r="AA20">
        <f t="shared" si="4"/>
        <v>2.3913043478260869</v>
      </c>
      <c r="AB20">
        <f t="shared" si="4"/>
        <v>18.944099378881987</v>
      </c>
      <c r="AC20">
        <f t="shared" si="4"/>
        <v>45.962732919254655</v>
      </c>
      <c r="AD20">
        <f t="shared" si="4"/>
        <v>100</v>
      </c>
      <c r="AE20">
        <f t="shared" si="4"/>
        <v>81.055900621118013</v>
      </c>
      <c r="AF20">
        <f t="shared" si="4"/>
        <v>84.006211180124225</v>
      </c>
      <c r="AG20">
        <f t="shared" si="4"/>
        <v>4.5496894409937889</v>
      </c>
      <c r="AH20">
        <f t="shared" si="4"/>
        <v>7.2826086956521738</v>
      </c>
      <c r="AI20">
        <f t="shared" si="4"/>
        <v>8.4782608695652169</v>
      </c>
      <c r="AJ20">
        <f t="shared" si="4"/>
        <v>20.186335403726709</v>
      </c>
      <c r="AK20">
        <f t="shared" si="8"/>
        <v>19.254658385093169</v>
      </c>
      <c r="AL20" s="10">
        <f t="shared" si="8"/>
        <v>38.354037267080741</v>
      </c>
      <c r="AM20">
        <f t="shared" si="5"/>
        <v>0</v>
      </c>
      <c r="AN20">
        <f t="shared" si="5"/>
        <v>-1.305900621118012</v>
      </c>
      <c r="AO20">
        <f t="shared" si="5"/>
        <v>-7.7639751552794234E-2</v>
      </c>
      <c r="AP20">
        <f t="shared" si="5"/>
        <v>20.295031055900623</v>
      </c>
      <c r="AQ20">
        <f t="shared" si="5"/>
        <v>35.978260869565219</v>
      </c>
      <c r="AR20">
        <f t="shared" si="5"/>
        <v>19.363354037267079</v>
      </c>
      <c r="AS20">
        <f t="shared" si="6"/>
        <v>0</v>
      </c>
      <c r="AT20">
        <f t="shared" si="6"/>
        <v>16.552795031055901</v>
      </c>
      <c r="AU20">
        <f t="shared" si="6"/>
        <v>43.571428571428569</v>
      </c>
      <c r="AV20">
        <f t="shared" si="6"/>
        <v>97.608695652173907</v>
      </c>
      <c r="AW20">
        <f t="shared" si="6"/>
        <v>78.66459627329192</v>
      </c>
      <c r="AX20">
        <f t="shared" si="6"/>
        <v>81.614906832298132</v>
      </c>
      <c r="AY20">
        <f t="shared" si="7"/>
        <v>0</v>
      </c>
      <c r="AZ20">
        <f t="shared" si="7"/>
        <v>2.7329192546583849</v>
      </c>
      <c r="BA20">
        <f t="shared" si="7"/>
        <v>3.9285714285714279</v>
      </c>
      <c r="BB20">
        <f t="shared" si="7"/>
        <v>15.636645962732921</v>
      </c>
      <c r="BC20">
        <f t="shared" si="7"/>
        <v>14.704968944099381</v>
      </c>
      <c r="BD20">
        <f t="shared" si="7"/>
        <v>33.804347826086953</v>
      </c>
    </row>
    <row r="21" spans="1:56" x14ac:dyDescent="0.2">
      <c r="A21" t="s">
        <v>794</v>
      </c>
      <c r="B21">
        <v>3</v>
      </c>
      <c r="C21">
        <v>1.7399999999999999E-2</v>
      </c>
      <c r="D21">
        <v>1.5100000000000001E-2</v>
      </c>
      <c r="E21">
        <v>1.66E-2</v>
      </c>
      <c r="F21">
        <v>2.7400000000000001E-2</v>
      </c>
      <c r="G21">
        <v>3.5000000000000003E-2</v>
      </c>
      <c r="H21">
        <v>0.02</v>
      </c>
      <c r="I21">
        <v>1.6199999999999999E-2</v>
      </c>
      <c r="J21">
        <v>2.23E-2</v>
      </c>
      <c r="K21">
        <v>2.01E-2</v>
      </c>
      <c r="L21">
        <v>3.4000000000000002E-2</v>
      </c>
      <c r="M21">
        <v>8.2500000000000004E-2</v>
      </c>
      <c r="N21">
        <v>9.4200000000000006E-2</v>
      </c>
      <c r="O21">
        <v>7.3600000000000002E-3</v>
      </c>
      <c r="P21">
        <v>5.9100000000000003E-3</v>
      </c>
      <c r="Q21">
        <v>1.61E-2</v>
      </c>
      <c r="R21">
        <v>2.1499999999999998E-2</v>
      </c>
      <c r="S21">
        <v>1.01E-2</v>
      </c>
      <c r="T21" s="10">
        <v>7.6499999999999997E-3</v>
      </c>
      <c r="U21">
        <f t="shared" si="4"/>
        <v>18.471337579617835</v>
      </c>
      <c r="V21">
        <f t="shared" si="4"/>
        <v>16.029723991507431</v>
      </c>
      <c r="W21">
        <f t="shared" si="4"/>
        <v>17.622080679405521</v>
      </c>
      <c r="X21">
        <f t="shared" si="4"/>
        <v>29.087048832271762</v>
      </c>
      <c r="Y21">
        <f t="shared" si="4"/>
        <v>37.154989384288747</v>
      </c>
      <c r="Z21">
        <f t="shared" si="4"/>
        <v>21.231422505307854</v>
      </c>
      <c r="AA21">
        <f t="shared" si="4"/>
        <v>17.197452229299362</v>
      </c>
      <c r="AB21">
        <f t="shared" si="4"/>
        <v>23.673036093418258</v>
      </c>
      <c r="AC21">
        <f t="shared" si="4"/>
        <v>21.337579617834393</v>
      </c>
      <c r="AD21">
        <f t="shared" si="4"/>
        <v>36.093418259023359</v>
      </c>
      <c r="AE21">
        <f t="shared" si="4"/>
        <v>87.579617834394909</v>
      </c>
      <c r="AF21">
        <f t="shared" si="4"/>
        <v>100</v>
      </c>
      <c r="AG21">
        <f t="shared" si="4"/>
        <v>7.8131634819532909</v>
      </c>
      <c r="AH21">
        <f t="shared" si="4"/>
        <v>6.2738853503184711</v>
      </c>
      <c r="AI21">
        <f t="shared" si="4"/>
        <v>17.091295116772823</v>
      </c>
      <c r="AJ21">
        <f t="shared" si="4"/>
        <v>22.823779193205944</v>
      </c>
      <c r="AK21">
        <f t="shared" si="8"/>
        <v>10.721868365180466</v>
      </c>
      <c r="AL21" s="10">
        <f t="shared" si="8"/>
        <v>8.1210191082802545</v>
      </c>
      <c r="AM21">
        <f t="shared" si="5"/>
        <v>0</v>
      </c>
      <c r="AN21">
        <f t="shared" si="5"/>
        <v>-2.4416135881104033</v>
      </c>
      <c r="AO21">
        <f t="shared" si="5"/>
        <v>-0.84925690021231404</v>
      </c>
      <c r="AP21">
        <f t="shared" si="5"/>
        <v>10.615711252653927</v>
      </c>
      <c r="AQ21">
        <f t="shared" si="5"/>
        <v>18.683651804670912</v>
      </c>
      <c r="AR21">
        <f t="shared" si="5"/>
        <v>2.7600849256900197</v>
      </c>
      <c r="AS21">
        <f t="shared" si="6"/>
        <v>0</v>
      </c>
      <c r="AT21">
        <f t="shared" si="6"/>
        <v>6.4755838641188959</v>
      </c>
      <c r="AU21">
        <f t="shared" si="6"/>
        <v>4.1401273885350314</v>
      </c>
      <c r="AV21">
        <f t="shared" si="6"/>
        <v>18.895966029723997</v>
      </c>
      <c r="AW21">
        <f t="shared" si="6"/>
        <v>70.382165605095551</v>
      </c>
      <c r="AX21">
        <f t="shared" si="6"/>
        <v>82.802547770700642</v>
      </c>
      <c r="AY21">
        <f t="shared" si="7"/>
        <v>0</v>
      </c>
      <c r="AZ21">
        <f t="shared" si="7"/>
        <v>-1.5392781316348199</v>
      </c>
      <c r="BA21">
        <f t="shared" si="7"/>
        <v>9.2781316348195322</v>
      </c>
      <c r="BB21">
        <f t="shared" si="7"/>
        <v>15.010615711252653</v>
      </c>
      <c r="BC21">
        <f t="shared" si="7"/>
        <v>2.9087048832271751</v>
      </c>
      <c r="BD21">
        <f t="shared" si="7"/>
        <v>0.30785562632696362</v>
      </c>
    </row>
    <row r="22" spans="1:56" x14ac:dyDescent="0.2">
      <c r="A22" t="s">
        <v>794</v>
      </c>
      <c r="B22">
        <v>4</v>
      </c>
      <c r="C22">
        <v>3.7599999999999999E-3</v>
      </c>
      <c r="D22">
        <v>6.4099999999999999E-3</v>
      </c>
      <c r="E22">
        <v>8.4200000000000004E-3</v>
      </c>
      <c r="F22">
        <v>6.2300000000000003E-3</v>
      </c>
      <c r="G22">
        <v>7.3899999999999999E-3</v>
      </c>
      <c r="H22">
        <v>6.79E-3</v>
      </c>
      <c r="I22">
        <v>1.21E-2</v>
      </c>
      <c r="J22">
        <v>3.6400000000000002E-2</v>
      </c>
      <c r="K22">
        <v>5.2200000000000003E-2</v>
      </c>
      <c r="L22">
        <v>3.3700000000000001E-2</v>
      </c>
      <c r="M22">
        <v>4.7199999999999999E-2</v>
      </c>
      <c r="N22">
        <v>7.3800000000000004E-2</v>
      </c>
      <c r="O22">
        <v>1.34E-2</v>
      </c>
      <c r="P22">
        <v>1.43E-2</v>
      </c>
      <c r="Q22">
        <v>5.4199999999999998E-2</v>
      </c>
      <c r="R22">
        <v>1.43E-2</v>
      </c>
      <c r="S22">
        <v>4.5399999999999998E-3</v>
      </c>
      <c r="T22" s="10">
        <v>6.4699999999999994E-2</v>
      </c>
      <c r="U22">
        <f t="shared" si="4"/>
        <v>5.0948509485094853</v>
      </c>
      <c r="V22">
        <f t="shared" si="4"/>
        <v>8.6856368563685624</v>
      </c>
      <c r="W22">
        <f t="shared" si="4"/>
        <v>11.409214092140921</v>
      </c>
      <c r="X22">
        <f t="shared" si="4"/>
        <v>8.4417344173441737</v>
      </c>
      <c r="Y22">
        <f t="shared" si="4"/>
        <v>10.013550135501355</v>
      </c>
      <c r="Z22">
        <f t="shared" si="4"/>
        <v>9.2005420054200542</v>
      </c>
      <c r="AA22">
        <f t="shared" si="4"/>
        <v>16.395663956639563</v>
      </c>
      <c r="AB22">
        <f t="shared" si="4"/>
        <v>49.322493224932252</v>
      </c>
      <c r="AC22">
        <f t="shared" si="4"/>
        <v>70.731707317073173</v>
      </c>
      <c r="AD22">
        <f t="shared" si="4"/>
        <v>45.663956639566393</v>
      </c>
      <c r="AE22">
        <f t="shared" si="4"/>
        <v>63.956639566395658</v>
      </c>
      <c r="AF22">
        <f t="shared" si="4"/>
        <v>100</v>
      </c>
      <c r="AG22">
        <f t="shared" si="4"/>
        <v>18.157181571815716</v>
      </c>
      <c r="AH22">
        <f t="shared" si="4"/>
        <v>19.37669376693767</v>
      </c>
      <c r="AI22">
        <f t="shared" si="4"/>
        <v>73.441734417344165</v>
      </c>
      <c r="AJ22">
        <f t="shared" si="4"/>
        <v>19.37669376693767</v>
      </c>
      <c r="AK22">
        <f t="shared" si="8"/>
        <v>6.1517615176151761</v>
      </c>
      <c r="AL22" s="10">
        <f t="shared" si="8"/>
        <v>87.669376693766921</v>
      </c>
      <c r="AM22">
        <f t="shared" si="5"/>
        <v>0</v>
      </c>
      <c r="AN22">
        <f t="shared" si="5"/>
        <v>3.5907859078590771</v>
      </c>
      <c r="AO22">
        <f t="shared" si="5"/>
        <v>6.3143631436314358</v>
      </c>
      <c r="AP22">
        <f t="shared" si="5"/>
        <v>3.3468834688346885</v>
      </c>
      <c r="AQ22">
        <f t="shared" si="5"/>
        <v>4.9186991869918693</v>
      </c>
      <c r="AR22">
        <f t="shared" si="5"/>
        <v>4.1056910569105689</v>
      </c>
      <c r="AS22">
        <f t="shared" si="6"/>
        <v>0</v>
      </c>
      <c r="AT22">
        <f t="shared" si="6"/>
        <v>32.926829268292693</v>
      </c>
      <c r="AU22">
        <f t="shared" si="6"/>
        <v>54.336043360433607</v>
      </c>
      <c r="AV22">
        <f t="shared" si="6"/>
        <v>29.26829268292683</v>
      </c>
      <c r="AW22">
        <f t="shared" si="6"/>
        <v>47.560975609756099</v>
      </c>
      <c r="AX22">
        <f t="shared" si="6"/>
        <v>83.604336043360433</v>
      </c>
      <c r="AY22">
        <f t="shared" si="7"/>
        <v>0</v>
      </c>
      <c r="AZ22">
        <f t="shared" si="7"/>
        <v>1.2195121951219541</v>
      </c>
      <c r="BA22">
        <f t="shared" si="7"/>
        <v>55.284552845528452</v>
      </c>
      <c r="BB22">
        <f t="shared" si="7"/>
        <v>1.2195121951219541</v>
      </c>
      <c r="BC22">
        <f t="shared" si="7"/>
        <v>-12.00542005420054</v>
      </c>
      <c r="BD22">
        <f t="shared" si="7"/>
        <v>69.512195121951208</v>
      </c>
    </row>
    <row r="23" spans="1:56" x14ac:dyDescent="0.2">
      <c r="A23" t="s">
        <v>764</v>
      </c>
      <c r="B23">
        <v>5</v>
      </c>
      <c r="C23">
        <v>0.11600000000000001</v>
      </c>
      <c r="D23">
        <v>8.6800000000000002E-2</v>
      </c>
      <c r="E23">
        <v>7.8200000000000006E-2</v>
      </c>
      <c r="F23">
        <v>0.113</v>
      </c>
      <c r="G23">
        <v>0.106</v>
      </c>
      <c r="H23">
        <v>6.4500000000000002E-2</v>
      </c>
      <c r="I23">
        <v>3.8199999999999998E-2</v>
      </c>
      <c r="J23">
        <v>9.0999999999999998E-2</v>
      </c>
      <c r="K23">
        <v>0.154</v>
      </c>
      <c r="L23">
        <v>0.16500000000000001</v>
      </c>
      <c r="M23">
        <v>0.13400000000000001</v>
      </c>
      <c r="N23">
        <v>0.185</v>
      </c>
      <c r="O23">
        <v>5.1200000000000002E-2</v>
      </c>
      <c r="P23">
        <v>7.0999999999999994E-2</v>
      </c>
      <c r="Q23">
        <v>9.4500000000000001E-2</v>
      </c>
      <c r="R23">
        <v>0.129</v>
      </c>
      <c r="S23">
        <v>0.127</v>
      </c>
      <c r="T23" s="10">
        <v>0.23100000000000001</v>
      </c>
      <c r="U23">
        <f t="shared" si="4"/>
        <v>50.216450216450212</v>
      </c>
      <c r="V23">
        <f t="shared" si="4"/>
        <v>37.575757575757571</v>
      </c>
      <c r="W23">
        <f t="shared" si="4"/>
        <v>33.852813852813853</v>
      </c>
      <c r="X23">
        <f t="shared" si="4"/>
        <v>48.917748917748916</v>
      </c>
      <c r="Y23">
        <f t="shared" si="4"/>
        <v>45.887445887445885</v>
      </c>
      <c r="Z23">
        <f t="shared" si="4"/>
        <v>27.922077922077921</v>
      </c>
      <c r="AA23">
        <f t="shared" si="4"/>
        <v>16.536796536796537</v>
      </c>
      <c r="AB23">
        <f t="shared" si="4"/>
        <v>39.393939393939391</v>
      </c>
      <c r="AC23">
        <f t="shared" si="4"/>
        <v>66.666666666666657</v>
      </c>
      <c r="AD23">
        <f t="shared" si="4"/>
        <v>71.428571428571431</v>
      </c>
      <c r="AE23">
        <f t="shared" si="4"/>
        <v>58.00865800865801</v>
      </c>
      <c r="AF23">
        <f t="shared" si="4"/>
        <v>80.086580086580085</v>
      </c>
      <c r="AG23">
        <f t="shared" si="4"/>
        <v>22.164502164502164</v>
      </c>
      <c r="AH23">
        <f t="shared" si="4"/>
        <v>30.735930735930733</v>
      </c>
      <c r="AI23">
        <f t="shared" si="4"/>
        <v>40.909090909090907</v>
      </c>
      <c r="AJ23">
        <f t="shared" si="4"/>
        <v>55.844155844155843</v>
      </c>
      <c r="AK23">
        <f t="shared" si="8"/>
        <v>54.978354978354979</v>
      </c>
      <c r="AL23" s="10">
        <f t="shared" si="8"/>
        <v>100</v>
      </c>
      <c r="AM23">
        <f t="shared" si="5"/>
        <v>0</v>
      </c>
      <c r="AN23">
        <f t="shared" si="5"/>
        <v>-12.640692640692642</v>
      </c>
      <c r="AO23">
        <f t="shared" si="5"/>
        <v>-16.36363636363636</v>
      </c>
      <c r="AP23">
        <f t="shared" si="5"/>
        <v>-1.298701298701296</v>
      </c>
      <c r="AQ23">
        <f t="shared" si="5"/>
        <v>-4.3290043290043272</v>
      </c>
      <c r="AR23">
        <f t="shared" si="5"/>
        <v>-22.294372294372291</v>
      </c>
      <c r="AS23">
        <f t="shared" si="6"/>
        <v>0</v>
      </c>
      <c r="AT23">
        <f t="shared" si="6"/>
        <v>22.857142857142854</v>
      </c>
      <c r="AU23">
        <f t="shared" si="6"/>
        <v>50.12987012987012</v>
      </c>
      <c r="AV23">
        <f t="shared" si="6"/>
        <v>54.891774891774894</v>
      </c>
      <c r="AW23">
        <f t="shared" si="6"/>
        <v>41.471861471861473</v>
      </c>
      <c r="AX23">
        <f t="shared" si="6"/>
        <v>63.549783549783548</v>
      </c>
      <c r="AY23">
        <f t="shared" si="7"/>
        <v>0</v>
      </c>
      <c r="AZ23">
        <f t="shared" si="7"/>
        <v>8.5714285714285694</v>
      </c>
      <c r="BA23">
        <f t="shared" si="7"/>
        <v>18.744588744588743</v>
      </c>
      <c r="BB23">
        <f t="shared" si="7"/>
        <v>33.679653679653683</v>
      </c>
      <c r="BC23">
        <f t="shared" si="7"/>
        <v>32.813852813852819</v>
      </c>
      <c r="BD23">
        <f t="shared" si="7"/>
        <v>77.835497835497833</v>
      </c>
    </row>
    <row r="24" spans="1:56" x14ac:dyDescent="0.2">
      <c r="A24" t="s">
        <v>795</v>
      </c>
      <c r="B24">
        <v>3</v>
      </c>
      <c r="C24">
        <v>1.75</v>
      </c>
      <c r="D24">
        <v>1.99</v>
      </c>
      <c r="E24">
        <v>1.74</v>
      </c>
      <c r="F24">
        <v>1.73</v>
      </c>
      <c r="G24">
        <v>2.09</v>
      </c>
      <c r="H24">
        <v>1</v>
      </c>
      <c r="I24">
        <v>1.2</v>
      </c>
      <c r="J24">
        <v>2.2000000000000002</v>
      </c>
      <c r="K24">
        <v>1.85</v>
      </c>
      <c r="L24">
        <v>3.68</v>
      </c>
      <c r="M24">
        <v>4.01</v>
      </c>
      <c r="N24">
        <v>2.39</v>
      </c>
      <c r="O24">
        <v>2.78</v>
      </c>
      <c r="P24">
        <v>2.91</v>
      </c>
      <c r="Q24">
        <v>3.5</v>
      </c>
      <c r="R24">
        <v>4.32</v>
      </c>
      <c r="S24">
        <v>3.51</v>
      </c>
      <c r="T24" s="10">
        <v>3.52</v>
      </c>
      <c r="U24">
        <f t="shared" si="4"/>
        <v>40.509259259259252</v>
      </c>
      <c r="V24">
        <f t="shared" si="4"/>
        <v>46.064814814814817</v>
      </c>
      <c r="W24">
        <f t="shared" si="4"/>
        <v>40.277777777777771</v>
      </c>
      <c r="X24">
        <f t="shared" si="4"/>
        <v>40.046296296296291</v>
      </c>
      <c r="Y24">
        <f t="shared" si="4"/>
        <v>48.379629629629619</v>
      </c>
      <c r="Z24">
        <f t="shared" si="4"/>
        <v>23.148148148148145</v>
      </c>
      <c r="AA24">
        <f t="shared" si="4"/>
        <v>27.777777777777775</v>
      </c>
      <c r="AB24">
        <f t="shared" si="4"/>
        <v>50.925925925925931</v>
      </c>
      <c r="AC24">
        <f t="shared" si="4"/>
        <v>42.824074074074076</v>
      </c>
      <c r="AD24">
        <f t="shared" si="4"/>
        <v>85.18518518518519</v>
      </c>
      <c r="AE24">
        <f t="shared" si="4"/>
        <v>92.824074074074062</v>
      </c>
      <c r="AF24">
        <f t="shared" si="4"/>
        <v>55.324074074074069</v>
      </c>
      <c r="AG24">
        <f t="shared" si="4"/>
        <v>64.351851851851833</v>
      </c>
      <c r="AH24">
        <f t="shared" si="4"/>
        <v>67.3611111111111</v>
      </c>
      <c r="AI24">
        <f t="shared" si="4"/>
        <v>81.018518518518505</v>
      </c>
      <c r="AJ24">
        <f t="shared" si="4"/>
        <v>100</v>
      </c>
      <c r="AK24">
        <f t="shared" si="8"/>
        <v>81.249999999999986</v>
      </c>
      <c r="AL24" s="10">
        <f t="shared" si="8"/>
        <v>81.481481481481481</v>
      </c>
      <c r="AM24">
        <f t="shared" si="5"/>
        <v>0</v>
      </c>
      <c r="AN24">
        <f t="shared" si="5"/>
        <v>5.5555555555555642</v>
      </c>
      <c r="AO24">
        <f t="shared" si="5"/>
        <v>-0.23148148148148096</v>
      </c>
      <c r="AP24">
        <f t="shared" si="5"/>
        <v>-0.46296296296296191</v>
      </c>
      <c r="AQ24">
        <f t="shared" si="5"/>
        <v>7.8703703703703667</v>
      </c>
      <c r="AR24">
        <f t="shared" si="5"/>
        <v>-17.361111111111107</v>
      </c>
      <c r="AS24">
        <f t="shared" si="6"/>
        <v>0</v>
      </c>
      <c r="AT24">
        <f t="shared" si="6"/>
        <v>23.148148148148156</v>
      </c>
      <c r="AU24">
        <f t="shared" si="6"/>
        <v>15.046296296296301</v>
      </c>
      <c r="AV24">
        <f t="shared" si="6"/>
        <v>57.407407407407419</v>
      </c>
      <c r="AW24">
        <f t="shared" si="6"/>
        <v>65.046296296296291</v>
      </c>
      <c r="AX24">
        <f t="shared" si="6"/>
        <v>27.546296296296294</v>
      </c>
      <c r="AY24">
        <f t="shared" si="7"/>
        <v>0</v>
      </c>
      <c r="AZ24">
        <f t="shared" si="7"/>
        <v>3.0092592592592666</v>
      </c>
      <c r="BA24">
        <f t="shared" si="7"/>
        <v>16.666666666666671</v>
      </c>
      <c r="BB24">
        <f t="shared" si="7"/>
        <v>35.648148148148167</v>
      </c>
      <c r="BC24">
        <f t="shared" si="7"/>
        <v>16.898148148148152</v>
      </c>
      <c r="BD24">
        <f t="shared" si="7"/>
        <v>17.129629629629648</v>
      </c>
    </row>
    <row r="25" spans="1:56" x14ac:dyDescent="0.2">
      <c r="A25" t="s">
        <v>795</v>
      </c>
      <c r="B25">
        <v>4</v>
      </c>
      <c r="C25">
        <v>0.315</v>
      </c>
      <c r="D25">
        <v>0.313</v>
      </c>
      <c r="E25">
        <v>0.49399999999999999</v>
      </c>
      <c r="F25">
        <v>0.51900000000000002</v>
      </c>
      <c r="G25">
        <v>0.248</v>
      </c>
      <c r="H25">
        <v>0.153</v>
      </c>
      <c r="I25">
        <v>0.36199999999999999</v>
      </c>
      <c r="J25">
        <v>0.68700000000000006</v>
      </c>
      <c r="K25">
        <v>1.04</v>
      </c>
      <c r="L25">
        <v>1.08</v>
      </c>
      <c r="M25">
        <v>1.3</v>
      </c>
      <c r="N25">
        <v>1.82</v>
      </c>
      <c r="O25">
        <v>0.14199999999999999</v>
      </c>
      <c r="P25">
        <v>0.23</v>
      </c>
      <c r="Q25">
        <v>0.34399999999999997</v>
      </c>
      <c r="R25">
        <v>0.28999999999999998</v>
      </c>
      <c r="S25">
        <v>0.31900000000000001</v>
      </c>
      <c r="T25" s="10">
        <v>0.54100000000000004</v>
      </c>
      <c r="U25">
        <f t="shared" si="4"/>
        <v>17.307692307692307</v>
      </c>
      <c r="V25">
        <f t="shared" si="4"/>
        <v>17.197802197802197</v>
      </c>
      <c r="W25">
        <f t="shared" si="4"/>
        <v>27.142857142857142</v>
      </c>
      <c r="X25">
        <f t="shared" si="4"/>
        <v>28.516483516483515</v>
      </c>
      <c r="Y25">
        <f t="shared" si="4"/>
        <v>13.626373626373626</v>
      </c>
      <c r="Z25">
        <f t="shared" si="4"/>
        <v>8.4065934065934051</v>
      </c>
      <c r="AA25">
        <f t="shared" si="4"/>
        <v>19.890109890109891</v>
      </c>
      <c r="AB25">
        <f t="shared" si="4"/>
        <v>37.747252747252745</v>
      </c>
      <c r="AC25">
        <f t="shared" si="4"/>
        <v>57.142857142857139</v>
      </c>
      <c r="AD25">
        <f t="shared" si="4"/>
        <v>59.340659340659343</v>
      </c>
      <c r="AE25">
        <f t="shared" si="4"/>
        <v>71.428571428571431</v>
      </c>
      <c r="AF25">
        <f t="shared" si="4"/>
        <v>100</v>
      </c>
      <c r="AG25">
        <f t="shared" si="4"/>
        <v>7.8021978021978011</v>
      </c>
      <c r="AH25">
        <f t="shared" si="4"/>
        <v>12.637362637362637</v>
      </c>
      <c r="AI25">
        <f t="shared" si="4"/>
        <v>18.901098901098898</v>
      </c>
      <c r="AJ25">
        <f t="shared" si="4"/>
        <v>15.934065934065933</v>
      </c>
      <c r="AK25">
        <f t="shared" si="8"/>
        <v>17.527472527472526</v>
      </c>
      <c r="AL25" s="10">
        <f t="shared" si="8"/>
        <v>29.725274725274726</v>
      </c>
      <c r="AM25">
        <f t="shared" si="5"/>
        <v>0</v>
      </c>
      <c r="AN25">
        <f t="shared" si="5"/>
        <v>-0.1098901098901095</v>
      </c>
      <c r="AO25">
        <f t="shared" si="5"/>
        <v>9.8351648351648358</v>
      </c>
      <c r="AP25">
        <f t="shared" si="5"/>
        <v>11.208791208791208</v>
      </c>
      <c r="AQ25">
        <f t="shared" si="5"/>
        <v>-3.6813186813186807</v>
      </c>
      <c r="AR25">
        <f t="shared" si="5"/>
        <v>-8.9010989010989015</v>
      </c>
      <c r="AS25">
        <f t="shared" si="6"/>
        <v>0</v>
      </c>
      <c r="AT25">
        <f t="shared" si="6"/>
        <v>17.857142857142854</v>
      </c>
      <c r="AU25">
        <f t="shared" si="6"/>
        <v>37.252747252747248</v>
      </c>
      <c r="AV25">
        <f t="shared" si="6"/>
        <v>39.450549450549453</v>
      </c>
      <c r="AW25">
        <f t="shared" si="6"/>
        <v>51.53846153846154</v>
      </c>
      <c r="AX25">
        <f t="shared" si="6"/>
        <v>80.109890109890102</v>
      </c>
      <c r="AY25">
        <f t="shared" si="7"/>
        <v>0</v>
      </c>
      <c r="AZ25">
        <f t="shared" si="7"/>
        <v>4.8351648351648358</v>
      </c>
      <c r="BA25">
        <f t="shared" si="7"/>
        <v>11.098901098901097</v>
      </c>
      <c r="BB25">
        <f t="shared" si="7"/>
        <v>8.1318681318681314</v>
      </c>
      <c r="BC25">
        <f t="shared" si="7"/>
        <v>9.7252747252747245</v>
      </c>
      <c r="BD25">
        <f t="shared" si="7"/>
        <v>21.923076923076927</v>
      </c>
    </row>
    <row r="26" spans="1:56" x14ac:dyDescent="0.2">
      <c r="A26" t="s">
        <v>795</v>
      </c>
      <c r="B26">
        <v>5</v>
      </c>
      <c r="C26">
        <v>1.81</v>
      </c>
      <c r="D26">
        <v>2.06</v>
      </c>
      <c r="E26">
        <v>2.2400000000000002</v>
      </c>
      <c r="F26">
        <v>2.04</v>
      </c>
      <c r="G26">
        <v>2.5099999999999998</v>
      </c>
      <c r="H26">
        <v>1.02</v>
      </c>
      <c r="I26">
        <v>1.63</v>
      </c>
      <c r="J26">
        <v>3.77</v>
      </c>
      <c r="K26">
        <v>4.6900000000000004</v>
      </c>
      <c r="L26">
        <v>3.96</v>
      </c>
      <c r="M26">
        <v>3.93</v>
      </c>
      <c r="N26">
        <v>4.5</v>
      </c>
      <c r="O26">
        <v>0.78</v>
      </c>
      <c r="P26">
        <v>0.99</v>
      </c>
      <c r="Q26">
        <v>1.26</v>
      </c>
      <c r="R26">
        <v>1.67</v>
      </c>
      <c r="S26">
        <v>0.91900000000000004</v>
      </c>
      <c r="T26" s="10">
        <v>1.2</v>
      </c>
      <c r="U26">
        <f t="shared" si="4"/>
        <v>38.592750533049035</v>
      </c>
      <c r="V26">
        <f t="shared" si="4"/>
        <v>43.923240938166309</v>
      </c>
      <c r="W26">
        <f t="shared" si="4"/>
        <v>47.761194029850742</v>
      </c>
      <c r="X26">
        <f t="shared" si="4"/>
        <v>43.49680170575693</v>
      </c>
      <c r="Y26">
        <f t="shared" si="4"/>
        <v>53.518123667377395</v>
      </c>
      <c r="Z26">
        <f t="shared" si="4"/>
        <v>21.748400852878465</v>
      </c>
      <c r="AA26">
        <f t="shared" si="4"/>
        <v>34.754797441364602</v>
      </c>
      <c r="AB26">
        <f t="shared" si="4"/>
        <v>80.383795309168434</v>
      </c>
      <c r="AC26">
        <f t="shared" si="4"/>
        <v>100</v>
      </c>
      <c r="AD26">
        <f t="shared" si="4"/>
        <v>84.434968017057571</v>
      </c>
      <c r="AE26">
        <f t="shared" si="4"/>
        <v>83.795309168443481</v>
      </c>
      <c r="AF26">
        <f t="shared" si="4"/>
        <v>95.948827292110863</v>
      </c>
      <c r="AG26">
        <f t="shared" si="4"/>
        <v>16.631130063965884</v>
      </c>
      <c r="AH26">
        <f t="shared" si="4"/>
        <v>21.108742004264393</v>
      </c>
      <c r="AI26">
        <f t="shared" si="4"/>
        <v>26.865671641791046</v>
      </c>
      <c r="AJ26">
        <f t="shared" si="4"/>
        <v>35.607675906183367</v>
      </c>
      <c r="AK26">
        <f t="shared" si="8"/>
        <v>19.594882729211086</v>
      </c>
      <c r="AL26" s="10">
        <f t="shared" si="8"/>
        <v>25.586353944562894</v>
      </c>
      <c r="AM26">
        <f t="shared" si="5"/>
        <v>0</v>
      </c>
      <c r="AN26">
        <f t="shared" si="5"/>
        <v>5.3304904051172741</v>
      </c>
      <c r="AO26">
        <f t="shared" si="5"/>
        <v>9.1684434968017072</v>
      </c>
      <c r="AP26">
        <f t="shared" si="5"/>
        <v>4.904051172707895</v>
      </c>
      <c r="AQ26">
        <f t="shared" si="5"/>
        <v>14.92537313432836</v>
      </c>
      <c r="AR26">
        <f t="shared" si="5"/>
        <v>-16.84434968017057</v>
      </c>
      <c r="AS26">
        <f t="shared" si="6"/>
        <v>0</v>
      </c>
      <c r="AT26">
        <f t="shared" si="6"/>
        <v>45.628997867803832</v>
      </c>
      <c r="AU26">
        <f t="shared" si="6"/>
        <v>65.245202558635398</v>
      </c>
      <c r="AV26">
        <f t="shared" si="6"/>
        <v>49.680170575692969</v>
      </c>
      <c r="AW26">
        <f t="shared" si="6"/>
        <v>49.040511727078879</v>
      </c>
      <c r="AX26">
        <f t="shared" si="6"/>
        <v>61.194029850746261</v>
      </c>
      <c r="AY26">
        <f t="shared" si="7"/>
        <v>0</v>
      </c>
      <c r="AZ26">
        <f t="shared" si="7"/>
        <v>4.4776119402985088</v>
      </c>
      <c r="BA26">
        <f t="shared" si="7"/>
        <v>10.234541577825162</v>
      </c>
      <c r="BB26">
        <f t="shared" si="7"/>
        <v>18.976545842217483</v>
      </c>
      <c r="BC26">
        <f t="shared" si="7"/>
        <v>2.9637526652452024</v>
      </c>
      <c r="BD26">
        <f t="shared" si="7"/>
        <v>8.9552238805970106</v>
      </c>
    </row>
    <row r="27" spans="1:56" x14ac:dyDescent="0.2">
      <c r="A27" t="s">
        <v>785</v>
      </c>
      <c r="B27">
        <v>2</v>
      </c>
      <c r="C27">
        <v>1.69</v>
      </c>
      <c r="D27">
        <v>0.97</v>
      </c>
      <c r="E27">
        <v>1.37</v>
      </c>
      <c r="F27">
        <v>4.0999999999999996</v>
      </c>
      <c r="G27">
        <v>5.58</v>
      </c>
      <c r="H27">
        <v>4.22</v>
      </c>
      <c r="I27">
        <v>0.92600000000000005</v>
      </c>
      <c r="J27">
        <v>0.52600000000000002</v>
      </c>
      <c r="K27">
        <v>0.88800000000000001</v>
      </c>
      <c r="L27">
        <v>1.66</v>
      </c>
      <c r="M27">
        <v>3.61</v>
      </c>
      <c r="N27">
        <v>1.1399999999999999</v>
      </c>
      <c r="O27">
        <v>0.56499999999999995</v>
      </c>
      <c r="P27">
        <v>0.67900000000000005</v>
      </c>
      <c r="Q27">
        <v>1.39</v>
      </c>
      <c r="R27">
        <v>1.02</v>
      </c>
      <c r="S27">
        <v>0.50600000000000001</v>
      </c>
      <c r="T27" s="10">
        <v>0.875</v>
      </c>
      <c r="U27">
        <f t="shared" ref="U27:AL27" si="9">C27/(MAX($C27:$T27))*100</f>
        <v>30.286738351254478</v>
      </c>
      <c r="V27">
        <f t="shared" si="9"/>
        <v>17.383512544802869</v>
      </c>
      <c r="W27">
        <f t="shared" si="9"/>
        <v>24.551971326164875</v>
      </c>
      <c r="X27">
        <f t="shared" si="9"/>
        <v>73.476702508960571</v>
      </c>
      <c r="Y27">
        <f t="shared" si="9"/>
        <v>100</v>
      </c>
      <c r="Z27">
        <f t="shared" si="9"/>
        <v>75.627240143369164</v>
      </c>
      <c r="AA27">
        <f t="shared" si="9"/>
        <v>16.594982078853047</v>
      </c>
      <c r="AB27">
        <f t="shared" si="9"/>
        <v>9.4265232974910393</v>
      </c>
      <c r="AC27">
        <f t="shared" si="9"/>
        <v>15.913978494623656</v>
      </c>
      <c r="AD27">
        <f t="shared" si="9"/>
        <v>29.749103942652326</v>
      </c>
      <c r="AE27">
        <f t="shared" si="9"/>
        <v>64.695340501792103</v>
      </c>
      <c r="AF27">
        <f t="shared" si="9"/>
        <v>20.43010752688172</v>
      </c>
      <c r="AG27">
        <f t="shared" si="9"/>
        <v>10.125448028673834</v>
      </c>
      <c r="AH27">
        <f t="shared" si="9"/>
        <v>12.168458781362009</v>
      </c>
      <c r="AI27">
        <f t="shared" si="9"/>
        <v>24.910394265232974</v>
      </c>
      <c r="AJ27">
        <f t="shared" si="9"/>
        <v>18.27956989247312</v>
      </c>
      <c r="AK27">
        <f t="shared" si="9"/>
        <v>9.0681003584229405</v>
      </c>
      <c r="AL27" s="10">
        <f t="shared" si="9"/>
        <v>15.681003584229391</v>
      </c>
      <c r="AM27">
        <f t="shared" ref="AM27:AR27" si="10">U27-$U27</f>
        <v>0</v>
      </c>
      <c r="AN27">
        <f t="shared" si="10"/>
        <v>-12.903225806451609</v>
      </c>
      <c r="AO27">
        <f t="shared" si="10"/>
        <v>-5.734767025089603</v>
      </c>
      <c r="AP27">
        <f t="shared" si="10"/>
        <v>43.189964157706093</v>
      </c>
      <c r="AQ27">
        <f t="shared" si="10"/>
        <v>69.713261648745515</v>
      </c>
      <c r="AR27">
        <f t="shared" si="10"/>
        <v>45.340501792114686</v>
      </c>
      <c r="AS27">
        <f t="shared" ref="AS27:AX27" si="11">AA27-$AA27</f>
        <v>0</v>
      </c>
      <c r="AT27">
        <f t="shared" si="11"/>
        <v>-7.1684587813620073</v>
      </c>
      <c r="AU27">
        <f t="shared" si="11"/>
        <v>-0.68100358422939067</v>
      </c>
      <c r="AV27">
        <f t="shared" si="11"/>
        <v>13.154121863799279</v>
      </c>
      <c r="AW27">
        <f t="shared" si="11"/>
        <v>48.100358422939053</v>
      </c>
      <c r="AX27">
        <f t="shared" si="11"/>
        <v>3.8351254480286734</v>
      </c>
      <c r="AY27">
        <f t="shared" ref="AY27:BD27" si="12">AG27-$AG27</f>
        <v>0</v>
      </c>
      <c r="AZ27">
        <f t="shared" si="12"/>
        <v>2.0430107526881756</v>
      </c>
      <c r="BA27">
        <f t="shared" si="12"/>
        <v>14.78494623655914</v>
      </c>
      <c r="BB27">
        <f t="shared" si="12"/>
        <v>8.1541218637992863</v>
      </c>
      <c r="BC27">
        <f t="shared" si="12"/>
        <v>-1.057347670250893</v>
      </c>
      <c r="BD27">
        <f t="shared" si="12"/>
        <v>5.5555555555555571</v>
      </c>
    </row>
    <row r="28" spans="1:56" x14ac:dyDescent="0.2">
      <c r="A28" t="s">
        <v>796</v>
      </c>
      <c r="B28">
        <v>3</v>
      </c>
      <c r="C28">
        <v>9.6199999999999992</v>
      </c>
      <c r="D28">
        <v>12.8</v>
      </c>
      <c r="E28">
        <v>11.7</v>
      </c>
      <c r="F28">
        <v>16.399999999999999</v>
      </c>
      <c r="G28">
        <v>9.86</v>
      </c>
      <c r="H28">
        <v>5.25</v>
      </c>
      <c r="I28">
        <v>12.7</v>
      </c>
      <c r="J28">
        <v>16.600000000000001</v>
      </c>
      <c r="K28">
        <v>13.4</v>
      </c>
      <c r="L28">
        <v>21.3</v>
      </c>
      <c r="M28">
        <v>23.4</v>
      </c>
      <c r="N28">
        <v>9.57</v>
      </c>
      <c r="O28">
        <v>9.61</v>
      </c>
      <c r="P28">
        <v>12.3</v>
      </c>
      <c r="Q28">
        <v>10.9</v>
      </c>
      <c r="R28">
        <v>8.9600000000000009</v>
      </c>
      <c r="S28">
        <v>8.42</v>
      </c>
      <c r="T28" s="10">
        <v>6.84</v>
      </c>
      <c r="U28">
        <f t="shared" ref="U28:U30" si="13">C28/(MAX($C28:$T28))*100</f>
        <v>41.111111111111107</v>
      </c>
      <c r="V28">
        <f t="shared" ref="V28:AJ30" si="14">D28/(MAX($C28:$T28))*100</f>
        <v>54.700854700854705</v>
      </c>
      <c r="W28">
        <f t="shared" si="14"/>
        <v>50</v>
      </c>
      <c r="X28">
        <f t="shared" si="14"/>
        <v>70.085470085470078</v>
      </c>
      <c r="Y28">
        <f t="shared" si="14"/>
        <v>42.136752136752136</v>
      </c>
      <c r="Z28">
        <f t="shared" si="14"/>
        <v>22.435897435897438</v>
      </c>
      <c r="AA28">
        <f t="shared" si="14"/>
        <v>54.273504273504273</v>
      </c>
      <c r="AB28">
        <f t="shared" si="14"/>
        <v>70.940170940170958</v>
      </c>
      <c r="AC28">
        <f t="shared" si="14"/>
        <v>57.264957264957275</v>
      </c>
      <c r="AD28">
        <f t="shared" si="14"/>
        <v>91.025641025641036</v>
      </c>
      <c r="AE28">
        <f t="shared" si="14"/>
        <v>100</v>
      </c>
      <c r="AF28">
        <f t="shared" si="14"/>
        <v>40.897435897435905</v>
      </c>
      <c r="AG28">
        <f t="shared" si="14"/>
        <v>41.068376068376068</v>
      </c>
      <c r="AH28">
        <f t="shared" si="14"/>
        <v>52.564102564102569</v>
      </c>
      <c r="AI28">
        <f t="shared" si="14"/>
        <v>46.581196581196586</v>
      </c>
      <c r="AJ28">
        <f t="shared" si="14"/>
        <v>38.290598290598297</v>
      </c>
      <c r="AK28">
        <f t="shared" si="8"/>
        <v>35.982905982905983</v>
      </c>
      <c r="AL28" s="10">
        <f t="shared" si="8"/>
        <v>29.230769230769234</v>
      </c>
      <c r="AM28">
        <f t="shared" si="5"/>
        <v>0</v>
      </c>
      <c r="AN28">
        <f t="shared" si="5"/>
        <v>13.589743589743598</v>
      </c>
      <c r="AO28">
        <f t="shared" si="5"/>
        <v>8.8888888888888928</v>
      </c>
      <c r="AP28">
        <f t="shared" si="5"/>
        <v>28.974358974358971</v>
      </c>
      <c r="AQ28">
        <f t="shared" si="5"/>
        <v>1.0256410256410291</v>
      </c>
      <c r="AR28">
        <f t="shared" si="5"/>
        <v>-18.675213675213669</v>
      </c>
      <c r="AS28">
        <f t="shared" si="6"/>
        <v>0</v>
      </c>
      <c r="AT28">
        <f t="shared" si="6"/>
        <v>16.666666666666686</v>
      </c>
      <c r="AU28">
        <f t="shared" si="6"/>
        <v>2.9914529914530021</v>
      </c>
      <c r="AV28">
        <f t="shared" si="6"/>
        <v>36.752136752136764</v>
      </c>
      <c r="AW28">
        <f t="shared" si="6"/>
        <v>45.726495726495727</v>
      </c>
      <c r="AX28">
        <f t="shared" si="6"/>
        <v>-13.376068376068368</v>
      </c>
      <c r="AY28">
        <f t="shared" si="7"/>
        <v>0</v>
      </c>
      <c r="AZ28">
        <f t="shared" si="7"/>
        <v>11.495726495726501</v>
      </c>
      <c r="BA28">
        <f t="shared" si="7"/>
        <v>5.5128205128205181</v>
      </c>
      <c r="BB28">
        <f t="shared" si="7"/>
        <v>-2.7777777777777715</v>
      </c>
      <c r="BC28">
        <f t="shared" si="7"/>
        <v>-5.0854700854700852</v>
      </c>
      <c r="BD28">
        <f t="shared" si="7"/>
        <v>-11.837606837606835</v>
      </c>
    </row>
    <row r="29" spans="1:56" x14ac:dyDescent="0.2">
      <c r="A29" t="s">
        <v>796</v>
      </c>
      <c r="B29">
        <v>4</v>
      </c>
      <c r="C29">
        <v>1.94</v>
      </c>
      <c r="D29">
        <v>1.95</v>
      </c>
      <c r="E29">
        <v>1.96</v>
      </c>
      <c r="F29">
        <v>2.5499999999999998</v>
      </c>
      <c r="G29">
        <v>3.51</v>
      </c>
      <c r="H29">
        <v>4.42</v>
      </c>
      <c r="I29">
        <v>2.12</v>
      </c>
      <c r="J29">
        <v>3.52</v>
      </c>
      <c r="K29">
        <v>2.19</v>
      </c>
      <c r="L29">
        <v>5.23</v>
      </c>
      <c r="M29">
        <v>6.83</v>
      </c>
      <c r="N29">
        <v>5.0199999999999996</v>
      </c>
      <c r="O29">
        <v>2.4700000000000002</v>
      </c>
      <c r="P29">
        <v>1.5</v>
      </c>
      <c r="Q29">
        <v>1.85</v>
      </c>
      <c r="R29">
        <v>2.57</v>
      </c>
      <c r="S29">
        <v>2.17</v>
      </c>
      <c r="T29" s="10">
        <v>3</v>
      </c>
      <c r="U29">
        <f t="shared" si="13"/>
        <v>28.404099560761349</v>
      </c>
      <c r="V29">
        <f t="shared" si="14"/>
        <v>28.550512445095166</v>
      </c>
      <c r="W29">
        <f t="shared" si="14"/>
        <v>28.696925329428989</v>
      </c>
      <c r="X29">
        <f t="shared" si="14"/>
        <v>37.335285505124446</v>
      </c>
      <c r="Y29">
        <f t="shared" si="14"/>
        <v>51.390922401171302</v>
      </c>
      <c r="Z29">
        <f t="shared" si="14"/>
        <v>64.71449487554905</v>
      </c>
      <c r="AA29">
        <f t="shared" si="14"/>
        <v>31.039531478770133</v>
      </c>
      <c r="AB29">
        <f t="shared" si="14"/>
        <v>51.537335285505122</v>
      </c>
      <c r="AC29">
        <f t="shared" si="14"/>
        <v>32.064421669106878</v>
      </c>
      <c r="AD29">
        <f t="shared" si="14"/>
        <v>76.57393850658859</v>
      </c>
      <c r="AE29">
        <f t="shared" si="14"/>
        <v>100</v>
      </c>
      <c r="AF29">
        <f t="shared" si="14"/>
        <v>73.499267935578331</v>
      </c>
      <c r="AG29">
        <f t="shared" si="14"/>
        <v>36.163982430453885</v>
      </c>
      <c r="AH29">
        <f t="shared" si="14"/>
        <v>21.961932650073209</v>
      </c>
      <c r="AI29">
        <f t="shared" si="14"/>
        <v>27.086383601756957</v>
      </c>
      <c r="AJ29">
        <f t="shared" si="14"/>
        <v>37.628111273792094</v>
      </c>
      <c r="AK29">
        <f t="shared" si="8"/>
        <v>31.771595900439237</v>
      </c>
      <c r="AL29" s="10">
        <f t="shared" si="8"/>
        <v>43.923865300146417</v>
      </c>
      <c r="AM29">
        <f t="shared" si="5"/>
        <v>0</v>
      </c>
      <c r="AN29">
        <f t="shared" si="5"/>
        <v>0.14641288433381661</v>
      </c>
      <c r="AO29">
        <f t="shared" si="5"/>
        <v>0.29282576866764032</v>
      </c>
      <c r="AP29">
        <f t="shared" si="5"/>
        <v>8.9311859443630972</v>
      </c>
      <c r="AQ29">
        <f t="shared" si="5"/>
        <v>22.986822840409953</v>
      </c>
      <c r="AR29">
        <f t="shared" si="5"/>
        <v>36.310395314787698</v>
      </c>
      <c r="AS29">
        <f t="shared" si="6"/>
        <v>0</v>
      </c>
      <c r="AT29">
        <f t="shared" si="6"/>
        <v>20.497803806734989</v>
      </c>
      <c r="AU29">
        <f t="shared" si="6"/>
        <v>1.0248901903367447</v>
      </c>
      <c r="AV29">
        <f t="shared" si="6"/>
        <v>45.53440702781846</v>
      </c>
      <c r="AW29">
        <f t="shared" si="6"/>
        <v>68.96046852122987</v>
      </c>
      <c r="AX29">
        <f t="shared" si="6"/>
        <v>42.459736456808201</v>
      </c>
      <c r="AY29">
        <f t="shared" si="7"/>
        <v>0</v>
      </c>
      <c r="AZ29">
        <f t="shared" si="7"/>
        <v>-14.202049780380676</v>
      </c>
      <c r="BA29">
        <f t="shared" si="7"/>
        <v>-9.077598828696928</v>
      </c>
      <c r="BB29">
        <f t="shared" si="7"/>
        <v>1.4641288433382087</v>
      </c>
      <c r="BC29">
        <f t="shared" si="7"/>
        <v>-4.3923865300146474</v>
      </c>
      <c r="BD29">
        <f t="shared" si="7"/>
        <v>7.7598828696925324</v>
      </c>
    </row>
    <row r="30" spans="1:56" x14ac:dyDescent="0.2">
      <c r="A30" t="s">
        <v>796</v>
      </c>
      <c r="B30">
        <v>5</v>
      </c>
      <c r="C30">
        <v>0.67500000000000004</v>
      </c>
      <c r="D30">
        <v>0.56399999999999995</v>
      </c>
      <c r="E30">
        <v>0.89900000000000002</v>
      </c>
      <c r="F30">
        <v>0.93700000000000006</v>
      </c>
      <c r="G30">
        <v>0.36199999999999999</v>
      </c>
      <c r="H30">
        <v>0.311</v>
      </c>
      <c r="I30">
        <v>0.56499999999999995</v>
      </c>
      <c r="J30">
        <v>0.83599999999999997</v>
      </c>
      <c r="K30">
        <v>1.22</v>
      </c>
      <c r="L30">
        <v>1.52</v>
      </c>
      <c r="M30">
        <v>0.75800000000000001</v>
      </c>
      <c r="N30">
        <v>0.89800000000000002</v>
      </c>
      <c r="O30">
        <v>5.48</v>
      </c>
      <c r="P30">
        <v>6.75</v>
      </c>
      <c r="Q30">
        <v>8.4600000000000009</v>
      </c>
      <c r="R30">
        <v>7.48</v>
      </c>
      <c r="S30">
        <v>4.38</v>
      </c>
      <c r="T30" s="10">
        <v>4.47</v>
      </c>
      <c r="U30">
        <f t="shared" si="13"/>
        <v>7.9787234042553195</v>
      </c>
      <c r="V30">
        <f t="shared" si="14"/>
        <v>6.6666666666666652</v>
      </c>
      <c r="W30">
        <f t="shared" si="14"/>
        <v>10.626477541371157</v>
      </c>
      <c r="X30">
        <f t="shared" si="14"/>
        <v>11.07565011820331</v>
      </c>
      <c r="Y30">
        <f t="shared" si="14"/>
        <v>4.2789598108747038</v>
      </c>
      <c r="Z30">
        <f t="shared" si="14"/>
        <v>3.6761229314420802</v>
      </c>
      <c r="AA30">
        <f t="shared" si="14"/>
        <v>6.6784869976359325</v>
      </c>
      <c r="AB30">
        <f t="shared" si="14"/>
        <v>9.8817966903073273</v>
      </c>
      <c r="AC30">
        <f t="shared" si="14"/>
        <v>14.420803782505908</v>
      </c>
      <c r="AD30">
        <f t="shared" si="14"/>
        <v>17.966903073286051</v>
      </c>
      <c r="AE30">
        <f t="shared" si="14"/>
        <v>8.9598108747044911</v>
      </c>
      <c r="AF30">
        <f t="shared" si="14"/>
        <v>10.614657210401891</v>
      </c>
      <c r="AG30">
        <f t="shared" si="14"/>
        <v>64.775413711583923</v>
      </c>
      <c r="AH30">
        <f t="shared" si="14"/>
        <v>79.78723404255318</v>
      </c>
      <c r="AI30">
        <f t="shared" si="14"/>
        <v>100</v>
      </c>
      <c r="AJ30">
        <f t="shared" si="14"/>
        <v>88.416075650118202</v>
      </c>
      <c r="AK30">
        <f t="shared" si="8"/>
        <v>51.773049645390067</v>
      </c>
      <c r="AL30" s="10">
        <f t="shared" si="8"/>
        <v>52.836879432624109</v>
      </c>
      <c r="AM30">
        <f t="shared" si="5"/>
        <v>0</v>
      </c>
      <c r="AN30">
        <f t="shared" si="5"/>
        <v>-1.3120567375886543</v>
      </c>
      <c r="AO30">
        <f t="shared" si="5"/>
        <v>2.6477541371158377</v>
      </c>
      <c r="AP30">
        <f t="shared" si="5"/>
        <v>3.0969267139479904</v>
      </c>
      <c r="AQ30">
        <f t="shared" si="5"/>
        <v>-3.6997635933806157</v>
      </c>
      <c r="AR30">
        <f t="shared" si="5"/>
        <v>-4.3026004728132392</v>
      </c>
      <c r="AS30">
        <f t="shared" si="6"/>
        <v>0</v>
      </c>
      <c r="AT30">
        <f t="shared" si="6"/>
        <v>3.2033096926713949</v>
      </c>
      <c r="AU30">
        <f t="shared" si="6"/>
        <v>7.7423167848699759</v>
      </c>
      <c r="AV30">
        <f t="shared" si="6"/>
        <v>11.288416075650119</v>
      </c>
      <c r="AW30">
        <f t="shared" si="6"/>
        <v>2.2813238770685587</v>
      </c>
      <c r="AX30">
        <f t="shared" si="6"/>
        <v>3.9361702127659584</v>
      </c>
      <c r="AY30">
        <f t="shared" si="7"/>
        <v>0</v>
      </c>
      <c r="AZ30">
        <f t="shared" si="7"/>
        <v>15.011820330969257</v>
      </c>
      <c r="BA30">
        <f t="shared" si="7"/>
        <v>35.224586288416077</v>
      </c>
      <c r="BB30">
        <f t="shared" si="7"/>
        <v>23.640661938534279</v>
      </c>
      <c r="BC30">
        <f t="shared" si="7"/>
        <v>-13.002364066193856</v>
      </c>
      <c r="BD30">
        <f t="shared" si="7"/>
        <v>-11.938534278959814</v>
      </c>
    </row>
    <row r="31" spans="1:56" s="21" customFormat="1" x14ac:dyDescent="0.2"/>
    <row r="32" spans="1:56" s="21" customFormat="1" x14ac:dyDescent="0.2">
      <c r="A32" s="21" t="s">
        <v>801</v>
      </c>
    </row>
    <row r="33" spans="1:33" s="21" customFormat="1" x14ac:dyDescent="0.2">
      <c r="A33" s="162"/>
      <c r="B33" s="314" t="s">
        <v>745</v>
      </c>
      <c r="C33" s="315"/>
      <c r="D33" s="315"/>
      <c r="E33" s="316"/>
      <c r="F33" s="314" t="s">
        <v>768</v>
      </c>
      <c r="G33" s="315"/>
      <c r="H33" s="315"/>
      <c r="I33" s="316"/>
      <c r="J33" s="314" t="s">
        <v>770</v>
      </c>
      <c r="K33" s="315"/>
      <c r="L33" s="315"/>
      <c r="M33" s="316"/>
      <c r="N33" s="314" t="s">
        <v>785</v>
      </c>
      <c r="O33" s="315"/>
      <c r="P33" s="315"/>
      <c r="Q33" s="316"/>
      <c r="R33" s="314" t="s">
        <v>798</v>
      </c>
      <c r="S33" s="315"/>
      <c r="T33" s="315"/>
      <c r="U33" s="316"/>
      <c r="V33" s="314" t="s">
        <v>799</v>
      </c>
      <c r="W33" s="315"/>
      <c r="X33" s="315"/>
      <c r="Y33" s="316"/>
      <c r="Z33" s="314" t="s">
        <v>800</v>
      </c>
      <c r="AA33" s="315"/>
      <c r="AB33" s="315"/>
      <c r="AC33" s="316"/>
      <c r="AD33" s="314" t="s">
        <v>766</v>
      </c>
      <c r="AE33" s="315"/>
      <c r="AF33" s="315"/>
      <c r="AG33" s="316"/>
    </row>
    <row r="34" spans="1:33" s="21" customFormat="1" x14ac:dyDescent="0.2">
      <c r="A34" s="169">
        <v>0</v>
      </c>
      <c r="B34" s="164">
        <v>0</v>
      </c>
      <c r="C34" s="163">
        <v>0</v>
      </c>
      <c r="D34" s="163">
        <v>0</v>
      </c>
      <c r="E34" s="165">
        <v>0</v>
      </c>
      <c r="F34" s="164">
        <v>0</v>
      </c>
      <c r="G34" s="163">
        <v>0</v>
      </c>
      <c r="H34" s="163">
        <v>0</v>
      </c>
      <c r="I34" s="165">
        <v>0</v>
      </c>
      <c r="J34" s="164">
        <v>0</v>
      </c>
      <c r="K34" s="163">
        <v>0</v>
      </c>
      <c r="L34" s="163">
        <v>0</v>
      </c>
      <c r="M34" s="165"/>
      <c r="N34" s="164">
        <v>0</v>
      </c>
      <c r="O34" s="163">
        <v>0</v>
      </c>
      <c r="P34" s="163">
        <v>0</v>
      </c>
      <c r="Q34" s="165">
        <v>0</v>
      </c>
      <c r="R34" s="164">
        <v>0</v>
      </c>
      <c r="S34" s="163">
        <v>0</v>
      </c>
      <c r="T34" s="163">
        <v>0</v>
      </c>
      <c r="U34" s="165"/>
      <c r="V34" s="164">
        <v>0</v>
      </c>
      <c r="W34" s="163">
        <v>0</v>
      </c>
      <c r="X34" s="163">
        <v>0</v>
      </c>
      <c r="Y34" s="165"/>
      <c r="Z34" s="164">
        <v>0</v>
      </c>
      <c r="AA34" s="163">
        <v>0</v>
      </c>
      <c r="AB34" s="163">
        <v>0</v>
      </c>
      <c r="AC34" s="165"/>
      <c r="AD34" s="164">
        <v>0</v>
      </c>
      <c r="AE34" s="163">
        <v>0</v>
      </c>
      <c r="AF34" s="163">
        <v>0</v>
      </c>
      <c r="AG34" s="165"/>
    </row>
    <row r="35" spans="1:33" s="21" customFormat="1" x14ac:dyDescent="0.2">
      <c r="A35" s="170">
        <v>4</v>
      </c>
      <c r="B35" s="164">
        <v>100</v>
      </c>
      <c r="C35" s="163">
        <v>0.59405940999999995</v>
      </c>
      <c r="D35" s="163">
        <v>14.3473571</v>
      </c>
      <c r="E35" s="165">
        <v>31.867219899999998</v>
      </c>
      <c r="F35" s="164">
        <v>1.366279</v>
      </c>
      <c r="G35" s="163">
        <v>1.2987010000000001</v>
      </c>
      <c r="H35" s="163">
        <v>0.219858</v>
      </c>
      <c r="I35" s="165">
        <v>-2.4809999999999999E-2</v>
      </c>
      <c r="J35" s="164">
        <v>-1.1185799999999999</v>
      </c>
      <c r="K35" s="163">
        <v>-1.8352599999999999</v>
      </c>
      <c r="L35" s="163">
        <v>1.5769230000000001</v>
      </c>
      <c r="M35" s="165"/>
      <c r="N35" s="164">
        <v>-12.9032</v>
      </c>
      <c r="O35" s="163">
        <v>13.589740000000001</v>
      </c>
      <c r="P35" s="163">
        <v>0.14641299999999999</v>
      </c>
      <c r="Q35" s="165">
        <v>-1.31206</v>
      </c>
      <c r="R35" s="164">
        <v>5.5555560000000002</v>
      </c>
      <c r="S35" s="163">
        <v>-0.10989</v>
      </c>
      <c r="T35" s="163">
        <v>5.3304900000000002</v>
      </c>
      <c r="U35" s="165"/>
      <c r="V35" s="164">
        <v>1.2579E-2</v>
      </c>
      <c r="W35" s="163">
        <v>-1.7777799999999999</v>
      </c>
      <c r="X35" s="163">
        <v>-1.3059000000000001</v>
      </c>
      <c r="Y35" s="165"/>
      <c r="Z35" s="164">
        <v>-2.4416099999999998</v>
      </c>
      <c r="AA35" s="163">
        <v>3.590786</v>
      </c>
      <c r="AB35" s="163">
        <v>-12.640700000000001</v>
      </c>
      <c r="AC35" s="165"/>
      <c r="AD35" s="164">
        <v>0.29126200000000002</v>
      </c>
      <c r="AE35" s="163">
        <v>-13.9831</v>
      </c>
      <c r="AF35" s="163">
        <v>3.743017</v>
      </c>
      <c r="AG35" s="165"/>
    </row>
    <row r="36" spans="1:33" s="21" customFormat="1" x14ac:dyDescent="0.2">
      <c r="A36" s="170">
        <v>8</v>
      </c>
      <c r="B36" s="164">
        <v>16.841553000000001</v>
      </c>
      <c r="C36" s="163">
        <v>91.930693099999999</v>
      </c>
      <c r="D36" s="163">
        <v>100</v>
      </c>
      <c r="E36" s="165">
        <v>100</v>
      </c>
      <c r="F36" s="164">
        <v>1.7151160000000001</v>
      </c>
      <c r="G36" s="163">
        <v>17.09957</v>
      </c>
      <c r="H36" s="163">
        <v>4.553191</v>
      </c>
      <c r="I36" s="165">
        <v>15.83127</v>
      </c>
      <c r="J36" s="164">
        <v>9.8537549999999996</v>
      </c>
      <c r="K36" s="163">
        <v>6.5173410000000001</v>
      </c>
      <c r="L36" s="163">
        <v>0.519231</v>
      </c>
      <c r="M36" s="165"/>
      <c r="N36" s="164">
        <v>-5.7347700000000001</v>
      </c>
      <c r="O36" s="163">
        <v>8.8888890000000007</v>
      </c>
      <c r="P36" s="163">
        <v>0.29282599999999998</v>
      </c>
      <c r="Q36" s="165">
        <v>2.6477539999999999</v>
      </c>
      <c r="R36" s="164">
        <v>-0.23147999999999999</v>
      </c>
      <c r="S36" s="163">
        <v>9.8351649999999999</v>
      </c>
      <c r="T36" s="163">
        <v>9.1684429999999999</v>
      </c>
      <c r="U36" s="165"/>
      <c r="V36" s="164">
        <v>3.1447000000000003E-2</v>
      </c>
      <c r="W36" s="163">
        <v>1.196078</v>
      </c>
      <c r="X36" s="163">
        <v>-7.7640000000000001E-2</v>
      </c>
      <c r="Y36" s="165"/>
      <c r="Z36" s="164">
        <v>-0.84926000000000001</v>
      </c>
      <c r="AA36" s="163">
        <v>6.3143630000000002</v>
      </c>
      <c r="AB36" s="163">
        <v>-16.363600000000002</v>
      </c>
      <c r="AC36" s="165"/>
      <c r="AD36" s="164">
        <v>3.3980579999999998</v>
      </c>
      <c r="AE36" s="163">
        <v>-23.033899999999999</v>
      </c>
      <c r="AF36" s="163">
        <v>18.491620000000001</v>
      </c>
      <c r="AG36" s="165"/>
    </row>
    <row r="37" spans="1:33" s="21" customFormat="1" x14ac:dyDescent="0.2">
      <c r="A37" s="170">
        <v>24</v>
      </c>
      <c r="B37" s="164">
        <v>16.474291699999998</v>
      </c>
      <c r="C37" s="163">
        <v>67.178217799999999</v>
      </c>
      <c r="D37" s="163">
        <v>13.4843581</v>
      </c>
      <c r="E37" s="165">
        <v>0</v>
      </c>
      <c r="F37" s="164">
        <v>80.174419999999998</v>
      </c>
      <c r="G37" s="163">
        <v>92.813850000000002</v>
      </c>
      <c r="H37" s="163">
        <v>71.078010000000006</v>
      </c>
      <c r="I37" s="165">
        <v>73.424319999999994</v>
      </c>
      <c r="J37" s="164">
        <v>96.09881</v>
      </c>
      <c r="K37" s="163">
        <v>63.020229999999998</v>
      </c>
      <c r="L37" s="163">
        <v>87.923079999999999</v>
      </c>
      <c r="M37" s="165"/>
      <c r="N37" s="164">
        <v>43.189959999999999</v>
      </c>
      <c r="O37" s="163">
        <v>28.974360000000001</v>
      </c>
      <c r="P37" s="163">
        <v>8.9311860000000003</v>
      </c>
      <c r="Q37" s="165">
        <v>3.096927</v>
      </c>
      <c r="R37" s="164">
        <v>-0.46295999999999998</v>
      </c>
      <c r="S37" s="163">
        <v>11.20879</v>
      </c>
      <c r="T37" s="163">
        <v>4.9040509999999999</v>
      </c>
      <c r="U37" s="165"/>
      <c r="V37" s="164">
        <v>13.100630000000001</v>
      </c>
      <c r="W37" s="163">
        <v>28.320260000000001</v>
      </c>
      <c r="X37" s="163">
        <v>20.295030000000001</v>
      </c>
      <c r="Y37" s="165"/>
      <c r="Z37" s="164">
        <v>10.61571</v>
      </c>
      <c r="AA37" s="163">
        <v>3.3468830000000001</v>
      </c>
      <c r="AB37" s="163">
        <v>-1.2987</v>
      </c>
      <c r="AC37" s="165"/>
      <c r="AD37" s="164">
        <v>22.718450000000001</v>
      </c>
      <c r="AE37" s="163">
        <v>3.8135590000000001</v>
      </c>
      <c r="AF37" s="163">
        <v>28.100560000000002</v>
      </c>
      <c r="AG37" s="165"/>
    </row>
    <row r="38" spans="1:33" s="21" customFormat="1" x14ac:dyDescent="0.2">
      <c r="A38" s="170">
        <v>48</v>
      </c>
      <c r="B38" s="164">
        <v>0</v>
      </c>
      <c r="C38" s="163">
        <v>-7.3168316999999998</v>
      </c>
      <c r="D38" s="163">
        <v>6.2891046399999997</v>
      </c>
      <c r="E38" s="165">
        <v>0</v>
      </c>
      <c r="F38" s="164">
        <v>95</v>
      </c>
      <c r="G38" s="163">
        <v>82.857140000000001</v>
      </c>
      <c r="H38" s="163">
        <v>95.900710000000004</v>
      </c>
      <c r="I38" s="165">
        <v>94.764269999999996</v>
      </c>
      <c r="J38" s="164">
        <v>60.525689999999997</v>
      </c>
      <c r="K38" s="163">
        <v>52.615609999999997</v>
      </c>
      <c r="L38" s="163">
        <v>90.807689999999994</v>
      </c>
      <c r="M38" s="165"/>
      <c r="N38" s="164">
        <v>69.713260000000005</v>
      </c>
      <c r="O38" s="163">
        <v>1.025641</v>
      </c>
      <c r="P38" s="163">
        <v>22.986820000000002</v>
      </c>
      <c r="Q38" s="165">
        <v>-3.6997599999999999</v>
      </c>
      <c r="R38" s="164">
        <v>7.8703700000000003</v>
      </c>
      <c r="S38" s="163">
        <v>-3.6813199999999999</v>
      </c>
      <c r="T38" s="163">
        <v>14.925369999999999</v>
      </c>
      <c r="U38" s="165"/>
      <c r="V38" s="164">
        <v>34.106920000000002</v>
      </c>
      <c r="W38" s="163">
        <v>19.823530000000002</v>
      </c>
      <c r="X38" s="163">
        <v>35.978259999999999</v>
      </c>
      <c r="Y38" s="165"/>
      <c r="Z38" s="164">
        <v>18.68365</v>
      </c>
      <c r="AA38" s="163">
        <v>4.9186990000000002</v>
      </c>
      <c r="AB38" s="163">
        <v>-4.3289999999999997</v>
      </c>
      <c r="AC38" s="165"/>
      <c r="AD38" s="164">
        <v>16.8932</v>
      </c>
      <c r="AE38" s="163">
        <v>-9.5762699999999992</v>
      </c>
      <c r="AF38" s="163">
        <v>23.910609999999998</v>
      </c>
      <c r="AG38" s="165"/>
    </row>
    <row r="39" spans="1:33" s="21" customFormat="1" x14ac:dyDescent="0.2">
      <c r="A39" s="171">
        <v>72</v>
      </c>
      <c r="B39" s="166">
        <v>0</v>
      </c>
      <c r="C39" s="167">
        <v>-7.5148514999999998</v>
      </c>
      <c r="D39" s="167">
        <v>0</v>
      </c>
      <c r="E39" s="168">
        <v>0</v>
      </c>
      <c r="F39" s="166">
        <v>83.662790000000001</v>
      </c>
      <c r="G39" s="167">
        <v>72.034630000000007</v>
      </c>
      <c r="H39" s="167">
        <v>93.063829999999996</v>
      </c>
      <c r="I39" s="168">
        <v>67.468980000000002</v>
      </c>
      <c r="J39" s="166">
        <v>44.320160000000001</v>
      </c>
      <c r="K39" s="167">
        <v>29.92775</v>
      </c>
      <c r="L39" s="167">
        <v>78.692310000000006</v>
      </c>
      <c r="M39" s="168"/>
      <c r="N39" s="166">
        <v>45.340499999999999</v>
      </c>
      <c r="O39" s="167">
        <v>-18.6752</v>
      </c>
      <c r="P39" s="167">
        <v>36.310400000000001</v>
      </c>
      <c r="Q39" s="168">
        <v>-4.3026</v>
      </c>
      <c r="R39" s="166">
        <v>-17.3611</v>
      </c>
      <c r="S39" s="167">
        <v>-8.9010999999999996</v>
      </c>
      <c r="T39" s="167">
        <v>-16.8443</v>
      </c>
      <c r="U39" s="168"/>
      <c r="V39" s="166">
        <v>23.729559999999999</v>
      </c>
      <c r="W39" s="167">
        <v>3.8758170000000001</v>
      </c>
      <c r="X39" s="167">
        <v>19.363350000000001</v>
      </c>
      <c r="Y39" s="168"/>
      <c r="Z39" s="166">
        <v>2.7600850000000001</v>
      </c>
      <c r="AA39" s="167">
        <v>4.1056910000000002</v>
      </c>
      <c r="AB39" s="167">
        <v>-22.2944</v>
      </c>
      <c r="AC39" s="168"/>
      <c r="AD39" s="166">
        <v>6.5048539999999999</v>
      </c>
      <c r="AE39" s="167">
        <v>8.4746000000000002E-2</v>
      </c>
      <c r="AF39" s="167">
        <v>18.37989</v>
      </c>
      <c r="AG39" s="168"/>
    </row>
    <row r="40" spans="1:33" s="21" customFormat="1" x14ac:dyDescent="0.2"/>
    <row r="41" spans="1:33" s="21" customFormat="1" x14ac:dyDescent="0.2">
      <c r="A41" s="21" t="s">
        <v>805</v>
      </c>
    </row>
    <row r="42" spans="1:33" s="21" customFormat="1" x14ac:dyDescent="0.2">
      <c r="A42" s="161"/>
      <c r="B42" s="314" t="s">
        <v>745</v>
      </c>
      <c r="C42" s="315"/>
      <c r="D42" s="315"/>
      <c r="E42" s="316"/>
      <c r="F42" s="314" t="s">
        <v>768</v>
      </c>
      <c r="G42" s="315"/>
      <c r="H42" s="315"/>
      <c r="I42" s="316"/>
      <c r="J42" s="314" t="s">
        <v>770</v>
      </c>
      <c r="K42" s="315"/>
      <c r="L42" s="315"/>
      <c r="M42" s="316"/>
      <c r="N42" s="314" t="s">
        <v>785</v>
      </c>
      <c r="O42" s="315"/>
      <c r="P42" s="315"/>
      <c r="Q42" s="316"/>
      <c r="R42" s="314" t="s">
        <v>798</v>
      </c>
      <c r="S42" s="315"/>
      <c r="T42" s="315"/>
      <c r="U42" s="316"/>
      <c r="V42" s="314" t="s">
        <v>799</v>
      </c>
      <c r="W42" s="315"/>
      <c r="X42" s="315"/>
      <c r="Y42" s="316"/>
      <c r="Z42" s="314" t="s">
        <v>800</v>
      </c>
      <c r="AA42" s="315"/>
      <c r="AB42" s="315"/>
      <c r="AC42" s="316"/>
      <c r="AD42" s="314" t="s">
        <v>766</v>
      </c>
      <c r="AE42" s="315"/>
      <c r="AF42" s="315"/>
      <c r="AG42" s="316"/>
    </row>
    <row r="43" spans="1:33" s="21" customFormat="1" x14ac:dyDescent="0.2">
      <c r="A43" s="169">
        <v>0</v>
      </c>
      <c r="B43" s="164">
        <v>0</v>
      </c>
      <c r="C43" s="163">
        <v>0</v>
      </c>
      <c r="D43" s="163">
        <v>0</v>
      </c>
      <c r="E43" s="165">
        <v>0</v>
      </c>
      <c r="F43" s="164">
        <v>0</v>
      </c>
      <c r="G43" s="163">
        <v>0</v>
      </c>
      <c r="H43" s="163">
        <v>0</v>
      </c>
      <c r="I43" s="165">
        <v>0</v>
      </c>
      <c r="J43" s="164">
        <v>0</v>
      </c>
      <c r="K43" s="163">
        <v>0</v>
      </c>
      <c r="L43" s="163">
        <v>0</v>
      </c>
      <c r="M43" s="165"/>
      <c r="N43" s="164">
        <v>0</v>
      </c>
      <c r="O43" s="163">
        <v>0</v>
      </c>
      <c r="P43" s="163">
        <v>0</v>
      </c>
      <c r="Q43" s="165">
        <v>0</v>
      </c>
      <c r="R43" s="164">
        <v>0</v>
      </c>
      <c r="S43" s="163">
        <v>0</v>
      </c>
      <c r="T43" s="163">
        <v>0</v>
      </c>
      <c r="U43" s="165"/>
      <c r="V43" s="164">
        <v>0</v>
      </c>
      <c r="W43" s="163">
        <v>0</v>
      </c>
      <c r="X43" s="163">
        <v>0</v>
      </c>
      <c r="Y43" s="165"/>
      <c r="Z43" s="164">
        <v>0</v>
      </c>
      <c r="AA43" s="163">
        <v>0</v>
      </c>
      <c r="AB43" s="163">
        <v>0</v>
      </c>
      <c r="AC43" s="165"/>
      <c r="AD43" s="164">
        <v>0</v>
      </c>
      <c r="AE43" s="163">
        <v>0</v>
      </c>
      <c r="AF43" s="163">
        <v>0</v>
      </c>
      <c r="AG43" s="165"/>
    </row>
    <row r="44" spans="1:33" s="21" customFormat="1" x14ac:dyDescent="0.2">
      <c r="A44" s="170">
        <v>4</v>
      </c>
      <c r="B44" s="164">
        <v>8.9192025200000007</v>
      </c>
      <c r="C44" s="163">
        <v>4.15841584</v>
      </c>
      <c r="D44" s="163">
        <v>14.8867314</v>
      </c>
      <c r="E44" s="165">
        <v>0</v>
      </c>
      <c r="F44" s="164">
        <v>11.420640000000001</v>
      </c>
      <c r="G44" s="163">
        <v>16.06061</v>
      </c>
      <c r="H44" s="163">
        <v>5.0212770000000004</v>
      </c>
      <c r="I44" s="165">
        <v>11.04218</v>
      </c>
      <c r="J44" s="164">
        <v>11.77866</v>
      </c>
      <c r="K44" s="163">
        <v>7.4132949999999997</v>
      </c>
      <c r="L44" s="163">
        <v>10.73077</v>
      </c>
      <c r="M44" s="165"/>
      <c r="N44" s="164">
        <v>-7.1684599999999996</v>
      </c>
      <c r="O44" s="163">
        <v>16.66667</v>
      </c>
      <c r="P44" s="163">
        <v>20.497800000000002</v>
      </c>
      <c r="Q44" s="165">
        <v>3.2033100000000001</v>
      </c>
      <c r="R44" s="164">
        <v>23.148150000000001</v>
      </c>
      <c r="S44" s="163">
        <v>17.857140000000001</v>
      </c>
      <c r="T44" s="163">
        <v>45.628999999999998</v>
      </c>
      <c r="U44" s="165"/>
      <c r="V44" s="164">
        <v>9.1194970000000009</v>
      </c>
      <c r="W44" s="163">
        <v>14.03922</v>
      </c>
      <c r="X44" s="163">
        <v>16.552800000000001</v>
      </c>
      <c r="Y44" s="165"/>
      <c r="Z44" s="164">
        <v>6.4755839999999996</v>
      </c>
      <c r="AA44" s="163">
        <v>32.926830000000002</v>
      </c>
      <c r="AB44" s="163">
        <v>22.857140000000001</v>
      </c>
      <c r="AC44" s="165"/>
      <c r="AD44" s="164">
        <v>88.932040000000001</v>
      </c>
      <c r="AE44" s="163">
        <v>28.050850000000001</v>
      </c>
      <c r="AF44" s="163">
        <v>91.899439999999998</v>
      </c>
      <c r="AG44" s="165"/>
    </row>
    <row r="45" spans="1:33" s="21" customFormat="1" x14ac:dyDescent="0.2">
      <c r="A45" s="170">
        <v>8</v>
      </c>
      <c r="B45" s="164">
        <v>10.3882476</v>
      </c>
      <c r="C45" s="163">
        <v>-1.7326733000000001</v>
      </c>
      <c r="D45" s="163">
        <v>6.2028047500000003</v>
      </c>
      <c r="E45" s="165">
        <v>0</v>
      </c>
      <c r="F45" s="164">
        <v>11.362500000000001</v>
      </c>
      <c r="G45" s="163">
        <v>46.190480000000001</v>
      </c>
      <c r="H45" s="163">
        <v>13.60284</v>
      </c>
      <c r="I45" s="165">
        <v>27.096769999999999</v>
      </c>
      <c r="J45" s="164">
        <v>38.221339999999998</v>
      </c>
      <c r="K45" s="163">
        <v>25.332370000000001</v>
      </c>
      <c r="L45" s="163">
        <v>6.6923079999999997</v>
      </c>
      <c r="M45" s="165"/>
      <c r="N45" s="164">
        <v>-0.68100000000000005</v>
      </c>
      <c r="O45" s="163">
        <v>2.9914529999999999</v>
      </c>
      <c r="P45" s="163">
        <v>1.0248900000000001</v>
      </c>
      <c r="Q45" s="165">
        <v>7.7423169999999999</v>
      </c>
      <c r="R45" s="164">
        <v>15.0463</v>
      </c>
      <c r="S45" s="163">
        <v>37.252749999999999</v>
      </c>
      <c r="T45" s="163">
        <v>65.245199999999997</v>
      </c>
      <c r="U45" s="165"/>
      <c r="V45" s="164">
        <v>10.69182</v>
      </c>
      <c r="W45" s="163">
        <v>44.235289999999999</v>
      </c>
      <c r="X45" s="163">
        <v>43.571429999999999</v>
      </c>
      <c r="Y45" s="165"/>
      <c r="Z45" s="164">
        <v>4.1401269999999997</v>
      </c>
      <c r="AA45" s="163">
        <v>54.336039999999997</v>
      </c>
      <c r="AB45" s="163">
        <v>50.129869999999997</v>
      </c>
      <c r="AC45" s="165"/>
      <c r="AD45" s="164">
        <v>62.23301</v>
      </c>
      <c r="AE45" s="163">
        <v>85.677970000000002</v>
      </c>
      <c r="AF45" s="163">
        <v>74.581010000000006</v>
      </c>
      <c r="AG45" s="165"/>
    </row>
    <row r="46" spans="1:33" s="21" customFormat="1" x14ac:dyDescent="0.2">
      <c r="A46" s="170">
        <v>24</v>
      </c>
      <c r="B46" s="164">
        <v>0</v>
      </c>
      <c r="C46" s="163">
        <v>-4.7376237999999997</v>
      </c>
      <c r="D46" s="163">
        <v>0</v>
      </c>
      <c r="E46" s="165">
        <v>0</v>
      </c>
      <c r="F46" s="164">
        <v>59.531100000000002</v>
      </c>
      <c r="G46" s="163">
        <v>76.060609999999997</v>
      </c>
      <c r="H46" s="163">
        <v>36.297870000000003</v>
      </c>
      <c r="I46" s="165">
        <v>51.662529999999997</v>
      </c>
      <c r="J46" s="164">
        <v>55.217390000000002</v>
      </c>
      <c r="K46" s="163">
        <v>33.280349999999999</v>
      </c>
      <c r="L46" s="163">
        <v>58.423079999999999</v>
      </c>
      <c r="M46" s="165"/>
      <c r="N46" s="164">
        <v>13.154120000000001</v>
      </c>
      <c r="O46" s="163">
        <v>36.752139999999997</v>
      </c>
      <c r="P46" s="163">
        <v>45.534410000000001</v>
      </c>
      <c r="Q46" s="165">
        <v>11.28842</v>
      </c>
      <c r="R46" s="164">
        <v>57.407409999999999</v>
      </c>
      <c r="S46" s="163">
        <v>39.45055</v>
      </c>
      <c r="T46" s="163">
        <v>49.680169999999997</v>
      </c>
      <c r="U46" s="165"/>
      <c r="V46" s="164">
        <v>68.616349999999997</v>
      </c>
      <c r="W46" s="163">
        <v>71.294120000000007</v>
      </c>
      <c r="X46" s="163">
        <v>97.608699999999999</v>
      </c>
      <c r="Y46" s="165"/>
      <c r="Z46" s="164">
        <v>18.895969999999998</v>
      </c>
      <c r="AA46" s="163">
        <v>29.26829</v>
      </c>
      <c r="AB46" s="163">
        <v>54.891770000000001</v>
      </c>
      <c r="AC46" s="165"/>
      <c r="AD46" s="164">
        <v>15.33981</v>
      </c>
      <c r="AE46" s="163">
        <v>58.55932</v>
      </c>
      <c r="AF46" s="163">
        <v>39.608939999999997</v>
      </c>
      <c r="AG46" s="165"/>
    </row>
    <row r="47" spans="1:33" s="21" customFormat="1" x14ac:dyDescent="0.2">
      <c r="A47" s="170">
        <v>48</v>
      </c>
      <c r="B47" s="164">
        <v>0</v>
      </c>
      <c r="C47" s="163">
        <v>-4.7128712999999998</v>
      </c>
      <c r="D47" s="163">
        <v>0</v>
      </c>
      <c r="E47" s="165">
        <v>0</v>
      </c>
      <c r="F47" s="164">
        <v>67.089240000000004</v>
      </c>
      <c r="G47" s="163">
        <v>58.744590000000002</v>
      </c>
      <c r="H47" s="163">
        <v>55.659570000000002</v>
      </c>
      <c r="I47" s="165">
        <v>31.31514</v>
      </c>
      <c r="J47" s="164">
        <v>42.173909999999999</v>
      </c>
      <c r="K47" s="163">
        <v>8.1936420000000005</v>
      </c>
      <c r="L47" s="163">
        <v>50.923079999999999</v>
      </c>
      <c r="M47" s="165"/>
      <c r="N47" s="164">
        <v>48.100360000000002</v>
      </c>
      <c r="O47" s="163">
        <v>45.726500000000001</v>
      </c>
      <c r="P47" s="163">
        <v>68.960470000000001</v>
      </c>
      <c r="Q47" s="165">
        <v>2.2813240000000001</v>
      </c>
      <c r="R47" s="164">
        <v>65.046300000000002</v>
      </c>
      <c r="S47" s="163">
        <v>51.538460000000001</v>
      </c>
      <c r="T47" s="163">
        <v>49.040509999999998</v>
      </c>
      <c r="U47" s="165"/>
      <c r="V47" s="164">
        <v>98.805030000000002</v>
      </c>
      <c r="W47" s="163">
        <v>59.725490000000001</v>
      </c>
      <c r="X47" s="163">
        <v>78.664599999999993</v>
      </c>
      <c r="Y47" s="165"/>
      <c r="Z47" s="164">
        <v>70.382170000000002</v>
      </c>
      <c r="AA47" s="163">
        <v>47.560980000000001</v>
      </c>
      <c r="AB47" s="163">
        <v>41.47186</v>
      </c>
      <c r="AC47" s="165"/>
      <c r="AD47" s="164">
        <v>8.5436890000000005</v>
      </c>
      <c r="AE47" s="163">
        <v>38.644069999999999</v>
      </c>
      <c r="AF47" s="163">
        <v>35.81006</v>
      </c>
      <c r="AG47" s="165"/>
    </row>
    <row r="48" spans="1:33" s="21" customFormat="1" x14ac:dyDescent="0.2">
      <c r="A48" s="171">
        <v>72</v>
      </c>
      <c r="B48" s="166">
        <v>0</v>
      </c>
      <c r="C48" s="167">
        <v>-5.0430693</v>
      </c>
      <c r="D48" s="167">
        <v>0</v>
      </c>
      <c r="E48" s="168">
        <v>0</v>
      </c>
      <c r="F48" s="166">
        <v>20.781099999999999</v>
      </c>
      <c r="G48" s="167">
        <v>55.281390000000002</v>
      </c>
      <c r="H48" s="167">
        <v>8.4255320000000005</v>
      </c>
      <c r="I48" s="168">
        <v>30.074439999999999</v>
      </c>
      <c r="J48" s="166">
        <v>31.89723</v>
      </c>
      <c r="K48" s="167">
        <v>5.2456649999999998</v>
      </c>
      <c r="L48" s="167">
        <v>0.68269199999999997</v>
      </c>
      <c r="M48" s="168"/>
      <c r="N48" s="166">
        <v>3.8351250000000001</v>
      </c>
      <c r="O48" s="167">
        <v>-13.376099999999999</v>
      </c>
      <c r="P48" s="167">
        <v>42.459739999999996</v>
      </c>
      <c r="Q48" s="168">
        <v>3.9361700000000002</v>
      </c>
      <c r="R48" s="166">
        <v>27.546299999999999</v>
      </c>
      <c r="S48" s="167">
        <v>80.109889999999993</v>
      </c>
      <c r="T48" s="167">
        <v>61.194029999999998</v>
      </c>
      <c r="U48" s="168"/>
      <c r="V48" s="166">
        <v>39.371070000000003</v>
      </c>
      <c r="W48" s="167">
        <v>98.091499999999996</v>
      </c>
      <c r="X48" s="167">
        <v>81.614909999999995</v>
      </c>
      <c r="Y48" s="168"/>
      <c r="Z48" s="166">
        <v>82.802549999999997</v>
      </c>
      <c r="AA48" s="167">
        <v>83.604339999999993</v>
      </c>
      <c r="AB48" s="167">
        <v>63.549779999999998</v>
      </c>
      <c r="AC48" s="168"/>
      <c r="AD48" s="166">
        <v>-4.9029100000000003</v>
      </c>
      <c r="AE48" s="167">
        <v>19.491530000000001</v>
      </c>
      <c r="AF48" s="167">
        <v>30.446929999999998</v>
      </c>
      <c r="AG48" s="168"/>
    </row>
    <row r="49" spans="1:1" s="21" customFormat="1" x14ac:dyDescent="0.2"/>
    <row r="50" spans="1:1" s="21" customFormat="1" x14ac:dyDescent="0.2">
      <c r="A50" s="21" t="s">
        <v>1251</v>
      </c>
    </row>
    <row r="51" spans="1:1" s="21" customFormat="1" x14ac:dyDescent="0.2"/>
    <row r="52" spans="1:1" s="21" customFormat="1" x14ac:dyDescent="0.2"/>
    <row r="53" spans="1:1" s="21" customFormat="1" x14ac:dyDescent="0.2"/>
    <row r="54" spans="1:1" s="21" customFormat="1" x14ac:dyDescent="0.2"/>
    <row r="55" spans="1:1" s="21" customFormat="1" x14ac:dyDescent="0.2"/>
    <row r="56" spans="1:1" s="21" customFormat="1" x14ac:dyDescent="0.2"/>
    <row r="57" spans="1:1" s="21" customFormat="1" x14ac:dyDescent="0.2"/>
    <row r="58" spans="1:1" s="21" customFormat="1" x14ac:dyDescent="0.2"/>
    <row r="59" spans="1:1" s="21" customFormat="1" x14ac:dyDescent="0.2"/>
    <row r="60" spans="1:1" s="21" customFormat="1" x14ac:dyDescent="0.2"/>
    <row r="61" spans="1:1" s="21" customFormat="1" x14ac:dyDescent="0.2"/>
    <row r="62" spans="1:1" s="21" customFormat="1" x14ac:dyDescent="0.2"/>
    <row r="63" spans="1:1" s="21" customFormat="1" x14ac:dyDescent="0.2"/>
    <row r="64" spans="1:1" s="21" customFormat="1" x14ac:dyDescent="0.2"/>
    <row r="65" s="21" customFormat="1" x14ac:dyDescent="0.2"/>
    <row r="66" s="21" customFormat="1" x14ac:dyDescent="0.2"/>
    <row r="67" s="21" customFormat="1" x14ac:dyDescent="0.2"/>
    <row r="68" s="21" customFormat="1" x14ac:dyDescent="0.2"/>
    <row r="69" s="21" customFormat="1" x14ac:dyDescent="0.2"/>
    <row r="70" s="21" customFormat="1" x14ac:dyDescent="0.2"/>
    <row r="71" s="21" customFormat="1" x14ac:dyDescent="0.2"/>
    <row r="72" s="21" customFormat="1" x14ac:dyDescent="0.2"/>
    <row r="73" s="21" customFormat="1" x14ac:dyDescent="0.2"/>
    <row r="74" s="21" customFormat="1" x14ac:dyDescent="0.2"/>
    <row r="75" s="21" customFormat="1" x14ac:dyDescent="0.2"/>
    <row r="76" s="21" customFormat="1" x14ac:dyDescent="0.2"/>
    <row r="77" s="21" customFormat="1" x14ac:dyDescent="0.2"/>
    <row r="78" s="21" customFormat="1" x14ac:dyDescent="0.2"/>
    <row r="79" s="21" customFormat="1" x14ac:dyDescent="0.2"/>
    <row r="80" s="21" customFormat="1" x14ac:dyDescent="0.2"/>
    <row r="81" s="21" customFormat="1" x14ac:dyDescent="0.2"/>
    <row r="82" s="21" customFormat="1" x14ac:dyDescent="0.2"/>
    <row r="83" s="21" customFormat="1" x14ac:dyDescent="0.2"/>
    <row r="84" s="21" customFormat="1" x14ac:dyDescent="0.2"/>
    <row r="85" s="21" customFormat="1" x14ac:dyDescent="0.2"/>
    <row r="86" s="21" customFormat="1" x14ac:dyDescent="0.2"/>
    <row r="87" s="21" customFormat="1" x14ac:dyDescent="0.2"/>
    <row r="88" s="21" customFormat="1" x14ac:dyDescent="0.2"/>
    <row r="89" s="21" customFormat="1" x14ac:dyDescent="0.2"/>
    <row r="90" s="21" customFormat="1" x14ac:dyDescent="0.2"/>
    <row r="91" s="21" customFormat="1" x14ac:dyDescent="0.2"/>
    <row r="92" s="21" customFormat="1" x14ac:dyDescent="0.2"/>
    <row r="93" s="21" customFormat="1" x14ac:dyDescent="0.2"/>
    <row r="94" s="21" customFormat="1" x14ac:dyDescent="0.2"/>
    <row r="95" s="21" customFormat="1" x14ac:dyDescent="0.2"/>
    <row r="96" s="21" customFormat="1" x14ac:dyDescent="0.2"/>
    <row r="97" s="21" customFormat="1" x14ac:dyDescent="0.2"/>
    <row r="98" s="21" customFormat="1" x14ac:dyDescent="0.2"/>
    <row r="99" s="21" customFormat="1" x14ac:dyDescent="0.2"/>
    <row r="100" s="21" customFormat="1" x14ac:dyDescent="0.2"/>
    <row r="101" s="21" customFormat="1" x14ac:dyDescent="0.2"/>
    <row r="102" s="21" customFormat="1" x14ac:dyDescent="0.2"/>
    <row r="103" s="21" customFormat="1" x14ac:dyDescent="0.2"/>
    <row r="104" s="21" customFormat="1" x14ac:dyDescent="0.2"/>
    <row r="105" s="21" customFormat="1" x14ac:dyDescent="0.2"/>
    <row r="106" s="21" customFormat="1" x14ac:dyDescent="0.2"/>
    <row r="107" s="21" customFormat="1" x14ac:dyDescent="0.2"/>
    <row r="108" s="21" customFormat="1" x14ac:dyDescent="0.2"/>
    <row r="109" s="21" customFormat="1" x14ac:dyDescent="0.2"/>
    <row r="110" s="21" customFormat="1" x14ac:dyDescent="0.2"/>
    <row r="111" s="21" customFormat="1" x14ac:dyDescent="0.2"/>
    <row r="112" s="21" customFormat="1" x14ac:dyDescent="0.2"/>
    <row r="113" s="21" customFormat="1" x14ac:dyDescent="0.2"/>
    <row r="114" s="21" customFormat="1" x14ac:dyDescent="0.2"/>
    <row r="115" s="21" customFormat="1" x14ac:dyDescent="0.2"/>
    <row r="116" s="21" customFormat="1" x14ac:dyDescent="0.2"/>
    <row r="117" s="21" customFormat="1" x14ac:dyDescent="0.2"/>
    <row r="118" s="21" customFormat="1" x14ac:dyDescent="0.2"/>
    <row r="119" s="21" customFormat="1" x14ac:dyDescent="0.2"/>
    <row r="120" s="21" customFormat="1" x14ac:dyDescent="0.2"/>
    <row r="121" s="21" customFormat="1" x14ac:dyDescent="0.2"/>
    <row r="122" s="21" customFormat="1" x14ac:dyDescent="0.2"/>
    <row r="123" s="21" customFormat="1" x14ac:dyDescent="0.2"/>
    <row r="124" s="21" customFormat="1" x14ac:dyDescent="0.2"/>
    <row r="125" s="21" customFormat="1" x14ac:dyDescent="0.2"/>
    <row r="126" s="21" customFormat="1" x14ac:dyDescent="0.2"/>
    <row r="127" s="21" customFormat="1" x14ac:dyDescent="0.2"/>
    <row r="128" s="21" customFormat="1" x14ac:dyDescent="0.2"/>
    <row r="129" s="21" customFormat="1" x14ac:dyDescent="0.2"/>
    <row r="130" s="21" customFormat="1" x14ac:dyDescent="0.2"/>
    <row r="131" s="21" customFormat="1" x14ac:dyDescent="0.2"/>
    <row r="132" s="21" customFormat="1" x14ac:dyDescent="0.2"/>
    <row r="133" s="21" customFormat="1" x14ac:dyDescent="0.2"/>
    <row r="134" s="21" customFormat="1" x14ac:dyDescent="0.2"/>
    <row r="135" s="21" customFormat="1" x14ac:dyDescent="0.2"/>
    <row r="136" s="21" customFormat="1" x14ac:dyDescent="0.2"/>
    <row r="137" s="21" customFormat="1" x14ac:dyDescent="0.2"/>
    <row r="138" s="21" customFormat="1" x14ac:dyDescent="0.2"/>
    <row r="139" s="21" customFormat="1" x14ac:dyDescent="0.2"/>
    <row r="140" s="21" customFormat="1" x14ac:dyDescent="0.2"/>
    <row r="141" s="21" customFormat="1" x14ac:dyDescent="0.2"/>
    <row r="142" s="21" customFormat="1" x14ac:dyDescent="0.2"/>
    <row r="143" s="21" customFormat="1" x14ac:dyDescent="0.2"/>
    <row r="144" s="21" customFormat="1" x14ac:dyDescent="0.2"/>
    <row r="145" s="21" customFormat="1" x14ac:dyDescent="0.2"/>
    <row r="146" s="21" customFormat="1" x14ac:dyDescent="0.2"/>
    <row r="147" s="21" customFormat="1" x14ac:dyDescent="0.2"/>
    <row r="148" s="21" customFormat="1" x14ac:dyDescent="0.2"/>
    <row r="149" s="21" customFormat="1" x14ac:dyDescent="0.2"/>
    <row r="150" s="21" customFormat="1" x14ac:dyDescent="0.2"/>
    <row r="151" s="21" customFormat="1" x14ac:dyDescent="0.2"/>
    <row r="152" s="21" customFormat="1" x14ac:dyDescent="0.2"/>
    <row r="153" s="21" customFormat="1" x14ac:dyDescent="0.2"/>
    <row r="154" s="21" customFormat="1" x14ac:dyDescent="0.2"/>
    <row r="155" s="21" customFormat="1" x14ac:dyDescent="0.2"/>
    <row r="156" s="21" customFormat="1" x14ac:dyDescent="0.2"/>
    <row r="157" s="21" customFormat="1" x14ac:dyDescent="0.2"/>
    <row r="158" s="21" customFormat="1" x14ac:dyDescent="0.2"/>
    <row r="159" s="21" customFormat="1" x14ac:dyDescent="0.2"/>
    <row r="160" s="21" customFormat="1" x14ac:dyDescent="0.2"/>
    <row r="161" s="21" customFormat="1" x14ac:dyDescent="0.2"/>
    <row r="162" s="21" customFormat="1" x14ac:dyDescent="0.2"/>
    <row r="163" s="21" customFormat="1" x14ac:dyDescent="0.2"/>
    <row r="164" s="21" customFormat="1" x14ac:dyDescent="0.2"/>
    <row r="165" s="21" customFormat="1" x14ac:dyDescent="0.2"/>
    <row r="166" s="21" customFormat="1" x14ac:dyDescent="0.2"/>
    <row r="167" s="21" customFormat="1" x14ac:dyDescent="0.2"/>
    <row r="168" s="21" customFormat="1" x14ac:dyDescent="0.2"/>
    <row r="169" s="21" customFormat="1" x14ac:dyDescent="0.2"/>
    <row r="170" s="21" customFormat="1" x14ac:dyDescent="0.2"/>
    <row r="171" s="21" customFormat="1" x14ac:dyDescent="0.2"/>
    <row r="172" s="21" customFormat="1" x14ac:dyDescent="0.2"/>
    <row r="173" s="21" customFormat="1" x14ac:dyDescent="0.2"/>
    <row r="174" s="21" customFormat="1" x14ac:dyDescent="0.2"/>
    <row r="175" s="21" customFormat="1" x14ac:dyDescent="0.2"/>
    <row r="176" s="21" customFormat="1" x14ac:dyDescent="0.2"/>
    <row r="177" s="21" customFormat="1" x14ac:dyDescent="0.2"/>
    <row r="178" s="21" customFormat="1" x14ac:dyDescent="0.2"/>
    <row r="179" s="21" customFormat="1" x14ac:dyDescent="0.2"/>
    <row r="180" s="21" customFormat="1" x14ac:dyDescent="0.2"/>
    <row r="181" s="21" customFormat="1" x14ac:dyDescent="0.2"/>
    <row r="182" s="21" customFormat="1" x14ac:dyDescent="0.2"/>
    <row r="183" s="21" customFormat="1" x14ac:dyDescent="0.2"/>
    <row r="184" s="21" customFormat="1" x14ac:dyDescent="0.2"/>
    <row r="185" s="21" customFormat="1" x14ac:dyDescent="0.2"/>
    <row r="186" s="21" customFormat="1" x14ac:dyDescent="0.2"/>
    <row r="187" s="21" customFormat="1" x14ac:dyDescent="0.2"/>
    <row r="188" s="21" customFormat="1" x14ac:dyDescent="0.2"/>
    <row r="189" s="21" customFormat="1" x14ac:dyDescent="0.2"/>
    <row r="190" s="21" customFormat="1" x14ac:dyDescent="0.2"/>
    <row r="191" s="21" customFormat="1" x14ac:dyDescent="0.2"/>
    <row r="192" s="21" customFormat="1" x14ac:dyDescent="0.2"/>
    <row r="193" s="21" customFormat="1" x14ac:dyDescent="0.2"/>
    <row r="194" s="21" customFormat="1" x14ac:dyDescent="0.2"/>
    <row r="195" s="21" customFormat="1" x14ac:dyDescent="0.2"/>
    <row r="196" s="21" customFormat="1" x14ac:dyDescent="0.2"/>
    <row r="197" s="21" customFormat="1" x14ac:dyDescent="0.2"/>
    <row r="198" s="21" customFormat="1" x14ac:dyDescent="0.2"/>
    <row r="199" s="21" customFormat="1" x14ac:dyDescent="0.2"/>
    <row r="200" s="21" customFormat="1" x14ac:dyDescent="0.2"/>
    <row r="201" s="21" customFormat="1" x14ac:dyDescent="0.2"/>
    <row r="202" s="21" customFormat="1" x14ac:dyDescent="0.2"/>
    <row r="203" s="21" customFormat="1" x14ac:dyDescent="0.2"/>
    <row r="204" s="21" customFormat="1" x14ac:dyDescent="0.2"/>
    <row r="205" s="21" customFormat="1" x14ac:dyDescent="0.2"/>
    <row r="206" s="21" customFormat="1" x14ac:dyDescent="0.2"/>
    <row r="207" s="21" customFormat="1" x14ac:dyDescent="0.2"/>
    <row r="208" s="21" customFormat="1" x14ac:dyDescent="0.2"/>
    <row r="209" s="21" customFormat="1" x14ac:dyDescent="0.2"/>
    <row r="210" s="21" customFormat="1" x14ac:dyDescent="0.2"/>
    <row r="211" s="21" customFormat="1" x14ac:dyDescent="0.2"/>
    <row r="212" s="21" customFormat="1" x14ac:dyDescent="0.2"/>
    <row r="213" s="21" customFormat="1" x14ac:dyDescent="0.2"/>
    <row r="214" s="21" customFormat="1" x14ac:dyDescent="0.2"/>
    <row r="215" s="21" customFormat="1" x14ac:dyDescent="0.2"/>
    <row r="216" s="21" customFormat="1" x14ac:dyDescent="0.2"/>
    <row r="217" s="21" customFormat="1" x14ac:dyDescent="0.2"/>
    <row r="218" s="21" customFormat="1" x14ac:dyDescent="0.2"/>
    <row r="219" s="21" customFormat="1" x14ac:dyDescent="0.2"/>
    <row r="220" s="21" customFormat="1" x14ac:dyDescent="0.2"/>
    <row r="221" s="21" customFormat="1" x14ac:dyDescent="0.2"/>
    <row r="222" s="21" customFormat="1" x14ac:dyDescent="0.2"/>
    <row r="223" s="21" customFormat="1" x14ac:dyDescent="0.2"/>
    <row r="224" s="21" customFormat="1" x14ac:dyDescent="0.2"/>
    <row r="225" s="21" customFormat="1" x14ac:dyDescent="0.2"/>
    <row r="226" s="21" customFormat="1" x14ac:dyDescent="0.2"/>
    <row r="227" s="21" customFormat="1" x14ac:dyDescent="0.2"/>
    <row r="228" s="21" customFormat="1" x14ac:dyDescent="0.2"/>
    <row r="229" s="21" customFormat="1" x14ac:dyDescent="0.2"/>
    <row r="230" s="21" customFormat="1" x14ac:dyDescent="0.2"/>
    <row r="231" s="21" customFormat="1" x14ac:dyDescent="0.2"/>
    <row r="232" s="21" customFormat="1" x14ac:dyDescent="0.2"/>
    <row r="233" s="21" customFormat="1" x14ac:dyDescent="0.2"/>
    <row r="234" s="21" customFormat="1" x14ac:dyDescent="0.2"/>
    <row r="235" s="21" customFormat="1" x14ac:dyDescent="0.2"/>
    <row r="236" s="21" customFormat="1" x14ac:dyDescent="0.2"/>
    <row r="237" s="21" customFormat="1" x14ac:dyDescent="0.2"/>
    <row r="238" s="21" customFormat="1" x14ac:dyDescent="0.2"/>
    <row r="239" s="21" customFormat="1" x14ac:dyDescent="0.2"/>
    <row r="240" s="21" customFormat="1" x14ac:dyDescent="0.2"/>
    <row r="241" s="21" customFormat="1" x14ac:dyDescent="0.2"/>
    <row r="242" s="21" customFormat="1" x14ac:dyDescent="0.2"/>
    <row r="243" s="21" customFormat="1" x14ac:dyDescent="0.2"/>
    <row r="244" s="21" customFormat="1" x14ac:dyDescent="0.2"/>
    <row r="245" s="21" customFormat="1" x14ac:dyDescent="0.2"/>
    <row r="246" s="21" customFormat="1" x14ac:dyDescent="0.2"/>
    <row r="247" s="21" customFormat="1" x14ac:dyDescent="0.2"/>
    <row r="248" s="21" customFormat="1" x14ac:dyDescent="0.2"/>
    <row r="249" s="21" customFormat="1" x14ac:dyDescent="0.2"/>
    <row r="250" s="21" customFormat="1" x14ac:dyDescent="0.2"/>
    <row r="251" s="21" customFormat="1" x14ac:dyDescent="0.2"/>
    <row r="252" s="21" customFormat="1" x14ac:dyDescent="0.2"/>
    <row r="253" s="21" customFormat="1" x14ac:dyDescent="0.2"/>
    <row r="254" s="21" customFormat="1" x14ac:dyDescent="0.2"/>
    <row r="255" s="21" customFormat="1" x14ac:dyDescent="0.2"/>
    <row r="256" s="21" customFormat="1" x14ac:dyDescent="0.2"/>
    <row r="257" s="21" customFormat="1" x14ac:dyDescent="0.2"/>
    <row r="258" s="21" customFormat="1" x14ac:dyDescent="0.2"/>
    <row r="259" s="21" customFormat="1" x14ac:dyDescent="0.2"/>
    <row r="260" s="21" customFormat="1" x14ac:dyDescent="0.2"/>
    <row r="261" s="21" customFormat="1" x14ac:dyDescent="0.2"/>
    <row r="262" s="21" customFormat="1" x14ac:dyDescent="0.2"/>
    <row r="263" s="21" customFormat="1" x14ac:dyDescent="0.2"/>
    <row r="264" s="21" customFormat="1" x14ac:dyDescent="0.2"/>
    <row r="265" s="21" customFormat="1" x14ac:dyDescent="0.2"/>
    <row r="266" s="21" customFormat="1" x14ac:dyDescent="0.2"/>
    <row r="267" s="21" customFormat="1" x14ac:dyDescent="0.2"/>
    <row r="268" s="21" customFormat="1" x14ac:dyDescent="0.2"/>
    <row r="269" s="21" customFormat="1" x14ac:dyDescent="0.2"/>
    <row r="270" s="21" customFormat="1" x14ac:dyDescent="0.2"/>
    <row r="271" s="21" customFormat="1" x14ac:dyDescent="0.2"/>
    <row r="272" s="21" customFormat="1" x14ac:dyDescent="0.2"/>
    <row r="273" s="21" customFormat="1" x14ac:dyDescent="0.2"/>
    <row r="274" s="21" customFormat="1" x14ac:dyDescent="0.2"/>
    <row r="275" s="21" customFormat="1" x14ac:dyDescent="0.2"/>
    <row r="276" s="21" customFormat="1" x14ac:dyDescent="0.2"/>
    <row r="277" s="21" customFormat="1" x14ac:dyDescent="0.2"/>
    <row r="278" s="21" customFormat="1" x14ac:dyDescent="0.2"/>
    <row r="279" s="21" customFormat="1" x14ac:dyDescent="0.2"/>
    <row r="280" s="21" customFormat="1" x14ac:dyDescent="0.2"/>
    <row r="281" s="21" customFormat="1" x14ac:dyDescent="0.2"/>
    <row r="282" s="21" customFormat="1" x14ac:dyDescent="0.2"/>
    <row r="283" s="21" customFormat="1" x14ac:dyDescent="0.2"/>
    <row r="284" s="21" customFormat="1" x14ac:dyDescent="0.2"/>
    <row r="285" s="21" customFormat="1" x14ac:dyDescent="0.2"/>
    <row r="286" s="21" customFormat="1" x14ac:dyDescent="0.2"/>
    <row r="287" s="21" customFormat="1" x14ac:dyDescent="0.2"/>
    <row r="288" s="21" customFormat="1" x14ac:dyDescent="0.2"/>
    <row r="289" s="21" customFormat="1" x14ac:dyDescent="0.2"/>
    <row r="290" s="21" customFormat="1" x14ac:dyDescent="0.2"/>
  </sheetData>
  <mergeCells count="16">
    <mergeCell ref="Z33:AC33"/>
    <mergeCell ref="AD33:AG33"/>
    <mergeCell ref="B42:E42"/>
    <mergeCell ref="F42:I42"/>
    <mergeCell ref="J42:M42"/>
    <mergeCell ref="N42:Q42"/>
    <mergeCell ref="R42:U42"/>
    <mergeCell ref="V42:Y42"/>
    <mergeCell ref="Z42:AC42"/>
    <mergeCell ref="AD42:AG42"/>
    <mergeCell ref="B33:E33"/>
    <mergeCell ref="F33:I33"/>
    <mergeCell ref="J33:M33"/>
    <mergeCell ref="N33:Q33"/>
    <mergeCell ref="R33:U33"/>
    <mergeCell ref="V33:Y33"/>
  </mergeCells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F6EB6C-F549-7F4A-9ADC-6A9DCAA70F0B}">
  <sheetPr codeName="Sheet23"/>
  <dimension ref="A2:A71"/>
  <sheetViews>
    <sheetView tabSelected="1" zoomScale="265" zoomScaleNormal="265" workbookViewId="0">
      <selection activeCell="J33" sqref="J33"/>
    </sheetView>
  </sheetViews>
  <sheetFormatPr baseColWidth="10" defaultRowHeight="16" x14ac:dyDescent="0.2"/>
  <sheetData>
    <row r="2" spans="1:1" x14ac:dyDescent="0.2">
      <c r="A2" t="s">
        <v>1135</v>
      </c>
    </row>
    <row r="11" spans="1:1" x14ac:dyDescent="0.2">
      <c r="A11" t="s">
        <v>807</v>
      </c>
    </row>
    <row r="20" spans="1:1" x14ac:dyDescent="0.2">
      <c r="A20" t="s">
        <v>808</v>
      </c>
    </row>
    <row r="30" spans="1:1" x14ac:dyDescent="0.2">
      <c r="A30" t="s">
        <v>746</v>
      </c>
    </row>
    <row r="39" spans="1:1" x14ac:dyDescent="0.2">
      <c r="A39" t="s">
        <v>769</v>
      </c>
    </row>
    <row r="49" spans="1:1" x14ac:dyDescent="0.2">
      <c r="A49" t="s">
        <v>1136</v>
      </c>
    </row>
    <row r="61" spans="1:1" x14ac:dyDescent="0.2">
      <c r="A61" t="s">
        <v>766</v>
      </c>
    </row>
    <row r="71" spans="1:1" x14ac:dyDescent="0.2">
      <c r="A71" t="s">
        <v>757</v>
      </c>
    </row>
  </sheetData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C6594-0419-BF43-B1B9-69E4149C5CB7}">
  <sheetPr codeName="Sheet24"/>
  <dimension ref="A2:A21"/>
  <sheetViews>
    <sheetView zoomScale="178" zoomScaleNormal="178" workbookViewId="0">
      <selection activeCell="G12" sqref="G12"/>
    </sheetView>
  </sheetViews>
  <sheetFormatPr baseColWidth="10" defaultRowHeight="16" x14ac:dyDescent="0.2"/>
  <sheetData>
    <row r="2" spans="1:1" x14ac:dyDescent="0.2">
      <c r="A2" t="s">
        <v>745</v>
      </c>
    </row>
    <row r="11" spans="1:1" x14ac:dyDescent="0.2">
      <c r="A11" t="s">
        <v>746</v>
      </c>
    </row>
    <row r="21" spans="1:1" x14ac:dyDescent="0.2">
      <c r="A21" t="s">
        <v>757</v>
      </c>
    </row>
  </sheetData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36DD96-D981-1041-9E3D-C470DA48EFED}">
  <sheetPr codeName="Sheet25"/>
  <dimension ref="A1:A79"/>
  <sheetViews>
    <sheetView zoomScale="120" zoomScaleNormal="120" workbookViewId="0">
      <selection activeCell="I7" sqref="I7"/>
    </sheetView>
  </sheetViews>
  <sheetFormatPr baseColWidth="10" defaultRowHeight="16" x14ac:dyDescent="0.2"/>
  <sheetData>
    <row r="1" spans="1:1" x14ac:dyDescent="0.2">
      <c r="A1" t="s">
        <v>1212</v>
      </c>
    </row>
    <row r="2" spans="1:1" x14ac:dyDescent="0.2">
      <c r="A2" t="s">
        <v>809</v>
      </c>
    </row>
    <row r="14" spans="1:1" x14ac:dyDescent="0.2">
      <c r="A14" t="s">
        <v>810</v>
      </c>
    </row>
    <row r="24" spans="1:1" x14ac:dyDescent="0.2">
      <c r="A24" t="s">
        <v>811</v>
      </c>
    </row>
    <row r="34" spans="1:1" x14ac:dyDescent="0.2">
      <c r="A34" t="s">
        <v>812</v>
      </c>
    </row>
    <row r="46" spans="1:1" x14ac:dyDescent="0.2">
      <c r="A46" t="s">
        <v>1137</v>
      </c>
    </row>
    <row r="58" spans="1:1" x14ac:dyDescent="0.2">
      <c r="A58" t="s">
        <v>762</v>
      </c>
    </row>
    <row r="68" spans="1:1" x14ac:dyDescent="0.2">
      <c r="A68" t="s">
        <v>766</v>
      </c>
    </row>
    <row r="79" spans="1:1" x14ac:dyDescent="0.2">
      <c r="A79" t="s">
        <v>757</v>
      </c>
    </row>
  </sheetData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3DDB66-CABC-AF4E-B91A-529484B37122}">
  <dimension ref="A1:H19"/>
  <sheetViews>
    <sheetView workbookViewId="0">
      <selection activeCell="I34" sqref="I34"/>
    </sheetView>
  </sheetViews>
  <sheetFormatPr baseColWidth="10" defaultRowHeight="16" x14ac:dyDescent="0.2"/>
  <sheetData>
    <row r="1" spans="1:8" x14ac:dyDescent="0.2">
      <c r="A1" t="s">
        <v>1095</v>
      </c>
    </row>
    <row r="2" spans="1:8" x14ac:dyDescent="0.2">
      <c r="A2" s="301" t="s">
        <v>7</v>
      </c>
      <c r="B2" s="299"/>
      <c r="C2" s="301" t="s">
        <v>272</v>
      </c>
      <c r="D2" s="300"/>
      <c r="E2" s="301" t="s">
        <v>381</v>
      </c>
      <c r="F2" s="300"/>
      <c r="G2" s="301" t="s">
        <v>9</v>
      </c>
      <c r="H2" s="300"/>
    </row>
    <row r="3" spans="1:8" x14ac:dyDescent="0.2">
      <c r="A3" s="220" t="s">
        <v>1093</v>
      </c>
      <c r="B3" s="221" t="s">
        <v>1094</v>
      </c>
      <c r="C3" s="220" t="s">
        <v>1093</v>
      </c>
      <c r="D3" s="222" t="s">
        <v>1094</v>
      </c>
      <c r="E3" s="220" t="s">
        <v>1093</v>
      </c>
      <c r="F3" s="222" t="s">
        <v>1094</v>
      </c>
      <c r="G3" s="220" t="s">
        <v>1093</v>
      </c>
      <c r="H3" s="222" t="s">
        <v>1094</v>
      </c>
    </row>
    <row r="4" spans="1:8" x14ac:dyDescent="0.2">
      <c r="A4" s="205">
        <v>97.4</v>
      </c>
      <c r="B4" s="206">
        <v>96.7</v>
      </c>
      <c r="C4" s="205">
        <v>65.7</v>
      </c>
      <c r="D4" s="207">
        <v>88.6</v>
      </c>
      <c r="E4" s="205">
        <v>99.285617999999999</v>
      </c>
      <c r="F4" s="207">
        <v>68.599999999999994</v>
      </c>
      <c r="G4" s="205">
        <v>86.1</v>
      </c>
      <c r="H4" s="207">
        <v>84.1</v>
      </c>
    </row>
    <row r="5" spans="1:8" x14ac:dyDescent="0.2">
      <c r="A5" s="205">
        <v>98.3</v>
      </c>
      <c r="B5" s="206">
        <v>97.6</v>
      </c>
      <c r="C5" s="205">
        <v>97.7</v>
      </c>
      <c r="D5" s="207">
        <v>97.8</v>
      </c>
      <c r="E5" s="205">
        <v>99.221849300000002</v>
      </c>
      <c r="F5" s="207">
        <v>97.8</v>
      </c>
      <c r="G5" s="205">
        <v>98.3</v>
      </c>
      <c r="H5" s="207">
        <v>98.3</v>
      </c>
    </row>
    <row r="6" spans="1:8" x14ac:dyDescent="0.2">
      <c r="A6" s="205">
        <v>97</v>
      </c>
      <c r="B6" s="206">
        <v>96</v>
      </c>
      <c r="C6" s="205">
        <v>81.599999999999994</v>
      </c>
      <c r="D6" s="207">
        <v>93.2</v>
      </c>
      <c r="E6" s="205">
        <v>98.570066699999998</v>
      </c>
      <c r="F6" s="207">
        <v>97.7</v>
      </c>
      <c r="G6" s="205">
        <v>90.9</v>
      </c>
      <c r="H6" s="207">
        <v>87.6</v>
      </c>
    </row>
    <row r="7" spans="1:8" x14ac:dyDescent="0.2">
      <c r="A7" s="205">
        <v>98.3</v>
      </c>
      <c r="B7" s="206">
        <v>97</v>
      </c>
      <c r="C7" s="205">
        <v>97.2</v>
      </c>
      <c r="D7" s="207">
        <v>99</v>
      </c>
      <c r="E7" s="205">
        <v>99.068804999999998</v>
      </c>
      <c r="F7" s="207">
        <v>98</v>
      </c>
      <c r="G7" s="205">
        <v>97.2</v>
      </c>
      <c r="H7" s="207">
        <v>97.5</v>
      </c>
    </row>
    <row r="8" spans="1:8" x14ac:dyDescent="0.2">
      <c r="A8" s="205">
        <v>97.9</v>
      </c>
      <c r="B8" s="206">
        <v>98</v>
      </c>
      <c r="C8" s="205">
        <v>96</v>
      </c>
      <c r="D8" s="207">
        <v>98.1</v>
      </c>
      <c r="E8" s="205">
        <v>73.5</v>
      </c>
      <c r="F8" s="207">
        <v>94.9</v>
      </c>
      <c r="G8" s="205">
        <v>96.1</v>
      </c>
      <c r="H8" s="207">
        <v>95.1</v>
      </c>
    </row>
    <row r="9" spans="1:8" x14ac:dyDescent="0.2">
      <c r="A9" s="205">
        <v>98.7</v>
      </c>
      <c r="B9" s="206">
        <v>92.1</v>
      </c>
      <c r="C9" s="205">
        <v>93.5</v>
      </c>
      <c r="D9" s="207">
        <v>97.2</v>
      </c>
      <c r="E9" s="205">
        <v>97.5</v>
      </c>
      <c r="F9" s="207">
        <v>98.5</v>
      </c>
      <c r="G9" s="205">
        <v>96.9</v>
      </c>
      <c r="H9" s="207">
        <v>98.3</v>
      </c>
    </row>
    <row r="10" spans="1:8" x14ac:dyDescent="0.2">
      <c r="A10" s="205">
        <v>98.9</v>
      </c>
      <c r="B10" s="206">
        <v>98.1</v>
      </c>
      <c r="C10" s="205">
        <v>97.5</v>
      </c>
      <c r="D10" s="207">
        <v>99</v>
      </c>
      <c r="E10" s="205">
        <v>84.6</v>
      </c>
      <c r="F10" s="207">
        <v>99.2</v>
      </c>
      <c r="G10" s="205">
        <v>98.9</v>
      </c>
      <c r="H10" s="207">
        <v>99.3</v>
      </c>
    </row>
    <row r="11" spans="1:8" x14ac:dyDescent="0.2">
      <c r="A11" s="205">
        <v>99</v>
      </c>
      <c r="B11" s="206">
        <v>99.6</v>
      </c>
      <c r="C11" s="205">
        <v>97.8</v>
      </c>
      <c r="D11" s="207">
        <v>99.2</v>
      </c>
      <c r="E11" s="205">
        <v>97.3</v>
      </c>
      <c r="F11" s="207">
        <v>98.718786800000004</v>
      </c>
      <c r="G11" s="205">
        <v>98.4</v>
      </c>
      <c r="H11" s="207">
        <v>96.737704899999997</v>
      </c>
    </row>
    <row r="12" spans="1:8" x14ac:dyDescent="0.2">
      <c r="A12" s="205">
        <v>99.562396300000003</v>
      </c>
      <c r="B12" s="206">
        <v>99.266079500000004</v>
      </c>
      <c r="C12" s="205">
        <v>99.2</v>
      </c>
      <c r="D12" s="207">
        <v>97.2</v>
      </c>
      <c r="E12" s="205">
        <v>97.3</v>
      </c>
      <c r="F12" s="207">
        <v>98.568621899999997</v>
      </c>
      <c r="G12" s="205">
        <v>98.941504199999997</v>
      </c>
      <c r="H12" s="207">
        <v>97.406340099999994</v>
      </c>
    </row>
    <row r="13" spans="1:8" x14ac:dyDescent="0.2">
      <c r="A13" s="205">
        <v>98.985770500000001</v>
      </c>
      <c r="B13" s="206">
        <v>99.047014000000004</v>
      </c>
      <c r="C13" s="205">
        <v>99.7</v>
      </c>
      <c r="D13" s="207">
        <v>97.9</v>
      </c>
      <c r="E13" s="205">
        <v>98.9</v>
      </c>
      <c r="F13" s="207">
        <v>98.764478800000006</v>
      </c>
      <c r="G13" s="208">
        <v>99.068493200000006</v>
      </c>
      <c r="H13" s="210"/>
    </row>
    <row r="14" spans="1:8" x14ac:dyDescent="0.2">
      <c r="A14" s="205">
        <v>99.150442499999997</v>
      </c>
      <c r="B14" s="206">
        <v>98.527349200000003</v>
      </c>
      <c r="C14" s="205">
        <v>99.3</v>
      </c>
      <c r="D14" s="207">
        <v>99.1</v>
      </c>
      <c r="E14" s="205">
        <v>98.7</v>
      </c>
      <c r="F14" s="207">
        <v>96.787383199999994</v>
      </c>
      <c r="G14" s="202"/>
      <c r="H14" s="202"/>
    </row>
    <row r="15" spans="1:8" x14ac:dyDescent="0.2">
      <c r="A15" s="208">
        <v>99.341438699999998</v>
      </c>
      <c r="B15" s="209">
        <v>97.125256699999994</v>
      </c>
      <c r="C15" s="205">
        <v>99.6</v>
      </c>
      <c r="D15" s="207">
        <v>99.6</v>
      </c>
      <c r="E15" s="208">
        <v>98.8</v>
      </c>
      <c r="F15" s="210"/>
      <c r="G15" s="202"/>
      <c r="H15" s="202"/>
    </row>
    <row r="16" spans="1:8" x14ac:dyDescent="0.2">
      <c r="A16" s="202"/>
      <c r="B16" s="202"/>
      <c r="C16" s="205">
        <v>98.168438300000005</v>
      </c>
      <c r="D16" s="207">
        <v>98.330241200000003</v>
      </c>
      <c r="E16" s="202"/>
      <c r="F16" s="202"/>
      <c r="G16" s="202"/>
      <c r="H16" s="202"/>
    </row>
    <row r="17" spans="1:8" x14ac:dyDescent="0.2">
      <c r="A17" s="202"/>
      <c r="B17" s="202"/>
      <c r="C17" s="205">
        <v>97.816688299999996</v>
      </c>
      <c r="D17" s="207">
        <v>97.636337699999999</v>
      </c>
      <c r="E17" s="202"/>
      <c r="F17" s="202"/>
      <c r="G17" s="202"/>
      <c r="H17" s="202"/>
    </row>
    <row r="18" spans="1:8" x14ac:dyDescent="0.2">
      <c r="A18" s="202"/>
      <c r="B18" s="202"/>
      <c r="C18" s="205">
        <v>99.050163299999994</v>
      </c>
      <c r="D18" s="207">
        <v>98.301486199999999</v>
      </c>
      <c r="E18" s="202"/>
      <c r="F18" s="202"/>
      <c r="G18" s="202"/>
      <c r="H18" s="202"/>
    </row>
    <row r="19" spans="1:8" x14ac:dyDescent="0.2">
      <c r="A19" s="202"/>
      <c r="B19" s="202"/>
      <c r="C19" s="208">
        <v>98.919503000000006</v>
      </c>
      <c r="D19" s="210">
        <v>98.206277999999998</v>
      </c>
      <c r="E19" s="202"/>
      <c r="F19" s="202"/>
      <c r="G19" s="202"/>
      <c r="H19" s="202"/>
    </row>
  </sheetData>
  <mergeCells count="4">
    <mergeCell ref="A2:B2"/>
    <mergeCell ref="C2:D2"/>
    <mergeCell ref="E2:F2"/>
    <mergeCell ref="G2:H2"/>
  </mergeCell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193D7F-949F-1D4D-90B3-BB7862CA91A3}">
  <sheetPr codeName="Sheet26"/>
  <dimension ref="A1:AE495"/>
  <sheetViews>
    <sheetView zoomScale="80" zoomScaleNormal="80" workbookViewId="0">
      <selection activeCell="P36" sqref="P36"/>
    </sheetView>
  </sheetViews>
  <sheetFormatPr baseColWidth="10" defaultRowHeight="16" x14ac:dyDescent="0.2"/>
  <cols>
    <col min="2" max="2" width="16.6640625" customWidth="1"/>
    <col min="3" max="3" width="7.6640625" customWidth="1"/>
    <col min="12" max="12" width="10.83203125" style="10"/>
    <col min="20" max="20" width="10.83203125" style="10"/>
    <col min="21" max="22" width="10.83203125" style="21"/>
  </cols>
  <sheetData>
    <row r="1" spans="1:31" x14ac:dyDescent="0.2">
      <c r="A1" t="s">
        <v>887</v>
      </c>
      <c r="E1" t="s">
        <v>878</v>
      </c>
      <c r="L1" t="s">
        <v>1120</v>
      </c>
      <c r="S1" s="10"/>
      <c r="T1" s="21"/>
      <c r="V1" t="s">
        <v>271</v>
      </c>
    </row>
    <row r="2" spans="1:31" x14ac:dyDescent="0.2">
      <c r="A2" t="s">
        <v>792</v>
      </c>
      <c r="E2" t="s">
        <v>15</v>
      </c>
      <c r="F2" t="s">
        <v>321</v>
      </c>
      <c r="G2" t="s">
        <v>99</v>
      </c>
      <c r="H2" t="s">
        <v>100</v>
      </c>
      <c r="I2" t="s">
        <v>101</v>
      </c>
      <c r="J2" t="s">
        <v>102</v>
      </c>
      <c r="K2" s="10" t="s">
        <v>10</v>
      </c>
      <c r="L2" t="s">
        <v>15</v>
      </c>
      <c r="M2" t="s">
        <v>321</v>
      </c>
      <c r="N2" t="s">
        <v>99</v>
      </c>
      <c r="O2" t="s">
        <v>100</v>
      </c>
      <c r="P2" t="s">
        <v>139</v>
      </c>
      <c r="Q2" t="s">
        <v>102</v>
      </c>
      <c r="R2" s="10" t="s">
        <v>10</v>
      </c>
      <c r="S2" s="21"/>
      <c r="T2" s="21"/>
      <c r="U2"/>
      <c r="V2"/>
      <c r="W2" t="s">
        <v>877</v>
      </c>
    </row>
    <row r="3" spans="1:31" x14ac:dyDescent="0.2">
      <c r="A3" t="s">
        <v>654</v>
      </c>
      <c r="B3" t="s">
        <v>813</v>
      </c>
      <c r="C3" t="s">
        <v>814</v>
      </c>
      <c r="D3" t="s">
        <v>815</v>
      </c>
      <c r="E3">
        <v>1</v>
      </c>
      <c r="F3">
        <v>1</v>
      </c>
      <c r="G3">
        <v>1</v>
      </c>
      <c r="H3">
        <v>1</v>
      </c>
      <c r="I3">
        <v>1</v>
      </c>
      <c r="J3">
        <v>1</v>
      </c>
      <c r="K3" s="10">
        <v>1</v>
      </c>
      <c r="L3">
        <f t="shared" ref="L3:R10" si="0">E3/(MAX(E$3:E$10))*100</f>
        <v>0.29663996803990067</v>
      </c>
      <c r="M3">
        <f t="shared" si="0"/>
        <v>7.5293898477433174E-2</v>
      </c>
      <c r="N3">
        <f t="shared" si="0"/>
        <v>7.4014711106105375</v>
      </c>
      <c r="O3">
        <f t="shared" si="0"/>
        <v>0.10856342105668396</v>
      </c>
      <c r="P3">
        <f t="shared" si="0"/>
        <v>0.42880876476134883</v>
      </c>
      <c r="Q3">
        <f t="shared" si="0"/>
        <v>2.6106751913203521</v>
      </c>
      <c r="R3" s="10">
        <f>K3/(MAX(K$3:K$10))*100</f>
        <v>9.7859327217125376</v>
      </c>
      <c r="S3" s="21"/>
      <c r="T3" s="21"/>
      <c r="U3" t="s">
        <v>792</v>
      </c>
      <c r="V3"/>
      <c r="W3" t="s">
        <v>876</v>
      </c>
      <c r="X3" t="s">
        <v>97</v>
      </c>
      <c r="Y3" t="s">
        <v>139</v>
      </c>
      <c r="Z3" t="s">
        <v>102</v>
      </c>
      <c r="AA3" t="s">
        <v>100</v>
      </c>
      <c r="AB3" t="s">
        <v>66</v>
      </c>
      <c r="AC3" t="s">
        <v>321</v>
      </c>
      <c r="AD3" t="s">
        <v>15</v>
      </c>
      <c r="AE3" t="s">
        <v>10</v>
      </c>
    </row>
    <row r="4" spans="1:31" x14ac:dyDescent="0.2">
      <c r="A4" t="s">
        <v>654</v>
      </c>
      <c r="B4" t="s">
        <v>827</v>
      </c>
      <c r="C4" t="s">
        <v>814</v>
      </c>
      <c r="D4" t="s">
        <v>828</v>
      </c>
      <c r="E4">
        <v>1.5439083651509893</v>
      </c>
      <c r="F4">
        <v>1</v>
      </c>
      <c r="G4">
        <v>1.2439424089898161</v>
      </c>
      <c r="H4">
        <v>1</v>
      </c>
      <c r="I4">
        <v>1</v>
      </c>
      <c r="J4">
        <v>1.2931354359925789</v>
      </c>
      <c r="K4" s="10">
        <v>0.89687499999999998</v>
      </c>
      <c r="L4">
        <f t="shared" si="0"/>
        <v>0.45798492809492469</v>
      </c>
      <c r="M4">
        <f t="shared" si="0"/>
        <v>7.5293898477433174E-2</v>
      </c>
      <c r="N4">
        <f t="shared" si="0"/>
        <v>9.2070038034014026</v>
      </c>
      <c r="O4">
        <f t="shared" si="0"/>
        <v>0.10856342105668396</v>
      </c>
      <c r="P4">
        <f t="shared" si="0"/>
        <v>0.42880876476134883</v>
      </c>
      <c r="Q4">
        <f t="shared" si="0"/>
        <v>3.3759566017630527</v>
      </c>
      <c r="R4" s="10">
        <f t="shared" si="0"/>
        <v>8.7767584097859324</v>
      </c>
      <c r="S4" s="21"/>
      <c r="T4" s="21"/>
      <c r="U4" t="s">
        <v>654</v>
      </c>
      <c r="V4" t="s">
        <v>813</v>
      </c>
      <c r="W4" t="s">
        <v>814</v>
      </c>
      <c r="X4" t="s">
        <v>815</v>
      </c>
      <c r="Y4">
        <v>0.42880876476134883</v>
      </c>
      <c r="Z4">
        <v>2.6106751913203521</v>
      </c>
      <c r="AA4">
        <v>0.10856342105668396</v>
      </c>
      <c r="AB4">
        <v>7.4014711106105375</v>
      </c>
      <c r="AC4">
        <v>7.5293898477433174E-2</v>
      </c>
      <c r="AD4">
        <v>0.29663996803990067</v>
      </c>
      <c r="AE4">
        <v>9.7859327217125376</v>
      </c>
    </row>
    <row r="5" spans="1:31" x14ac:dyDescent="0.2">
      <c r="A5" t="s">
        <v>654</v>
      </c>
      <c r="B5" t="s">
        <v>834</v>
      </c>
      <c r="C5" t="s">
        <v>814</v>
      </c>
      <c r="D5" t="s">
        <v>835</v>
      </c>
      <c r="E5">
        <v>3.9461992363762581</v>
      </c>
      <c r="F5">
        <v>26.541237113402065</v>
      </c>
      <c r="G5">
        <v>13.510827578134144</v>
      </c>
      <c r="H5">
        <v>921.12056737588659</v>
      </c>
      <c r="I5">
        <v>233.2041884816754</v>
      </c>
      <c r="J5">
        <v>38.304267161410024</v>
      </c>
      <c r="K5" s="10">
        <v>1.45625</v>
      </c>
      <c r="L5">
        <f t="shared" si="0"/>
        <v>1.1706004153577336</v>
      </c>
      <c r="M5">
        <f t="shared" si="0"/>
        <v>1.9983932126819766</v>
      </c>
      <c r="N5">
        <f t="shared" si="0"/>
        <v>100</v>
      </c>
      <c r="O5">
        <f t="shared" si="0"/>
        <v>100</v>
      </c>
      <c r="P5">
        <f t="shared" si="0"/>
        <v>100</v>
      </c>
      <c r="Q5">
        <f t="shared" si="0"/>
        <v>100</v>
      </c>
      <c r="R5" s="10">
        <f t="shared" si="0"/>
        <v>14.250764525993883</v>
      </c>
      <c r="S5" s="21"/>
      <c r="T5" s="21"/>
      <c r="U5" t="s">
        <v>654</v>
      </c>
      <c r="V5" t="s">
        <v>816</v>
      </c>
      <c r="W5" t="s">
        <v>817</v>
      </c>
      <c r="X5" t="s">
        <v>815</v>
      </c>
      <c r="Y5">
        <v>0.23181126699345617</v>
      </c>
      <c r="Z5">
        <v>1.0897903848159349</v>
      </c>
      <c r="AA5">
        <v>0.11831952938823802</v>
      </c>
      <c r="AB5">
        <v>1.1103970446159148</v>
      </c>
      <c r="AC5">
        <v>9.4895515565845551E-2</v>
      </c>
      <c r="AD5">
        <v>2.9554400247182255E-2</v>
      </c>
      <c r="AE5">
        <v>3.7494581707845684</v>
      </c>
    </row>
    <row r="6" spans="1:31" x14ac:dyDescent="0.2">
      <c r="A6" t="s">
        <v>654</v>
      </c>
      <c r="B6" t="s">
        <v>841</v>
      </c>
      <c r="C6" t="s">
        <v>814</v>
      </c>
      <c r="D6" t="s">
        <v>842</v>
      </c>
      <c r="E6">
        <v>4.6754599097535579</v>
      </c>
      <c r="F6">
        <v>16.711340206185568</v>
      </c>
      <c r="G6">
        <v>10.029848999180615</v>
      </c>
      <c r="H6">
        <v>427.70921985815608</v>
      </c>
      <c r="I6">
        <v>161.77486910994764</v>
      </c>
      <c r="J6">
        <v>28.200371057513916</v>
      </c>
      <c r="K6" s="10">
        <v>1.1343749999999999</v>
      </c>
      <c r="L6">
        <f t="shared" si="0"/>
        <v>1.3869282782011323</v>
      </c>
      <c r="M6">
        <f t="shared" si="0"/>
        <v>1.2582619529063832</v>
      </c>
      <c r="N6">
        <f t="shared" si="0"/>
        <v>74.235637611221321</v>
      </c>
      <c r="O6">
        <f t="shared" si="0"/>
        <v>46.433576125286805</v>
      </c>
      <c r="P6">
        <f t="shared" si="0"/>
        <v>69.370481792465526</v>
      </c>
      <c r="Q6">
        <f t="shared" si="0"/>
        <v>73.622009105880068</v>
      </c>
      <c r="R6" s="10">
        <f t="shared" si="0"/>
        <v>11.100917431192659</v>
      </c>
      <c r="S6" s="21"/>
      <c r="T6" s="21"/>
      <c r="U6" t="s">
        <v>654</v>
      </c>
      <c r="V6" t="s">
        <v>818</v>
      </c>
      <c r="W6" t="s">
        <v>819</v>
      </c>
      <c r="X6" t="s">
        <v>815</v>
      </c>
      <c r="Y6">
        <v>0.15285893985956087</v>
      </c>
      <c r="Z6">
        <v>0.59089623975120154</v>
      </c>
      <c r="AA6">
        <v>9.0908508908393679E-2</v>
      </c>
      <c r="AB6">
        <v>21.077761287298859</v>
      </c>
      <c r="AC6">
        <v>2.5648876283786686E-2</v>
      </c>
      <c r="AD6">
        <v>0.20842635938062656</v>
      </c>
      <c r="AE6">
        <v>6.7362283259168318</v>
      </c>
    </row>
    <row r="7" spans="1:31" x14ac:dyDescent="0.2">
      <c r="A7" t="s">
        <v>654</v>
      </c>
      <c r="B7" t="s">
        <v>848</v>
      </c>
      <c r="C7" t="s">
        <v>814</v>
      </c>
      <c r="D7" t="s">
        <v>849</v>
      </c>
      <c r="E7">
        <v>11.343977785491148</v>
      </c>
      <c r="F7">
        <v>6.8144329896907223</v>
      </c>
      <c r="G7">
        <v>9.521596628818914</v>
      </c>
      <c r="H7">
        <v>50.390070921985817</v>
      </c>
      <c r="I7">
        <v>1.4712041884816756</v>
      </c>
      <c r="J7">
        <v>2.7588126159554731</v>
      </c>
      <c r="K7" s="10">
        <v>1.0968749999999998</v>
      </c>
      <c r="L7">
        <f t="shared" si="0"/>
        <v>3.365077207733437</v>
      </c>
      <c r="M7">
        <f t="shared" si="0"/>
        <v>0.51308522570704462</v>
      </c>
      <c r="N7">
        <f t="shared" si="0"/>
        <v>70.473822375089881</v>
      </c>
      <c r="O7">
        <f t="shared" si="0"/>
        <v>5.4705184865797136</v>
      </c>
      <c r="P7">
        <f t="shared" si="0"/>
        <v>0.63086525077454991</v>
      </c>
      <c r="Q7">
        <f t="shared" si="0"/>
        <v>7.2023636539765565</v>
      </c>
      <c r="R7" s="10">
        <f t="shared" si="0"/>
        <v>10.733944954128438</v>
      </c>
      <c r="S7" s="21"/>
      <c r="T7" s="21"/>
      <c r="U7" t="s">
        <v>820</v>
      </c>
      <c r="V7" t="s">
        <v>821</v>
      </c>
      <c r="W7" t="s">
        <v>822</v>
      </c>
      <c r="X7" t="s">
        <v>815</v>
      </c>
      <c r="Y7">
        <v>1.7300414489097133</v>
      </c>
      <c r="Z7">
        <v>10.180224062347781</v>
      </c>
      <c r="AA7">
        <v>1.1672831894780105</v>
      </c>
      <c r="AB7">
        <v>4.3334628837932376</v>
      </c>
      <c r="AC7">
        <v>0.33267147385655066</v>
      </c>
      <c r="AD7">
        <v>0.17520950759516687</v>
      </c>
      <c r="AE7">
        <v>9.0909090909090917</v>
      </c>
    </row>
    <row r="8" spans="1:31" x14ac:dyDescent="0.2">
      <c r="A8" t="s">
        <v>654</v>
      </c>
      <c r="B8" t="s">
        <v>855</v>
      </c>
      <c r="C8" t="s">
        <v>814</v>
      </c>
      <c r="D8" t="s">
        <v>856</v>
      </c>
      <c r="E8">
        <v>13.048941339812565</v>
      </c>
      <c r="F8">
        <v>1.4432989690721649</v>
      </c>
      <c r="G8">
        <v>7.5802411330914197</v>
      </c>
      <c r="H8">
        <v>20.028368794326241</v>
      </c>
      <c r="I8">
        <v>1</v>
      </c>
      <c r="J8">
        <v>1.5862708719851579</v>
      </c>
      <c r="K8" s="10">
        <v>1.625</v>
      </c>
      <c r="L8">
        <f t="shared" si="0"/>
        <v>3.8708375419965377</v>
      </c>
      <c r="M8">
        <f t="shared" si="0"/>
        <v>0.10867160604990354</v>
      </c>
      <c r="N8">
        <f t="shared" si="0"/>
        <v>56.104935758037833</v>
      </c>
      <c r="O8">
        <f t="shared" si="0"/>
        <v>2.1743482344969896</v>
      </c>
      <c r="P8">
        <f t="shared" si="0"/>
        <v>0.42880876476134883</v>
      </c>
      <c r="Q8">
        <f t="shared" si="0"/>
        <v>4.1412380122057542</v>
      </c>
      <c r="R8" s="10">
        <f t="shared" si="0"/>
        <v>15.902140672782874</v>
      </c>
      <c r="S8" s="21"/>
      <c r="T8" s="21"/>
      <c r="U8" t="s">
        <v>820</v>
      </c>
      <c r="V8" t="s">
        <v>823</v>
      </c>
      <c r="W8" t="s">
        <v>824</v>
      </c>
      <c r="X8" t="s">
        <v>815</v>
      </c>
      <c r="Y8">
        <v>5.2752293577981648</v>
      </c>
      <c r="Z8">
        <v>5.4103028734144436</v>
      </c>
      <c r="AA8">
        <v>1.0024001129464915</v>
      </c>
      <c r="AB8">
        <v>6.6834215380649722</v>
      </c>
      <c r="AC8">
        <v>0.47233968889878081</v>
      </c>
      <c r="AD8">
        <v>0.43846076280350627</v>
      </c>
      <c r="AE8">
        <v>7.1957924934257704</v>
      </c>
    </row>
    <row r="9" spans="1:31" x14ac:dyDescent="0.2">
      <c r="A9" t="s">
        <v>654</v>
      </c>
      <c r="B9" t="s">
        <v>862</v>
      </c>
      <c r="C9" t="s">
        <v>814</v>
      </c>
      <c r="D9" t="s">
        <v>863</v>
      </c>
      <c r="E9">
        <v>337.10898993405073</v>
      </c>
      <c r="F9">
        <v>1328.1288659793815</v>
      </c>
      <c r="G9">
        <v>8.2483904951422211</v>
      </c>
      <c r="H9">
        <v>30.978723404255319</v>
      </c>
      <c r="I9">
        <v>1</v>
      </c>
      <c r="J9">
        <v>3.64378478664193</v>
      </c>
      <c r="K9" s="10">
        <v>8.5187500000000007</v>
      </c>
      <c r="L9">
        <f t="shared" si="0"/>
        <v>100</v>
      </c>
      <c r="M9">
        <f t="shared" si="0"/>
        <v>100</v>
      </c>
      <c r="N9">
        <f t="shared" si="0"/>
        <v>61.050223958829697</v>
      </c>
      <c r="O9">
        <f t="shared" si="0"/>
        <v>3.3631561927347202</v>
      </c>
      <c r="P9">
        <f t="shared" si="0"/>
        <v>0.42880876476134883</v>
      </c>
      <c r="Q9">
        <f t="shared" si="0"/>
        <v>9.5127385449966084</v>
      </c>
      <c r="R9" s="10">
        <f t="shared" si="0"/>
        <v>83.36391437308869</v>
      </c>
      <c r="S9" s="21"/>
      <c r="T9" s="21"/>
      <c r="U9" t="s">
        <v>654</v>
      </c>
      <c r="V9" t="s">
        <v>825</v>
      </c>
      <c r="W9" t="s">
        <v>826</v>
      </c>
      <c r="X9" t="s">
        <v>815</v>
      </c>
      <c r="Y9">
        <v>0.90025906735751293</v>
      </c>
      <c r="Z9">
        <v>8.1896178178351668</v>
      </c>
      <c r="AA9">
        <v>13.391103901647741</v>
      </c>
      <c r="AB9">
        <v>9.658666666666667</v>
      </c>
      <c r="AC9">
        <v>3.4658206632347657</v>
      </c>
      <c r="AD9">
        <v>5.6170108161258598</v>
      </c>
      <c r="AE9">
        <v>26.451612903225808</v>
      </c>
    </row>
    <row r="10" spans="1:31" x14ac:dyDescent="0.2">
      <c r="A10" t="s">
        <v>654</v>
      </c>
      <c r="B10" t="s">
        <v>869</v>
      </c>
      <c r="C10" t="s">
        <v>814</v>
      </c>
      <c r="D10" t="s">
        <v>870</v>
      </c>
      <c r="E10">
        <v>262.47379382158971</v>
      </c>
      <c r="F10">
        <v>218.75773195876289</v>
      </c>
      <c r="G10">
        <v>9.0405009949666386</v>
      </c>
      <c r="H10">
        <v>19.943262411347519</v>
      </c>
      <c r="I10">
        <v>1</v>
      </c>
      <c r="J10">
        <v>4.1688311688311686</v>
      </c>
      <c r="K10" s="10">
        <v>10.21875</v>
      </c>
      <c r="L10">
        <f t="shared" si="0"/>
        <v>77.860217810547852</v>
      </c>
      <c r="M10">
        <f t="shared" si="0"/>
        <v>16.47112246125663</v>
      </c>
      <c r="N10">
        <f t="shared" si="0"/>
        <v>66.9130069396914</v>
      </c>
      <c r="O10">
        <f t="shared" si="0"/>
        <v>2.1651087944070588</v>
      </c>
      <c r="P10">
        <f t="shared" si="0"/>
        <v>0.42880876476134883</v>
      </c>
      <c r="Q10">
        <f t="shared" si="0"/>
        <v>10.883464109270559</v>
      </c>
      <c r="R10" s="10">
        <f t="shared" si="0"/>
        <v>100</v>
      </c>
      <c r="S10" s="21"/>
      <c r="T10" s="21"/>
      <c r="U10"/>
      <c r="V10"/>
    </row>
    <row r="11" spans="1:31" x14ac:dyDescent="0.2">
      <c r="K11" s="10"/>
      <c r="L11"/>
      <c r="R11" s="10"/>
      <c r="S11" s="21"/>
      <c r="T11" s="21"/>
      <c r="U11" s="176" t="s">
        <v>654</v>
      </c>
      <c r="V11" s="176" t="s">
        <v>827</v>
      </c>
      <c r="W11" s="176" t="s">
        <v>814</v>
      </c>
      <c r="X11" s="176" t="s">
        <v>828</v>
      </c>
      <c r="Y11" s="176">
        <v>0.42880876476134883</v>
      </c>
      <c r="Z11" s="176">
        <v>3.3759566017630527</v>
      </c>
      <c r="AA11" s="176">
        <v>0.10856342105668396</v>
      </c>
      <c r="AB11" s="176">
        <v>9.2070038034014026</v>
      </c>
      <c r="AC11" s="176">
        <v>7.5293898477433174E-2</v>
      </c>
      <c r="AD11" s="176">
        <v>0.45798492809492469</v>
      </c>
      <c r="AE11" s="176">
        <v>8.7767584097859324</v>
      </c>
    </row>
    <row r="12" spans="1:31" x14ac:dyDescent="0.2">
      <c r="A12" t="s">
        <v>654</v>
      </c>
      <c r="B12" t="s">
        <v>816</v>
      </c>
      <c r="C12" t="s">
        <v>817</v>
      </c>
      <c r="D12" t="s">
        <v>879</v>
      </c>
      <c r="E12">
        <v>1</v>
      </c>
      <c r="F12">
        <v>1</v>
      </c>
      <c r="G12">
        <v>1</v>
      </c>
      <c r="H12">
        <v>1</v>
      </c>
      <c r="I12">
        <v>1</v>
      </c>
      <c r="J12">
        <v>1</v>
      </c>
      <c r="K12" s="10">
        <v>1</v>
      </c>
      <c r="L12">
        <f t="shared" ref="L12:R19" si="1">E12/(MAX(E$12:E$19))*100</f>
        <v>2.9554400247182255E-2</v>
      </c>
      <c r="M12">
        <f t="shared" si="1"/>
        <v>9.4895515565845551E-2</v>
      </c>
      <c r="N12">
        <f t="shared" si="1"/>
        <v>1.1103970446159148</v>
      </c>
      <c r="O12">
        <f t="shared" si="1"/>
        <v>0.11831952938823802</v>
      </c>
      <c r="P12">
        <f t="shared" si="1"/>
        <v>0.23181126699345617</v>
      </c>
      <c r="Q12">
        <f t="shared" si="1"/>
        <v>1.0897903848159349</v>
      </c>
      <c r="R12" s="10">
        <f t="shared" si="1"/>
        <v>3.7494581707845684</v>
      </c>
      <c r="S12" s="21"/>
      <c r="T12" s="21"/>
      <c r="U12" s="176" t="s">
        <v>654</v>
      </c>
      <c r="V12" s="176" t="s">
        <v>829</v>
      </c>
      <c r="W12" s="176" t="s">
        <v>817</v>
      </c>
      <c r="X12" s="176" t="s">
        <v>828</v>
      </c>
      <c r="Y12" s="176">
        <v>0.23181126699345617</v>
      </c>
      <c r="Z12" s="176">
        <v>1.0897903848159349</v>
      </c>
      <c r="AA12" s="176">
        <v>0.11831952938823802</v>
      </c>
      <c r="AB12" s="176">
        <v>9.0432029145262405</v>
      </c>
      <c r="AC12" s="176">
        <v>9.4895515565845551E-2</v>
      </c>
      <c r="AD12" s="176">
        <v>0.21897123819503214</v>
      </c>
      <c r="AE12" s="176">
        <v>8.5825747724317303</v>
      </c>
    </row>
    <row r="13" spans="1:31" x14ac:dyDescent="0.2">
      <c r="A13" t="s">
        <v>654</v>
      </c>
      <c r="B13" t="s">
        <v>829</v>
      </c>
      <c r="C13" t="s">
        <v>817</v>
      </c>
      <c r="D13" t="s">
        <v>880</v>
      </c>
      <c r="E13">
        <v>7.4090909090909083</v>
      </c>
      <c r="F13">
        <v>1</v>
      </c>
      <c r="G13">
        <v>8.144116519739363</v>
      </c>
      <c r="H13">
        <v>1</v>
      </c>
      <c r="I13">
        <v>1</v>
      </c>
      <c r="J13">
        <v>1</v>
      </c>
      <c r="K13" s="10">
        <v>2.2890173410404624</v>
      </c>
      <c r="L13">
        <f t="shared" si="1"/>
        <v>0.21897123819503214</v>
      </c>
      <c r="M13">
        <f t="shared" si="1"/>
        <v>9.4895515565845551E-2</v>
      </c>
      <c r="N13">
        <f t="shared" si="1"/>
        <v>9.0432029145262405</v>
      </c>
      <c r="O13">
        <f t="shared" si="1"/>
        <v>0.11831952938823802</v>
      </c>
      <c r="P13">
        <f t="shared" si="1"/>
        <v>0.23181126699345617</v>
      </c>
      <c r="Q13">
        <f t="shared" si="1"/>
        <v>1.0897903848159349</v>
      </c>
      <c r="R13" s="10">
        <f t="shared" si="1"/>
        <v>8.5825747724317303</v>
      </c>
      <c r="S13" s="21"/>
      <c r="T13" s="21"/>
      <c r="U13" s="176" t="s">
        <v>654</v>
      </c>
      <c r="V13" s="176" t="s">
        <v>830</v>
      </c>
      <c r="W13" s="176" t="s">
        <v>819</v>
      </c>
      <c r="X13" s="176" t="s">
        <v>828</v>
      </c>
      <c r="Y13" s="176">
        <v>0.15285893985956087</v>
      </c>
      <c r="Z13" s="176">
        <v>0.59089623975120154</v>
      </c>
      <c r="AA13" s="176">
        <v>9.0908508908393679E-2</v>
      </c>
      <c r="AB13" s="176">
        <v>44.496953600999845</v>
      </c>
      <c r="AC13" s="176">
        <v>2.5648876283786686E-2</v>
      </c>
      <c r="AD13" s="176">
        <v>0.93626215340295282</v>
      </c>
      <c r="AE13" s="176">
        <v>8.5622218812336968</v>
      </c>
    </row>
    <row r="14" spans="1:31" x14ac:dyDescent="0.2">
      <c r="A14" t="s">
        <v>654</v>
      </c>
      <c r="B14" t="s">
        <v>836</v>
      </c>
      <c r="C14" t="s">
        <v>817</v>
      </c>
      <c r="D14" t="s">
        <v>881</v>
      </c>
      <c r="E14">
        <v>35.015151515151516</v>
      </c>
      <c r="F14">
        <v>123.21989528795812</v>
      </c>
      <c r="G14">
        <v>90.057876581065543</v>
      </c>
      <c r="H14">
        <v>845.16901408450713</v>
      </c>
      <c r="I14">
        <v>431.38541666666669</v>
      </c>
      <c r="J14">
        <v>91.760765550239242</v>
      </c>
      <c r="K14" s="10">
        <v>4.1618497109826595</v>
      </c>
      <c r="L14">
        <f t="shared" si="1"/>
        <v>1.0348518025945181</v>
      </c>
      <c r="M14">
        <f t="shared" si="1"/>
        <v>11.69301549132029</v>
      </c>
      <c r="N14">
        <f t="shared" si="1"/>
        <v>100</v>
      </c>
      <c r="O14">
        <f t="shared" si="1"/>
        <v>100</v>
      </c>
      <c r="P14">
        <f t="shared" si="1"/>
        <v>100</v>
      </c>
      <c r="Q14">
        <f t="shared" si="1"/>
        <v>100</v>
      </c>
      <c r="R14" s="10">
        <f t="shared" si="1"/>
        <v>15.604681404421328</v>
      </c>
      <c r="S14" s="21"/>
      <c r="T14" s="21"/>
      <c r="U14" s="176" t="s">
        <v>820</v>
      </c>
      <c r="V14" s="176" t="s">
        <v>831</v>
      </c>
      <c r="W14" s="176" t="s">
        <v>822</v>
      </c>
      <c r="X14" s="176" t="s">
        <v>828</v>
      </c>
      <c r="Y14" s="176">
        <v>1.7300414489097133</v>
      </c>
      <c r="Z14" s="176">
        <v>10.180224062347781</v>
      </c>
      <c r="AA14" s="176">
        <v>1.1672831894780105</v>
      </c>
      <c r="AB14" s="176">
        <v>35.666537116206761</v>
      </c>
      <c r="AC14" s="176">
        <v>0.33267147385655066</v>
      </c>
      <c r="AD14" s="176">
        <v>1.0721940307553295</v>
      </c>
      <c r="AE14" s="176">
        <v>25.691699604743079</v>
      </c>
    </row>
    <row r="15" spans="1:31" x14ac:dyDescent="0.2">
      <c r="A15" t="s">
        <v>654</v>
      </c>
      <c r="B15" t="s">
        <v>843</v>
      </c>
      <c r="C15" t="s">
        <v>817</v>
      </c>
      <c r="D15" t="s">
        <v>882</v>
      </c>
      <c r="E15">
        <v>13.079545454545455</v>
      </c>
      <c r="F15">
        <v>30.633507853403142</v>
      </c>
      <c r="G15">
        <v>34.680337293982369</v>
      </c>
      <c r="H15">
        <v>412.43661971830988</v>
      </c>
      <c r="I15">
        <v>162.79166666666669</v>
      </c>
      <c r="J15">
        <v>45.047846889952162</v>
      </c>
      <c r="K15" s="10">
        <v>1.7341040462427746</v>
      </c>
      <c r="L15">
        <f t="shared" si="1"/>
        <v>0.3865581214148498</v>
      </c>
      <c r="M15">
        <f t="shared" si="1"/>
        <v>2.9069825213390703</v>
      </c>
      <c r="N15">
        <f t="shared" si="1"/>
        <v>38.508944037521118</v>
      </c>
      <c r="O15">
        <f t="shared" si="1"/>
        <v>48.799306747546119</v>
      </c>
      <c r="P15">
        <f t="shared" si="1"/>
        <v>37.736942505976387</v>
      </c>
      <c r="Q15">
        <f t="shared" si="1"/>
        <v>49.092710397330279</v>
      </c>
      <c r="R15" s="10">
        <f t="shared" si="1"/>
        <v>6.5019505851755515</v>
      </c>
      <c r="S15" s="21"/>
      <c r="T15" s="21"/>
      <c r="U15" s="176" t="s">
        <v>820</v>
      </c>
      <c r="V15" s="176" t="s">
        <v>832</v>
      </c>
      <c r="W15" s="176" t="s">
        <v>824</v>
      </c>
      <c r="X15" s="176" t="s">
        <v>828</v>
      </c>
      <c r="Y15" s="176">
        <v>3.6697247706422012</v>
      </c>
      <c r="Z15" s="176">
        <v>5.4103028734144436</v>
      </c>
      <c r="AA15" s="176">
        <v>2.2801072991670202</v>
      </c>
      <c r="AB15" s="176">
        <v>56.049072440653113</v>
      </c>
      <c r="AC15" s="176">
        <v>0.47233968889878081</v>
      </c>
      <c r="AD15" s="176">
        <v>1.8824952972388447</v>
      </c>
      <c r="AE15" s="176">
        <v>7.3870427922543627</v>
      </c>
    </row>
    <row r="16" spans="1:31" x14ac:dyDescent="0.2">
      <c r="A16" t="s">
        <v>654</v>
      </c>
      <c r="B16" t="s">
        <v>850</v>
      </c>
      <c r="C16" t="s">
        <v>817</v>
      </c>
      <c r="D16" t="s">
        <v>883</v>
      </c>
      <c r="E16">
        <v>588.57954545454538</v>
      </c>
      <c r="F16">
        <v>32.068062827225134</v>
      </c>
      <c r="G16">
        <v>28.879647374472981</v>
      </c>
      <c r="H16">
        <v>3.2253521126760565</v>
      </c>
      <c r="I16">
        <v>1</v>
      </c>
      <c r="J16">
        <v>1</v>
      </c>
      <c r="K16" s="10">
        <v>13.109826589595375</v>
      </c>
      <c r="L16">
        <f t="shared" si="1"/>
        <v>17.395115463668237</v>
      </c>
      <c r="M16">
        <f t="shared" si="1"/>
        <v>3.0431153551874561</v>
      </c>
      <c r="N16">
        <f t="shared" si="1"/>
        <v>32.067875094164563</v>
      </c>
      <c r="O16">
        <f t="shared" si="1"/>
        <v>0.38162214408319028</v>
      </c>
      <c r="P16">
        <f t="shared" si="1"/>
        <v>0.23181126699345617</v>
      </c>
      <c r="Q16">
        <f t="shared" si="1"/>
        <v>1.0897903848159349</v>
      </c>
      <c r="R16" s="10">
        <f t="shared" si="1"/>
        <v>49.154746423927172</v>
      </c>
      <c r="S16" s="21"/>
      <c r="T16" s="21"/>
      <c r="U16" s="176" t="s">
        <v>654</v>
      </c>
      <c r="V16" s="176" t="s">
        <v>833</v>
      </c>
      <c r="W16" s="176" t="s">
        <v>826</v>
      </c>
      <c r="X16" s="176" t="s">
        <v>828</v>
      </c>
      <c r="Y16" s="176">
        <v>0.64443005181347157</v>
      </c>
      <c r="Z16" s="176">
        <v>15.97192131033885</v>
      </c>
      <c r="AA16" s="176">
        <v>7.7734141552121576</v>
      </c>
      <c r="AB16" s="176">
        <v>3.5760000000000001</v>
      </c>
      <c r="AC16" s="176">
        <v>1.7538608883036038</v>
      </c>
      <c r="AD16" s="176">
        <v>0.75385119632907238</v>
      </c>
      <c r="AE16" s="176">
        <v>26.451612903225808</v>
      </c>
    </row>
    <row r="17" spans="1:31" x14ac:dyDescent="0.2">
      <c r="A17" t="s">
        <v>654</v>
      </c>
      <c r="B17" t="s">
        <v>857</v>
      </c>
      <c r="C17" t="s">
        <v>817</v>
      </c>
      <c r="D17" t="s">
        <v>884</v>
      </c>
      <c r="E17">
        <v>381.91666666666663</v>
      </c>
      <c r="F17">
        <v>11.439790575916232</v>
      </c>
      <c r="G17">
        <v>33.672288233039481</v>
      </c>
      <c r="H17">
        <v>1.1267605633802817</v>
      </c>
      <c r="I17">
        <v>1</v>
      </c>
      <c r="J17">
        <v>1</v>
      </c>
      <c r="K17" s="10">
        <v>9.0346820809248563</v>
      </c>
      <c r="L17">
        <f t="shared" si="1"/>
        <v>11.287318027736356</v>
      </c>
      <c r="M17">
        <f t="shared" si="1"/>
        <v>1.0855848246668722</v>
      </c>
      <c r="N17">
        <f t="shared" si="1"/>
        <v>37.389609339422293</v>
      </c>
      <c r="O17">
        <f t="shared" si="1"/>
        <v>0.13331777959238089</v>
      </c>
      <c r="P17">
        <f t="shared" si="1"/>
        <v>0.23181126699345617</v>
      </c>
      <c r="Q17">
        <f t="shared" si="1"/>
        <v>1.0897903848159349</v>
      </c>
      <c r="R17" s="10">
        <f t="shared" si="1"/>
        <v>33.875162548764628</v>
      </c>
      <c r="S17" s="21"/>
      <c r="T17" s="21"/>
      <c r="U17" s="176"/>
      <c r="V17" s="176"/>
      <c r="W17" s="176"/>
      <c r="X17" s="176"/>
      <c r="Y17" s="176"/>
      <c r="Z17" s="176"/>
      <c r="AA17" s="176"/>
      <c r="AB17" s="176"/>
      <c r="AC17" s="176"/>
      <c r="AD17" s="176"/>
      <c r="AE17" s="176"/>
    </row>
    <row r="18" spans="1:31" x14ac:dyDescent="0.2">
      <c r="A18" t="s">
        <v>654</v>
      </c>
      <c r="B18" t="s">
        <v>864</v>
      </c>
      <c r="C18" t="s">
        <v>817</v>
      </c>
      <c r="D18" t="s">
        <v>885</v>
      </c>
      <c r="E18">
        <v>2809.7007575757575</v>
      </c>
      <c r="F18">
        <v>1053.7905759162304</v>
      </c>
      <c r="G18">
        <v>37.783825220390952</v>
      </c>
      <c r="H18">
        <v>21.76760563380282</v>
      </c>
      <c r="I18">
        <v>1</v>
      </c>
      <c r="J18">
        <v>3.7703349282296652</v>
      </c>
      <c r="K18" s="10">
        <v>26.670520231213874</v>
      </c>
      <c r="L18">
        <f t="shared" si="1"/>
        <v>83.039020764205134</v>
      </c>
      <c r="M18">
        <f t="shared" si="1"/>
        <v>100</v>
      </c>
      <c r="N18">
        <f t="shared" si="1"/>
        <v>41.955047859006385</v>
      </c>
      <c r="O18">
        <f t="shared" si="1"/>
        <v>2.5755328545003087</v>
      </c>
      <c r="P18">
        <f t="shared" si="1"/>
        <v>0.23181126699345617</v>
      </c>
      <c r="Q18">
        <f t="shared" si="1"/>
        <v>4.108874752320367</v>
      </c>
      <c r="R18" s="10">
        <f t="shared" si="1"/>
        <v>100</v>
      </c>
      <c r="S18" s="21"/>
      <c r="T18" s="21"/>
      <c r="U18" t="s">
        <v>654</v>
      </c>
      <c r="V18" t="s">
        <v>834</v>
      </c>
      <c r="W18" t="s">
        <v>814</v>
      </c>
      <c r="X18" t="s">
        <v>835</v>
      </c>
      <c r="Y18">
        <v>100</v>
      </c>
      <c r="Z18">
        <v>100</v>
      </c>
      <c r="AA18">
        <v>100</v>
      </c>
      <c r="AB18">
        <v>100</v>
      </c>
      <c r="AC18">
        <v>1.9983932126819766</v>
      </c>
      <c r="AD18">
        <v>1.1706004153577336</v>
      </c>
      <c r="AE18">
        <v>14.250764525993883</v>
      </c>
    </row>
    <row r="19" spans="1:31" x14ac:dyDescent="0.2">
      <c r="A19" t="s">
        <v>654</v>
      </c>
      <c r="B19" t="s">
        <v>871</v>
      </c>
      <c r="C19" t="s">
        <v>817</v>
      </c>
      <c r="D19" t="s">
        <v>886</v>
      </c>
      <c r="E19">
        <v>3383.590909090909</v>
      </c>
      <c r="F19">
        <v>481.23036649214663</v>
      </c>
      <c r="G19">
        <v>40.407819087773092</v>
      </c>
      <c r="H19">
        <v>38.901408450704231</v>
      </c>
      <c r="I19">
        <v>1</v>
      </c>
      <c r="J19">
        <v>1.2535885167464116</v>
      </c>
      <c r="K19" s="10">
        <v>25.815028901734102</v>
      </c>
      <c r="L19">
        <f t="shared" si="1"/>
        <v>100</v>
      </c>
      <c r="M19">
        <f t="shared" si="1"/>
        <v>45.666603734213062</v>
      </c>
      <c r="N19">
        <f t="shared" si="1"/>
        <v>44.868722894437802</v>
      </c>
      <c r="O19">
        <f t="shared" si="1"/>
        <v>4.6027963404269503</v>
      </c>
      <c r="P19">
        <f t="shared" si="1"/>
        <v>0.23181126699345617</v>
      </c>
      <c r="Q19">
        <f t="shared" si="1"/>
        <v>1.3661487120659088</v>
      </c>
      <c r="R19" s="10">
        <f t="shared" si="1"/>
        <v>96.792371044646714</v>
      </c>
      <c r="S19" s="21"/>
      <c r="T19" s="21"/>
      <c r="U19" t="s">
        <v>654</v>
      </c>
      <c r="V19" t="s">
        <v>836</v>
      </c>
      <c r="W19" t="s">
        <v>817</v>
      </c>
      <c r="X19" t="s">
        <v>835</v>
      </c>
      <c r="Y19">
        <v>100</v>
      </c>
      <c r="Z19">
        <v>100</v>
      </c>
      <c r="AA19">
        <v>100</v>
      </c>
      <c r="AB19">
        <v>100</v>
      </c>
      <c r="AC19">
        <v>11.69301549132029</v>
      </c>
      <c r="AD19">
        <v>1.0348518025945181</v>
      </c>
      <c r="AE19">
        <v>15.604681404421328</v>
      </c>
    </row>
    <row r="20" spans="1:31" x14ac:dyDescent="0.2">
      <c r="K20" s="10"/>
      <c r="L20"/>
      <c r="R20" s="10"/>
      <c r="S20" s="21"/>
      <c r="T20" s="21"/>
      <c r="U20" t="s">
        <v>654</v>
      </c>
      <c r="V20" t="s">
        <v>837</v>
      </c>
      <c r="W20" t="s">
        <v>819</v>
      </c>
      <c r="X20" t="s">
        <v>835</v>
      </c>
      <c r="Y20">
        <v>100</v>
      </c>
      <c r="Z20">
        <v>100</v>
      </c>
      <c r="AA20">
        <v>100</v>
      </c>
      <c r="AB20">
        <v>93.161224808623643</v>
      </c>
      <c r="AC20">
        <v>2.3093388767135061</v>
      </c>
      <c r="AD20">
        <v>1.5729204177169609</v>
      </c>
      <c r="AE20">
        <v>10.44959337118306</v>
      </c>
    </row>
    <row r="21" spans="1:31" x14ac:dyDescent="0.2">
      <c r="A21" t="s">
        <v>654</v>
      </c>
      <c r="B21" t="s">
        <v>818</v>
      </c>
      <c r="C21" t="s">
        <v>819</v>
      </c>
      <c r="D21" t="s">
        <v>879</v>
      </c>
      <c r="E21">
        <v>1</v>
      </c>
      <c r="F21">
        <v>1</v>
      </c>
      <c r="G21">
        <v>1</v>
      </c>
      <c r="H21">
        <v>1</v>
      </c>
      <c r="I21">
        <v>1</v>
      </c>
      <c r="J21">
        <v>1</v>
      </c>
      <c r="K21" s="10">
        <v>1</v>
      </c>
      <c r="L21">
        <f t="shared" ref="L21:R28" si="2">E21/(MAX(E$21:E$28))*100</f>
        <v>0.20842635938062656</v>
      </c>
      <c r="M21">
        <f t="shared" si="2"/>
        <v>2.5648876283786686E-2</v>
      </c>
      <c r="N21">
        <f t="shared" si="2"/>
        <v>21.077761287298859</v>
      </c>
      <c r="O21">
        <f t="shared" si="2"/>
        <v>9.0908508908393679E-2</v>
      </c>
      <c r="P21">
        <f t="shared" si="2"/>
        <v>0.15285893985956087</v>
      </c>
      <c r="Q21">
        <f t="shared" si="2"/>
        <v>0.59089623975120154</v>
      </c>
      <c r="R21" s="10">
        <f t="shared" si="2"/>
        <v>6.7362283259168318</v>
      </c>
      <c r="S21" s="21"/>
      <c r="T21" s="21"/>
      <c r="U21" t="s">
        <v>820</v>
      </c>
      <c r="V21" t="s">
        <v>838</v>
      </c>
      <c r="W21" t="s">
        <v>822</v>
      </c>
      <c r="X21" t="s">
        <v>835</v>
      </c>
      <c r="Y21">
        <v>100</v>
      </c>
      <c r="Z21">
        <v>100</v>
      </c>
      <c r="AA21">
        <v>100</v>
      </c>
      <c r="AB21">
        <v>71.388457054022552</v>
      </c>
      <c r="AC21">
        <v>14.700247326436061</v>
      </c>
      <c r="AD21">
        <v>0.37741670661223048</v>
      </c>
      <c r="AE21">
        <v>8.5262563523433084</v>
      </c>
    </row>
    <row r="22" spans="1:31" x14ac:dyDescent="0.2">
      <c r="A22" t="s">
        <v>654</v>
      </c>
      <c r="B22" t="s">
        <v>830</v>
      </c>
      <c r="C22" t="s">
        <v>819</v>
      </c>
      <c r="D22" t="s">
        <v>880</v>
      </c>
      <c r="E22">
        <v>4.4920525224602628</v>
      </c>
      <c r="F22">
        <v>1</v>
      </c>
      <c r="G22">
        <v>2.1110853754574515</v>
      </c>
      <c r="H22">
        <v>1</v>
      </c>
      <c r="I22">
        <v>1</v>
      </c>
      <c r="J22">
        <v>1</v>
      </c>
      <c r="K22" s="10">
        <v>1.2710706150341686</v>
      </c>
      <c r="L22">
        <f t="shared" si="2"/>
        <v>0.93626215340295282</v>
      </c>
      <c r="M22">
        <f t="shared" si="2"/>
        <v>2.5648876283786686E-2</v>
      </c>
      <c r="N22">
        <f t="shared" si="2"/>
        <v>44.496953600999845</v>
      </c>
      <c r="O22">
        <f t="shared" si="2"/>
        <v>9.0908508908393679E-2</v>
      </c>
      <c r="P22">
        <f t="shared" si="2"/>
        <v>0.15285893985956087</v>
      </c>
      <c r="Q22">
        <f t="shared" si="2"/>
        <v>0.59089623975120154</v>
      </c>
      <c r="R22" s="10">
        <f t="shared" si="2"/>
        <v>8.5622218812336968</v>
      </c>
      <c r="S22" s="21"/>
      <c r="T22" s="21"/>
      <c r="U22" t="s">
        <v>820</v>
      </c>
      <c r="V22" t="s">
        <v>839</v>
      </c>
      <c r="W22" t="s">
        <v>824</v>
      </c>
      <c r="X22" t="s">
        <v>835</v>
      </c>
      <c r="Y22">
        <v>100</v>
      </c>
      <c r="Z22">
        <v>5.4103028734144436</v>
      </c>
      <c r="AA22">
        <v>59.452209515741913</v>
      </c>
      <c r="AB22">
        <v>81.468145606276636</v>
      </c>
      <c r="AC22">
        <v>10.512649306328361</v>
      </c>
      <c r="AD22">
        <v>0.5723286404239265</v>
      </c>
      <c r="AE22">
        <v>3.2512550800860627</v>
      </c>
    </row>
    <row r="23" spans="1:31" x14ac:dyDescent="0.2">
      <c r="A23" t="s">
        <v>654</v>
      </c>
      <c r="B23" t="s">
        <v>837</v>
      </c>
      <c r="C23" t="s">
        <v>819</v>
      </c>
      <c r="D23" t="s">
        <v>881</v>
      </c>
      <c r="E23">
        <v>7.5466482377332413</v>
      </c>
      <c r="F23">
        <v>90.03664921465969</v>
      </c>
      <c r="G23">
        <v>4.419882336591467</v>
      </c>
      <c r="H23">
        <v>1100.0070422535211</v>
      </c>
      <c r="I23">
        <v>654.19791666666663</v>
      </c>
      <c r="J23">
        <v>169.23444976076556</v>
      </c>
      <c r="K23" s="10">
        <v>1.5512528473804101</v>
      </c>
      <c r="L23">
        <f t="shared" si="2"/>
        <v>1.5729204177169609</v>
      </c>
      <c r="M23">
        <f t="shared" si="2"/>
        <v>2.3093388767135061</v>
      </c>
      <c r="N23">
        <f t="shared" si="2"/>
        <v>93.161224808623643</v>
      </c>
      <c r="O23">
        <f t="shared" si="2"/>
        <v>100</v>
      </c>
      <c r="P23">
        <f t="shared" si="2"/>
        <v>100</v>
      </c>
      <c r="Q23">
        <f t="shared" si="2"/>
        <v>100</v>
      </c>
      <c r="R23" s="10">
        <f t="shared" si="2"/>
        <v>10.44959337118306</v>
      </c>
      <c r="S23" s="21"/>
      <c r="T23" s="21"/>
      <c r="U23" t="s">
        <v>654</v>
      </c>
      <c r="V23" t="s">
        <v>840</v>
      </c>
      <c r="W23" t="s">
        <v>826</v>
      </c>
      <c r="X23" t="s">
        <v>835</v>
      </c>
      <c r="Y23">
        <v>100</v>
      </c>
      <c r="Z23">
        <v>100</v>
      </c>
      <c r="AA23">
        <v>100</v>
      </c>
      <c r="AB23">
        <v>100</v>
      </c>
      <c r="AC23">
        <v>100</v>
      </c>
      <c r="AD23">
        <v>10.320386758439854</v>
      </c>
      <c r="AE23">
        <v>26.451612903225808</v>
      </c>
    </row>
    <row r="24" spans="1:31" x14ac:dyDescent="0.2">
      <c r="A24" t="s">
        <v>654</v>
      </c>
      <c r="B24" t="s">
        <v>844</v>
      </c>
      <c r="C24" t="s">
        <v>819</v>
      </c>
      <c r="D24" t="s">
        <v>882</v>
      </c>
      <c r="E24">
        <v>9.1561852107809258</v>
      </c>
      <c r="F24">
        <v>9.9738219895287958</v>
      </c>
      <c r="G24">
        <v>4.3068976698939174</v>
      </c>
      <c r="H24">
        <v>540.4084507042254</v>
      </c>
      <c r="I24">
        <v>217.53125000000003</v>
      </c>
      <c r="J24">
        <v>59.68899521531101</v>
      </c>
      <c r="K24" s="10">
        <v>1.7448747152619593</v>
      </c>
      <c r="L24">
        <f t="shared" si="2"/>
        <v>1.9083903492978034</v>
      </c>
      <c r="M24">
        <f t="shared" si="2"/>
        <v>0.25581732628593529</v>
      </c>
      <c r="N24">
        <f t="shared" si="2"/>
        <v>90.779760974847662</v>
      </c>
      <c r="O24">
        <f t="shared" si="2"/>
        <v>49.127726455016294</v>
      </c>
      <c r="P24">
        <f t="shared" si="2"/>
        <v>33.251596261325098</v>
      </c>
      <c r="Q24">
        <f t="shared" si="2"/>
        <v>35.270002827254736</v>
      </c>
      <c r="R24" s="10">
        <f t="shared" si="2"/>
        <v>11.753874482123678</v>
      </c>
      <c r="S24" s="21"/>
      <c r="T24" s="21"/>
      <c r="U24"/>
      <c r="V24"/>
    </row>
    <row r="25" spans="1:31" x14ac:dyDescent="0.2">
      <c r="A25" t="s">
        <v>654</v>
      </c>
      <c r="B25" t="s">
        <v>851</v>
      </c>
      <c r="C25" t="s">
        <v>819</v>
      </c>
      <c r="D25" t="s">
        <v>883</v>
      </c>
      <c r="E25">
        <v>119.33655839668279</v>
      </c>
      <c r="F25">
        <v>116.18324607329843</v>
      </c>
      <c r="G25">
        <v>4.0441006161115487</v>
      </c>
      <c r="H25">
        <v>12.63380281690141</v>
      </c>
      <c r="I25">
        <v>1</v>
      </c>
      <c r="J25">
        <v>1</v>
      </c>
      <c r="K25" s="10">
        <v>5.1025056947608203</v>
      </c>
      <c r="L25">
        <f t="shared" si="2"/>
        <v>24.872884407634139</v>
      </c>
      <c r="M25">
        <f t="shared" si="2"/>
        <v>2.9799697047827767</v>
      </c>
      <c r="N25">
        <f t="shared" si="2"/>
        <v>85.240587408217465</v>
      </c>
      <c r="O25">
        <f t="shared" si="2"/>
        <v>1.1485201759271708</v>
      </c>
      <c r="P25">
        <f t="shared" si="2"/>
        <v>0.15285893985956087</v>
      </c>
      <c r="Q25">
        <f t="shared" si="2"/>
        <v>0.59089623975120154</v>
      </c>
      <c r="R25" s="10">
        <f t="shared" si="2"/>
        <v>34.371643394199786</v>
      </c>
      <c r="S25" s="21"/>
      <c r="T25" s="21"/>
      <c r="U25" s="176" t="s">
        <v>654</v>
      </c>
      <c r="V25" s="176" t="s">
        <v>841</v>
      </c>
      <c r="W25" s="176" t="s">
        <v>814</v>
      </c>
      <c r="X25" s="176" t="s">
        <v>842</v>
      </c>
      <c r="Y25" s="176">
        <v>69.370481792465526</v>
      </c>
      <c r="Z25" s="176">
        <v>73.622009105880068</v>
      </c>
      <c r="AA25" s="176">
        <v>46.433576125286805</v>
      </c>
      <c r="AB25" s="176">
        <v>74.235637611221321</v>
      </c>
      <c r="AC25" s="176">
        <v>1.2582619529063832</v>
      </c>
      <c r="AD25" s="176">
        <v>1.3869282782011323</v>
      </c>
      <c r="AE25" s="176">
        <v>11.100917431192659</v>
      </c>
    </row>
    <row r="26" spans="1:31" x14ac:dyDescent="0.2">
      <c r="A26" t="s">
        <v>654</v>
      </c>
      <c r="B26" t="s">
        <v>858</v>
      </c>
      <c r="C26" t="s">
        <v>819</v>
      </c>
      <c r="D26" t="s">
        <v>884</v>
      </c>
      <c r="E26">
        <v>73.342087076710428</v>
      </c>
      <c r="F26">
        <v>10.607329842931938</v>
      </c>
      <c r="G26">
        <v>2.7582804465650619</v>
      </c>
      <c r="H26">
        <v>2.7183098591549295</v>
      </c>
      <c r="I26">
        <v>1</v>
      </c>
      <c r="J26">
        <v>2.2822966507177034</v>
      </c>
      <c r="K26" s="10">
        <v>10.765375854214124</v>
      </c>
      <c r="L26">
        <f t="shared" si="2"/>
        <v>15.286424198775656</v>
      </c>
      <c r="M26">
        <f t="shared" si="2"/>
        <v>0.27206609084267969</v>
      </c>
      <c r="N26">
        <f t="shared" si="2"/>
        <v>58.138376816122474</v>
      </c>
      <c r="O26">
        <f t="shared" si="2"/>
        <v>0.24711749604676025</v>
      </c>
      <c r="P26">
        <f t="shared" si="2"/>
        <v>0.15285893985956087</v>
      </c>
      <c r="Q26">
        <f t="shared" si="2"/>
        <v>1.3486005089058524</v>
      </c>
      <c r="R26" s="10">
        <f t="shared" si="2"/>
        <v>72.518029768298291</v>
      </c>
      <c r="S26" s="21"/>
      <c r="T26" s="21"/>
      <c r="U26" s="176" t="s">
        <v>654</v>
      </c>
      <c r="V26" s="176" t="s">
        <v>843</v>
      </c>
      <c r="W26" s="176" t="s">
        <v>817</v>
      </c>
      <c r="X26" s="176" t="s">
        <v>842</v>
      </c>
      <c r="Y26" s="176">
        <v>37.736942505976387</v>
      </c>
      <c r="Z26" s="176">
        <v>49.092710397330279</v>
      </c>
      <c r="AA26" s="176">
        <v>48.799306747546119</v>
      </c>
      <c r="AB26" s="176">
        <v>38.508944037521118</v>
      </c>
      <c r="AC26" s="176">
        <v>2.9069825213390703</v>
      </c>
      <c r="AD26" s="176">
        <v>0.3865581214148498</v>
      </c>
      <c r="AE26" s="176">
        <v>6.5019505851755515</v>
      </c>
    </row>
    <row r="27" spans="1:31" x14ac:dyDescent="0.2">
      <c r="A27" t="s">
        <v>654</v>
      </c>
      <c r="B27" t="s">
        <v>865</v>
      </c>
      <c r="C27" t="s">
        <v>819</v>
      </c>
      <c r="D27" t="s">
        <v>885</v>
      </c>
      <c r="E27">
        <v>479.78576364892882</v>
      </c>
      <c r="F27">
        <v>3898.8062827225135</v>
      </c>
      <c r="G27">
        <v>4.7443368694121464</v>
      </c>
      <c r="H27">
        <v>27.20422535211268</v>
      </c>
      <c r="I27">
        <v>1</v>
      </c>
      <c r="J27">
        <v>5.1674641148325362</v>
      </c>
      <c r="K27" s="10">
        <v>13.031890660592257</v>
      </c>
      <c r="L27">
        <f t="shared" si="2"/>
        <v>100</v>
      </c>
      <c r="M27">
        <f t="shared" si="2"/>
        <v>100</v>
      </c>
      <c r="N27">
        <f t="shared" si="2"/>
        <v>100</v>
      </c>
      <c r="O27">
        <f t="shared" si="2"/>
        <v>2.4730955627684845</v>
      </c>
      <c r="P27">
        <f t="shared" si="2"/>
        <v>0.15285893985956087</v>
      </c>
      <c r="Q27">
        <f t="shared" si="2"/>
        <v>3.053435114503817</v>
      </c>
      <c r="R27" s="10">
        <f t="shared" si="2"/>
        <v>87.785791008132591</v>
      </c>
      <c r="S27" s="21"/>
      <c r="T27" s="21"/>
      <c r="U27" s="176" t="s">
        <v>654</v>
      </c>
      <c r="V27" s="176" t="s">
        <v>844</v>
      </c>
      <c r="W27" s="176" t="s">
        <v>819</v>
      </c>
      <c r="X27" s="176" t="s">
        <v>842</v>
      </c>
      <c r="Y27" s="176">
        <v>33.251596261325098</v>
      </c>
      <c r="Z27" s="176">
        <v>35.270002827254736</v>
      </c>
      <c r="AA27" s="176">
        <v>49.127726455016294</v>
      </c>
      <c r="AB27" s="176">
        <v>90.779760974847662</v>
      </c>
      <c r="AC27" s="176">
        <v>0.25581732628593529</v>
      </c>
      <c r="AD27" s="176">
        <v>1.9083903492978034</v>
      </c>
      <c r="AE27" s="176">
        <v>11.753874482123678</v>
      </c>
    </row>
    <row r="28" spans="1:31" x14ac:dyDescent="0.2">
      <c r="A28" t="s">
        <v>654</v>
      </c>
      <c r="B28" t="s">
        <v>872</v>
      </c>
      <c r="C28" t="s">
        <v>819</v>
      </c>
      <c r="D28" t="s">
        <v>886</v>
      </c>
      <c r="E28">
        <v>360.12992398064961</v>
      </c>
      <c r="F28">
        <v>316.45026178010471</v>
      </c>
      <c r="G28">
        <v>3.6134710705517206</v>
      </c>
      <c r="H28">
        <v>9.8661971830985919</v>
      </c>
      <c r="I28">
        <v>1</v>
      </c>
      <c r="J28">
        <v>3.5837320574162681</v>
      </c>
      <c r="K28" s="10">
        <v>14.845102505694761</v>
      </c>
      <c r="L28">
        <f t="shared" si="2"/>
        <v>75.060568959308611</v>
      </c>
      <c r="M28">
        <f t="shared" si="2"/>
        <v>8.1165936143698154</v>
      </c>
      <c r="N28">
        <f t="shared" si="2"/>
        <v>76.163880643649421</v>
      </c>
      <c r="O28">
        <f t="shared" si="2"/>
        <v>0.89692127451168679</v>
      </c>
      <c r="P28">
        <f t="shared" si="2"/>
        <v>0.15285893985956087</v>
      </c>
      <c r="Q28">
        <f t="shared" si="2"/>
        <v>2.1176137970031097</v>
      </c>
      <c r="R28" s="10">
        <f t="shared" si="2"/>
        <v>100</v>
      </c>
      <c r="S28" s="21"/>
      <c r="T28" s="21"/>
      <c r="U28" s="176" t="s">
        <v>820</v>
      </c>
      <c r="V28" s="176" t="s">
        <v>845</v>
      </c>
      <c r="W28" s="176" t="s">
        <v>822</v>
      </c>
      <c r="X28" s="176" t="s">
        <v>842</v>
      </c>
      <c r="Y28" s="176">
        <v>18.769147594161105</v>
      </c>
      <c r="Z28" s="176">
        <v>10.180224062347781</v>
      </c>
      <c r="AA28" s="176">
        <v>14.640361693382653</v>
      </c>
      <c r="AB28" s="176">
        <v>45.799650213758255</v>
      </c>
      <c r="AC28" s="176">
        <v>0.82384087504789771</v>
      </c>
      <c r="AD28" s="176">
        <v>0.31515672435357056</v>
      </c>
      <c r="AE28" s="176">
        <v>11.29305477131564</v>
      </c>
    </row>
    <row r="29" spans="1:31" x14ac:dyDescent="0.2">
      <c r="K29" s="10"/>
      <c r="L29"/>
      <c r="R29" s="10"/>
      <c r="S29" s="21"/>
      <c r="T29" s="21"/>
      <c r="U29" s="176" t="s">
        <v>820</v>
      </c>
      <c r="V29" s="176" t="s">
        <v>846</v>
      </c>
      <c r="W29" s="176" t="s">
        <v>824</v>
      </c>
      <c r="X29" s="176" t="s">
        <v>842</v>
      </c>
      <c r="Y29" s="176">
        <v>9.1360856269113135</v>
      </c>
      <c r="Z29" s="176">
        <v>5.4103028734144436</v>
      </c>
      <c r="AA29" s="176">
        <v>5.6120288013553576</v>
      </c>
      <c r="AB29" s="176">
        <v>46.193502654197175</v>
      </c>
      <c r="AC29" s="176">
        <v>0.47233968889878081</v>
      </c>
      <c r="AD29" s="176">
        <v>0.65995125123001985</v>
      </c>
      <c r="AE29" s="176">
        <v>3.6337556777432471</v>
      </c>
    </row>
    <row r="30" spans="1:31" x14ac:dyDescent="0.2">
      <c r="A30" t="s">
        <v>820</v>
      </c>
      <c r="B30" t="s">
        <v>821</v>
      </c>
      <c r="C30" t="s">
        <v>822</v>
      </c>
      <c r="D30" t="s">
        <v>879</v>
      </c>
      <c r="E30">
        <v>1</v>
      </c>
      <c r="F30">
        <v>1</v>
      </c>
      <c r="G30">
        <v>1</v>
      </c>
      <c r="H30">
        <v>1</v>
      </c>
      <c r="I30">
        <v>1</v>
      </c>
      <c r="J30">
        <v>1</v>
      </c>
      <c r="K30" s="10">
        <v>1</v>
      </c>
      <c r="L30">
        <f t="shared" ref="L30:R37" si="3">E30/(MAX(E$30:E$37))*100</f>
        <v>0.17520950759516687</v>
      </c>
      <c r="M30">
        <f t="shared" si="3"/>
        <v>0.33267147385655066</v>
      </c>
      <c r="N30">
        <f t="shared" si="3"/>
        <v>4.3334628837932376</v>
      </c>
      <c r="O30">
        <f t="shared" si="3"/>
        <v>1.1672831894780105</v>
      </c>
      <c r="P30">
        <f t="shared" si="3"/>
        <v>1.7300414489097133</v>
      </c>
      <c r="Q30">
        <f t="shared" si="3"/>
        <v>10.180224062347781</v>
      </c>
      <c r="R30" s="10">
        <f t="shared" si="3"/>
        <v>9.0909090909090917</v>
      </c>
      <c r="S30" s="21"/>
      <c r="T30" s="21"/>
      <c r="U30" s="176" t="s">
        <v>654</v>
      </c>
      <c r="V30" s="176" t="s">
        <v>847</v>
      </c>
      <c r="W30" s="176" t="s">
        <v>826</v>
      </c>
      <c r="X30" s="176" t="s">
        <v>842</v>
      </c>
      <c r="Y30" s="176">
        <v>11.923575129533678</v>
      </c>
      <c r="Z30" s="176">
        <v>15.902591212410089</v>
      </c>
      <c r="AA30" s="176">
        <v>28.340305643302315</v>
      </c>
      <c r="AB30" s="176">
        <v>17.417333333333335</v>
      </c>
      <c r="AC30" s="176">
        <v>18.999161977732552</v>
      </c>
      <c r="AD30" s="176">
        <v>1.1471648639790231</v>
      </c>
      <c r="AE30" s="176">
        <v>26.451612903225808</v>
      </c>
    </row>
    <row r="31" spans="1:31" x14ac:dyDescent="0.2">
      <c r="A31" t="s">
        <v>820</v>
      </c>
      <c r="B31" t="s">
        <v>831</v>
      </c>
      <c r="C31" t="s">
        <v>822</v>
      </c>
      <c r="D31" t="s">
        <v>880</v>
      </c>
      <c r="E31">
        <v>6.1194968553459121</v>
      </c>
      <c r="F31">
        <v>1</v>
      </c>
      <c r="G31">
        <v>8.2304932735426011</v>
      </c>
      <c r="H31">
        <v>1</v>
      </c>
      <c r="I31">
        <v>1</v>
      </c>
      <c r="J31">
        <v>1</v>
      </c>
      <c r="K31" s="10">
        <v>2.8260869565217388</v>
      </c>
      <c r="L31">
        <f t="shared" si="3"/>
        <v>1.0721940307553295</v>
      </c>
      <c r="M31">
        <f t="shared" si="3"/>
        <v>0.33267147385655066</v>
      </c>
      <c r="N31">
        <f t="shared" si="3"/>
        <v>35.666537116206761</v>
      </c>
      <c r="O31">
        <f t="shared" si="3"/>
        <v>1.1672831894780105</v>
      </c>
      <c r="P31">
        <f t="shared" si="3"/>
        <v>1.7300414489097133</v>
      </c>
      <c r="Q31">
        <f t="shared" si="3"/>
        <v>10.180224062347781</v>
      </c>
      <c r="R31" s="10">
        <f t="shared" si="3"/>
        <v>25.691699604743079</v>
      </c>
      <c r="S31" s="21"/>
      <c r="T31" s="21"/>
      <c r="U31" s="176"/>
      <c r="V31" s="176"/>
      <c r="W31" s="176"/>
      <c r="X31" s="176"/>
      <c r="Y31" s="176"/>
      <c r="Z31" s="176"/>
      <c r="AA31" s="176"/>
      <c r="AB31" s="176"/>
      <c r="AC31" s="176"/>
      <c r="AD31" s="176"/>
      <c r="AE31" s="176"/>
    </row>
    <row r="32" spans="1:31" x14ac:dyDescent="0.2">
      <c r="A32" t="s">
        <v>820</v>
      </c>
      <c r="B32" t="s">
        <v>838</v>
      </c>
      <c r="C32" t="s">
        <v>822</v>
      </c>
      <c r="D32" t="s">
        <v>881</v>
      </c>
      <c r="E32">
        <v>2.1540880503144653</v>
      </c>
      <c r="F32">
        <v>44.188481675392673</v>
      </c>
      <c r="G32">
        <v>16.473766816143499</v>
      </c>
      <c r="H32">
        <v>85.669014084507054</v>
      </c>
      <c r="I32">
        <v>57.802083333333336</v>
      </c>
      <c r="J32">
        <v>9.8229665071770356</v>
      </c>
      <c r="K32" s="10">
        <v>0.93788819875776397</v>
      </c>
      <c r="L32">
        <f t="shared" si="3"/>
        <v>0.37741670661223048</v>
      </c>
      <c r="M32">
        <f t="shared" si="3"/>
        <v>14.700247326436061</v>
      </c>
      <c r="N32">
        <f t="shared" si="3"/>
        <v>71.388457054022552</v>
      </c>
      <c r="O32">
        <f t="shared" si="3"/>
        <v>100</v>
      </c>
      <c r="P32">
        <f t="shared" si="3"/>
        <v>100</v>
      </c>
      <c r="Q32">
        <f t="shared" si="3"/>
        <v>100</v>
      </c>
      <c r="R32" s="10">
        <f t="shared" si="3"/>
        <v>8.5262563523433084</v>
      </c>
      <c r="S32" s="21"/>
      <c r="T32" s="21"/>
      <c r="U32" t="s">
        <v>654</v>
      </c>
      <c r="V32" t="s">
        <v>848</v>
      </c>
      <c r="W32" t="s">
        <v>814</v>
      </c>
      <c r="X32" t="s">
        <v>849</v>
      </c>
      <c r="Y32">
        <v>0.63086525077454991</v>
      </c>
      <c r="Z32">
        <v>7.2023636539765565</v>
      </c>
      <c r="AA32">
        <v>5.4705184865797136</v>
      </c>
      <c r="AB32">
        <v>70.473822375089881</v>
      </c>
      <c r="AC32">
        <v>0.51308522570704462</v>
      </c>
      <c r="AD32">
        <v>3.365077207733437</v>
      </c>
      <c r="AE32">
        <v>10.733944954128438</v>
      </c>
    </row>
    <row r="33" spans="1:31" x14ac:dyDescent="0.2">
      <c r="A33" t="s">
        <v>820</v>
      </c>
      <c r="B33" t="s">
        <v>845</v>
      </c>
      <c r="C33" t="s">
        <v>822</v>
      </c>
      <c r="D33" t="s">
        <v>882</v>
      </c>
      <c r="E33">
        <v>1.7987421383647797</v>
      </c>
      <c r="F33">
        <v>2.4764397905759163</v>
      </c>
      <c r="G33">
        <v>10.568834080717489</v>
      </c>
      <c r="H33">
        <v>12.54225352112676</v>
      </c>
      <c r="I33">
        <v>10.848958333333332</v>
      </c>
      <c r="J33">
        <v>1</v>
      </c>
      <c r="K33" s="10">
        <v>1.2422360248447204</v>
      </c>
      <c r="L33">
        <f t="shared" si="3"/>
        <v>0.31515672435357056</v>
      </c>
      <c r="M33">
        <f t="shared" si="3"/>
        <v>0.82384087504789771</v>
      </c>
      <c r="N33">
        <f t="shared" si="3"/>
        <v>45.799650213758255</v>
      </c>
      <c r="O33">
        <f t="shared" si="3"/>
        <v>14.640361693382653</v>
      </c>
      <c r="P33">
        <f t="shared" si="3"/>
        <v>18.769147594161105</v>
      </c>
      <c r="Q33">
        <f t="shared" si="3"/>
        <v>10.180224062347781</v>
      </c>
      <c r="R33" s="10">
        <f t="shared" si="3"/>
        <v>11.29305477131564</v>
      </c>
      <c r="S33" s="21"/>
      <c r="T33" s="21"/>
      <c r="U33" t="s">
        <v>654</v>
      </c>
      <c r="V33" t="s">
        <v>850</v>
      </c>
      <c r="W33" t="s">
        <v>817</v>
      </c>
      <c r="X33" t="s">
        <v>849</v>
      </c>
      <c r="Y33">
        <v>0.23181126699345617</v>
      </c>
      <c r="Z33">
        <v>1.0897903848159349</v>
      </c>
      <c r="AA33">
        <v>0.38162214408319028</v>
      </c>
      <c r="AB33">
        <v>32.067875094164563</v>
      </c>
      <c r="AC33">
        <v>3.0431153551874561</v>
      </c>
      <c r="AD33">
        <v>17.395115463668237</v>
      </c>
      <c r="AE33">
        <v>49.154746423927172</v>
      </c>
    </row>
    <row r="34" spans="1:31" x14ac:dyDescent="0.2">
      <c r="A34" t="s">
        <v>820</v>
      </c>
      <c r="B34" t="s">
        <v>852</v>
      </c>
      <c r="C34" t="s">
        <v>822</v>
      </c>
      <c r="D34" t="s">
        <v>883</v>
      </c>
      <c r="E34">
        <v>93.207547169811306</v>
      </c>
      <c r="F34">
        <v>23.94240837696335</v>
      </c>
      <c r="G34">
        <v>18.647309417040358</v>
      </c>
      <c r="H34">
        <v>11.901408450704224</v>
      </c>
      <c r="I34">
        <v>1.7447916666666667</v>
      </c>
      <c r="J34">
        <v>1</v>
      </c>
      <c r="K34" s="10">
        <v>1.84472049689441</v>
      </c>
      <c r="L34">
        <f t="shared" si="3"/>
        <v>16.330848443775928</v>
      </c>
      <c r="M34">
        <f t="shared" si="3"/>
        <v>7.9649562824398226</v>
      </c>
      <c r="N34">
        <f t="shared" si="3"/>
        <v>80.80742324135251</v>
      </c>
      <c r="O34">
        <f t="shared" si="3"/>
        <v>13.892314015618574</v>
      </c>
      <c r="P34">
        <f t="shared" si="3"/>
        <v>3.0185619030455935</v>
      </c>
      <c r="Q34">
        <f t="shared" si="3"/>
        <v>10.180224062347781</v>
      </c>
      <c r="R34" s="10">
        <f t="shared" si="3"/>
        <v>16.770186335403729</v>
      </c>
      <c r="S34" s="21"/>
      <c r="T34" s="21"/>
      <c r="U34" t="s">
        <v>654</v>
      </c>
      <c r="V34" t="s">
        <v>851</v>
      </c>
      <c r="W34" t="s">
        <v>819</v>
      </c>
      <c r="X34" t="s">
        <v>849</v>
      </c>
      <c r="Y34">
        <v>0.15285893985956087</v>
      </c>
      <c r="Z34">
        <v>0.59089623975120154</v>
      </c>
      <c r="AA34">
        <v>1.1485201759271708</v>
      </c>
      <c r="AB34">
        <v>85.240587408217465</v>
      </c>
      <c r="AC34">
        <v>2.9799697047827767</v>
      </c>
      <c r="AD34">
        <v>24.872884407634139</v>
      </c>
      <c r="AE34">
        <v>34.371643394199786</v>
      </c>
    </row>
    <row r="35" spans="1:31" x14ac:dyDescent="0.2">
      <c r="A35" t="s">
        <v>820</v>
      </c>
      <c r="B35" t="s">
        <v>859</v>
      </c>
      <c r="C35" t="s">
        <v>822</v>
      </c>
      <c r="D35" t="s">
        <v>884</v>
      </c>
      <c r="E35">
        <v>486.03459119496853</v>
      </c>
      <c r="F35">
        <v>81.81675392670158</v>
      </c>
      <c r="G35">
        <v>21.5609865470852</v>
      </c>
      <c r="H35">
        <v>32.654929577464792</v>
      </c>
      <c r="I35">
        <v>1.21875</v>
      </c>
      <c r="J35">
        <v>7.0047846889952163</v>
      </c>
      <c r="K35" s="10">
        <v>11</v>
      </c>
      <c r="L35">
        <f t="shared" si="3"/>
        <v>85.157881397488666</v>
      </c>
      <c r="M35">
        <f t="shared" si="3"/>
        <v>27.218100114954542</v>
      </c>
      <c r="N35">
        <f t="shared" si="3"/>
        <v>93.433734939759034</v>
      </c>
      <c r="O35">
        <f t="shared" si="3"/>
        <v>38.117550349362922</v>
      </c>
      <c r="P35">
        <f t="shared" si="3"/>
        <v>2.1084880158587134</v>
      </c>
      <c r="Q35">
        <f t="shared" si="3"/>
        <v>71.310277642474418</v>
      </c>
      <c r="R35" s="10">
        <f t="shared" si="3"/>
        <v>100</v>
      </c>
      <c r="S35" s="21"/>
      <c r="T35" s="21"/>
      <c r="U35" t="s">
        <v>820</v>
      </c>
      <c r="V35" t="s">
        <v>852</v>
      </c>
      <c r="W35" t="s">
        <v>822</v>
      </c>
      <c r="X35" t="s">
        <v>849</v>
      </c>
      <c r="Y35">
        <v>3.0185619030455935</v>
      </c>
      <c r="Z35">
        <v>10.180224062347781</v>
      </c>
      <c r="AA35">
        <v>13.892314015618574</v>
      </c>
      <c r="AB35">
        <v>80.80742324135251</v>
      </c>
      <c r="AC35">
        <v>7.9649562824398226</v>
      </c>
      <c r="AD35">
        <v>16.330848443775928</v>
      </c>
      <c r="AE35">
        <v>16.770186335403729</v>
      </c>
    </row>
    <row r="36" spans="1:31" x14ac:dyDescent="0.2">
      <c r="A36" t="s">
        <v>820</v>
      </c>
      <c r="B36" t="s">
        <v>866</v>
      </c>
      <c r="C36" t="s">
        <v>822</v>
      </c>
      <c r="D36" t="s">
        <v>885</v>
      </c>
      <c r="E36">
        <v>570.74528301886789</v>
      </c>
      <c r="F36">
        <v>300.59685863874347</v>
      </c>
      <c r="G36">
        <v>23.076233183856502</v>
      </c>
      <c r="H36">
        <v>21</v>
      </c>
      <c r="I36">
        <v>1</v>
      </c>
      <c r="J36">
        <v>1.7846889952153111</v>
      </c>
      <c r="K36" s="10">
        <v>4.0683229813664594</v>
      </c>
      <c r="L36">
        <f t="shared" si="3"/>
        <v>100</v>
      </c>
      <c r="M36">
        <f t="shared" si="3"/>
        <v>100</v>
      </c>
      <c r="N36">
        <f t="shared" si="3"/>
        <v>100</v>
      </c>
      <c r="O36">
        <f t="shared" si="3"/>
        <v>24.512946979038222</v>
      </c>
      <c r="P36">
        <f t="shared" si="3"/>
        <v>1.7300414489097133</v>
      </c>
      <c r="Q36">
        <f t="shared" si="3"/>
        <v>18.168533852898193</v>
      </c>
      <c r="R36" s="10">
        <f t="shared" si="3"/>
        <v>36.984754376058717</v>
      </c>
      <c r="S36" s="21"/>
      <c r="T36" s="21"/>
      <c r="U36" t="s">
        <v>820</v>
      </c>
      <c r="V36" t="s">
        <v>853</v>
      </c>
      <c r="W36" t="s">
        <v>824</v>
      </c>
      <c r="X36" t="s">
        <v>849</v>
      </c>
      <c r="Y36">
        <v>4.1666666666666661</v>
      </c>
      <c r="Z36">
        <v>5.4103028734144436</v>
      </c>
      <c r="AA36">
        <v>25.914160666384301</v>
      </c>
      <c r="AB36">
        <v>77.525917691694247</v>
      </c>
      <c r="AC36">
        <v>13.260133046467345</v>
      </c>
      <c r="AD36">
        <v>41.699670024374385</v>
      </c>
      <c r="AE36">
        <v>100</v>
      </c>
    </row>
    <row r="37" spans="1:31" x14ac:dyDescent="0.2">
      <c r="A37" t="s">
        <v>820</v>
      </c>
      <c r="B37" t="s">
        <v>873</v>
      </c>
      <c r="C37" t="s">
        <v>822</v>
      </c>
      <c r="D37" t="s">
        <v>886</v>
      </c>
      <c r="E37">
        <v>264.15723270440247</v>
      </c>
      <c r="F37">
        <v>90.308900523560212</v>
      </c>
      <c r="G37">
        <v>18.90358744394619</v>
      </c>
      <c r="H37">
        <v>11.880281690140846</v>
      </c>
      <c r="I37">
        <v>1</v>
      </c>
      <c r="J37">
        <v>4.052631578947369</v>
      </c>
      <c r="K37" s="10">
        <v>6.0931677018633543</v>
      </c>
      <c r="L37">
        <f t="shared" si="3"/>
        <v>46.282858669840266</v>
      </c>
      <c r="M37">
        <f t="shared" si="3"/>
        <v>30.043195039537395</v>
      </c>
      <c r="N37">
        <f t="shared" si="3"/>
        <v>81.917994558880693</v>
      </c>
      <c r="O37">
        <f t="shared" si="3"/>
        <v>13.867653103164814</v>
      </c>
      <c r="P37">
        <f t="shared" si="3"/>
        <v>1.7300414489097133</v>
      </c>
      <c r="Q37">
        <f t="shared" si="3"/>
        <v>41.256697515830488</v>
      </c>
      <c r="R37" s="10">
        <f t="shared" si="3"/>
        <v>55.392433653303222</v>
      </c>
      <c r="S37" s="21"/>
      <c r="T37" s="21"/>
      <c r="U37" t="s">
        <v>654</v>
      </c>
      <c r="V37" t="s">
        <v>854</v>
      </c>
      <c r="W37" t="s">
        <v>826</v>
      </c>
      <c r="X37" t="s">
        <v>849</v>
      </c>
      <c r="Y37">
        <v>0.79987046632124348</v>
      </c>
      <c r="Z37">
        <v>11.500129993933616</v>
      </c>
      <c r="AA37">
        <v>12.725177153590028</v>
      </c>
      <c r="AB37">
        <v>10.930666666666667</v>
      </c>
      <c r="AC37">
        <v>2.9809649227822339</v>
      </c>
      <c r="AD37">
        <v>7.0058997050147491</v>
      </c>
      <c r="AE37">
        <v>26.451612903225808</v>
      </c>
    </row>
    <row r="38" spans="1:31" x14ac:dyDescent="0.2">
      <c r="K38" s="10"/>
      <c r="L38"/>
      <c r="R38" s="10"/>
      <c r="S38" s="21"/>
      <c r="T38" s="21"/>
      <c r="U38"/>
      <c r="V38"/>
    </row>
    <row r="39" spans="1:31" x14ac:dyDescent="0.2">
      <c r="A39" t="s">
        <v>820</v>
      </c>
      <c r="B39" t="s">
        <v>823</v>
      </c>
      <c r="C39" t="s">
        <v>824</v>
      </c>
      <c r="D39" t="s">
        <v>879</v>
      </c>
      <c r="E39">
        <v>1</v>
      </c>
      <c r="F39">
        <v>1</v>
      </c>
      <c r="G39">
        <v>1</v>
      </c>
      <c r="H39">
        <v>1</v>
      </c>
      <c r="I39">
        <v>1</v>
      </c>
      <c r="J39">
        <v>1</v>
      </c>
      <c r="K39" s="10">
        <v>1</v>
      </c>
      <c r="L39">
        <f t="shared" ref="L39:R46" si="4">E39/(MAX(E$39:E$46))*100</f>
        <v>0.43846076280350627</v>
      </c>
      <c r="M39">
        <f t="shared" si="4"/>
        <v>0.47233968889878081</v>
      </c>
      <c r="N39">
        <f t="shared" si="4"/>
        <v>6.6834215380649722</v>
      </c>
      <c r="O39">
        <f t="shared" si="4"/>
        <v>1.0024001129464915</v>
      </c>
      <c r="P39">
        <f t="shared" si="4"/>
        <v>5.2752293577981648</v>
      </c>
      <c r="Q39">
        <f t="shared" si="4"/>
        <v>5.4103028734144436</v>
      </c>
      <c r="R39" s="10">
        <f t="shared" si="4"/>
        <v>7.1957924934257704</v>
      </c>
      <c r="S39" s="21"/>
      <c r="T39" s="21"/>
      <c r="U39" s="176" t="s">
        <v>654</v>
      </c>
      <c r="V39" s="176" t="s">
        <v>855</v>
      </c>
      <c r="W39" s="176" t="s">
        <v>814</v>
      </c>
      <c r="X39" s="176" t="s">
        <v>856</v>
      </c>
      <c r="Y39" s="176">
        <v>0.42880876476134883</v>
      </c>
      <c r="Z39" s="176">
        <v>4.1412380122057542</v>
      </c>
      <c r="AA39" s="176">
        <v>2.1743482344969896</v>
      </c>
      <c r="AB39" s="176">
        <v>56.104935758037833</v>
      </c>
      <c r="AC39" s="176">
        <v>0.10867160604990354</v>
      </c>
      <c r="AD39" s="176">
        <v>3.8708375419965377</v>
      </c>
      <c r="AE39" s="176">
        <v>15.902140672782874</v>
      </c>
    </row>
    <row r="40" spans="1:31" x14ac:dyDescent="0.2">
      <c r="A40" t="s">
        <v>820</v>
      </c>
      <c r="B40" t="s">
        <v>832</v>
      </c>
      <c r="C40" t="s">
        <v>824</v>
      </c>
      <c r="D40" t="s">
        <v>880</v>
      </c>
      <c r="E40">
        <v>4.2934179222839015</v>
      </c>
      <c r="F40">
        <v>1</v>
      </c>
      <c r="G40">
        <v>8.3862841991081112</v>
      </c>
      <c r="H40">
        <v>2.274647887323944</v>
      </c>
      <c r="I40">
        <v>0.69565217391304346</v>
      </c>
      <c r="J40">
        <v>1</v>
      </c>
      <c r="K40" s="10">
        <v>1.0265780730897009</v>
      </c>
      <c r="L40">
        <f t="shared" si="4"/>
        <v>1.8824952972388447</v>
      </c>
      <c r="M40">
        <f t="shared" si="4"/>
        <v>0.47233968889878081</v>
      </c>
      <c r="N40">
        <f t="shared" si="4"/>
        <v>56.049072440653113</v>
      </c>
      <c r="O40">
        <f t="shared" si="4"/>
        <v>2.2801072991670202</v>
      </c>
      <c r="P40">
        <f t="shared" si="4"/>
        <v>3.6697247706422012</v>
      </c>
      <c r="Q40">
        <f t="shared" si="4"/>
        <v>5.4103028734144436</v>
      </c>
      <c r="R40" s="10">
        <f t="shared" si="4"/>
        <v>7.3870427922543627</v>
      </c>
      <c r="S40" s="21"/>
      <c r="T40" s="21"/>
      <c r="U40" s="176" t="s">
        <v>654</v>
      </c>
      <c r="V40" s="176" t="s">
        <v>857</v>
      </c>
      <c r="W40" s="176" t="s">
        <v>817</v>
      </c>
      <c r="X40" s="176" t="s">
        <v>856</v>
      </c>
      <c r="Y40" s="176">
        <v>0.23181126699345617</v>
      </c>
      <c r="Z40" s="176">
        <v>1.0897903848159349</v>
      </c>
      <c r="AA40" s="176">
        <v>0.13331777959238089</v>
      </c>
      <c r="AB40" s="176">
        <v>37.389609339422293</v>
      </c>
      <c r="AC40" s="176">
        <v>1.0855848246668722</v>
      </c>
      <c r="AD40" s="176">
        <v>11.287318027736356</v>
      </c>
      <c r="AE40" s="176">
        <v>33.875162548764628</v>
      </c>
    </row>
    <row r="41" spans="1:31" x14ac:dyDescent="0.2">
      <c r="A41" t="s">
        <v>820</v>
      </c>
      <c r="B41" t="s">
        <v>839</v>
      </c>
      <c r="C41" t="s">
        <v>824</v>
      </c>
      <c r="D41" t="s">
        <v>881</v>
      </c>
      <c r="E41">
        <v>1.3053132434575734</v>
      </c>
      <c r="F41">
        <v>22.2565445026178</v>
      </c>
      <c r="G41">
        <v>12.189586597565386</v>
      </c>
      <c r="H41">
        <v>59.309859154929576</v>
      </c>
      <c r="I41">
        <v>18.956521739130437</v>
      </c>
      <c r="J41">
        <v>1</v>
      </c>
      <c r="K41" s="10">
        <v>0.45182724252491702</v>
      </c>
      <c r="L41">
        <f t="shared" si="4"/>
        <v>0.5723286404239265</v>
      </c>
      <c r="M41">
        <f t="shared" si="4"/>
        <v>10.512649306328361</v>
      </c>
      <c r="N41">
        <f t="shared" si="4"/>
        <v>81.468145606276636</v>
      </c>
      <c r="O41">
        <f t="shared" si="4"/>
        <v>59.452209515741913</v>
      </c>
      <c r="P41">
        <f t="shared" si="4"/>
        <v>100</v>
      </c>
      <c r="Q41">
        <f t="shared" si="4"/>
        <v>5.4103028734144436</v>
      </c>
      <c r="R41" s="10">
        <f t="shared" si="4"/>
        <v>3.2512550800860627</v>
      </c>
      <c r="S41" s="21"/>
      <c r="T41" s="21"/>
      <c r="U41" s="176" t="s">
        <v>654</v>
      </c>
      <c r="V41" s="176" t="s">
        <v>858</v>
      </c>
      <c r="W41" s="176" t="s">
        <v>819</v>
      </c>
      <c r="X41" s="176" t="s">
        <v>856</v>
      </c>
      <c r="Y41" s="176">
        <v>0.15285893985956087</v>
      </c>
      <c r="Z41" s="176">
        <v>1.3486005089058524</v>
      </c>
      <c r="AA41" s="176">
        <v>0.24711749604676025</v>
      </c>
      <c r="AB41" s="176">
        <v>58.138376816122474</v>
      </c>
      <c r="AC41" s="176">
        <v>0.27206609084267969</v>
      </c>
      <c r="AD41" s="176">
        <v>15.286424198775656</v>
      </c>
      <c r="AE41" s="176">
        <v>72.518029768298291</v>
      </c>
    </row>
    <row r="42" spans="1:31" x14ac:dyDescent="0.2">
      <c r="A42" t="s">
        <v>820</v>
      </c>
      <c r="B42" t="s">
        <v>846</v>
      </c>
      <c r="C42" t="s">
        <v>824</v>
      </c>
      <c r="D42" t="s">
        <v>882</v>
      </c>
      <c r="E42">
        <v>1.5051546391752579</v>
      </c>
      <c r="F42">
        <v>1</v>
      </c>
      <c r="G42">
        <v>6.9116548149933719</v>
      </c>
      <c r="H42">
        <v>5.598591549295775</v>
      </c>
      <c r="I42">
        <v>1.7318840579710146</v>
      </c>
      <c r="J42">
        <v>1</v>
      </c>
      <c r="K42" s="10">
        <v>0.50498338870431903</v>
      </c>
      <c r="L42">
        <f t="shared" si="4"/>
        <v>0.65995125123001985</v>
      </c>
      <c r="M42">
        <f t="shared" si="4"/>
        <v>0.47233968889878081</v>
      </c>
      <c r="N42">
        <f t="shared" si="4"/>
        <v>46.193502654197175</v>
      </c>
      <c r="O42">
        <f t="shared" si="4"/>
        <v>5.6120288013553576</v>
      </c>
      <c r="P42">
        <f t="shared" si="4"/>
        <v>9.1360856269113135</v>
      </c>
      <c r="Q42">
        <f t="shared" si="4"/>
        <v>5.4103028734144436</v>
      </c>
      <c r="R42" s="10">
        <f t="shared" si="4"/>
        <v>3.6337556777432471</v>
      </c>
      <c r="S42" s="21"/>
      <c r="T42" s="21"/>
      <c r="U42" s="176" t="s">
        <v>820</v>
      </c>
      <c r="V42" s="176" t="s">
        <v>859</v>
      </c>
      <c r="W42" s="176" t="s">
        <v>822</v>
      </c>
      <c r="X42" s="176" t="s">
        <v>856</v>
      </c>
      <c r="Y42" s="176">
        <v>2.1084880158587134</v>
      </c>
      <c r="Z42" s="176">
        <v>71.310277642474418</v>
      </c>
      <c r="AA42" s="176">
        <v>38.117550349362922</v>
      </c>
      <c r="AB42" s="176">
        <v>93.433734939759034</v>
      </c>
      <c r="AC42" s="176">
        <v>27.218100114954542</v>
      </c>
      <c r="AD42" s="176">
        <v>85.157881397488666</v>
      </c>
      <c r="AE42" s="176">
        <v>100</v>
      </c>
    </row>
    <row r="43" spans="1:31" x14ac:dyDescent="0.2">
      <c r="A43" t="s">
        <v>820</v>
      </c>
      <c r="B43" t="s">
        <v>853</v>
      </c>
      <c r="C43" t="s">
        <v>824</v>
      </c>
      <c r="D43" t="s">
        <v>883</v>
      </c>
      <c r="E43">
        <v>95.10467882632831</v>
      </c>
      <c r="F43">
        <v>28.073298429319372</v>
      </c>
      <c r="G43">
        <v>11.599734843919489</v>
      </c>
      <c r="H43">
        <v>25.85211267605634</v>
      </c>
      <c r="I43">
        <v>0.78985507246376818</v>
      </c>
      <c r="J43">
        <v>1</v>
      </c>
      <c r="K43" s="10">
        <v>13.897009966777409</v>
      </c>
      <c r="L43">
        <f t="shared" si="4"/>
        <v>41.699670024374385</v>
      </c>
      <c r="M43">
        <f t="shared" si="4"/>
        <v>13.260133046467345</v>
      </c>
      <c r="N43">
        <f t="shared" si="4"/>
        <v>77.525917691694247</v>
      </c>
      <c r="O43">
        <f t="shared" si="4"/>
        <v>25.914160666384301</v>
      </c>
      <c r="P43">
        <f t="shared" si="4"/>
        <v>4.1666666666666661</v>
      </c>
      <c r="Q43">
        <f t="shared" si="4"/>
        <v>5.4103028734144436</v>
      </c>
      <c r="R43" s="10">
        <f t="shared" si="4"/>
        <v>100</v>
      </c>
      <c r="S43" s="21"/>
      <c r="T43" s="21"/>
      <c r="U43" s="176" t="s">
        <v>820</v>
      </c>
      <c r="V43" s="176" t="s">
        <v>860</v>
      </c>
      <c r="W43" s="176" t="s">
        <v>824</v>
      </c>
      <c r="X43" s="176" t="s">
        <v>856</v>
      </c>
      <c r="Y43" s="176">
        <v>6.2308868501529036</v>
      </c>
      <c r="Z43" s="176">
        <v>100</v>
      </c>
      <c r="AA43" s="176">
        <v>100</v>
      </c>
      <c r="AB43" s="176">
        <v>94.424172124082702</v>
      </c>
      <c r="AC43" s="176">
        <v>100</v>
      </c>
      <c r="AD43" s="176">
        <v>100</v>
      </c>
      <c r="AE43" s="176">
        <v>65.096820463781981</v>
      </c>
    </row>
    <row r="44" spans="1:31" x14ac:dyDescent="0.2">
      <c r="A44" t="s">
        <v>820</v>
      </c>
      <c r="B44" t="s">
        <v>860</v>
      </c>
      <c r="C44" t="s">
        <v>824</v>
      </c>
      <c r="D44" t="s">
        <v>884</v>
      </c>
      <c r="E44">
        <v>228.07057890563044</v>
      </c>
      <c r="F44">
        <v>211.71204188481676</v>
      </c>
      <c r="G44">
        <v>14.128118597083283</v>
      </c>
      <c r="H44">
        <v>99.760563380281695</v>
      </c>
      <c r="I44">
        <v>1.181159420289855</v>
      </c>
      <c r="J44">
        <v>18.483253588516749</v>
      </c>
      <c r="K44" s="10">
        <v>9.0465116279069768</v>
      </c>
      <c r="L44">
        <f t="shared" si="4"/>
        <v>100</v>
      </c>
      <c r="M44">
        <f t="shared" si="4"/>
        <v>100</v>
      </c>
      <c r="N44">
        <f t="shared" si="4"/>
        <v>94.424172124082702</v>
      </c>
      <c r="O44">
        <f t="shared" si="4"/>
        <v>100</v>
      </c>
      <c r="P44">
        <f t="shared" si="4"/>
        <v>6.2308868501529036</v>
      </c>
      <c r="Q44">
        <f t="shared" si="4"/>
        <v>100</v>
      </c>
      <c r="R44" s="10">
        <f t="shared" si="4"/>
        <v>65.096820463781981</v>
      </c>
      <c r="S44" s="21"/>
      <c r="T44" s="21"/>
      <c r="U44" s="176" t="s">
        <v>654</v>
      </c>
      <c r="V44" s="176" t="s">
        <v>861</v>
      </c>
      <c r="W44" s="176" t="s">
        <v>826</v>
      </c>
      <c r="X44" s="176" t="s">
        <v>856</v>
      </c>
      <c r="Y44" s="176">
        <v>0.64443005181347157</v>
      </c>
      <c r="Z44" s="176">
        <v>11.647456452032237</v>
      </c>
      <c r="AA44" s="176">
        <v>12.618458123452575</v>
      </c>
      <c r="AB44" s="176">
        <v>9.7166666666666668</v>
      </c>
      <c r="AC44" s="176">
        <v>2.9809649227822339</v>
      </c>
      <c r="AD44" s="176">
        <v>7.1451982956407729</v>
      </c>
      <c r="AE44" s="176">
        <v>26.451612903225808</v>
      </c>
    </row>
    <row r="45" spans="1:31" x14ac:dyDescent="0.2">
      <c r="A45" t="s">
        <v>820</v>
      </c>
      <c r="B45" t="s">
        <v>867</v>
      </c>
      <c r="C45" t="s">
        <v>824</v>
      </c>
      <c r="D45" t="s">
        <v>885</v>
      </c>
      <c r="E45">
        <v>20.164948453608247</v>
      </c>
      <c r="F45">
        <v>152.17277486910993</v>
      </c>
      <c r="G45">
        <v>9.2445462215258534</v>
      </c>
      <c r="H45">
        <v>4.626760563380282</v>
      </c>
      <c r="I45">
        <v>0.69565217391304346</v>
      </c>
      <c r="J45">
        <v>1</v>
      </c>
      <c r="K45" s="10">
        <v>0.4850498338870432</v>
      </c>
      <c r="L45">
        <f t="shared" si="4"/>
        <v>8.8415386808624561</v>
      </c>
      <c r="M45">
        <f t="shared" si="4"/>
        <v>71.877241140539596</v>
      </c>
      <c r="N45">
        <f t="shared" si="4"/>
        <v>61.785199326583054</v>
      </c>
      <c r="O45">
        <f t="shared" si="4"/>
        <v>4.6378653113087678</v>
      </c>
      <c r="P45">
        <f t="shared" si="4"/>
        <v>3.6697247706422012</v>
      </c>
      <c r="Q45">
        <f t="shared" si="4"/>
        <v>5.4103028734144436</v>
      </c>
      <c r="R45" s="10">
        <f t="shared" si="4"/>
        <v>3.490317953621803</v>
      </c>
      <c r="S45" s="21"/>
      <c r="T45" s="21"/>
      <c r="U45" s="176"/>
      <c r="V45" s="176"/>
      <c r="W45" s="176"/>
      <c r="X45" s="176"/>
      <c r="Y45" s="176"/>
      <c r="Z45" s="176"/>
      <c r="AA45" s="176"/>
      <c r="AB45" s="176"/>
      <c r="AC45" s="176"/>
      <c r="AD45" s="176"/>
      <c r="AE45" s="176"/>
    </row>
    <row r="46" spans="1:31" x14ac:dyDescent="0.2">
      <c r="A46" t="s">
        <v>820</v>
      </c>
      <c r="B46" t="s">
        <v>874</v>
      </c>
      <c r="C46" t="s">
        <v>824</v>
      </c>
      <c r="D46" t="s">
        <v>886</v>
      </c>
      <c r="E46">
        <v>97.384615384615387</v>
      </c>
      <c r="F46">
        <v>64.031413612565444</v>
      </c>
      <c r="G46">
        <v>14.962396046763892</v>
      </c>
      <c r="H46">
        <v>34.169014084507047</v>
      </c>
      <c r="I46">
        <v>0.69565217391304346</v>
      </c>
      <c r="J46">
        <v>4.8086124401913883</v>
      </c>
      <c r="K46" s="10">
        <v>3.4518272425249172</v>
      </c>
      <c r="L46">
        <f t="shared" si="4"/>
        <v>42.699332746864535</v>
      </c>
      <c r="M46">
        <f t="shared" si="4"/>
        <v>30.244577985508318</v>
      </c>
      <c r="N46">
        <f t="shared" si="4"/>
        <v>100</v>
      </c>
      <c r="O46">
        <f t="shared" si="4"/>
        <v>34.251023577580128</v>
      </c>
      <c r="P46">
        <f t="shared" si="4"/>
        <v>3.6697247706422012</v>
      </c>
      <c r="Q46">
        <f t="shared" si="4"/>
        <v>26.016049702303906</v>
      </c>
      <c r="R46" s="10">
        <f t="shared" si="4"/>
        <v>24.838632560363376</v>
      </c>
      <c r="S46" s="21"/>
      <c r="T46" s="21"/>
      <c r="U46" t="s">
        <v>654</v>
      </c>
      <c r="V46" t="s">
        <v>862</v>
      </c>
      <c r="W46" t="s">
        <v>814</v>
      </c>
      <c r="X46" t="s">
        <v>863</v>
      </c>
      <c r="Y46">
        <v>0.42880876476134883</v>
      </c>
      <c r="Z46">
        <v>9.5127385449966084</v>
      </c>
      <c r="AA46">
        <v>3.3631561927347202</v>
      </c>
      <c r="AB46">
        <v>61.050223958829697</v>
      </c>
      <c r="AC46">
        <v>100</v>
      </c>
      <c r="AD46">
        <v>100</v>
      </c>
      <c r="AE46">
        <v>83.36391437308869</v>
      </c>
    </row>
    <row r="47" spans="1:31" x14ac:dyDescent="0.2">
      <c r="K47" s="10"/>
      <c r="L47"/>
      <c r="R47" s="10"/>
      <c r="S47" s="21"/>
      <c r="T47" s="21"/>
      <c r="U47" t="s">
        <v>654</v>
      </c>
      <c r="V47" t="s">
        <v>864</v>
      </c>
      <c r="W47" t="s">
        <v>817</v>
      </c>
      <c r="X47" t="s">
        <v>863</v>
      </c>
      <c r="Y47">
        <v>0.23181126699345617</v>
      </c>
      <c r="Z47">
        <v>4.108874752320367</v>
      </c>
      <c r="AA47">
        <v>2.5755328545003087</v>
      </c>
      <c r="AB47">
        <v>41.955047859006385</v>
      </c>
      <c r="AC47">
        <v>100</v>
      </c>
      <c r="AD47">
        <v>83.039020764205134</v>
      </c>
      <c r="AE47">
        <v>100</v>
      </c>
    </row>
    <row r="48" spans="1:31" x14ac:dyDescent="0.2">
      <c r="A48" t="s">
        <v>654</v>
      </c>
      <c r="B48" t="s">
        <v>825</v>
      </c>
      <c r="C48" t="s">
        <v>826</v>
      </c>
      <c r="D48" t="s">
        <v>879</v>
      </c>
      <c r="E48">
        <v>1</v>
      </c>
      <c r="F48">
        <v>1</v>
      </c>
      <c r="G48">
        <v>1</v>
      </c>
      <c r="H48">
        <v>1</v>
      </c>
      <c r="I48">
        <v>1</v>
      </c>
      <c r="J48">
        <v>1</v>
      </c>
      <c r="K48" s="10">
        <v>1</v>
      </c>
      <c r="L48">
        <f t="shared" ref="L48:R55" si="5">E48/(MAX(E$48:E$55))*100</f>
        <v>5.6170108161258598</v>
      </c>
      <c r="M48">
        <f t="shared" si="5"/>
        <v>3.4658206632347657</v>
      </c>
      <c r="N48">
        <f t="shared" si="5"/>
        <v>9.658666666666667</v>
      </c>
      <c r="O48">
        <f t="shared" si="5"/>
        <v>13.391103901647741</v>
      </c>
      <c r="P48">
        <f t="shared" si="5"/>
        <v>0.90025906735751293</v>
      </c>
      <c r="Q48">
        <f t="shared" si="5"/>
        <v>8.1896178178351668</v>
      </c>
      <c r="R48" s="10">
        <f t="shared" si="5"/>
        <v>26.451612903225808</v>
      </c>
      <c r="S48" s="21"/>
      <c r="T48" s="21"/>
      <c r="U48" t="s">
        <v>654</v>
      </c>
      <c r="V48" t="s">
        <v>865</v>
      </c>
      <c r="W48" t="s">
        <v>819</v>
      </c>
      <c r="X48" t="s">
        <v>863</v>
      </c>
      <c r="Y48">
        <v>0.15285893985956087</v>
      </c>
      <c r="Z48">
        <v>3.053435114503817</v>
      </c>
      <c r="AA48">
        <v>2.4730955627684845</v>
      </c>
      <c r="AB48">
        <v>100</v>
      </c>
      <c r="AC48">
        <v>100</v>
      </c>
      <c r="AD48">
        <v>100</v>
      </c>
      <c r="AE48">
        <v>87.785791008132591</v>
      </c>
    </row>
    <row r="49" spans="1:31" x14ac:dyDescent="0.2">
      <c r="A49" t="s">
        <v>654</v>
      </c>
      <c r="B49" t="s">
        <v>833</v>
      </c>
      <c r="C49" t="s">
        <v>826</v>
      </c>
      <c r="D49" t="s">
        <v>880</v>
      </c>
      <c r="E49">
        <v>0.13420860685630925</v>
      </c>
      <c r="F49">
        <v>0.50604490500863564</v>
      </c>
      <c r="G49">
        <v>0.37023743787962454</v>
      </c>
      <c r="H49">
        <v>0.58049091488683457</v>
      </c>
      <c r="I49">
        <v>0.7158273381294965</v>
      </c>
      <c r="J49">
        <v>1.9502645502645504</v>
      </c>
      <c r="K49" s="10">
        <v>1</v>
      </c>
      <c r="L49">
        <f t="shared" si="5"/>
        <v>0.75385119632907238</v>
      </c>
      <c r="M49">
        <f t="shared" si="5"/>
        <v>1.7538608883036038</v>
      </c>
      <c r="N49">
        <f t="shared" si="5"/>
        <v>3.5760000000000001</v>
      </c>
      <c r="O49">
        <f t="shared" si="5"/>
        <v>7.7734141552121576</v>
      </c>
      <c r="P49">
        <f t="shared" si="5"/>
        <v>0.64443005181347157</v>
      </c>
      <c r="Q49">
        <f t="shared" si="5"/>
        <v>15.97192131033885</v>
      </c>
      <c r="R49" s="10">
        <f t="shared" si="5"/>
        <v>26.451612903225808</v>
      </c>
      <c r="S49" s="21"/>
      <c r="T49" s="21"/>
      <c r="U49" t="s">
        <v>820</v>
      </c>
      <c r="V49" t="s">
        <v>866</v>
      </c>
      <c r="W49" t="s">
        <v>822</v>
      </c>
      <c r="X49" t="s">
        <v>863</v>
      </c>
      <c r="Y49">
        <v>1.7300414489097133</v>
      </c>
      <c r="Z49">
        <v>18.168533852898193</v>
      </c>
      <c r="AA49">
        <v>24.512946979038222</v>
      </c>
      <c r="AB49">
        <v>100</v>
      </c>
      <c r="AC49">
        <v>100</v>
      </c>
      <c r="AD49">
        <v>100</v>
      </c>
      <c r="AE49">
        <v>36.984754376058717</v>
      </c>
    </row>
    <row r="50" spans="1:31" x14ac:dyDescent="0.2">
      <c r="A50" t="s">
        <v>654</v>
      </c>
      <c r="B50" t="s">
        <v>840</v>
      </c>
      <c r="C50" t="s">
        <v>826</v>
      </c>
      <c r="D50" t="s">
        <v>881</v>
      </c>
      <c r="E50">
        <v>1.837345003646973</v>
      </c>
      <c r="F50">
        <v>28.853195164075995</v>
      </c>
      <c r="G50">
        <v>10.353395913859746</v>
      </c>
      <c r="H50">
        <v>7.467644246094995</v>
      </c>
      <c r="I50">
        <v>111.07913669064749</v>
      </c>
      <c r="J50">
        <v>12.210582010582012</v>
      </c>
      <c r="K50" s="10">
        <v>1</v>
      </c>
      <c r="L50">
        <f t="shared" si="5"/>
        <v>10.320386758439854</v>
      </c>
      <c r="M50">
        <f t="shared" si="5"/>
        <v>100</v>
      </c>
      <c r="N50">
        <f t="shared" si="5"/>
        <v>100</v>
      </c>
      <c r="O50">
        <f t="shared" si="5"/>
        <v>100</v>
      </c>
      <c r="P50">
        <f t="shared" si="5"/>
        <v>100</v>
      </c>
      <c r="Q50">
        <f t="shared" si="5"/>
        <v>100</v>
      </c>
      <c r="R50" s="10">
        <f t="shared" si="5"/>
        <v>26.451612903225808</v>
      </c>
      <c r="S50" s="21"/>
      <c r="T50" s="21"/>
      <c r="U50" t="s">
        <v>820</v>
      </c>
      <c r="V50" t="s">
        <v>867</v>
      </c>
      <c r="W50" t="s">
        <v>824</v>
      </c>
      <c r="X50" t="s">
        <v>863</v>
      </c>
      <c r="Y50">
        <v>3.6697247706422012</v>
      </c>
      <c r="Z50">
        <v>5.4103028734144436</v>
      </c>
      <c r="AA50">
        <v>4.6378653113087678</v>
      </c>
      <c r="AB50">
        <v>61.785199326583054</v>
      </c>
      <c r="AC50">
        <v>71.877241140539596</v>
      </c>
      <c r="AD50">
        <v>8.8415386808624561</v>
      </c>
      <c r="AE50">
        <v>3.490317953621803</v>
      </c>
    </row>
    <row r="51" spans="1:31" x14ac:dyDescent="0.2">
      <c r="A51" t="s">
        <v>654</v>
      </c>
      <c r="B51" t="s">
        <v>847</v>
      </c>
      <c r="C51" t="s">
        <v>826</v>
      </c>
      <c r="D51" t="s">
        <v>882</v>
      </c>
      <c r="E51">
        <v>0.20423048869438365</v>
      </c>
      <c r="F51">
        <v>5.4818652849740932</v>
      </c>
      <c r="G51">
        <v>1.8032854776366649</v>
      </c>
      <c r="H51">
        <v>2.1163532036978006</v>
      </c>
      <c r="I51">
        <v>13.244604316546763</v>
      </c>
      <c r="J51">
        <v>1.9417989417989421</v>
      </c>
      <c r="K51" s="10">
        <v>1</v>
      </c>
      <c r="L51">
        <f t="shared" si="5"/>
        <v>1.1471648639790231</v>
      </c>
      <c r="M51">
        <f t="shared" si="5"/>
        <v>18.999161977732552</v>
      </c>
      <c r="N51">
        <f t="shared" si="5"/>
        <v>17.417333333333335</v>
      </c>
      <c r="O51">
        <f t="shared" si="5"/>
        <v>28.340305643302315</v>
      </c>
      <c r="P51">
        <f t="shared" si="5"/>
        <v>11.923575129533678</v>
      </c>
      <c r="Q51">
        <f t="shared" si="5"/>
        <v>15.902591212410089</v>
      </c>
      <c r="R51" s="10">
        <f t="shared" si="5"/>
        <v>26.451612903225808</v>
      </c>
      <c r="S51" s="21"/>
      <c r="T51" s="21"/>
      <c r="U51" t="s">
        <v>654</v>
      </c>
      <c r="V51" t="s">
        <v>868</v>
      </c>
      <c r="W51" t="s">
        <v>826</v>
      </c>
      <c r="X51" t="s">
        <v>863</v>
      </c>
      <c r="Y51">
        <v>0.73186528497409309</v>
      </c>
      <c r="Z51">
        <v>16.101915243955283</v>
      </c>
      <c r="AA51">
        <v>15.435840519081362</v>
      </c>
      <c r="AB51">
        <v>10.456000000000001</v>
      </c>
      <c r="AC51">
        <v>95.366934035675783</v>
      </c>
      <c r="AD51">
        <v>73.197312356604385</v>
      </c>
      <c r="AE51">
        <v>46.451612903225801</v>
      </c>
    </row>
    <row r="52" spans="1:31" x14ac:dyDescent="0.2">
      <c r="A52" t="s">
        <v>654</v>
      </c>
      <c r="B52" t="s">
        <v>854</v>
      </c>
      <c r="C52" t="s">
        <v>826</v>
      </c>
      <c r="D52" t="s">
        <v>883</v>
      </c>
      <c r="E52">
        <v>1.2472647702407003</v>
      </c>
      <c r="F52">
        <v>0.86010362694300524</v>
      </c>
      <c r="G52">
        <v>1.131695196024296</v>
      </c>
      <c r="H52">
        <v>0.95027095951546059</v>
      </c>
      <c r="I52">
        <v>0.88848920863309366</v>
      </c>
      <c r="J52">
        <v>1.4042328042328043</v>
      </c>
      <c r="K52" s="10">
        <v>1</v>
      </c>
      <c r="L52">
        <f t="shared" si="5"/>
        <v>7.0058997050147491</v>
      </c>
      <c r="M52">
        <f t="shared" si="5"/>
        <v>2.9809649227822339</v>
      </c>
      <c r="N52">
        <f t="shared" si="5"/>
        <v>10.930666666666667</v>
      </c>
      <c r="O52">
        <f t="shared" si="5"/>
        <v>12.725177153590028</v>
      </c>
      <c r="P52">
        <f t="shared" si="5"/>
        <v>0.79987046632124348</v>
      </c>
      <c r="Q52">
        <f t="shared" si="5"/>
        <v>11.500129993933616</v>
      </c>
      <c r="R52" s="10">
        <f t="shared" si="5"/>
        <v>26.451612903225808</v>
      </c>
      <c r="S52" s="21"/>
      <c r="T52" s="21"/>
      <c r="U52"/>
      <c r="V52"/>
    </row>
    <row r="53" spans="1:31" x14ac:dyDescent="0.2">
      <c r="A53" t="s">
        <v>654</v>
      </c>
      <c r="B53" t="s">
        <v>861</v>
      </c>
      <c r="C53" t="s">
        <v>826</v>
      </c>
      <c r="D53" t="s">
        <v>884</v>
      </c>
      <c r="E53">
        <v>1.2720641867250182</v>
      </c>
      <c r="F53">
        <v>0.86010362694300524</v>
      </c>
      <c r="G53">
        <v>1.0060049696300386</v>
      </c>
      <c r="H53">
        <v>0.94230156200191262</v>
      </c>
      <c r="I53">
        <v>0.7158273381294965</v>
      </c>
      <c r="J53">
        <v>1.4222222222222223</v>
      </c>
      <c r="K53" s="10">
        <v>1</v>
      </c>
      <c r="L53">
        <f t="shared" si="5"/>
        <v>7.1451982956407729</v>
      </c>
      <c r="M53">
        <f t="shared" si="5"/>
        <v>2.9809649227822339</v>
      </c>
      <c r="N53">
        <f t="shared" si="5"/>
        <v>9.7166666666666668</v>
      </c>
      <c r="O53">
        <f t="shared" si="5"/>
        <v>12.618458123452575</v>
      </c>
      <c r="P53">
        <f t="shared" si="5"/>
        <v>0.64443005181347157</v>
      </c>
      <c r="Q53">
        <f t="shared" si="5"/>
        <v>11.647456452032237</v>
      </c>
      <c r="R53" s="10">
        <f t="shared" si="5"/>
        <v>26.451612903225808</v>
      </c>
      <c r="S53" s="21"/>
      <c r="T53" s="21"/>
      <c r="U53" s="176" t="s">
        <v>654</v>
      </c>
      <c r="V53" s="176" t="s">
        <v>869</v>
      </c>
      <c r="W53" s="176" t="s">
        <v>814</v>
      </c>
      <c r="X53" s="176" t="s">
        <v>870</v>
      </c>
      <c r="Y53" s="176">
        <v>0.42880876476134883</v>
      </c>
      <c r="Z53" s="176">
        <v>10.883464109270559</v>
      </c>
      <c r="AA53" s="176">
        <v>2.1651087944070588</v>
      </c>
      <c r="AB53" s="176">
        <v>66.9130069396914</v>
      </c>
      <c r="AC53" s="176">
        <v>16.47112246125663</v>
      </c>
      <c r="AD53" s="176">
        <v>77.860217810547852</v>
      </c>
      <c r="AE53" s="176">
        <v>100</v>
      </c>
    </row>
    <row r="54" spans="1:31" x14ac:dyDescent="0.2">
      <c r="A54" t="s">
        <v>654</v>
      </c>
      <c r="B54" t="s">
        <v>868</v>
      </c>
      <c r="C54" t="s">
        <v>826</v>
      </c>
      <c r="D54" t="s">
        <v>885</v>
      </c>
      <c r="E54">
        <v>13.031363967906637</v>
      </c>
      <c r="F54">
        <v>27.516407599309151</v>
      </c>
      <c r="G54">
        <v>1.0825510767531752</v>
      </c>
      <c r="H54">
        <v>1.1526936563595791</v>
      </c>
      <c r="I54">
        <v>0.81294964028776973</v>
      </c>
      <c r="J54">
        <v>1.9661375661375662</v>
      </c>
      <c r="K54" s="10">
        <v>1.7560975609756098</v>
      </c>
      <c r="L54">
        <f t="shared" si="5"/>
        <v>73.197312356604385</v>
      </c>
      <c r="M54">
        <f t="shared" si="5"/>
        <v>95.366934035675783</v>
      </c>
      <c r="N54">
        <f t="shared" si="5"/>
        <v>10.456000000000001</v>
      </c>
      <c r="O54">
        <f t="shared" si="5"/>
        <v>15.435840519081362</v>
      </c>
      <c r="P54">
        <f t="shared" si="5"/>
        <v>0.73186528497409309</v>
      </c>
      <c r="Q54">
        <f t="shared" si="5"/>
        <v>16.101915243955283</v>
      </c>
      <c r="R54" s="10">
        <f t="shared" si="5"/>
        <v>46.451612903225801</v>
      </c>
      <c r="S54" s="21"/>
      <c r="T54" s="21"/>
      <c r="U54" s="176" t="s">
        <v>654</v>
      </c>
      <c r="V54" s="176" t="s">
        <v>871</v>
      </c>
      <c r="W54" s="176" t="s">
        <v>817</v>
      </c>
      <c r="X54" s="176" t="s">
        <v>870</v>
      </c>
      <c r="Y54" s="176">
        <v>0.23181126699345617</v>
      </c>
      <c r="Z54" s="176">
        <v>1.3661487120659088</v>
      </c>
      <c r="AA54" s="176">
        <v>4.6027963404269503</v>
      </c>
      <c r="AB54" s="176">
        <v>44.868722894437802</v>
      </c>
      <c r="AC54" s="176">
        <v>45.666603734213062</v>
      </c>
      <c r="AD54" s="176">
        <v>100</v>
      </c>
      <c r="AE54" s="176">
        <v>96.792371044646714</v>
      </c>
    </row>
    <row r="55" spans="1:31" x14ac:dyDescent="0.2">
      <c r="A55" t="s">
        <v>654</v>
      </c>
      <c r="B55" t="s">
        <v>875</v>
      </c>
      <c r="C55" t="s">
        <v>826</v>
      </c>
      <c r="D55" t="s">
        <v>886</v>
      </c>
      <c r="E55">
        <v>17.803063457330417</v>
      </c>
      <c r="F55">
        <v>24.488773747841105</v>
      </c>
      <c r="G55">
        <v>2.0489370513528438</v>
      </c>
      <c r="H55">
        <v>1.1998724896397832</v>
      </c>
      <c r="I55">
        <v>0.85611510791366907</v>
      </c>
      <c r="J55">
        <v>1.360846560846561</v>
      </c>
      <c r="K55" s="10">
        <v>3.780487804878049</v>
      </c>
      <c r="L55">
        <f t="shared" si="5"/>
        <v>100</v>
      </c>
      <c r="M55">
        <f t="shared" si="5"/>
        <v>84.873698072548777</v>
      </c>
      <c r="N55">
        <f t="shared" si="5"/>
        <v>19.79</v>
      </c>
      <c r="O55">
        <f t="shared" si="5"/>
        <v>16.067617177495091</v>
      </c>
      <c r="P55">
        <f t="shared" si="5"/>
        <v>0.77072538860103623</v>
      </c>
      <c r="Q55">
        <f t="shared" si="5"/>
        <v>11.144813242048704</v>
      </c>
      <c r="R55" s="10">
        <f t="shared" si="5"/>
        <v>100</v>
      </c>
      <c r="S55" s="21"/>
      <c r="T55" s="21"/>
      <c r="U55" s="176" t="s">
        <v>654</v>
      </c>
      <c r="V55" s="176" t="s">
        <v>872</v>
      </c>
      <c r="W55" s="176" t="s">
        <v>819</v>
      </c>
      <c r="X55" s="176" t="s">
        <v>870</v>
      </c>
      <c r="Y55" s="176">
        <v>0.15285893985956087</v>
      </c>
      <c r="Z55" s="176">
        <v>2.1176137970031097</v>
      </c>
      <c r="AA55" s="176">
        <v>0.89692127451168679</v>
      </c>
      <c r="AB55" s="176">
        <v>76.163880643649421</v>
      </c>
      <c r="AC55" s="176">
        <v>8.1165936143698154</v>
      </c>
      <c r="AD55" s="176">
        <v>75.060568959308611</v>
      </c>
      <c r="AE55" s="176">
        <v>100</v>
      </c>
    </row>
    <row r="56" spans="1:31" x14ac:dyDescent="0.2">
      <c r="K56" s="10"/>
      <c r="L56"/>
      <c r="R56" s="10"/>
      <c r="S56" s="21"/>
      <c r="T56" s="21"/>
      <c r="U56" s="176" t="s">
        <v>820</v>
      </c>
      <c r="V56" s="176" t="s">
        <v>873</v>
      </c>
      <c r="W56" s="176" t="s">
        <v>822</v>
      </c>
      <c r="X56" s="176" t="s">
        <v>870</v>
      </c>
      <c r="Y56" s="176">
        <v>1.7300414489097133</v>
      </c>
      <c r="Z56" s="176">
        <v>41.256697515830488</v>
      </c>
      <c r="AA56" s="176">
        <v>13.867653103164814</v>
      </c>
      <c r="AB56" s="176">
        <v>81.917994558880693</v>
      </c>
      <c r="AC56" s="176">
        <v>30.043195039537395</v>
      </c>
      <c r="AD56" s="176">
        <v>46.282858669840266</v>
      </c>
      <c r="AE56" s="176">
        <v>55.392433653303222</v>
      </c>
    </row>
    <row r="57" spans="1:31" x14ac:dyDescent="0.2">
      <c r="K57" s="10"/>
      <c r="L57"/>
      <c r="R57" s="10"/>
      <c r="S57" s="21"/>
      <c r="T57" s="21"/>
      <c r="U57" s="176" t="s">
        <v>820</v>
      </c>
      <c r="V57" s="176" t="s">
        <v>874</v>
      </c>
      <c r="W57" s="176" t="s">
        <v>824</v>
      </c>
      <c r="X57" s="176" t="s">
        <v>870</v>
      </c>
      <c r="Y57" s="176">
        <v>3.6697247706422012</v>
      </c>
      <c r="Z57" s="176">
        <v>26.016049702303906</v>
      </c>
      <c r="AA57" s="176">
        <v>34.251023577580128</v>
      </c>
      <c r="AB57" s="176">
        <v>100</v>
      </c>
      <c r="AC57" s="176">
        <v>30.244577985508318</v>
      </c>
      <c r="AD57" s="176">
        <v>42.699332746864535</v>
      </c>
      <c r="AE57" s="176">
        <v>24.838632560363376</v>
      </c>
    </row>
    <row r="58" spans="1:31" x14ac:dyDescent="0.2">
      <c r="K58" s="10"/>
      <c r="L58"/>
      <c r="R58" s="10"/>
      <c r="S58" s="21"/>
      <c r="T58" s="21"/>
      <c r="U58" s="176" t="s">
        <v>654</v>
      </c>
      <c r="V58" s="176" t="s">
        <v>875</v>
      </c>
      <c r="W58" s="176" t="s">
        <v>826</v>
      </c>
      <c r="X58" s="176" t="s">
        <v>870</v>
      </c>
      <c r="Y58" s="176">
        <v>0.77072538860103623</v>
      </c>
      <c r="Z58" s="176">
        <v>11.144813242048704</v>
      </c>
      <c r="AA58" s="176">
        <v>16.067617177495091</v>
      </c>
      <c r="AB58" s="176">
        <v>19.79</v>
      </c>
      <c r="AC58" s="176">
        <v>84.873698072548777</v>
      </c>
      <c r="AD58" s="176">
        <v>100</v>
      </c>
      <c r="AE58" s="176">
        <v>100</v>
      </c>
    </row>
    <row r="59" spans="1:31" s="18" customFormat="1" x14ac:dyDescent="0.2"/>
    <row r="60" spans="1:31" s="21" customFormat="1" x14ac:dyDescent="0.2">
      <c r="A60" s="21" t="s">
        <v>888</v>
      </c>
    </row>
    <row r="61" spans="1:31" s="21" customFormat="1" x14ac:dyDescent="0.2">
      <c r="A61"/>
      <c r="B61"/>
      <c r="C61" t="s">
        <v>899</v>
      </c>
      <c r="D61"/>
      <c r="E61"/>
      <c r="F61"/>
      <c r="G61"/>
      <c r="H61"/>
      <c r="I61" t="s">
        <v>889</v>
      </c>
      <c r="J61"/>
      <c r="K61"/>
      <c r="L61"/>
      <c r="M61"/>
      <c r="N61" s="10"/>
      <c r="O61" t="s">
        <v>890</v>
      </c>
      <c r="P61"/>
      <c r="Q61"/>
      <c r="R61"/>
      <c r="S61"/>
      <c r="T61"/>
    </row>
    <row r="62" spans="1:31" s="21" customFormat="1" x14ac:dyDescent="0.2">
      <c r="A62"/>
      <c r="B62"/>
      <c r="C62" t="s">
        <v>423</v>
      </c>
      <c r="D62" t="s">
        <v>891</v>
      </c>
      <c r="E62" t="s">
        <v>386</v>
      </c>
      <c r="F62" t="s">
        <v>387</v>
      </c>
      <c r="G62" t="s">
        <v>892</v>
      </c>
      <c r="H62" s="10" t="s">
        <v>893</v>
      </c>
      <c r="I62" t="s">
        <v>423</v>
      </c>
      <c r="J62" t="s">
        <v>891</v>
      </c>
      <c r="K62" t="s">
        <v>386</v>
      </c>
      <c r="L62" t="s">
        <v>387</v>
      </c>
      <c r="M62" t="s">
        <v>892</v>
      </c>
      <c r="N62" s="10" t="s">
        <v>893</v>
      </c>
      <c r="O62" t="s">
        <v>423</v>
      </c>
      <c r="P62" t="s">
        <v>891</v>
      </c>
      <c r="Q62" t="s">
        <v>386</v>
      </c>
      <c r="R62" t="s">
        <v>387</v>
      </c>
      <c r="S62" t="s">
        <v>892</v>
      </c>
      <c r="T62" t="s">
        <v>893</v>
      </c>
    </row>
    <row r="63" spans="1:31" s="21" customFormat="1" x14ac:dyDescent="0.2">
      <c r="A63" t="s">
        <v>7</v>
      </c>
      <c r="B63" t="s">
        <v>814</v>
      </c>
      <c r="C63">
        <v>1</v>
      </c>
      <c r="D63">
        <v>1</v>
      </c>
      <c r="E63">
        <v>1</v>
      </c>
      <c r="F63">
        <v>1</v>
      </c>
      <c r="G63">
        <v>1</v>
      </c>
      <c r="H63" s="10">
        <v>1</v>
      </c>
      <c r="I63">
        <v>27.388088750486574</v>
      </c>
      <c r="J63">
        <v>24.687734956707335</v>
      </c>
      <c r="K63">
        <v>44.848880024547405</v>
      </c>
      <c r="L63">
        <v>3.2718250891611103</v>
      </c>
      <c r="M63">
        <v>26.128477748774433</v>
      </c>
      <c r="N63" s="10">
        <v>30.163794937247395</v>
      </c>
      <c r="O63">
        <v>0</v>
      </c>
      <c r="P63">
        <v>0</v>
      </c>
      <c r="Q63">
        <v>0</v>
      </c>
      <c r="R63">
        <v>0</v>
      </c>
      <c r="S63">
        <v>0</v>
      </c>
      <c r="T63">
        <v>0</v>
      </c>
    </row>
    <row r="64" spans="1:31" s="21" customFormat="1" x14ac:dyDescent="0.2">
      <c r="A64" t="s">
        <v>828</v>
      </c>
      <c r="B64" t="s">
        <v>814</v>
      </c>
      <c r="C64">
        <v>1.0520181921546332</v>
      </c>
      <c r="D64">
        <v>1.6359170841929462</v>
      </c>
      <c r="E64">
        <v>1.2074745574275207</v>
      </c>
      <c r="F64">
        <v>2.4202211690363349</v>
      </c>
      <c r="G64">
        <v>1.3517300194931774</v>
      </c>
      <c r="H64" s="10">
        <v>1.2722143864598026</v>
      </c>
      <c r="I64">
        <v>28.812767613857531</v>
      </c>
      <c r="J64">
        <v>40.38708738570493</v>
      </c>
      <c r="K64">
        <v>54.153881558760354</v>
      </c>
      <c r="L64">
        <v>7.9185403421719132</v>
      </c>
      <c r="M64">
        <v>35.318647736677917</v>
      </c>
      <c r="N64" s="10">
        <v>38.374813869389492</v>
      </c>
      <c r="O64">
        <v>1.4246788633709571</v>
      </c>
      <c r="P64">
        <v>15.699352428997596</v>
      </c>
      <c r="Q64">
        <v>9.3050015342129484</v>
      </c>
      <c r="R64">
        <v>4.6467152530108029</v>
      </c>
      <c r="S64">
        <v>9.1901699879034844</v>
      </c>
      <c r="T64">
        <v>8.2110189321420961</v>
      </c>
    </row>
    <row r="65" spans="1:20" s="21" customFormat="1" x14ac:dyDescent="0.2">
      <c r="A65" t="s">
        <v>104</v>
      </c>
      <c r="B65" t="s">
        <v>814</v>
      </c>
      <c r="C65">
        <v>3.6512222853894256</v>
      </c>
      <c r="D65">
        <v>1.7182434423813735</v>
      </c>
      <c r="E65">
        <v>1.9704951680492602</v>
      </c>
      <c r="F65">
        <v>21.053712480252763</v>
      </c>
      <c r="G65">
        <v>2.8951023391812867</v>
      </c>
      <c r="H65" s="10">
        <v>2.5267983074753175</v>
      </c>
      <c r="I65">
        <v>100</v>
      </c>
      <c r="J65">
        <v>42.419538696611781</v>
      </c>
      <c r="K65">
        <v>88.374501380791642</v>
      </c>
      <c r="L65">
        <v>68.884064712875386</v>
      </c>
      <c r="M65">
        <v>75.644617049723067</v>
      </c>
      <c r="N65" s="10">
        <v>76.217825994469266</v>
      </c>
      <c r="O65">
        <v>72.611911249513426</v>
      </c>
      <c r="P65">
        <v>17.731803739904446</v>
      </c>
      <c r="Q65">
        <v>43.525621356244237</v>
      </c>
      <c r="R65">
        <v>65.612239623714274</v>
      </c>
      <c r="S65">
        <v>49.516139300948637</v>
      </c>
      <c r="T65">
        <v>46.05403105722187</v>
      </c>
    </row>
    <row r="66" spans="1:20" s="21" customFormat="1" x14ac:dyDescent="0.2">
      <c r="A66" t="s">
        <v>894</v>
      </c>
      <c r="B66" t="s">
        <v>814</v>
      </c>
      <c r="C66">
        <v>1.9687322342239908</v>
      </c>
      <c r="D66">
        <v>1.6863149621770313</v>
      </c>
      <c r="E66">
        <v>2.2297100829556147</v>
      </c>
      <c r="F66">
        <v>13.707740916271723</v>
      </c>
      <c r="G66">
        <v>2.3570906432748537</v>
      </c>
      <c r="H66" s="10">
        <v>2.0895627644569816</v>
      </c>
      <c r="I66">
        <v>53.919813156870376</v>
      </c>
      <c r="J66">
        <v>41.631296839756502</v>
      </c>
      <c r="K66">
        <v>100</v>
      </c>
      <c r="L66">
        <v>44.849330645578128</v>
      </c>
      <c r="M66">
        <v>61.587190424651425</v>
      </c>
      <c r="N66" s="10">
        <v>63.029142735588174</v>
      </c>
      <c r="O66">
        <v>26.531724406383802</v>
      </c>
      <c r="P66">
        <v>16.943561883049167</v>
      </c>
      <c r="Q66">
        <v>55.151119975452595</v>
      </c>
      <c r="R66">
        <v>41.577505556417016</v>
      </c>
      <c r="S66">
        <v>35.458712675876995</v>
      </c>
      <c r="T66">
        <v>32.865347798340778</v>
      </c>
    </row>
    <row r="67" spans="1:20" s="21" customFormat="1" x14ac:dyDescent="0.2">
      <c r="A67" t="s">
        <v>895</v>
      </c>
      <c r="B67" t="s">
        <v>814</v>
      </c>
      <c r="C67">
        <v>3.439738487777146</v>
      </c>
      <c r="D67">
        <v>2.7381864623243932</v>
      </c>
      <c r="E67">
        <v>1.9473189087488241</v>
      </c>
      <c r="F67">
        <v>23.90995260663507</v>
      </c>
      <c r="G67">
        <v>3.1164717348927877</v>
      </c>
      <c r="H67" s="10">
        <v>2.7976022566995771</v>
      </c>
      <c r="I67">
        <v>94.207862981704949</v>
      </c>
      <c r="J67">
        <v>67.599621643908719</v>
      </c>
      <c r="K67">
        <v>87.335072108008589</v>
      </c>
      <c r="L67">
        <v>78.229182819041711</v>
      </c>
      <c r="M67">
        <v>81.428662379830655</v>
      </c>
      <c r="N67" s="10">
        <v>84.386300787066588</v>
      </c>
      <c r="O67">
        <v>66.819774231218375</v>
      </c>
      <c r="P67">
        <v>42.911886687201388</v>
      </c>
      <c r="Q67">
        <v>42.486192083461184</v>
      </c>
      <c r="R67">
        <v>74.957357729880599</v>
      </c>
      <c r="S67">
        <v>55.300184631056226</v>
      </c>
      <c r="T67">
        <v>54.222505849819193</v>
      </c>
    </row>
    <row r="68" spans="1:20" s="21" customFormat="1" x14ac:dyDescent="0.2">
      <c r="A68" t="s">
        <v>896</v>
      </c>
      <c r="B68" t="s">
        <v>814</v>
      </c>
      <c r="C68">
        <v>3.4317794201250709</v>
      </c>
      <c r="D68">
        <v>3.5135082031633758</v>
      </c>
      <c r="E68">
        <v>2.017788420422475</v>
      </c>
      <c r="F68">
        <v>19.292259083728279</v>
      </c>
      <c r="G68">
        <v>3.0215643274853803</v>
      </c>
      <c r="H68" s="10">
        <v>2.5416078984485191</v>
      </c>
      <c r="I68">
        <v>93.989879330478786</v>
      </c>
      <c r="J68">
        <v>86.740559287914436</v>
      </c>
      <c r="K68">
        <v>90.495550782448603</v>
      </c>
      <c r="L68">
        <v>63.120897296738519</v>
      </c>
      <c r="M68">
        <v>78.948876297192342</v>
      </c>
      <c r="N68" s="10">
        <v>76.664539459689422</v>
      </c>
      <c r="O68">
        <v>66.601790579992212</v>
      </c>
      <c r="P68">
        <v>62.052824331207106</v>
      </c>
      <c r="Q68">
        <v>45.646670757901198</v>
      </c>
      <c r="R68">
        <v>59.849072207577407</v>
      </c>
      <c r="S68">
        <v>52.820398548417913</v>
      </c>
      <c r="T68">
        <v>46.500744522442027</v>
      </c>
    </row>
    <row r="69" spans="1:20" s="21" customFormat="1" x14ac:dyDescent="0.2">
      <c r="A69" t="s">
        <v>9</v>
      </c>
      <c r="B69" t="s">
        <v>814</v>
      </c>
      <c r="C69">
        <v>3.3237635019897671</v>
      </c>
      <c r="D69">
        <v>3.5645937714903231</v>
      </c>
      <c r="E69">
        <v>2.0860343795433165</v>
      </c>
      <c r="F69">
        <v>30.563981042654028</v>
      </c>
      <c r="G69">
        <v>3.8272417153996101</v>
      </c>
      <c r="H69" s="10">
        <v>3.3152327221438647</v>
      </c>
      <c r="I69">
        <v>91.031529778123797</v>
      </c>
      <c r="J69">
        <v>88.001746258882889</v>
      </c>
      <c r="K69">
        <v>93.556305615219387</v>
      </c>
      <c r="L69">
        <v>100</v>
      </c>
      <c r="M69">
        <v>100</v>
      </c>
      <c r="N69" s="10">
        <v>100</v>
      </c>
      <c r="O69">
        <v>63.643441027637223</v>
      </c>
      <c r="P69">
        <v>63.314011302175558</v>
      </c>
      <c r="Q69">
        <v>48.707425590671981</v>
      </c>
      <c r="R69">
        <v>96.728174910838888</v>
      </c>
      <c r="S69">
        <v>73.871522251225571</v>
      </c>
      <c r="T69">
        <v>69.836205062752612</v>
      </c>
    </row>
    <row r="70" spans="1:20" s="21" customFormat="1" x14ac:dyDescent="0.2">
      <c r="A70" t="s">
        <v>897</v>
      </c>
      <c r="B70" t="s">
        <v>814</v>
      </c>
      <c r="C70">
        <v>3.0480386583285957</v>
      </c>
      <c r="D70">
        <v>4.0505943609391881</v>
      </c>
      <c r="E70">
        <v>2.0370307021294791</v>
      </c>
      <c r="F70">
        <v>20.432859399684045</v>
      </c>
      <c r="G70">
        <v>3.2067495126705654</v>
      </c>
      <c r="H70" s="10">
        <v>2.8201692524682653</v>
      </c>
      <c r="I70">
        <v>83.47995328921759</v>
      </c>
      <c r="J70">
        <v>100</v>
      </c>
      <c r="K70">
        <v>91.358545566124576</v>
      </c>
      <c r="L70">
        <v>66.852742027187688</v>
      </c>
      <c r="M70">
        <v>83.787483287706124</v>
      </c>
      <c r="N70" s="10">
        <v>85.06700701978302</v>
      </c>
      <c r="O70">
        <v>56.091864538731016</v>
      </c>
      <c r="P70">
        <v>75.312265043292669</v>
      </c>
      <c r="Q70">
        <v>46.509665541577171</v>
      </c>
      <c r="R70">
        <v>63.580916938026576</v>
      </c>
      <c r="S70">
        <v>57.659005538931694</v>
      </c>
      <c r="T70">
        <v>54.903212082535624</v>
      </c>
    </row>
    <row r="71" spans="1:20" s="21" customFormat="1" x14ac:dyDescent="0.2">
      <c r="A71" t="s">
        <v>7</v>
      </c>
      <c r="B71" t="s">
        <v>817</v>
      </c>
      <c r="C71">
        <v>1</v>
      </c>
      <c r="D71">
        <v>1</v>
      </c>
      <c r="E71">
        <v>1</v>
      </c>
      <c r="F71">
        <v>1</v>
      </c>
      <c r="G71">
        <v>1</v>
      </c>
      <c r="H71" s="10">
        <v>1</v>
      </c>
      <c r="I71">
        <v>33.602883009580729</v>
      </c>
      <c r="J71">
        <v>26.643034853255248</v>
      </c>
      <c r="K71">
        <v>39.031489812119617</v>
      </c>
      <c r="L71">
        <v>9.0839284343085325</v>
      </c>
      <c r="M71">
        <v>35.304887161859213</v>
      </c>
      <c r="N71" s="10">
        <v>43.088607594936704</v>
      </c>
      <c r="O71">
        <v>0</v>
      </c>
      <c r="P71">
        <v>0</v>
      </c>
      <c r="Q71">
        <v>0</v>
      </c>
      <c r="R71">
        <v>0</v>
      </c>
      <c r="S71">
        <v>0</v>
      </c>
      <c r="T71">
        <v>0</v>
      </c>
    </row>
    <row r="72" spans="1:20" s="21" customFormat="1" x14ac:dyDescent="0.2">
      <c r="A72" t="s">
        <v>828</v>
      </c>
      <c r="B72" t="s">
        <v>817</v>
      </c>
      <c r="C72">
        <v>1.3405702328014648</v>
      </c>
      <c r="D72">
        <v>1.8550533013800512</v>
      </c>
      <c r="E72">
        <v>1.5066949152542373</v>
      </c>
      <c r="F72">
        <v>2.3245984784446323</v>
      </c>
      <c r="G72">
        <v>1.4267118213567573</v>
      </c>
      <c r="H72" s="10">
        <v>1.1609870740305523</v>
      </c>
      <c r="I72">
        <v>45.047024698954033</v>
      </c>
      <c r="J72">
        <v>49.424249763314911</v>
      </c>
      <c r="K72">
        <v>58.808547234718176</v>
      </c>
      <c r="L72">
        <v>21.116486216693541</v>
      </c>
      <c r="M72">
        <v>50.369899865490964</v>
      </c>
      <c r="N72" s="10">
        <v>50.025316455696199</v>
      </c>
      <c r="O72">
        <v>11.444141689373303</v>
      </c>
      <c r="P72">
        <v>22.781214910059663</v>
      </c>
      <c r="Q72">
        <v>19.77705742259856</v>
      </c>
      <c r="R72">
        <v>12.032557782385009</v>
      </c>
      <c r="S72">
        <v>15.065012703631751</v>
      </c>
      <c r="T72">
        <v>6.9367088607594951</v>
      </c>
    </row>
    <row r="73" spans="1:20" s="21" customFormat="1" x14ac:dyDescent="0.2">
      <c r="A73" t="s">
        <v>104</v>
      </c>
      <c r="B73" t="s">
        <v>817</v>
      </c>
      <c r="C73">
        <v>2.5051007062516351</v>
      </c>
      <c r="D73">
        <v>1.5987934881414758</v>
      </c>
      <c r="E73">
        <v>2.2305932203389829</v>
      </c>
      <c r="F73">
        <v>9.9746407438715092</v>
      </c>
      <c r="G73">
        <v>2.381416022859562</v>
      </c>
      <c r="H73" s="10">
        <v>1.9618096357226793</v>
      </c>
      <c r="I73">
        <v>84.17860595939176</v>
      </c>
      <c r="J73">
        <v>42.59671062771087</v>
      </c>
      <c r="K73">
        <v>87.063376554644094</v>
      </c>
      <c r="L73">
        <v>90.608922675266797</v>
      </c>
      <c r="M73">
        <v>84.075623972500381</v>
      </c>
      <c r="N73" s="10">
        <v>84.531645569620252</v>
      </c>
      <c r="O73">
        <v>50.575722949811031</v>
      </c>
      <c r="P73">
        <v>15.953675774455622</v>
      </c>
      <c r="Q73">
        <v>48.031886742524478</v>
      </c>
      <c r="R73">
        <v>81.524994240958264</v>
      </c>
      <c r="S73">
        <v>48.770736810641168</v>
      </c>
      <c r="T73">
        <v>41.443037974683548</v>
      </c>
    </row>
    <row r="74" spans="1:20" s="21" customFormat="1" x14ac:dyDescent="0.2">
      <c r="A74" t="s">
        <v>894</v>
      </c>
      <c r="B74" t="s">
        <v>817</v>
      </c>
      <c r="C74">
        <v>1.8558723515563693</v>
      </c>
      <c r="D74">
        <v>1.7651433765804478</v>
      </c>
      <c r="E74">
        <v>2.5620338983050845</v>
      </c>
      <c r="F74">
        <v>4.9019442096365173</v>
      </c>
      <c r="G74">
        <v>1.8948036829294106</v>
      </c>
      <c r="H74" s="10">
        <v>1.362514688601645</v>
      </c>
      <c r="I74">
        <v>62.362661510064164</v>
      </c>
      <c r="J74">
        <v>47.028776503225522</v>
      </c>
      <c r="K74">
        <v>100</v>
      </c>
      <c r="L74">
        <v>44.528910389311214</v>
      </c>
      <c r="M74">
        <v>66.895830219698098</v>
      </c>
      <c r="N74" s="10">
        <v>58.70886075949366</v>
      </c>
      <c r="O74">
        <v>28.759778500483435</v>
      </c>
      <c r="P74">
        <v>20.385741649970274</v>
      </c>
      <c r="Q74">
        <v>60.968510187880383</v>
      </c>
      <c r="R74">
        <v>35.444981955002682</v>
      </c>
      <c r="S74">
        <v>31.590943057838885</v>
      </c>
      <c r="T74">
        <v>15.620253164556956</v>
      </c>
    </row>
    <row r="75" spans="1:20" s="21" customFormat="1" x14ac:dyDescent="0.2">
      <c r="A75" t="s">
        <v>895</v>
      </c>
      <c r="B75" t="s">
        <v>817</v>
      </c>
      <c r="C75">
        <v>2.6866335338739211</v>
      </c>
      <c r="D75">
        <v>3.7533261713907939</v>
      </c>
      <c r="E75">
        <v>1.8144915254237288</v>
      </c>
      <c r="F75">
        <v>10.933220625528318</v>
      </c>
      <c r="G75">
        <v>2.5509577733093449</v>
      </c>
      <c r="H75" s="10">
        <v>2.2279670975323151</v>
      </c>
      <c r="I75">
        <v>90.278632328381832</v>
      </c>
      <c r="J75">
        <v>100</v>
      </c>
      <c r="K75">
        <v>70.822307488753637</v>
      </c>
      <c r="L75">
        <v>99.316593718805194</v>
      </c>
      <c r="M75">
        <v>90.061276341354059</v>
      </c>
      <c r="N75" s="10">
        <v>96.000000000000014</v>
      </c>
      <c r="O75">
        <v>56.675749318801103</v>
      </c>
      <c r="P75">
        <v>73.356965146744756</v>
      </c>
      <c r="Q75">
        <v>31.79081767663402</v>
      </c>
      <c r="R75">
        <v>90.232665284496662</v>
      </c>
      <c r="S75">
        <v>54.756389179494846</v>
      </c>
      <c r="T75">
        <v>52.91139240506331</v>
      </c>
    </row>
    <row r="76" spans="1:20" s="21" customFormat="1" x14ac:dyDescent="0.2">
      <c r="A76" t="s">
        <v>9</v>
      </c>
      <c r="B76" t="s">
        <v>817</v>
      </c>
      <c r="C76">
        <v>1.6751242479727961</v>
      </c>
      <c r="D76">
        <v>1.621518882736964</v>
      </c>
      <c r="E76">
        <v>1.7513559322033898</v>
      </c>
      <c r="F76">
        <v>5.9323753169907016</v>
      </c>
      <c r="G76">
        <v>1.9261297491798073</v>
      </c>
      <c r="H76" s="10">
        <v>1.4024676850763806</v>
      </c>
      <c r="I76">
        <v>56.289004131141773</v>
      </c>
      <c r="J76">
        <v>43.202184107972442</v>
      </c>
      <c r="K76">
        <v>68.358031225191851</v>
      </c>
      <c r="L76">
        <v>53.889272825001925</v>
      </c>
      <c r="M76">
        <v>68.001793453893285</v>
      </c>
      <c r="N76" s="10">
        <v>60.430379746835442</v>
      </c>
      <c r="O76">
        <v>22.686121121561044</v>
      </c>
      <c r="P76">
        <v>16.559149254717195</v>
      </c>
      <c r="Q76">
        <v>29.326541413072235</v>
      </c>
      <c r="R76">
        <v>44.805344390693392</v>
      </c>
      <c r="S76">
        <v>32.696906292034072</v>
      </c>
      <c r="T76">
        <v>17.341772151898738</v>
      </c>
    </row>
    <row r="77" spans="1:20" s="21" customFormat="1" x14ac:dyDescent="0.2">
      <c r="A77" t="s">
        <v>897</v>
      </c>
      <c r="B77" t="s">
        <v>817</v>
      </c>
      <c r="C77">
        <v>2.9759351294794665</v>
      </c>
      <c r="D77">
        <v>3.6107759689281878</v>
      </c>
      <c r="E77">
        <v>2.3284745762711863</v>
      </c>
      <c r="F77">
        <v>11.008453085376162</v>
      </c>
      <c r="G77">
        <v>2.8324690443433167</v>
      </c>
      <c r="H77" s="10">
        <v>2.3207990599294948</v>
      </c>
      <c r="I77">
        <v>100</v>
      </c>
      <c r="J77">
        <v>96.202029987450189</v>
      </c>
      <c r="K77">
        <v>90.883831701508328</v>
      </c>
      <c r="L77">
        <v>100</v>
      </c>
      <c r="M77">
        <v>100</v>
      </c>
      <c r="N77" s="10">
        <v>100</v>
      </c>
      <c r="O77">
        <v>66.397116990419278</v>
      </c>
      <c r="P77">
        <v>69.558995134194944</v>
      </c>
      <c r="Q77">
        <v>51.852341889388711</v>
      </c>
      <c r="R77">
        <v>90.916071565691468</v>
      </c>
      <c r="S77">
        <v>64.695112838140787</v>
      </c>
      <c r="T77">
        <v>56.911392405063296</v>
      </c>
    </row>
    <row r="78" spans="1:20" s="21" customFormat="1" x14ac:dyDescent="0.2">
      <c r="A78" t="s">
        <v>7</v>
      </c>
      <c r="B78" t="s">
        <v>819</v>
      </c>
      <c r="C78">
        <v>1</v>
      </c>
      <c r="D78">
        <v>1</v>
      </c>
      <c r="E78">
        <v>1</v>
      </c>
      <c r="F78">
        <v>1</v>
      </c>
      <c r="G78">
        <v>1</v>
      </c>
      <c r="H78" s="10">
        <v>1</v>
      </c>
      <c r="I78">
        <v>39.549549549549553</v>
      </c>
      <c r="J78">
        <v>61.342632955536182</v>
      </c>
      <c r="K78">
        <v>68.771004227947813</v>
      </c>
      <c r="L78">
        <v>18.368991137767431</v>
      </c>
      <c r="M78">
        <v>50.701134844173211</v>
      </c>
      <c r="N78" s="10">
        <v>53.573153066151612</v>
      </c>
      <c r="O78">
        <v>0</v>
      </c>
      <c r="P78">
        <v>0</v>
      </c>
      <c r="Q78">
        <v>0</v>
      </c>
      <c r="R78">
        <v>0</v>
      </c>
      <c r="S78">
        <v>0</v>
      </c>
      <c r="T78">
        <v>0</v>
      </c>
    </row>
    <row r="79" spans="1:20" s="21" customFormat="1" x14ac:dyDescent="0.2">
      <c r="A79" t="s">
        <v>828</v>
      </c>
      <c r="B79" t="s">
        <v>819</v>
      </c>
      <c r="C79">
        <v>0.91647684130599849</v>
      </c>
      <c r="D79">
        <v>0.94930831912071256</v>
      </c>
      <c r="E79">
        <v>0.91256371183857921</v>
      </c>
      <c r="F79">
        <v>0.71783625730994149</v>
      </c>
      <c r="G79">
        <v>1.107790100081147</v>
      </c>
      <c r="H79" s="10">
        <v>0.87877422262280303</v>
      </c>
      <c r="I79">
        <v>36.246246246246251</v>
      </c>
      <c r="J79">
        <v>58.233071781458875</v>
      </c>
      <c r="K79">
        <v>62.757922885122689</v>
      </c>
      <c r="L79">
        <v>13.185927848894458</v>
      </c>
      <c r="M79">
        <v>56.166215243254371</v>
      </c>
      <c r="N79" s="10">
        <v>47.078705939159825</v>
      </c>
      <c r="O79">
        <v>-3.3033033033033021</v>
      </c>
      <c r="P79">
        <v>-3.1095611740773066</v>
      </c>
      <c r="Q79">
        <v>-6.0130813428251244</v>
      </c>
      <c r="R79">
        <v>-5.1830632888729724</v>
      </c>
      <c r="S79">
        <v>5.4650803990811596</v>
      </c>
      <c r="T79">
        <v>-6.4944471269917869</v>
      </c>
    </row>
    <row r="80" spans="1:20" s="21" customFormat="1" x14ac:dyDescent="0.2">
      <c r="A80" t="s">
        <v>104</v>
      </c>
      <c r="B80" t="s">
        <v>819</v>
      </c>
      <c r="C80">
        <v>2.5284738041002277</v>
      </c>
      <c r="D80">
        <v>1.4576463899943151</v>
      </c>
      <c r="E80">
        <v>1.4541012032998792</v>
      </c>
      <c r="F80">
        <v>5.4439571150097468</v>
      </c>
      <c r="G80">
        <v>1.9723424398160672</v>
      </c>
      <c r="H80" s="10">
        <v>1.8666065795403335</v>
      </c>
      <c r="I80">
        <v>100</v>
      </c>
      <c r="J80">
        <v>89.415867480383611</v>
      </c>
      <c r="K80">
        <v>100</v>
      </c>
      <c r="L80">
        <v>100</v>
      </c>
      <c r="M80">
        <v>100</v>
      </c>
      <c r="N80" s="10">
        <v>100</v>
      </c>
      <c r="O80">
        <v>60.450450450450447</v>
      </c>
      <c r="P80">
        <v>28.073234524847429</v>
      </c>
      <c r="Q80">
        <v>31.228995772052187</v>
      </c>
      <c r="R80">
        <v>81.631008862232562</v>
      </c>
      <c r="S80">
        <v>49.298865155826789</v>
      </c>
      <c r="T80">
        <v>46.426846933848388</v>
      </c>
    </row>
    <row r="81" spans="1:20" s="21" customFormat="1" x14ac:dyDescent="0.2">
      <c r="A81" t="s">
        <v>894</v>
      </c>
      <c r="B81" t="s">
        <v>819</v>
      </c>
      <c r="C81">
        <v>1.9916476841305999</v>
      </c>
      <c r="D81">
        <v>1.1731097214326323</v>
      </c>
      <c r="E81">
        <v>1.2135988650097209</v>
      </c>
      <c r="F81">
        <v>3.7509746588693957</v>
      </c>
      <c r="G81">
        <v>1.6145523397349202</v>
      </c>
      <c r="H81" s="10">
        <v>1.462821090581343</v>
      </c>
      <c r="I81">
        <v>78.768768768768766</v>
      </c>
      <c r="J81">
        <v>71.961639058413255</v>
      </c>
      <c r="K81">
        <v>83.460412676616187</v>
      </c>
      <c r="L81">
        <v>68.901620266762151</v>
      </c>
      <c r="M81">
        <v>81.859635889875534</v>
      </c>
      <c r="N81" s="10">
        <v>78.367938194109129</v>
      </c>
      <c r="O81">
        <v>39.219219219219212</v>
      </c>
      <c r="P81">
        <v>10.619006102877073</v>
      </c>
      <c r="Q81">
        <v>14.689408448668374</v>
      </c>
      <c r="R81">
        <v>50.532629128994721</v>
      </c>
      <c r="S81">
        <v>31.158501045702323</v>
      </c>
      <c r="T81">
        <v>24.794785127957518</v>
      </c>
    </row>
    <row r="82" spans="1:20" s="21" customFormat="1" x14ac:dyDescent="0.2">
      <c r="A82" t="s">
        <v>895</v>
      </c>
      <c r="B82" t="s">
        <v>819</v>
      </c>
      <c r="C82">
        <v>1.1541381928625665</v>
      </c>
      <c r="D82">
        <v>1.149232518476407</v>
      </c>
      <c r="E82">
        <v>1.171194367085282</v>
      </c>
      <c r="F82">
        <v>2.077485380116959</v>
      </c>
      <c r="G82">
        <v>1.2838788206654044</v>
      </c>
      <c r="H82" s="10">
        <v>1.2248760703019379</v>
      </c>
      <c r="I82">
        <v>45.645645645645651</v>
      </c>
      <c r="J82">
        <v>70.496948561464677</v>
      </c>
      <c r="K82">
        <v>80.544212770570596</v>
      </c>
      <c r="L82">
        <v>38.161310536209825</v>
      </c>
      <c r="M82">
        <v>65.094113210134736</v>
      </c>
      <c r="N82" s="10">
        <v>65.620473201351999</v>
      </c>
      <c r="O82">
        <v>6.0960960960960975</v>
      </c>
      <c r="P82">
        <v>9.1543156059284954</v>
      </c>
      <c r="Q82">
        <v>11.773208542622783</v>
      </c>
      <c r="R82">
        <v>19.792319398442395</v>
      </c>
      <c r="S82">
        <v>14.392978365961525</v>
      </c>
      <c r="T82">
        <v>12.047320135200387</v>
      </c>
    </row>
    <row r="83" spans="1:20" s="21" customFormat="1" x14ac:dyDescent="0.2">
      <c r="A83" t="s">
        <v>896</v>
      </c>
      <c r="B83" t="s">
        <v>819</v>
      </c>
      <c r="C83">
        <v>1.1962794229309035</v>
      </c>
      <c r="D83">
        <v>1.082906954709115</v>
      </c>
      <c r="E83">
        <v>1.004676580316326</v>
      </c>
      <c r="F83">
        <v>1.6837231968810915</v>
      </c>
      <c r="G83">
        <v>1.2050311063024073</v>
      </c>
      <c r="H83" s="10">
        <v>0.99774673276250558</v>
      </c>
      <c r="I83">
        <v>47.312312312312308</v>
      </c>
      <c r="J83">
        <v>66.428363847718686</v>
      </c>
      <c r="K83">
        <v>69.092617352654202</v>
      </c>
      <c r="L83">
        <v>30.928296481962221</v>
      </c>
      <c r="M83">
        <v>61.096444612061575</v>
      </c>
      <c r="N83" s="10">
        <v>53.452438435538383</v>
      </c>
      <c r="O83">
        <v>7.7627627627627547</v>
      </c>
      <c r="P83">
        <v>5.0857308921825037</v>
      </c>
      <c r="Q83">
        <v>0.32161312470638848</v>
      </c>
      <c r="R83">
        <v>12.55930534419479</v>
      </c>
      <c r="S83">
        <v>10.395309767888364</v>
      </c>
      <c r="T83">
        <v>-0.12071463061322874</v>
      </c>
    </row>
    <row r="84" spans="1:20" s="21" customFormat="1" x14ac:dyDescent="0.2">
      <c r="A84" t="s">
        <v>9</v>
      </c>
      <c r="B84" t="s">
        <v>819</v>
      </c>
      <c r="C84">
        <v>1.8075170842824602</v>
      </c>
      <c r="D84">
        <v>1.6150274777335607</v>
      </c>
      <c r="E84">
        <v>1.2515895118490883</v>
      </c>
      <c r="F84">
        <v>2.4400584795321638</v>
      </c>
      <c r="G84">
        <v>1.5580876386259128</v>
      </c>
      <c r="H84" s="10">
        <v>1.4312753492564219</v>
      </c>
      <c r="I84">
        <v>71.486486486486484</v>
      </c>
      <c r="J84">
        <v>99.070037779715193</v>
      </c>
      <c r="K84">
        <v>86.07306761102879</v>
      </c>
      <c r="L84">
        <v>44.821412586160591</v>
      </c>
      <c r="M84">
        <v>78.996811465011817</v>
      </c>
      <c r="N84" s="10">
        <v>76.677933365523913</v>
      </c>
      <c r="O84">
        <v>31.936936936936931</v>
      </c>
      <c r="P84">
        <v>37.727404824179011</v>
      </c>
      <c r="Q84">
        <v>17.302063383080977</v>
      </c>
      <c r="R84">
        <v>26.45242144839316</v>
      </c>
      <c r="S84">
        <v>28.295676620838606</v>
      </c>
      <c r="T84">
        <v>23.104780299372301</v>
      </c>
    </row>
    <row r="85" spans="1:20" s="21" customFormat="1" x14ac:dyDescent="0.2">
      <c r="A85" t="s">
        <v>897</v>
      </c>
      <c r="B85" t="s">
        <v>819</v>
      </c>
      <c r="C85">
        <v>1.9832953682611998</v>
      </c>
      <c r="D85">
        <v>1.6301876065946561</v>
      </c>
      <c r="E85">
        <v>1.0213861594240976</v>
      </c>
      <c r="F85">
        <v>3.6447368421052633</v>
      </c>
      <c r="G85">
        <v>1.7462807681904247</v>
      </c>
      <c r="H85" s="10">
        <v>1.4894096439837765</v>
      </c>
      <c r="I85">
        <v>78.438438438438439</v>
      </c>
      <c r="J85">
        <v>100</v>
      </c>
      <c r="K85">
        <v>70.241751888121996</v>
      </c>
      <c r="L85">
        <v>66.950138752126037</v>
      </c>
      <c r="M85">
        <v>88.538416703809091</v>
      </c>
      <c r="N85" s="10">
        <v>79.792370835345253</v>
      </c>
      <c r="O85">
        <v>38.888888888888886</v>
      </c>
      <c r="P85">
        <v>38.657367044463818</v>
      </c>
      <c r="Q85">
        <v>1.4707476601741831</v>
      </c>
      <c r="R85">
        <v>48.581147614358606</v>
      </c>
      <c r="S85">
        <v>37.83728185963588</v>
      </c>
      <c r="T85">
        <v>26.219217769193641</v>
      </c>
    </row>
    <row r="86" spans="1:20" s="21" customFormat="1" x14ac:dyDescent="0.2">
      <c r="A86" t="s">
        <v>7</v>
      </c>
      <c r="B86" t="s">
        <v>822</v>
      </c>
      <c r="C86">
        <v>1</v>
      </c>
      <c r="D86">
        <v>1</v>
      </c>
      <c r="E86">
        <v>1</v>
      </c>
      <c r="F86">
        <v>1</v>
      </c>
      <c r="G86">
        <v>1</v>
      </c>
      <c r="H86" s="10">
        <v>1</v>
      </c>
      <c r="I86">
        <v>25.728987993138936</v>
      </c>
      <c r="J86">
        <v>31.269533568065832</v>
      </c>
      <c r="K86">
        <v>47.804504264392321</v>
      </c>
      <c r="L86">
        <v>10.809620297771122</v>
      </c>
      <c r="M86">
        <v>45.358520494610474</v>
      </c>
      <c r="N86" s="10">
        <v>45.727887747431723</v>
      </c>
      <c r="O86">
        <v>0</v>
      </c>
      <c r="P86">
        <v>0</v>
      </c>
      <c r="Q86">
        <v>0</v>
      </c>
      <c r="R86">
        <v>0</v>
      </c>
      <c r="S86">
        <v>0</v>
      </c>
      <c r="T86">
        <v>0</v>
      </c>
    </row>
    <row r="87" spans="1:20" s="21" customFormat="1" x14ac:dyDescent="0.2">
      <c r="A87" t="s">
        <v>828</v>
      </c>
      <c r="B87" t="s">
        <v>822</v>
      </c>
      <c r="C87">
        <v>3.8866666666666667</v>
      </c>
      <c r="D87">
        <v>2.4133350202429149</v>
      </c>
      <c r="E87">
        <v>2.0918530908077217</v>
      </c>
      <c r="F87">
        <v>3.7367563162184187</v>
      </c>
      <c r="G87">
        <v>1.6817676045143857</v>
      </c>
      <c r="H87" s="10">
        <v>1.5243835616438357</v>
      </c>
      <c r="I87">
        <v>100</v>
      </c>
      <c r="J87">
        <v>75.463860426474668</v>
      </c>
      <c r="K87">
        <v>100</v>
      </c>
      <c r="L87">
        <v>40.392916923619062</v>
      </c>
      <c r="M87">
        <v>76.282490356537721</v>
      </c>
      <c r="N87" s="10">
        <v>69.706840390879492</v>
      </c>
      <c r="O87">
        <v>74.271012006861071</v>
      </c>
      <c r="P87">
        <v>44.194326858408836</v>
      </c>
      <c r="Q87">
        <v>52.195495735607679</v>
      </c>
      <c r="R87">
        <v>29.58329662584794</v>
      </c>
      <c r="S87">
        <v>30.923969861927247</v>
      </c>
      <c r="T87">
        <v>23.978952643447769</v>
      </c>
    </row>
    <row r="88" spans="1:20" s="21" customFormat="1" x14ac:dyDescent="0.2">
      <c r="A88" t="s">
        <v>104</v>
      </c>
      <c r="B88" t="s">
        <v>822</v>
      </c>
      <c r="C88">
        <v>3.221025641025641</v>
      </c>
      <c r="D88">
        <v>1.7945344129554657</v>
      </c>
      <c r="E88">
        <v>1.8083490138685623</v>
      </c>
      <c r="F88">
        <v>9.2510187449062755</v>
      </c>
      <c r="G88">
        <v>2.2046574471467175</v>
      </c>
      <c r="H88" s="10">
        <v>2.1868493150684931</v>
      </c>
      <c r="I88">
        <v>82.873730043541357</v>
      </c>
      <c r="J88">
        <v>56.114254064960242</v>
      </c>
      <c r="K88">
        <v>86.447228144989339</v>
      </c>
      <c r="L88">
        <v>100</v>
      </c>
      <c r="M88">
        <v>100</v>
      </c>
      <c r="N88" s="10">
        <v>100</v>
      </c>
      <c r="O88">
        <v>57.144742050402421</v>
      </c>
      <c r="P88">
        <v>24.844720496894411</v>
      </c>
      <c r="Q88">
        <v>38.642723880597018</v>
      </c>
      <c r="R88">
        <v>89.190379702228881</v>
      </c>
      <c r="S88">
        <v>54.641479505389526</v>
      </c>
      <c r="T88">
        <v>54.272112252568277</v>
      </c>
    </row>
    <row r="89" spans="1:20" s="21" customFormat="1" x14ac:dyDescent="0.2">
      <c r="A89" t="s">
        <v>894</v>
      </c>
      <c r="B89" t="s">
        <v>822</v>
      </c>
      <c r="C89">
        <v>3.1317948717948716</v>
      </c>
      <c r="D89">
        <v>2.0437753036437245</v>
      </c>
      <c r="E89">
        <v>2.0036936371872605</v>
      </c>
      <c r="F89">
        <v>4.8500407497962508</v>
      </c>
      <c r="G89">
        <v>1.6738197424892705</v>
      </c>
      <c r="H89" s="10">
        <v>1.5884931506849316</v>
      </c>
      <c r="I89">
        <v>80.577912653384345</v>
      </c>
      <c r="J89">
        <v>63.907900462871382</v>
      </c>
      <c r="K89">
        <v>95.785581023454156</v>
      </c>
      <c r="L89">
        <v>52.427098934014623</v>
      </c>
      <c r="M89">
        <v>75.921987093983205</v>
      </c>
      <c r="N89" s="10">
        <v>72.638436482084686</v>
      </c>
      <c r="O89">
        <v>54.848924660245409</v>
      </c>
      <c r="P89">
        <v>32.63836689480555</v>
      </c>
      <c r="Q89">
        <v>47.981076759061835</v>
      </c>
      <c r="R89">
        <v>41.617478636243504</v>
      </c>
      <c r="S89">
        <v>30.563466599372731</v>
      </c>
      <c r="T89">
        <v>26.910548734652963</v>
      </c>
    </row>
    <row r="90" spans="1:20" s="21" customFormat="1" x14ac:dyDescent="0.2">
      <c r="A90" t="s">
        <v>895</v>
      </c>
      <c r="B90" t="s">
        <v>822</v>
      </c>
      <c r="C90">
        <v>1.2794871794871794</v>
      </c>
      <c r="D90">
        <v>1.1429655870445343</v>
      </c>
      <c r="E90">
        <v>1.1257927381699073</v>
      </c>
      <c r="F90">
        <v>2.3724531377343112</v>
      </c>
      <c r="G90">
        <v>1.1299475441106341</v>
      </c>
      <c r="H90" s="10">
        <v>1.1813698630136986</v>
      </c>
      <c r="I90">
        <v>32.919910278400842</v>
      </c>
      <c r="J90">
        <v>35.740000791233136</v>
      </c>
      <c r="K90">
        <v>53.817963752665243</v>
      </c>
      <c r="L90">
        <v>25.645317593163597</v>
      </c>
      <c r="M90">
        <v>51.25274883737697</v>
      </c>
      <c r="N90" s="10">
        <v>54.021548484089202</v>
      </c>
      <c r="O90">
        <v>7.1909222852619052</v>
      </c>
      <c r="P90">
        <v>4.4704672231673044</v>
      </c>
      <c r="Q90">
        <v>6.0134594882729218</v>
      </c>
      <c r="R90">
        <v>14.835697295392475</v>
      </c>
      <c r="S90">
        <v>5.8942283427664961</v>
      </c>
      <c r="T90">
        <v>8.293660736657479</v>
      </c>
    </row>
    <row r="91" spans="1:20" s="21" customFormat="1" x14ac:dyDescent="0.2">
      <c r="A91" t="s">
        <v>896</v>
      </c>
      <c r="B91" t="s">
        <v>822</v>
      </c>
      <c r="C91">
        <v>3.3784615384615386</v>
      </c>
      <c r="D91">
        <v>2.2973178137651824</v>
      </c>
      <c r="E91">
        <v>2.0229284270680883</v>
      </c>
      <c r="F91">
        <v>4.1328443357783211</v>
      </c>
      <c r="G91">
        <v>1.677793673501828</v>
      </c>
      <c r="H91" s="10">
        <v>1.498082191780822</v>
      </c>
      <c r="I91">
        <v>86.924396358358621</v>
      </c>
      <c r="J91">
        <v>71.836056494045977</v>
      </c>
      <c r="K91">
        <v>96.705090618336882</v>
      </c>
      <c r="L91">
        <v>44.674478019557753</v>
      </c>
      <c r="M91">
        <v>76.102238725260463</v>
      </c>
      <c r="N91" s="10">
        <v>68.504134302179907</v>
      </c>
      <c r="O91">
        <v>61.195408365219684</v>
      </c>
      <c r="P91">
        <v>40.566522925980145</v>
      </c>
      <c r="Q91">
        <v>48.900586353944561</v>
      </c>
      <c r="R91">
        <v>33.864857721786635</v>
      </c>
      <c r="S91">
        <v>30.743718230649989</v>
      </c>
      <c r="T91">
        <v>22.776246554748184</v>
      </c>
    </row>
    <row r="92" spans="1:20" s="21" customFormat="1" x14ac:dyDescent="0.2">
      <c r="A92" t="s">
        <v>9</v>
      </c>
      <c r="B92" t="s">
        <v>822</v>
      </c>
      <c r="C92">
        <v>2.1369230769230767</v>
      </c>
      <c r="D92">
        <v>1.6899038461538463</v>
      </c>
      <c r="E92">
        <v>1.2217576137709945</v>
      </c>
      <c r="F92">
        <v>3.3618581907090466</v>
      </c>
      <c r="G92">
        <v>1.5817040216181848</v>
      </c>
      <c r="H92" s="10">
        <v>1.5068493150684932</v>
      </c>
      <c r="I92">
        <v>54.980868188415357</v>
      </c>
      <c r="J92">
        <v>52.842505044111256</v>
      </c>
      <c r="K92">
        <v>58.405517057569298</v>
      </c>
      <c r="L92">
        <v>36.340410536516607</v>
      </c>
      <c r="M92">
        <v>71.743754280976248</v>
      </c>
      <c r="N92" s="10">
        <v>68.90503633174643</v>
      </c>
      <c r="O92">
        <v>29.251880195276421</v>
      </c>
      <c r="P92">
        <v>21.572971476045424</v>
      </c>
      <c r="Q92">
        <v>10.601012793176977</v>
      </c>
      <c r="R92">
        <v>25.530790238745485</v>
      </c>
      <c r="S92">
        <v>26.385233786365774</v>
      </c>
      <c r="T92">
        <v>23.177148584314708</v>
      </c>
    </row>
    <row r="93" spans="1:20" s="21" customFormat="1" x14ac:dyDescent="0.2">
      <c r="A93" t="s">
        <v>897</v>
      </c>
      <c r="B93" t="s">
        <v>822</v>
      </c>
      <c r="C93">
        <v>3.6384615384615384</v>
      </c>
      <c r="D93">
        <v>3.1980010121457489</v>
      </c>
      <c r="E93">
        <v>1.9148372708899575</v>
      </c>
      <c r="F93">
        <v>6.21760391198044</v>
      </c>
      <c r="G93">
        <v>1.9294229852169766</v>
      </c>
      <c r="H93" s="10">
        <v>1.8893150684931508</v>
      </c>
      <c r="I93">
        <v>93.613933236574738</v>
      </c>
      <c r="J93">
        <v>100</v>
      </c>
      <c r="K93">
        <v>91.537846481876343</v>
      </c>
      <c r="L93">
        <v>67.209937450444883</v>
      </c>
      <c r="M93">
        <v>87.515772017736765</v>
      </c>
      <c r="N93" s="10">
        <v>86.394387371586078</v>
      </c>
      <c r="O93">
        <v>67.884945243435794</v>
      </c>
      <c r="P93">
        <v>68.730466431934161</v>
      </c>
      <c r="Q93">
        <v>43.733342217484022</v>
      </c>
      <c r="R93">
        <v>56.400317152673765</v>
      </c>
      <c r="S93">
        <v>42.157251523126291</v>
      </c>
      <c r="T93">
        <v>40.666499624154355</v>
      </c>
    </row>
    <row r="94" spans="1:20" s="21" customFormat="1" x14ac:dyDescent="0.2">
      <c r="A94" t="s">
        <v>7</v>
      </c>
      <c r="B94" t="s">
        <v>824</v>
      </c>
      <c r="C94">
        <v>1</v>
      </c>
      <c r="D94">
        <v>1</v>
      </c>
      <c r="E94">
        <v>1</v>
      </c>
      <c r="F94">
        <v>1</v>
      </c>
      <c r="G94">
        <v>1</v>
      </c>
      <c r="H94" s="10">
        <v>1</v>
      </c>
      <c r="I94">
        <v>16.879131255901793</v>
      </c>
      <c r="J94">
        <v>8.400952548950432</v>
      </c>
      <c r="K94">
        <v>27.775753711631296</v>
      </c>
      <c r="L94">
        <v>6.9239720713731581</v>
      </c>
      <c r="M94">
        <v>19.640630495252104</v>
      </c>
      <c r="N94" s="10">
        <v>11.973159991612496</v>
      </c>
      <c r="O94">
        <v>0</v>
      </c>
      <c r="P94">
        <v>0</v>
      </c>
      <c r="Q94">
        <v>0</v>
      </c>
      <c r="R94">
        <v>0</v>
      </c>
      <c r="S94">
        <v>0</v>
      </c>
      <c r="T94">
        <v>0</v>
      </c>
    </row>
    <row r="95" spans="1:20" s="21" customFormat="1" x14ac:dyDescent="0.2">
      <c r="A95" t="s">
        <v>828</v>
      </c>
      <c r="B95" t="s">
        <v>824</v>
      </c>
      <c r="C95">
        <v>1.067132867132867</v>
      </c>
      <c r="D95">
        <v>0.77060367454068246</v>
      </c>
      <c r="E95">
        <v>0.78914576160026229</v>
      </c>
      <c r="F95">
        <v>0.86064425770308128</v>
      </c>
      <c r="G95">
        <v>0.82988767703076671</v>
      </c>
      <c r="H95" s="10">
        <v>1.1243432574430823</v>
      </c>
      <c r="I95">
        <v>18.012275731822474</v>
      </c>
      <c r="J95">
        <v>6.4738049038631162</v>
      </c>
      <c r="K95">
        <v>21.919118316786594</v>
      </c>
      <c r="L95">
        <v>5.9590768037238178</v>
      </c>
      <c r="M95">
        <v>16.299517217124404</v>
      </c>
      <c r="N95" s="10">
        <v>13.461941706856784</v>
      </c>
      <c r="O95">
        <v>1.1331444759206803</v>
      </c>
      <c r="P95">
        <v>-1.9271476450873157</v>
      </c>
      <c r="Q95">
        <v>-5.8566353948447016</v>
      </c>
      <c r="R95">
        <v>-0.9648952676493403</v>
      </c>
      <c r="S95">
        <v>-3.3411132781277004</v>
      </c>
      <c r="T95">
        <v>1.4887817152442882</v>
      </c>
    </row>
    <row r="96" spans="1:20" s="21" customFormat="1" x14ac:dyDescent="0.2">
      <c r="A96" t="s">
        <v>104</v>
      </c>
      <c r="B96" t="s">
        <v>824</v>
      </c>
      <c r="C96">
        <v>5.9244755244755245</v>
      </c>
      <c r="D96">
        <v>3.5889763779527559</v>
      </c>
      <c r="E96">
        <v>1.9899983603869487</v>
      </c>
      <c r="F96">
        <v>14.442577030812325</v>
      </c>
      <c r="G96">
        <v>5.0914862445059414</v>
      </c>
      <c r="H96" s="10">
        <v>8.3520140105078813</v>
      </c>
      <c r="I96">
        <v>100</v>
      </c>
      <c r="J96">
        <v>30.150820250485094</v>
      </c>
      <c r="K96">
        <v>55.273704344657979</v>
      </c>
      <c r="L96">
        <v>100</v>
      </c>
      <c r="M96">
        <v>100</v>
      </c>
      <c r="N96" s="10">
        <v>100</v>
      </c>
      <c r="O96">
        <v>83.120868744098203</v>
      </c>
      <c r="P96">
        <v>21.749867701534662</v>
      </c>
      <c r="Q96">
        <v>27.497950633026683</v>
      </c>
      <c r="R96">
        <v>93.076027928626843</v>
      </c>
      <c r="S96">
        <v>80.359369504747889</v>
      </c>
      <c r="T96">
        <v>88.026840008387509</v>
      </c>
    </row>
    <row r="97" spans="1:20" s="21" customFormat="1" x14ac:dyDescent="0.2">
      <c r="A97" t="s">
        <v>894</v>
      </c>
      <c r="B97" t="s">
        <v>824</v>
      </c>
      <c r="C97">
        <v>4.7510489510489506</v>
      </c>
      <c r="D97">
        <v>2.8524934383202099</v>
      </c>
      <c r="E97">
        <v>1.703721921626496</v>
      </c>
      <c r="F97">
        <v>11.820028011204482</v>
      </c>
      <c r="G97">
        <v>4.157089370014651</v>
      </c>
      <c r="H97" s="10">
        <v>6.8108581436077058</v>
      </c>
      <c r="I97">
        <v>80.193578847969775</v>
      </c>
      <c r="J97">
        <v>23.963662021520552</v>
      </c>
      <c r="K97">
        <v>47.322160488204752</v>
      </c>
      <c r="L97">
        <v>81.841543832428229</v>
      </c>
      <c r="M97">
        <v>81.647856252198096</v>
      </c>
      <c r="N97" s="10">
        <v>81.547494233591948</v>
      </c>
      <c r="O97">
        <v>63.314447592067978</v>
      </c>
      <c r="P97">
        <v>15.56270947257012</v>
      </c>
      <c r="Q97">
        <v>19.546406776573455</v>
      </c>
      <c r="R97">
        <v>74.917571761055072</v>
      </c>
      <c r="S97">
        <v>62.007225756945992</v>
      </c>
      <c r="T97">
        <v>69.574334241979457</v>
      </c>
    </row>
    <row r="98" spans="1:20" s="21" customFormat="1" x14ac:dyDescent="0.2">
      <c r="A98" t="s">
        <v>895</v>
      </c>
      <c r="B98" t="s">
        <v>824</v>
      </c>
      <c r="C98">
        <v>2.0489510489510487</v>
      </c>
      <c r="D98">
        <v>1.4855643044619422</v>
      </c>
      <c r="E98">
        <v>1.3471060829644204</v>
      </c>
      <c r="F98">
        <v>4.9817927170868348</v>
      </c>
      <c r="G98">
        <v>2.0947419827445874</v>
      </c>
      <c r="H98" s="10">
        <v>3.2469352014010506</v>
      </c>
      <c r="I98">
        <v>34.584513692162417</v>
      </c>
      <c r="J98">
        <v>12.48015523019933</v>
      </c>
      <c r="K98">
        <v>37.4168867838601</v>
      </c>
      <c r="L98">
        <v>34.493793638479445</v>
      </c>
      <c r="M98">
        <v>41.142053265978198</v>
      </c>
      <c r="N98" s="10">
        <v>38.876074648773326</v>
      </c>
      <c r="O98">
        <v>17.705382436260624</v>
      </c>
      <c r="P98">
        <v>4.0792026812488977</v>
      </c>
      <c r="Q98">
        <v>9.6411330722288042</v>
      </c>
      <c r="R98">
        <v>27.569821567106288</v>
      </c>
      <c r="S98">
        <v>21.501422770726094</v>
      </c>
      <c r="T98">
        <v>26.902914657160828</v>
      </c>
    </row>
    <row r="99" spans="1:20" s="21" customFormat="1" x14ac:dyDescent="0.2">
      <c r="A99" t="s">
        <v>896</v>
      </c>
      <c r="B99" t="s">
        <v>824</v>
      </c>
      <c r="C99">
        <v>1.4727272727272727</v>
      </c>
      <c r="D99">
        <v>1.5989501312335959</v>
      </c>
      <c r="E99">
        <v>0.96950319724545009</v>
      </c>
      <c r="F99">
        <v>3.2135854341736696</v>
      </c>
      <c r="G99">
        <v>1.4395246622171578</v>
      </c>
      <c r="H99" s="10">
        <v>1.9492119089316988</v>
      </c>
      <c r="I99">
        <v>24.858356940509914</v>
      </c>
      <c r="J99">
        <v>13.432704180631506</v>
      </c>
      <c r="K99">
        <v>26.928682029328719</v>
      </c>
      <c r="L99">
        <v>22.250775795190069</v>
      </c>
      <c r="M99">
        <v>28.273171979409796</v>
      </c>
      <c r="N99" s="10">
        <v>23.338226043195636</v>
      </c>
      <c r="O99">
        <v>7.9792256846081209</v>
      </c>
      <c r="P99">
        <v>5.0317516316810735</v>
      </c>
      <c r="Q99">
        <v>-0.84707168230257679</v>
      </c>
      <c r="R99">
        <v>15.326803723816912</v>
      </c>
      <c r="S99">
        <v>8.6325414841576915</v>
      </c>
      <c r="T99">
        <v>11.36506605158314</v>
      </c>
    </row>
    <row r="100" spans="1:20" s="21" customFormat="1" x14ac:dyDescent="0.2">
      <c r="A100" t="s">
        <v>9</v>
      </c>
      <c r="B100" t="s">
        <v>824</v>
      </c>
      <c r="C100">
        <v>4.651748251748252</v>
      </c>
      <c r="D100">
        <v>11.903412073490813</v>
      </c>
      <c r="E100">
        <v>3.425971470732907</v>
      </c>
      <c r="F100">
        <v>8.5039915966386559</v>
      </c>
      <c r="G100">
        <v>4.1186716587986325</v>
      </c>
      <c r="H100" s="10">
        <v>6.8739054290718036</v>
      </c>
      <c r="I100">
        <v>78.51746931067045</v>
      </c>
      <c r="J100">
        <v>100</v>
      </c>
      <c r="K100">
        <v>95.158939794152474</v>
      </c>
      <c r="L100">
        <v>58.881400310318078</v>
      </c>
      <c r="M100">
        <v>80.893308181730987</v>
      </c>
      <c r="N100" s="10">
        <v>82.302369469490458</v>
      </c>
      <c r="O100">
        <v>61.638338054768653</v>
      </c>
      <c r="P100">
        <v>91.599047451049572</v>
      </c>
      <c r="Q100">
        <v>67.383186082521178</v>
      </c>
      <c r="R100">
        <v>51.957428238944921</v>
      </c>
      <c r="S100">
        <v>61.252677686478883</v>
      </c>
      <c r="T100">
        <v>70.329209477877967</v>
      </c>
    </row>
    <row r="101" spans="1:20" s="21" customFormat="1" x14ac:dyDescent="0.2">
      <c r="A101" t="s">
        <v>897</v>
      </c>
      <c r="B101" t="s">
        <v>824</v>
      </c>
      <c r="C101">
        <v>3.3048951048951047</v>
      </c>
      <c r="D101">
        <v>8.8173228346456689</v>
      </c>
      <c r="E101">
        <v>3.6002623380882111</v>
      </c>
      <c r="F101">
        <v>9.9768907563025202</v>
      </c>
      <c r="G101">
        <v>4.9495360573009934</v>
      </c>
      <c r="H101" s="10">
        <v>7.2084063047285465</v>
      </c>
      <c r="I101">
        <v>55.783758262511796</v>
      </c>
      <c r="J101">
        <v>74.073910742635391</v>
      </c>
      <c r="K101">
        <v>100</v>
      </c>
      <c r="L101">
        <v>69.079712955779669</v>
      </c>
      <c r="M101">
        <v>97.212008824375744</v>
      </c>
      <c r="N101" s="10">
        <v>86.307401971063115</v>
      </c>
      <c r="O101">
        <v>38.904627006609999</v>
      </c>
      <c r="P101">
        <v>65.672958193684963</v>
      </c>
      <c r="Q101">
        <v>72.224246288368704</v>
      </c>
      <c r="R101">
        <v>62.155740884406512</v>
      </c>
      <c r="S101">
        <v>77.571378329123633</v>
      </c>
      <c r="T101">
        <v>74.334241979450624</v>
      </c>
    </row>
    <row r="102" spans="1:20" s="21" customFormat="1" x14ac:dyDescent="0.2">
      <c r="A102" t="s">
        <v>7</v>
      </c>
      <c r="B102" t="s">
        <v>826</v>
      </c>
      <c r="C102">
        <v>1</v>
      </c>
      <c r="D102">
        <v>1</v>
      </c>
      <c r="E102">
        <v>1</v>
      </c>
      <c r="F102">
        <v>1</v>
      </c>
      <c r="G102">
        <v>1</v>
      </c>
      <c r="H102" s="10">
        <v>1</v>
      </c>
      <c r="I102">
        <v>20.962327489742634</v>
      </c>
      <c r="J102">
        <v>30.232558139534888</v>
      </c>
      <c r="K102">
        <v>48.3770137052176</v>
      </c>
      <c r="L102">
        <v>8.4775830555854199</v>
      </c>
      <c r="M102">
        <v>21.215658806132776</v>
      </c>
      <c r="N102" s="10">
        <v>16.117034465658321</v>
      </c>
      <c r="O102">
        <v>0</v>
      </c>
      <c r="P102">
        <v>0</v>
      </c>
      <c r="Q102">
        <v>0</v>
      </c>
      <c r="R102">
        <v>0</v>
      </c>
      <c r="S102">
        <v>0</v>
      </c>
      <c r="T102">
        <v>0</v>
      </c>
    </row>
    <row r="103" spans="1:20" s="21" customFormat="1" x14ac:dyDescent="0.2">
      <c r="A103" t="s">
        <v>828</v>
      </c>
      <c r="B103" t="s">
        <v>826</v>
      </c>
      <c r="C103">
        <v>0.76690391459074736</v>
      </c>
      <c r="D103">
        <v>0.92653414001728607</v>
      </c>
      <c r="E103">
        <v>0.85172299536116636</v>
      </c>
      <c r="F103">
        <v>0.91946734305643629</v>
      </c>
      <c r="G103">
        <v>0.90352164343360231</v>
      </c>
      <c r="H103" s="10">
        <v>0.84307692307692306</v>
      </c>
      <c r="I103">
        <v>16.07609101081686</v>
      </c>
      <c r="J103">
        <v>28.011497256336561</v>
      </c>
      <c r="K103">
        <v>41.203815019636139</v>
      </c>
      <c r="L103">
        <v>7.794860767659392</v>
      </c>
      <c r="M103">
        <v>19.168806911043664</v>
      </c>
      <c r="N103" s="10">
        <v>13.587899826431936</v>
      </c>
      <c r="O103">
        <v>-4.886236478925774</v>
      </c>
      <c r="P103">
        <v>-2.2210608831983265</v>
      </c>
      <c r="Q103">
        <v>-7.1731986855814611</v>
      </c>
      <c r="R103">
        <v>-0.68272228792602796</v>
      </c>
      <c r="S103">
        <v>-2.0468518950891124</v>
      </c>
      <c r="T103">
        <v>-2.5291346392263847</v>
      </c>
    </row>
    <row r="104" spans="1:20" s="21" customFormat="1" x14ac:dyDescent="0.2">
      <c r="A104" t="s">
        <v>104</v>
      </c>
      <c r="B104" t="s">
        <v>826</v>
      </c>
      <c r="C104">
        <v>4.7704626334519569</v>
      </c>
      <c r="D104">
        <v>3.3076923076923075</v>
      </c>
      <c r="E104">
        <v>2.0177269715043074</v>
      </c>
      <c r="F104">
        <v>11.79581483830057</v>
      </c>
      <c r="G104">
        <v>4.7134996331621419</v>
      </c>
      <c r="H104" s="10">
        <v>6.2046153846153844</v>
      </c>
      <c r="I104">
        <v>100</v>
      </c>
      <c r="J104">
        <v>100</v>
      </c>
      <c r="K104">
        <v>97.61160535385109</v>
      </c>
      <c r="L104">
        <v>100</v>
      </c>
      <c r="M104">
        <v>100</v>
      </c>
      <c r="N104" s="10">
        <v>100</v>
      </c>
      <c r="O104">
        <v>79.037672510257366</v>
      </c>
      <c r="P104">
        <v>69.767441860465112</v>
      </c>
      <c r="Q104">
        <v>49.23459164863349</v>
      </c>
      <c r="R104">
        <v>91.522416944414573</v>
      </c>
      <c r="S104">
        <v>78.78434119386722</v>
      </c>
      <c r="T104">
        <v>83.882965534341679</v>
      </c>
    </row>
    <row r="105" spans="1:20" s="21" customFormat="1" x14ac:dyDescent="0.2">
      <c r="A105" t="s">
        <v>894</v>
      </c>
      <c r="B105" t="s">
        <v>826</v>
      </c>
      <c r="C105">
        <v>3.1886120996441281</v>
      </c>
      <c r="D105">
        <v>2.7519446845289544</v>
      </c>
      <c r="E105">
        <v>2.0670974155069581</v>
      </c>
      <c r="F105">
        <v>10.655041217501585</v>
      </c>
      <c r="G105">
        <v>4.2498165810711663</v>
      </c>
      <c r="H105" s="10">
        <v>5.3969230769230769</v>
      </c>
      <c r="I105">
        <v>66.840731070496091</v>
      </c>
      <c r="J105">
        <v>83.1983276718056</v>
      </c>
      <c r="K105">
        <v>100</v>
      </c>
      <c r="L105">
        <v>90.328996882055705</v>
      </c>
      <c r="M105">
        <v>90.162658572651566</v>
      </c>
      <c r="N105" s="10">
        <v>86.982395239275974</v>
      </c>
      <c r="O105">
        <v>45.878403580753456</v>
      </c>
      <c r="P105">
        <v>52.965769532270713</v>
      </c>
      <c r="Q105">
        <v>51.6229862947824</v>
      </c>
      <c r="R105">
        <v>81.851413826470292</v>
      </c>
      <c r="S105">
        <v>68.946999766518786</v>
      </c>
      <c r="T105">
        <v>70.865360773617653</v>
      </c>
    </row>
    <row r="106" spans="1:20" s="21" customFormat="1" x14ac:dyDescent="0.2">
      <c r="A106" t="s">
        <v>895</v>
      </c>
      <c r="B106" t="s">
        <v>826</v>
      </c>
      <c r="C106">
        <v>2.2597864768683276</v>
      </c>
      <c r="D106">
        <v>2.8003457216940362</v>
      </c>
      <c r="E106">
        <v>1.8149436713055003</v>
      </c>
      <c r="F106">
        <v>4.4559289790741916</v>
      </c>
      <c r="G106">
        <v>2.1828686720469554</v>
      </c>
      <c r="H106" s="10">
        <v>2.6615384615384614</v>
      </c>
      <c r="I106">
        <v>47.370384185005605</v>
      </c>
      <c r="J106">
        <v>84.661614841912723</v>
      </c>
      <c r="K106">
        <v>87.801554860944137</v>
      </c>
      <c r="L106">
        <v>37.775508009891411</v>
      </c>
      <c r="M106">
        <v>46.310996964744348</v>
      </c>
      <c r="N106" s="10">
        <v>42.896107116290601</v>
      </c>
      <c r="O106">
        <v>26.408056695262971</v>
      </c>
      <c r="P106">
        <v>54.429056702377835</v>
      </c>
      <c r="Q106">
        <v>39.424541155726537</v>
      </c>
      <c r="R106">
        <v>29.297924954305991</v>
      </c>
      <c r="S106">
        <v>25.095338158611572</v>
      </c>
      <c r="T106">
        <v>26.77907265063228</v>
      </c>
    </row>
    <row r="107" spans="1:20" s="21" customFormat="1" x14ac:dyDescent="0.2">
      <c r="A107" t="s">
        <v>896</v>
      </c>
      <c r="B107" t="s">
        <v>826</v>
      </c>
      <c r="C107">
        <v>1.5035587188612101</v>
      </c>
      <c r="D107">
        <v>1.7562662057044081</v>
      </c>
      <c r="E107">
        <v>0.89496355202120614</v>
      </c>
      <c r="F107">
        <v>3.961318960050729</v>
      </c>
      <c r="G107">
        <v>1.6841526045487893</v>
      </c>
      <c r="H107" s="10">
        <v>2.2046153846153844</v>
      </c>
      <c r="I107">
        <v>31.518090264826565</v>
      </c>
      <c r="J107">
        <v>53.096420172458849</v>
      </c>
      <c r="K107">
        <v>43.295664021800121</v>
      </c>
      <c r="L107">
        <v>33.582410493495324</v>
      </c>
      <c r="M107">
        <v>35.730407035566969</v>
      </c>
      <c r="N107" s="10">
        <v>35.531862137366723</v>
      </c>
      <c r="O107">
        <v>10.555762775083931</v>
      </c>
      <c r="P107">
        <v>22.863862032923961</v>
      </c>
      <c r="Q107">
        <v>-5.0813496834174785</v>
      </c>
      <c r="R107">
        <v>25.104827437909904</v>
      </c>
      <c r="S107">
        <v>14.514748229434193</v>
      </c>
      <c r="T107">
        <v>19.414827671708402</v>
      </c>
    </row>
    <row r="108" spans="1:20" s="21" customFormat="1" x14ac:dyDescent="0.2">
      <c r="A108" t="s">
        <v>7</v>
      </c>
      <c r="B108" t="s">
        <v>898</v>
      </c>
      <c r="C108">
        <v>1</v>
      </c>
      <c r="D108">
        <v>1</v>
      </c>
      <c r="E108">
        <v>1</v>
      </c>
      <c r="F108">
        <v>1</v>
      </c>
      <c r="G108">
        <v>1</v>
      </c>
      <c r="H108" s="10">
        <v>1</v>
      </c>
      <c r="I108">
        <v>22.73781902552204</v>
      </c>
      <c r="J108">
        <v>40.489066541264997</v>
      </c>
      <c r="K108">
        <v>39.709343131992902</v>
      </c>
      <c r="L108">
        <v>18.139434023636561</v>
      </c>
      <c r="M108">
        <v>37.446972618588511</v>
      </c>
      <c r="N108" s="10">
        <v>35.953307392996109</v>
      </c>
      <c r="O108">
        <v>0</v>
      </c>
      <c r="P108">
        <v>0</v>
      </c>
      <c r="Q108">
        <v>0</v>
      </c>
      <c r="R108">
        <v>0</v>
      </c>
      <c r="S108">
        <v>0</v>
      </c>
      <c r="T108">
        <v>0</v>
      </c>
    </row>
    <row r="109" spans="1:20" s="21" customFormat="1" x14ac:dyDescent="0.2">
      <c r="A109" t="s">
        <v>828</v>
      </c>
      <c r="B109" t="s">
        <v>898</v>
      </c>
      <c r="C109">
        <v>1.227891156462585</v>
      </c>
      <c r="D109">
        <v>1.5145180023228804</v>
      </c>
      <c r="E109">
        <v>1.329798294863797</v>
      </c>
      <c r="F109">
        <v>1.2516437537358041</v>
      </c>
      <c r="G109">
        <v>1.356719876416066</v>
      </c>
      <c r="H109" s="10">
        <v>1.1850649350649352</v>
      </c>
      <c r="I109">
        <v>27.919566898685229</v>
      </c>
      <c r="J109">
        <v>61.321420173994831</v>
      </c>
      <c r="K109">
        <v>52.805416787085591</v>
      </c>
      <c r="L109">
        <v>22.704109291987422</v>
      </c>
      <c r="M109">
        <v>50.805052063247203</v>
      </c>
      <c r="N109" s="10">
        <v>42.607003891050582</v>
      </c>
      <c r="O109">
        <v>5.1817478731631894</v>
      </c>
      <c r="P109">
        <v>20.832353632729834</v>
      </c>
      <c r="Q109">
        <v>13.096073655092688</v>
      </c>
      <c r="R109">
        <v>4.5646752683508609</v>
      </c>
      <c r="S109">
        <v>13.358079444658692</v>
      </c>
      <c r="T109">
        <v>6.6536964980544724</v>
      </c>
    </row>
    <row r="110" spans="1:20" s="21" customFormat="1" x14ac:dyDescent="0.2">
      <c r="A110" t="s">
        <v>104</v>
      </c>
      <c r="B110" t="s">
        <v>898</v>
      </c>
      <c r="C110">
        <v>4.3979591836734695</v>
      </c>
      <c r="D110">
        <v>2.024390243902439</v>
      </c>
      <c r="E110">
        <v>1.5282803077562903</v>
      </c>
      <c r="F110">
        <v>5.5128511655708312</v>
      </c>
      <c r="G110">
        <v>2.2581101956745622</v>
      </c>
      <c r="H110" s="10">
        <v>2.7813852813852815</v>
      </c>
      <c r="I110">
        <v>100</v>
      </c>
      <c r="J110">
        <v>81.965671290853521</v>
      </c>
      <c r="K110">
        <v>60.687007142562244</v>
      </c>
      <c r="L110">
        <v>100</v>
      </c>
      <c r="M110">
        <v>84.559390667180864</v>
      </c>
      <c r="N110" s="10">
        <v>100</v>
      </c>
      <c r="O110">
        <v>77.262180974477957</v>
      </c>
      <c r="P110">
        <v>41.476604749588525</v>
      </c>
      <c r="Q110">
        <v>20.977664010569342</v>
      </c>
      <c r="R110">
        <v>81.860565976363432</v>
      </c>
      <c r="S110">
        <v>47.112418048592353</v>
      </c>
      <c r="T110">
        <v>64.046692607003891</v>
      </c>
    </row>
    <row r="111" spans="1:20" s="21" customFormat="1" x14ac:dyDescent="0.2">
      <c r="A111" t="s">
        <v>894</v>
      </c>
      <c r="B111" t="s">
        <v>898</v>
      </c>
      <c r="C111">
        <v>1.727891156462585</v>
      </c>
      <c r="D111">
        <v>0.94599303135888502</v>
      </c>
      <c r="E111">
        <v>1.1892285298398835</v>
      </c>
      <c r="F111">
        <v>1.5110579796772265</v>
      </c>
      <c r="G111">
        <v>1.2134397528321319</v>
      </c>
      <c r="H111" s="10">
        <v>1.2088744588744589</v>
      </c>
      <c r="I111">
        <v>39.288476411446247</v>
      </c>
      <c r="J111">
        <v>38.302374794262875</v>
      </c>
      <c r="K111">
        <v>47.22348375376739</v>
      </c>
      <c r="L111">
        <v>27.409736528244604</v>
      </c>
      <c r="M111">
        <v>45.43964519861165</v>
      </c>
      <c r="N111" s="10">
        <v>43.463035019455248</v>
      </c>
      <c r="O111">
        <v>16.550657385924207</v>
      </c>
      <c r="P111">
        <v>-2.1866917470021221</v>
      </c>
      <c r="Q111">
        <v>7.5141406217744873</v>
      </c>
      <c r="R111">
        <v>9.2703025046080434</v>
      </c>
      <c r="S111">
        <v>7.9926725800231395</v>
      </c>
      <c r="T111">
        <v>7.5097276264591386</v>
      </c>
    </row>
    <row r="112" spans="1:20" s="21" customFormat="1" x14ac:dyDescent="0.2">
      <c r="A112" t="s">
        <v>895</v>
      </c>
      <c r="B112" t="s">
        <v>898</v>
      </c>
      <c r="C112">
        <v>3.6190476190476191</v>
      </c>
      <c r="D112">
        <v>2.4698025551684086</v>
      </c>
      <c r="E112">
        <v>2.5182990226658348</v>
      </c>
      <c r="F112">
        <v>4.5056784219964134</v>
      </c>
      <c r="G112">
        <v>2.670442842430484</v>
      </c>
      <c r="H112" s="10">
        <v>2.6937229437229435</v>
      </c>
      <c r="I112">
        <v>82.289249806651199</v>
      </c>
      <c r="J112">
        <v>100</v>
      </c>
      <c r="K112">
        <v>100</v>
      </c>
      <c r="L112">
        <v>81.730456467526821</v>
      </c>
      <c r="M112">
        <v>100</v>
      </c>
      <c r="N112" s="10">
        <v>96.848249027237344</v>
      </c>
      <c r="O112">
        <v>59.551430781129156</v>
      </c>
      <c r="P112">
        <v>59.510933458735003</v>
      </c>
      <c r="Q112">
        <v>60.290656868007098</v>
      </c>
      <c r="R112">
        <v>63.59102244389026</v>
      </c>
      <c r="S112">
        <v>62.553027381411489</v>
      </c>
      <c r="T112">
        <v>60.894941634241235</v>
      </c>
    </row>
    <row r="113" spans="1:20" s="21" customFormat="1" x14ac:dyDescent="0.2">
      <c r="A113" t="s">
        <v>896</v>
      </c>
      <c r="B113" t="s">
        <v>898</v>
      </c>
      <c r="C113">
        <v>2.4829931972789114</v>
      </c>
      <c r="D113">
        <v>2.0241966705381338</v>
      </c>
      <c r="E113">
        <v>1.5296319401122895</v>
      </c>
      <c r="F113">
        <v>2.0603705917513451</v>
      </c>
      <c r="G113">
        <v>1.5466014418125644</v>
      </c>
      <c r="H113" s="10">
        <v>1.4826839826839826</v>
      </c>
      <c r="I113">
        <v>56.457849961330233</v>
      </c>
      <c r="J113">
        <v>81.957833686025552</v>
      </c>
      <c r="K113">
        <v>60.740679575574916</v>
      </c>
      <c r="L113">
        <v>37.373956413314538</v>
      </c>
      <c r="M113">
        <v>57.915541843424613</v>
      </c>
      <c r="N113" s="10">
        <v>53.307392996108952</v>
      </c>
      <c r="O113">
        <v>33.720030935808197</v>
      </c>
      <c r="P113">
        <v>41.468767144760555</v>
      </c>
      <c r="Q113">
        <v>21.031336443582013</v>
      </c>
      <c r="R113">
        <v>19.234522389677977</v>
      </c>
      <c r="S113">
        <v>20.468569224836102</v>
      </c>
      <c r="T113">
        <v>17.354085603112843</v>
      </c>
    </row>
    <row r="114" spans="1:20" s="21" customFormat="1" x14ac:dyDescent="0.2"/>
    <row r="115" spans="1:20" s="21" customFormat="1" x14ac:dyDescent="0.2"/>
    <row r="116" spans="1:20" s="21" customFormat="1" x14ac:dyDescent="0.2"/>
    <row r="117" spans="1:20" s="21" customFormat="1" x14ac:dyDescent="0.2"/>
    <row r="118" spans="1:20" s="21" customFormat="1" x14ac:dyDescent="0.2"/>
    <row r="119" spans="1:20" s="21" customFormat="1" x14ac:dyDescent="0.2"/>
    <row r="120" spans="1:20" s="21" customFormat="1" x14ac:dyDescent="0.2"/>
    <row r="121" spans="1:20" s="21" customFormat="1" x14ac:dyDescent="0.2"/>
    <row r="122" spans="1:20" s="21" customFormat="1" x14ac:dyDescent="0.2"/>
    <row r="123" spans="1:20" s="21" customFormat="1" x14ac:dyDescent="0.2"/>
    <row r="124" spans="1:20" s="21" customFormat="1" x14ac:dyDescent="0.2"/>
    <row r="125" spans="1:20" s="21" customFormat="1" x14ac:dyDescent="0.2"/>
    <row r="126" spans="1:20" s="21" customFormat="1" x14ac:dyDescent="0.2"/>
    <row r="127" spans="1:20" s="21" customFormat="1" x14ac:dyDescent="0.2"/>
    <row r="128" spans="1:20" s="21" customFormat="1" x14ac:dyDescent="0.2"/>
    <row r="129" s="21" customFormat="1" x14ac:dyDescent="0.2"/>
    <row r="130" s="21" customFormat="1" x14ac:dyDescent="0.2"/>
    <row r="131" s="21" customFormat="1" x14ac:dyDescent="0.2"/>
    <row r="132" s="21" customFormat="1" x14ac:dyDescent="0.2"/>
    <row r="133" s="21" customFormat="1" x14ac:dyDescent="0.2"/>
    <row r="134" s="21" customFormat="1" x14ac:dyDescent="0.2"/>
    <row r="135" s="21" customFormat="1" x14ac:dyDescent="0.2"/>
    <row r="136" s="21" customFormat="1" x14ac:dyDescent="0.2"/>
    <row r="137" s="21" customFormat="1" x14ac:dyDescent="0.2"/>
    <row r="138" s="21" customFormat="1" x14ac:dyDescent="0.2"/>
    <row r="139" s="21" customFormat="1" x14ac:dyDescent="0.2"/>
    <row r="140" s="21" customFormat="1" x14ac:dyDescent="0.2"/>
    <row r="141" s="21" customFormat="1" x14ac:dyDescent="0.2"/>
    <row r="142" s="21" customFormat="1" x14ac:dyDescent="0.2"/>
    <row r="143" s="21" customFormat="1" x14ac:dyDescent="0.2"/>
    <row r="144" s="21" customFormat="1" x14ac:dyDescent="0.2"/>
    <row r="145" s="21" customFormat="1" x14ac:dyDescent="0.2"/>
    <row r="146" s="21" customFormat="1" x14ac:dyDescent="0.2"/>
    <row r="147" s="21" customFormat="1" x14ac:dyDescent="0.2"/>
    <row r="148" s="21" customFormat="1" x14ac:dyDescent="0.2"/>
    <row r="149" s="21" customFormat="1" x14ac:dyDescent="0.2"/>
    <row r="150" s="21" customFormat="1" x14ac:dyDescent="0.2"/>
    <row r="151" s="21" customFormat="1" x14ac:dyDescent="0.2"/>
    <row r="152" s="21" customFormat="1" x14ac:dyDescent="0.2"/>
    <row r="153" s="21" customFormat="1" x14ac:dyDescent="0.2"/>
    <row r="154" s="21" customFormat="1" x14ac:dyDescent="0.2"/>
    <row r="155" s="21" customFormat="1" x14ac:dyDescent="0.2"/>
    <row r="156" s="21" customFormat="1" x14ac:dyDescent="0.2"/>
    <row r="157" s="21" customFormat="1" x14ac:dyDescent="0.2"/>
    <row r="158" s="21" customFormat="1" x14ac:dyDescent="0.2"/>
    <row r="159" s="21" customFormat="1" x14ac:dyDescent="0.2"/>
    <row r="160" s="21" customFormat="1" x14ac:dyDescent="0.2"/>
    <row r="161" s="21" customFormat="1" x14ac:dyDescent="0.2"/>
    <row r="162" s="21" customFormat="1" x14ac:dyDescent="0.2"/>
    <row r="163" s="21" customFormat="1" x14ac:dyDescent="0.2"/>
    <row r="164" s="21" customFormat="1" x14ac:dyDescent="0.2"/>
    <row r="165" s="21" customFormat="1" x14ac:dyDescent="0.2"/>
    <row r="166" s="21" customFormat="1" x14ac:dyDescent="0.2"/>
    <row r="167" s="21" customFormat="1" x14ac:dyDescent="0.2"/>
    <row r="168" s="21" customFormat="1" x14ac:dyDescent="0.2"/>
    <row r="169" s="21" customFormat="1" x14ac:dyDescent="0.2"/>
    <row r="170" s="21" customFormat="1" x14ac:dyDescent="0.2"/>
    <row r="171" s="21" customFormat="1" x14ac:dyDescent="0.2"/>
    <row r="172" s="21" customFormat="1" x14ac:dyDescent="0.2"/>
    <row r="173" s="21" customFormat="1" x14ac:dyDescent="0.2"/>
    <row r="174" s="21" customFormat="1" x14ac:dyDescent="0.2"/>
    <row r="175" s="21" customFormat="1" x14ac:dyDescent="0.2"/>
    <row r="176" s="21" customFormat="1" x14ac:dyDescent="0.2"/>
    <row r="177" s="21" customFormat="1" x14ac:dyDescent="0.2"/>
    <row r="178" s="21" customFormat="1" x14ac:dyDescent="0.2"/>
    <row r="179" s="21" customFormat="1" x14ac:dyDescent="0.2"/>
    <row r="180" s="21" customFormat="1" x14ac:dyDescent="0.2"/>
    <row r="181" s="21" customFormat="1" x14ac:dyDescent="0.2"/>
    <row r="182" s="21" customFormat="1" x14ac:dyDescent="0.2"/>
    <row r="183" s="21" customFormat="1" x14ac:dyDescent="0.2"/>
    <row r="184" s="21" customFormat="1" x14ac:dyDescent="0.2"/>
    <row r="185" s="21" customFormat="1" x14ac:dyDescent="0.2"/>
    <row r="186" s="21" customFormat="1" x14ac:dyDescent="0.2"/>
    <row r="187" s="21" customFormat="1" x14ac:dyDescent="0.2"/>
    <row r="188" s="21" customFormat="1" x14ac:dyDescent="0.2"/>
    <row r="189" s="21" customFormat="1" x14ac:dyDescent="0.2"/>
    <row r="190" s="21" customFormat="1" x14ac:dyDescent="0.2"/>
    <row r="191" s="21" customFormat="1" x14ac:dyDescent="0.2"/>
    <row r="192" s="21" customFormat="1" x14ac:dyDescent="0.2"/>
    <row r="193" s="21" customFormat="1" x14ac:dyDescent="0.2"/>
    <row r="194" s="21" customFormat="1" x14ac:dyDescent="0.2"/>
    <row r="195" s="21" customFormat="1" x14ac:dyDescent="0.2"/>
    <row r="196" s="21" customFormat="1" x14ac:dyDescent="0.2"/>
    <row r="197" s="21" customFormat="1" x14ac:dyDescent="0.2"/>
    <row r="198" s="21" customFormat="1" x14ac:dyDescent="0.2"/>
    <row r="199" s="21" customFormat="1" x14ac:dyDescent="0.2"/>
    <row r="200" s="21" customFormat="1" x14ac:dyDescent="0.2"/>
    <row r="201" s="21" customFormat="1" x14ac:dyDescent="0.2"/>
    <row r="202" s="21" customFormat="1" x14ac:dyDescent="0.2"/>
    <row r="203" s="21" customFormat="1" x14ac:dyDescent="0.2"/>
    <row r="204" s="21" customFormat="1" x14ac:dyDescent="0.2"/>
    <row r="205" s="21" customFormat="1" x14ac:dyDescent="0.2"/>
    <row r="206" s="21" customFormat="1" x14ac:dyDescent="0.2"/>
    <row r="207" s="21" customFormat="1" x14ac:dyDescent="0.2"/>
    <row r="208" s="21" customFormat="1" x14ac:dyDescent="0.2"/>
    <row r="209" s="21" customFormat="1" x14ac:dyDescent="0.2"/>
    <row r="210" s="21" customFormat="1" x14ac:dyDescent="0.2"/>
    <row r="211" s="21" customFormat="1" x14ac:dyDescent="0.2"/>
    <row r="212" s="21" customFormat="1" x14ac:dyDescent="0.2"/>
    <row r="213" s="21" customFormat="1" x14ac:dyDescent="0.2"/>
    <row r="214" s="21" customFormat="1" x14ac:dyDescent="0.2"/>
    <row r="215" s="21" customFormat="1" x14ac:dyDescent="0.2"/>
    <row r="216" s="21" customFormat="1" x14ac:dyDescent="0.2"/>
    <row r="217" s="21" customFormat="1" x14ac:dyDescent="0.2"/>
    <row r="218" s="21" customFormat="1" x14ac:dyDescent="0.2"/>
    <row r="219" s="21" customFormat="1" x14ac:dyDescent="0.2"/>
    <row r="220" s="21" customFormat="1" x14ac:dyDescent="0.2"/>
    <row r="221" s="21" customFormat="1" x14ac:dyDescent="0.2"/>
    <row r="222" s="21" customFormat="1" x14ac:dyDescent="0.2"/>
    <row r="223" s="21" customFormat="1" x14ac:dyDescent="0.2"/>
    <row r="224" s="21" customFormat="1" x14ac:dyDescent="0.2"/>
    <row r="225" s="21" customFormat="1" x14ac:dyDescent="0.2"/>
    <row r="226" s="21" customFormat="1" x14ac:dyDescent="0.2"/>
    <row r="227" s="21" customFormat="1" x14ac:dyDescent="0.2"/>
    <row r="228" s="21" customFormat="1" x14ac:dyDescent="0.2"/>
    <row r="229" s="21" customFormat="1" x14ac:dyDescent="0.2"/>
    <row r="230" s="21" customFormat="1" x14ac:dyDescent="0.2"/>
    <row r="231" s="21" customFormat="1" x14ac:dyDescent="0.2"/>
    <row r="232" s="21" customFormat="1" x14ac:dyDescent="0.2"/>
    <row r="233" s="21" customFormat="1" x14ac:dyDescent="0.2"/>
    <row r="234" s="21" customFormat="1" x14ac:dyDescent="0.2"/>
    <row r="235" s="21" customFormat="1" x14ac:dyDescent="0.2"/>
    <row r="236" s="21" customFormat="1" x14ac:dyDescent="0.2"/>
    <row r="237" s="21" customFormat="1" x14ac:dyDescent="0.2"/>
    <row r="238" s="21" customFormat="1" x14ac:dyDescent="0.2"/>
    <row r="239" s="21" customFormat="1" x14ac:dyDescent="0.2"/>
    <row r="240" s="21" customFormat="1" x14ac:dyDescent="0.2"/>
    <row r="241" s="21" customFormat="1" x14ac:dyDescent="0.2"/>
    <row r="242" s="21" customFormat="1" x14ac:dyDescent="0.2"/>
    <row r="243" s="21" customFormat="1" x14ac:dyDescent="0.2"/>
    <row r="244" s="21" customFormat="1" x14ac:dyDescent="0.2"/>
    <row r="245" s="21" customFormat="1" x14ac:dyDescent="0.2"/>
    <row r="246" s="21" customFormat="1" x14ac:dyDescent="0.2"/>
    <row r="247" s="21" customFormat="1" x14ac:dyDescent="0.2"/>
    <row r="248" s="21" customFormat="1" x14ac:dyDescent="0.2"/>
    <row r="249" s="21" customFormat="1" x14ac:dyDescent="0.2"/>
    <row r="250" s="21" customFormat="1" x14ac:dyDescent="0.2"/>
    <row r="251" s="21" customFormat="1" x14ac:dyDescent="0.2"/>
    <row r="252" s="21" customFormat="1" x14ac:dyDescent="0.2"/>
    <row r="253" s="21" customFormat="1" x14ac:dyDescent="0.2"/>
    <row r="254" s="21" customFormat="1" x14ac:dyDescent="0.2"/>
    <row r="255" s="21" customFormat="1" x14ac:dyDescent="0.2"/>
    <row r="256" s="21" customFormat="1" x14ac:dyDescent="0.2"/>
    <row r="257" s="21" customFormat="1" x14ac:dyDescent="0.2"/>
    <row r="258" s="21" customFormat="1" x14ac:dyDescent="0.2"/>
    <row r="259" s="21" customFormat="1" x14ac:dyDescent="0.2"/>
    <row r="260" s="21" customFormat="1" x14ac:dyDescent="0.2"/>
    <row r="261" s="21" customFormat="1" x14ac:dyDescent="0.2"/>
    <row r="262" s="21" customFormat="1" x14ac:dyDescent="0.2"/>
    <row r="263" s="21" customFormat="1" x14ac:dyDescent="0.2"/>
    <row r="264" s="21" customFormat="1" x14ac:dyDescent="0.2"/>
    <row r="265" s="21" customFormat="1" x14ac:dyDescent="0.2"/>
    <row r="266" s="21" customFormat="1" x14ac:dyDescent="0.2"/>
    <row r="267" s="21" customFormat="1" x14ac:dyDescent="0.2"/>
    <row r="268" s="21" customFormat="1" x14ac:dyDescent="0.2"/>
    <row r="269" s="21" customFormat="1" x14ac:dyDescent="0.2"/>
    <row r="270" s="21" customFormat="1" x14ac:dyDescent="0.2"/>
    <row r="271" s="21" customFormat="1" x14ac:dyDescent="0.2"/>
    <row r="272" s="21" customFormat="1" x14ac:dyDescent="0.2"/>
    <row r="273" s="21" customFormat="1" x14ac:dyDescent="0.2"/>
    <row r="274" s="21" customFormat="1" x14ac:dyDescent="0.2"/>
    <row r="275" s="21" customFormat="1" x14ac:dyDescent="0.2"/>
    <row r="276" s="21" customFormat="1" x14ac:dyDescent="0.2"/>
    <row r="277" s="21" customFormat="1" x14ac:dyDescent="0.2"/>
    <row r="278" s="21" customFormat="1" x14ac:dyDescent="0.2"/>
    <row r="279" s="21" customFormat="1" x14ac:dyDescent="0.2"/>
    <row r="280" s="21" customFormat="1" x14ac:dyDescent="0.2"/>
    <row r="281" s="21" customFormat="1" x14ac:dyDescent="0.2"/>
    <row r="282" s="21" customFormat="1" x14ac:dyDescent="0.2"/>
    <row r="283" s="21" customFormat="1" x14ac:dyDescent="0.2"/>
    <row r="284" s="21" customFormat="1" x14ac:dyDescent="0.2"/>
    <row r="285" s="21" customFormat="1" x14ac:dyDescent="0.2"/>
    <row r="286" s="21" customFormat="1" x14ac:dyDescent="0.2"/>
    <row r="287" s="21" customFormat="1" x14ac:dyDescent="0.2"/>
    <row r="288" s="21" customFormat="1" x14ac:dyDescent="0.2"/>
    <row r="289" s="21" customFormat="1" x14ac:dyDescent="0.2"/>
    <row r="290" s="21" customFormat="1" x14ac:dyDescent="0.2"/>
    <row r="291" s="21" customFormat="1" x14ac:dyDescent="0.2"/>
    <row r="292" s="21" customFormat="1" x14ac:dyDescent="0.2"/>
    <row r="293" s="21" customFormat="1" x14ac:dyDescent="0.2"/>
    <row r="294" s="21" customFormat="1" x14ac:dyDescent="0.2"/>
    <row r="295" s="21" customFormat="1" x14ac:dyDescent="0.2"/>
    <row r="296" s="21" customFormat="1" x14ac:dyDescent="0.2"/>
    <row r="297" s="21" customFormat="1" x14ac:dyDescent="0.2"/>
    <row r="298" s="21" customFormat="1" x14ac:dyDescent="0.2"/>
    <row r="299" s="21" customFormat="1" x14ac:dyDescent="0.2"/>
    <row r="300" s="21" customFormat="1" x14ac:dyDescent="0.2"/>
    <row r="301" s="21" customFormat="1" x14ac:dyDescent="0.2"/>
    <row r="302" s="21" customFormat="1" x14ac:dyDescent="0.2"/>
    <row r="303" s="21" customFormat="1" x14ac:dyDescent="0.2"/>
    <row r="304" s="21" customFormat="1" x14ac:dyDescent="0.2"/>
    <row r="305" s="21" customFormat="1" x14ac:dyDescent="0.2"/>
    <row r="306" s="21" customFormat="1" x14ac:dyDescent="0.2"/>
    <row r="307" s="21" customFormat="1" x14ac:dyDescent="0.2"/>
    <row r="308" s="21" customFormat="1" x14ac:dyDescent="0.2"/>
    <row r="309" s="21" customFormat="1" x14ac:dyDescent="0.2"/>
    <row r="310" s="21" customFormat="1" x14ac:dyDescent="0.2"/>
    <row r="311" s="21" customFormat="1" x14ac:dyDescent="0.2"/>
    <row r="312" s="21" customFormat="1" x14ac:dyDescent="0.2"/>
    <row r="313" s="21" customFormat="1" x14ac:dyDescent="0.2"/>
    <row r="314" s="21" customFormat="1" x14ac:dyDescent="0.2"/>
    <row r="315" s="21" customFormat="1" x14ac:dyDescent="0.2"/>
    <row r="316" s="21" customFormat="1" x14ac:dyDescent="0.2"/>
    <row r="317" s="21" customFormat="1" x14ac:dyDescent="0.2"/>
    <row r="318" s="21" customFormat="1" x14ac:dyDescent="0.2"/>
    <row r="319" s="21" customFormat="1" x14ac:dyDescent="0.2"/>
    <row r="320" s="21" customFormat="1" x14ac:dyDescent="0.2"/>
    <row r="321" s="21" customFormat="1" x14ac:dyDescent="0.2"/>
    <row r="322" s="21" customFormat="1" x14ac:dyDescent="0.2"/>
    <row r="323" s="21" customFormat="1" x14ac:dyDescent="0.2"/>
    <row r="324" s="21" customFormat="1" x14ac:dyDescent="0.2"/>
    <row r="325" s="21" customFormat="1" x14ac:dyDescent="0.2"/>
    <row r="326" s="21" customFormat="1" x14ac:dyDescent="0.2"/>
    <row r="327" s="21" customFormat="1" x14ac:dyDescent="0.2"/>
    <row r="328" s="21" customFormat="1" x14ac:dyDescent="0.2"/>
    <row r="329" s="21" customFormat="1" x14ac:dyDescent="0.2"/>
    <row r="330" s="21" customFormat="1" x14ac:dyDescent="0.2"/>
    <row r="331" s="21" customFormat="1" x14ac:dyDescent="0.2"/>
    <row r="332" s="21" customFormat="1" x14ac:dyDescent="0.2"/>
    <row r="333" s="21" customFormat="1" x14ac:dyDescent="0.2"/>
    <row r="334" s="21" customFormat="1" x14ac:dyDescent="0.2"/>
    <row r="335" s="21" customFormat="1" x14ac:dyDescent="0.2"/>
    <row r="336" s="21" customFormat="1" x14ac:dyDescent="0.2"/>
    <row r="337" s="21" customFormat="1" x14ac:dyDescent="0.2"/>
    <row r="338" s="21" customFormat="1" x14ac:dyDescent="0.2"/>
    <row r="339" s="21" customFormat="1" x14ac:dyDescent="0.2"/>
    <row r="340" s="21" customFormat="1" x14ac:dyDescent="0.2"/>
    <row r="341" s="21" customFormat="1" x14ac:dyDescent="0.2"/>
    <row r="342" s="21" customFormat="1" x14ac:dyDescent="0.2"/>
    <row r="343" s="21" customFormat="1" x14ac:dyDescent="0.2"/>
    <row r="344" s="21" customFormat="1" x14ac:dyDescent="0.2"/>
    <row r="345" s="21" customFormat="1" x14ac:dyDescent="0.2"/>
    <row r="346" s="21" customFormat="1" x14ac:dyDescent="0.2"/>
    <row r="347" s="21" customFormat="1" x14ac:dyDescent="0.2"/>
    <row r="348" s="21" customFormat="1" x14ac:dyDescent="0.2"/>
    <row r="349" s="21" customFormat="1" x14ac:dyDescent="0.2"/>
    <row r="350" s="21" customFormat="1" x14ac:dyDescent="0.2"/>
    <row r="351" s="21" customFormat="1" x14ac:dyDescent="0.2"/>
    <row r="352" s="21" customFormat="1" x14ac:dyDescent="0.2"/>
    <row r="353" s="21" customFormat="1" x14ac:dyDescent="0.2"/>
    <row r="354" s="21" customFormat="1" x14ac:dyDescent="0.2"/>
    <row r="355" s="21" customFormat="1" x14ac:dyDescent="0.2"/>
    <row r="356" s="21" customFormat="1" x14ac:dyDescent="0.2"/>
    <row r="357" s="21" customFormat="1" x14ac:dyDescent="0.2"/>
    <row r="358" s="21" customFormat="1" x14ac:dyDescent="0.2"/>
    <row r="359" s="21" customFormat="1" x14ac:dyDescent="0.2"/>
    <row r="360" s="21" customFormat="1" x14ac:dyDescent="0.2"/>
    <row r="361" s="21" customFormat="1" x14ac:dyDescent="0.2"/>
    <row r="362" s="21" customFormat="1" x14ac:dyDescent="0.2"/>
    <row r="363" s="21" customFormat="1" x14ac:dyDescent="0.2"/>
    <row r="364" s="21" customFormat="1" x14ac:dyDescent="0.2"/>
    <row r="365" s="21" customFormat="1" x14ac:dyDescent="0.2"/>
    <row r="366" s="21" customFormat="1" x14ac:dyDescent="0.2"/>
    <row r="367" s="21" customFormat="1" x14ac:dyDescent="0.2"/>
    <row r="368" s="21" customFormat="1" x14ac:dyDescent="0.2"/>
    <row r="369" s="21" customFormat="1" x14ac:dyDescent="0.2"/>
    <row r="370" s="21" customFormat="1" x14ac:dyDescent="0.2"/>
    <row r="371" s="21" customFormat="1" x14ac:dyDescent="0.2"/>
    <row r="372" s="21" customFormat="1" x14ac:dyDescent="0.2"/>
    <row r="373" s="21" customFormat="1" x14ac:dyDescent="0.2"/>
    <row r="374" s="21" customFormat="1" x14ac:dyDescent="0.2"/>
    <row r="375" s="21" customFormat="1" x14ac:dyDescent="0.2"/>
    <row r="376" s="21" customFormat="1" x14ac:dyDescent="0.2"/>
    <row r="377" s="21" customFormat="1" x14ac:dyDescent="0.2"/>
    <row r="378" s="21" customFormat="1" x14ac:dyDescent="0.2"/>
    <row r="379" s="21" customFormat="1" x14ac:dyDescent="0.2"/>
    <row r="380" s="21" customFormat="1" x14ac:dyDescent="0.2"/>
    <row r="381" s="21" customFormat="1" x14ac:dyDescent="0.2"/>
    <row r="382" s="21" customFormat="1" x14ac:dyDescent="0.2"/>
    <row r="383" s="21" customFormat="1" x14ac:dyDescent="0.2"/>
    <row r="384" s="21" customFormat="1" x14ac:dyDescent="0.2"/>
    <row r="385" s="21" customFormat="1" x14ac:dyDescent="0.2"/>
    <row r="386" s="21" customFormat="1" x14ac:dyDescent="0.2"/>
    <row r="387" s="21" customFormat="1" x14ac:dyDescent="0.2"/>
    <row r="388" s="21" customFormat="1" x14ac:dyDescent="0.2"/>
    <row r="389" s="21" customFormat="1" x14ac:dyDescent="0.2"/>
    <row r="390" s="21" customFormat="1" x14ac:dyDescent="0.2"/>
    <row r="391" s="21" customFormat="1" x14ac:dyDescent="0.2"/>
    <row r="392" s="21" customFormat="1" x14ac:dyDescent="0.2"/>
    <row r="393" s="21" customFormat="1" x14ac:dyDescent="0.2"/>
    <row r="394" s="21" customFormat="1" x14ac:dyDescent="0.2"/>
    <row r="395" s="21" customFormat="1" x14ac:dyDescent="0.2"/>
    <row r="396" s="21" customFormat="1" x14ac:dyDescent="0.2"/>
    <row r="397" s="21" customFormat="1" x14ac:dyDescent="0.2"/>
    <row r="398" s="21" customFormat="1" x14ac:dyDescent="0.2"/>
    <row r="399" s="21" customFormat="1" x14ac:dyDescent="0.2"/>
    <row r="400" s="21" customFormat="1" x14ac:dyDescent="0.2"/>
    <row r="401" s="21" customFormat="1" x14ac:dyDescent="0.2"/>
    <row r="402" s="21" customFormat="1" x14ac:dyDescent="0.2"/>
    <row r="403" s="21" customFormat="1" x14ac:dyDescent="0.2"/>
    <row r="404" s="21" customFormat="1" x14ac:dyDescent="0.2"/>
    <row r="405" s="21" customFormat="1" x14ac:dyDescent="0.2"/>
    <row r="406" s="21" customFormat="1" x14ac:dyDescent="0.2"/>
    <row r="407" s="21" customFormat="1" x14ac:dyDescent="0.2"/>
    <row r="408" s="21" customFormat="1" x14ac:dyDescent="0.2"/>
    <row r="409" s="21" customFormat="1" x14ac:dyDescent="0.2"/>
    <row r="410" s="21" customFormat="1" x14ac:dyDescent="0.2"/>
    <row r="411" s="21" customFormat="1" x14ac:dyDescent="0.2"/>
    <row r="412" s="21" customFormat="1" x14ac:dyDescent="0.2"/>
    <row r="413" s="21" customFormat="1" x14ac:dyDescent="0.2"/>
    <row r="414" s="21" customFormat="1" x14ac:dyDescent="0.2"/>
    <row r="415" s="21" customFormat="1" x14ac:dyDescent="0.2"/>
    <row r="416" s="21" customFormat="1" x14ac:dyDescent="0.2"/>
    <row r="417" s="21" customFormat="1" x14ac:dyDescent="0.2"/>
    <row r="418" s="21" customFormat="1" x14ac:dyDescent="0.2"/>
    <row r="419" s="21" customFormat="1" x14ac:dyDescent="0.2"/>
    <row r="420" s="21" customFormat="1" x14ac:dyDescent="0.2"/>
    <row r="421" s="21" customFormat="1" x14ac:dyDescent="0.2"/>
    <row r="422" s="21" customFormat="1" x14ac:dyDescent="0.2"/>
    <row r="423" s="21" customFormat="1" x14ac:dyDescent="0.2"/>
    <row r="424" s="21" customFormat="1" x14ac:dyDescent="0.2"/>
    <row r="425" s="21" customFormat="1" x14ac:dyDescent="0.2"/>
    <row r="426" s="21" customFormat="1" x14ac:dyDescent="0.2"/>
    <row r="427" s="21" customFormat="1" x14ac:dyDescent="0.2"/>
    <row r="428" s="21" customFormat="1" x14ac:dyDescent="0.2"/>
    <row r="429" s="21" customFormat="1" x14ac:dyDescent="0.2"/>
    <row r="430" s="21" customFormat="1" x14ac:dyDescent="0.2"/>
    <row r="431" s="21" customFormat="1" x14ac:dyDescent="0.2"/>
    <row r="432" s="21" customFormat="1" x14ac:dyDescent="0.2"/>
    <row r="433" s="21" customFormat="1" x14ac:dyDescent="0.2"/>
    <row r="434" s="21" customFormat="1" x14ac:dyDescent="0.2"/>
    <row r="435" s="21" customFormat="1" x14ac:dyDescent="0.2"/>
    <row r="436" s="21" customFormat="1" x14ac:dyDescent="0.2"/>
    <row r="437" s="21" customFormat="1" x14ac:dyDescent="0.2"/>
    <row r="438" s="21" customFormat="1" x14ac:dyDescent="0.2"/>
    <row r="439" s="21" customFormat="1" x14ac:dyDescent="0.2"/>
    <row r="440" s="21" customFormat="1" x14ac:dyDescent="0.2"/>
    <row r="441" s="21" customFormat="1" x14ac:dyDescent="0.2"/>
    <row r="442" s="21" customFormat="1" x14ac:dyDescent="0.2"/>
    <row r="443" s="21" customFormat="1" x14ac:dyDescent="0.2"/>
    <row r="444" s="21" customFormat="1" x14ac:dyDescent="0.2"/>
    <row r="445" s="21" customFormat="1" x14ac:dyDescent="0.2"/>
    <row r="446" s="21" customFormat="1" x14ac:dyDescent="0.2"/>
    <row r="447" s="21" customFormat="1" x14ac:dyDescent="0.2"/>
    <row r="448" s="21" customFormat="1" x14ac:dyDescent="0.2"/>
    <row r="449" s="21" customFormat="1" x14ac:dyDescent="0.2"/>
    <row r="450" s="21" customFormat="1" x14ac:dyDescent="0.2"/>
    <row r="451" s="21" customFormat="1" x14ac:dyDescent="0.2"/>
    <row r="452" s="21" customFormat="1" x14ac:dyDescent="0.2"/>
    <row r="453" s="21" customFormat="1" x14ac:dyDescent="0.2"/>
    <row r="454" s="21" customFormat="1" x14ac:dyDescent="0.2"/>
    <row r="455" s="21" customFormat="1" x14ac:dyDescent="0.2"/>
    <row r="456" s="21" customFormat="1" x14ac:dyDescent="0.2"/>
    <row r="457" s="21" customFormat="1" x14ac:dyDescent="0.2"/>
    <row r="458" s="21" customFormat="1" x14ac:dyDescent="0.2"/>
    <row r="459" s="21" customFormat="1" x14ac:dyDescent="0.2"/>
    <row r="460" s="21" customFormat="1" x14ac:dyDescent="0.2"/>
    <row r="461" s="21" customFormat="1" x14ac:dyDescent="0.2"/>
    <row r="462" s="21" customFormat="1" x14ac:dyDescent="0.2"/>
    <row r="463" s="21" customFormat="1" x14ac:dyDescent="0.2"/>
    <row r="464" s="21" customFormat="1" x14ac:dyDescent="0.2"/>
    <row r="465" s="21" customFormat="1" x14ac:dyDescent="0.2"/>
    <row r="466" s="21" customFormat="1" x14ac:dyDescent="0.2"/>
    <row r="467" s="21" customFormat="1" x14ac:dyDescent="0.2"/>
    <row r="468" s="21" customFormat="1" x14ac:dyDescent="0.2"/>
    <row r="469" s="21" customFormat="1" x14ac:dyDescent="0.2"/>
    <row r="470" s="21" customFormat="1" x14ac:dyDescent="0.2"/>
    <row r="471" s="21" customFormat="1" x14ac:dyDescent="0.2"/>
    <row r="472" s="21" customFormat="1" x14ac:dyDescent="0.2"/>
    <row r="473" s="21" customFormat="1" x14ac:dyDescent="0.2"/>
    <row r="474" s="21" customFormat="1" x14ac:dyDescent="0.2"/>
    <row r="475" s="21" customFormat="1" x14ac:dyDescent="0.2"/>
    <row r="476" s="21" customFormat="1" x14ac:dyDescent="0.2"/>
    <row r="477" s="21" customFormat="1" x14ac:dyDescent="0.2"/>
    <row r="478" s="21" customFormat="1" x14ac:dyDescent="0.2"/>
    <row r="479" s="21" customFormat="1" x14ac:dyDescent="0.2"/>
    <row r="480" s="21" customFormat="1" x14ac:dyDescent="0.2"/>
    <row r="481" s="21" customFormat="1" x14ac:dyDescent="0.2"/>
    <row r="482" s="21" customFormat="1" x14ac:dyDescent="0.2"/>
    <row r="483" s="21" customFormat="1" x14ac:dyDescent="0.2"/>
    <row r="484" s="21" customFormat="1" x14ac:dyDescent="0.2"/>
    <row r="485" s="21" customFormat="1" x14ac:dyDescent="0.2"/>
    <row r="486" s="21" customFormat="1" x14ac:dyDescent="0.2"/>
    <row r="487" s="21" customFormat="1" x14ac:dyDescent="0.2"/>
    <row r="488" s="21" customFormat="1" x14ac:dyDescent="0.2"/>
    <row r="489" s="21" customFormat="1" x14ac:dyDescent="0.2"/>
    <row r="490" s="21" customFormat="1" x14ac:dyDescent="0.2"/>
    <row r="491" s="21" customFormat="1" x14ac:dyDescent="0.2"/>
    <row r="492" s="21" customFormat="1" x14ac:dyDescent="0.2"/>
    <row r="493" s="21" customFormat="1" x14ac:dyDescent="0.2"/>
    <row r="494" s="21" customFormat="1" x14ac:dyDescent="0.2"/>
    <row r="495" s="21" customFormat="1" x14ac:dyDescent="0.2"/>
  </sheetData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05C587-9658-6C40-B4C8-FE1EFED458C8}">
  <sheetPr codeName="Sheet27"/>
  <dimension ref="A1:U63"/>
  <sheetViews>
    <sheetView topLeftCell="A14" zoomScale="84" zoomScaleNormal="84" workbookViewId="0">
      <selection activeCell="H62" sqref="H62"/>
    </sheetView>
  </sheetViews>
  <sheetFormatPr baseColWidth="10" defaultRowHeight="16" x14ac:dyDescent="0.2"/>
  <cols>
    <col min="11" max="11" width="10.83203125" style="10"/>
  </cols>
  <sheetData>
    <row r="1" spans="1:21" x14ac:dyDescent="0.2">
      <c r="C1" t="s">
        <v>108</v>
      </c>
      <c r="L1" s="63" t="s">
        <v>1244</v>
      </c>
    </row>
    <row r="2" spans="1:21" x14ac:dyDescent="0.2">
      <c r="A2" t="s">
        <v>900</v>
      </c>
      <c r="B2" t="s">
        <v>122</v>
      </c>
      <c r="C2" s="63" t="s">
        <v>17</v>
      </c>
      <c r="D2" s="63" t="s">
        <v>15</v>
      </c>
      <c r="E2" s="63" t="s">
        <v>98</v>
      </c>
      <c r="F2" s="63" t="s">
        <v>99</v>
      </c>
      <c r="G2" s="63" t="s">
        <v>100</v>
      </c>
      <c r="H2" s="63" t="s">
        <v>139</v>
      </c>
      <c r="I2" s="63" t="s">
        <v>571</v>
      </c>
      <c r="J2" s="63" t="s">
        <v>102</v>
      </c>
      <c r="K2" s="77" t="s">
        <v>10</v>
      </c>
      <c r="L2" s="63" t="s">
        <v>17</v>
      </c>
      <c r="M2" s="63" t="s">
        <v>15</v>
      </c>
      <c r="N2" s="63" t="s">
        <v>98</v>
      </c>
      <c r="O2" s="63" t="s">
        <v>99</v>
      </c>
      <c r="P2" s="63" t="s">
        <v>100</v>
      </c>
      <c r="Q2" s="63" t="s">
        <v>139</v>
      </c>
      <c r="R2" s="63" t="s">
        <v>571</v>
      </c>
      <c r="S2" s="63" t="s">
        <v>102</v>
      </c>
      <c r="T2" s="63" t="s">
        <v>10</v>
      </c>
      <c r="U2" s="63"/>
    </row>
    <row r="3" spans="1:21" x14ac:dyDescent="0.2">
      <c r="A3" t="s">
        <v>901</v>
      </c>
      <c r="B3" t="s">
        <v>902</v>
      </c>
      <c r="C3" s="66">
        <v>1.57</v>
      </c>
      <c r="D3">
        <v>361.52</v>
      </c>
      <c r="E3">
        <v>114.92</v>
      </c>
      <c r="F3">
        <v>472.53</v>
      </c>
      <c r="G3">
        <v>1.48</v>
      </c>
      <c r="H3" s="66">
        <v>1.81</v>
      </c>
      <c r="I3">
        <v>1.65</v>
      </c>
      <c r="J3" s="66">
        <v>4</v>
      </c>
      <c r="K3" s="75">
        <v>1.96</v>
      </c>
      <c r="L3">
        <f>C3/98.9*100</f>
        <v>1.5874620829120323</v>
      </c>
      <c r="M3">
        <f>D3/737.91*100</f>
        <v>48.992424550419429</v>
      </c>
      <c r="N3">
        <f>E3/138.75*100</f>
        <v>82.825225225225225</v>
      </c>
      <c r="O3">
        <f>F3/5669.02*100</f>
        <v>8.335303103534649</v>
      </c>
      <c r="P3">
        <f>G3/598.92*100</f>
        <v>0.24711146730782077</v>
      </c>
      <c r="Q3">
        <f>H3/153.08*100</f>
        <v>1.1823882937026391</v>
      </c>
      <c r="R3">
        <f>I3/2.11*100</f>
        <v>78.199052132701425</v>
      </c>
      <c r="S3">
        <f>J3/39.79*100</f>
        <v>10.052777079668259</v>
      </c>
      <c r="T3">
        <f>K3/4.71*100</f>
        <v>41.613588110403398</v>
      </c>
    </row>
    <row r="4" spans="1:21" x14ac:dyDescent="0.2">
      <c r="A4" t="s">
        <v>901</v>
      </c>
      <c r="B4" t="s">
        <v>104</v>
      </c>
      <c r="C4">
        <v>98.9</v>
      </c>
      <c r="D4">
        <v>737.91</v>
      </c>
      <c r="E4">
        <v>138.75</v>
      </c>
      <c r="F4">
        <v>5669.02</v>
      </c>
      <c r="G4">
        <v>598.91999999999996</v>
      </c>
      <c r="H4">
        <v>153.08000000000001</v>
      </c>
      <c r="I4">
        <v>2.11</v>
      </c>
      <c r="J4">
        <v>39.79</v>
      </c>
      <c r="K4" s="10">
        <v>4.71</v>
      </c>
      <c r="L4">
        <f>C4/98.9*100</f>
        <v>100</v>
      </c>
      <c r="M4">
        <f>D4/737.91*100</f>
        <v>100</v>
      </c>
      <c r="N4">
        <f>E4/138.75*100</f>
        <v>100</v>
      </c>
      <c r="O4">
        <f>F4/5669.02*100</f>
        <v>100</v>
      </c>
      <c r="P4">
        <f>G4/598.92*100</f>
        <v>100</v>
      </c>
      <c r="Q4">
        <f>H4/153.08*100</f>
        <v>100</v>
      </c>
      <c r="R4">
        <f>I4/2.11*100</f>
        <v>100</v>
      </c>
      <c r="S4">
        <f>J4/39.79*100</f>
        <v>100</v>
      </c>
      <c r="T4">
        <f>K4/4.71*100</f>
        <v>100</v>
      </c>
    </row>
    <row r="5" spans="1:21" x14ac:dyDescent="0.2">
      <c r="A5" t="s">
        <v>901</v>
      </c>
      <c r="B5" t="s">
        <v>903</v>
      </c>
      <c r="C5">
        <v>127.64</v>
      </c>
      <c r="D5">
        <v>686.48</v>
      </c>
      <c r="E5">
        <v>7.33</v>
      </c>
      <c r="F5">
        <v>4.29</v>
      </c>
      <c r="G5">
        <v>1.28</v>
      </c>
      <c r="H5" s="66">
        <v>1.81</v>
      </c>
      <c r="I5">
        <v>1.1499999999999999</v>
      </c>
      <c r="J5" s="66">
        <v>4</v>
      </c>
      <c r="K5" s="10">
        <v>11.45</v>
      </c>
      <c r="L5">
        <f>C5/98.9*100</f>
        <v>129.05965621840244</v>
      </c>
      <c r="M5">
        <f>D5/737.91*100</f>
        <v>93.030315350110442</v>
      </c>
      <c r="N5">
        <f>E5/138.75*100</f>
        <v>5.2828828828828822</v>
      </c>
      <c r="O5">
        <f>F5/5669.02*100</f>
        <v>7.5674455196841781E-2</v>
      </c>
      <c r="P5">
        <f>G5/598.92*100</f>
        <v>0.21371802577973686</v>
      </c>
      <c r="Q5">
        <f>H5/153.08*100</f>
        <v>1.1823882937026391</v>
      </c>
      <c r="R5">
        <f>I5/2.11*100</f>
        <v>54.502369668246445</v>
      </c>
      <c r="S5">
        <f>J5/39.79*100</f>
        <v>10.052777079668259</v>
      </c>
      <c r="T5">
        <f>K5/4.71*100</f>
        <v>243.09978768577491</v>
      </c>
    </row>
    <row r="6" spans="1:21" x14ac:dyDescent="0.2">
      <c r="A6" t="s">
        <v>901</v>
      </c>
      <c r="B6" t="s">
        <v>904</v>
      </c>
      <c r="C6">
        <v>3.71</v>
      </c>
      <c r="D6">
        <v>185.06</v>
      </c>
      <c r="E6" s="66">
        <v>1.97</v>
      </c>
      <c r="F6">
        <v>3686.34</v>
      </c>
      <c r="G6">
        <v>271.25</v>
      </c>
      <c r="H6">
        <v>85.21</v>
      </c>
      <c r="I6" s="66">
        <v>0.98</v>
      </c>
      <c r="J6">
        <v>26.66</v>
      </c>
      <c r="K6" s="75">
        <v>1.96</v>
      </c>
      <c r="L6">
        <f t="shared" ref="L6" si="0">C6/98.9*100</f>
        <v>3.7512639029322545</v>
      </c>
      <c r="M6">
        <f t="shared" ref="M6" si="1">D6/737.91*100</f>
        <v>25.078939166022955</v>
      </c>
      <c r="N6">
        <f t="shared" ref="N6" si="2">E6/138.75*100</f>
        <v>1.4198198198198198</v>
      </c>
      <c r="O6">
        <f t="shared" ref="O6" si="3">F6/5669.02*100</f>
        <v>65.026053885856811</v>
      </c>
      <c r="P6">
        <f t="shared" ref="P6" si="4">G6/598.92*100</f>
        <v>45.289855072463766</v>
      </c>
      <c r="Q6">
        <f t="shared" ref="Q6" si="5">H6/153.08*100</f>
        <v>55.663705252155729</v>
      </c>
      <c r="R6">
        <f t="shared" ref="R6" si="6">I6/2.11*100</f>
        <v>46.445497630331758</v>
      </c>
      <c r="S6">
        <f t="shared" ref="S6" si="7">J6/39.79*100</f>
        <v>67.001759235988942</v>
      </c>
      <c r="T6">
        <f t="shared" ref="T6" si="8">K6/4.71*100</f>
        <v>41.613588110403398</v>
      </c>
    </row>
    <row r="7" spans="1:21" x14ac:dyDescent="0.2">
      <c r="A7" s="63" t="s">
        <v>901</v>
      </c>
      <c r="B7" s="63" t="s">
        <v>902</v>
      </c>
      <c r="C7" s="177">
        <v>1.57</v>
      </c>
      <c r="D7" s="63">
        <v>292.70999999999998</v>
      </c>
      <c r="E7" s="63">
        <v>66.67</v>
      </c>
      <c r="F7" s="63">
        <v>56.87</v>
      </c>
      <c r="G7" s="63">
        <v>1.81</v>
      </c>
      <c r="H7" s="177">
        <v>1.81</v>
      </c>
      <c r="I7" s="63">
        <v>4</v>
      </c>
      <c r="J7" s="177">
        <v>4</v>
      </c>
      <c r="K7" s="77">
        <v>2.5299999999999998</v>
      </c>
      <c r="L7" s="63">
        <f>C7/89*100</f>
        <v>1.7640449438202248</v>
      </c>
      <c r="M7" s="63">
        <f>D7/352.66*100</f>
        <v>83.000623830318148</v>
      </c>
      <c r="N7" s="63">
        <f>E7/696.25*100</f>
        <v>9.5755834829443458</v>
      </c>
      <c r="O7">
        <f>F7/3257.65*100</f>
        <v>1.7457369576228259</v>
      </c>
      <c r="P7">
        <f>G7/528.12*100</f>
        <v>0.34272513822616074</v>
      </c>
      <c r="Q7">
        <f>H7/378.83*100</f>
        <v>0.47778687010004489</v>
      </c>
      <c r="R7">
        <f>I7/6.4*100</f>
        <v>62.5</v>
      </c>
      <c r="S7">
        <f>J7/75.95*100</f>
        <v>5.2666227781435158</v>
      </c>
      <c r="T7">
        <f>K7/5.35*100</f>
        <v>47.289719626168228</v>
      </c>
      <c r="U7" s="63"/>
    </row>
    <row r="8" spans="1:21" x14ac:dyDescent="0.2">
      <c r="A8" s="63" t="s">
        <v>901</v>
      </c>
      <c r="B8" s="63" t="s">
        <v>104</v>
      </c>
      <c r="C8" s="63">
        <v>89</v>
      </c>
      <c r="D8" s="63">
        <v>352.66</v>
      </c>
      <c r="E8" s="63">
        <v>696.25</v>
      </c>
      <c r="F8" s="63">
        <v>3257.65</v>
      </c>
      <c r="G8" s="63">
        <v>528.12</v>
      </c>
      <c r="H8" s="63">
        <v>378.83</v>
      </c>
      <c r="I8" s="63">
        <v>6.4</v>
      </c>
      <c r="J8" s="63">
        <v>75.95</v>
      </c>
      <c r="K8" s="77">
        <v>5.35</v>
      </c>
      <c r="L8" s="63">
        <f>C8/89*100</f>
        <v>100</v>
      </c>
      <c r="M8" s="63">
        <f>D8/352.66*100</f>
        <v>100</v>
      </c>
      <c r="N8" s="63">
        <f>E8/696.25*100</f>
        <v>100</v>
      </c>
      <c r="O8">
        <f>F8/3257.65*100</f>
        <v>100</v>
      </c>
      <c r="P8">
        <f>G8/528.12*100</f>
        <v>100</v>
      </c>
      <c r="Q8">
        <f>H8/378.83*100</f>
        <v>100</v>
      </c>
      <c r="R8">
        <f>I8/6.4*100</f>
        <v>100</v>
      </c>
      <c r="S8">
        <f>J8/75.95*100</f>
        <v>100</v>
      </c>
      <c r="T8">
        <f>K8/5.35*100</f>
        <v>100</v>
      </c>
      <c r="U8" s="63"/>
    </row>
    <row r="9" spans="1:21" x14ac:dyDescent="0.2">
      <c r="A9" s="63" t="s">
        <v>901</v>
      </c>
      <c r="B9" s="63" t="s">
        <v>903</v>
      </c>
      <c r="C9" s="63">
        <v>95.35</v>
      </c>
      <c r="D9" s="63">
        <v>1208.67</v>
      </c>
      <c r="E9" s="177">
        <v>1.97</v>
      </c>
      <c r="F9" s="63">
        <v>20.2</v>
      </c>
      <c r="G9" s="63">
        <v>3.94</v>
      </c>
      <c r="H9" s="177">
        <v>1.81</v>
      </c>
      <c r="I9" s="63">
        <v>1.45</v>
      </c>
      <c r="J9" s="177">
        <v>4</v>
      </c>
      <c r="K9" s="77">
        <v>2.89</v>
      </c>
      <c r="L9" s="63">
        <f>C9/89*100</f>
        <v>107.13483146067415</v>
      </c>
      <c r="M9" s="63">
        <f>D9/352.66*100</f>
        <v>342.72954120115691</v>
      </c>
      <c r="N9" s="63">
        <f>E9/696.25*100</f>
        <v>0.28294434470377022</v>
      </c>
      <c r="O9">
        <f>F9/3257.65*100</f>
        <v>0.62007889122526971</v>
      </c>
      <c r="P9">
        <f>G9/528.12*100</f>
        <v>0.74604256608346586</v>
      </c>
      <c r="Q9">
        <f>H9/378.83*100</f>
        <v>0.47778687010004489</v>
      </c>
      <c r="R9">
        <f>I9/6.4*100</f>
        <v>22.656249999999996</v>
      </c>
      <c r="S9">
        <f>J9/75.95*100</f>
        <v>5.2666227781435158</v>
      </c>
      <c r="T9">
        <f>K9/5.35*100</f>
        <v>54.018691588785053</v>
      </c>
      <c r="U9" s="63"/>
    </row>
    <row r="10" spans="1:21" x14ac:dyDescent="0.2">
      <c r="A10" s="63" t="s">
        <v>901</v>
      </c>
      <c r="B10" s="63" t="s">
        <v>904</v>
      </c>
      <c r="C10" s="63">
        <v>5.28</v>
      </c>
      <c r="D10" s="63">
        <v>258.55</v>
      </c>
      <c r="E10" s="63">
        <v>3.6</v>
      </c>
      <c r="F10" s="63">
        <v>3556.52</v>
      </c>
      <c r="G10" s="63">
        <v>165.46</v>
      </c>
      <c r="H10" s="63">
        <v>73.84</v>
      </c>
      <c r="I10" s="177">
        <v>0.98</v>
      </c>
      <c r="J10" s="63">
        <v>24.85</v>
      </c>
      <c r="K10" s="180">
        <v>1.96</v>
      </c>
      <c r="L10" s="63">
        <f>C10/89*100</f>
        <v>5.9325842696629216</v>
      </c>
      <c r="M10" s="63">
        <f>D10/352.66*100</f>
        <v>73.314240344808027</v>
      </c>
      <c r="N10" s="63">
        <f>E10/696.25*100</f>
        <v>0.51705565529622977</v>
      </c>
      <c r="O10">
        <f>F10/3257.65*100</f>
        <v>109.17440486240079</v>
      </c>
      <c r="P10">
        <f>G10/528.12*100</f>
        <v>31.330000757403621</v>
      </c>
      <c r="Q10">
        <f>H10/378.83*100</f>
        <v>19.491592534910122</v>
      </c>
      <c r="R10">
        <f>I10/6.4*100</f>
        <v>15.312499999999998</v>
      </c>
      <c r="S10">
        <f>J10/75.95*100</f>
        <v>32.718894009216591</v>
      </c>
      <c r="T10">
        <f>K10/5.35*100</f>
        <v>36.635514018691588</v>
      </c>
      <c r="U10" s="63"/>
    </row>
    <row r="11" spans="1:21" x14ac:dyDescent="0.2">
      <c r="A11" t="s">
        <v>905</v>
      </c>
      <c r="B11" t="s">
        <v>902</v>
      </c>
      <c r="C11">
        <v>3.11</v>
      </c>
      <c r="D11">
        <v>1230.81</v>
      </c>
      <c r="E11">
        <v>40.33</v>
      </c>
      <c r="F11">
        <v>3947.01</v>
      </c>
      <c r="G11">
        <v>5.3</v>
      </c>
      <c r="H11">
        <v>1.94</v>
      </c>
      <c r="I11">
        <v>7.54</v>
      </c>
      <c r="J11">
        <v>12.29</v>
      </c>
      <c r="K11" s="10">
        <v>6.19</v>
      </c>
      <c r="L11">
        <f>C11/75.5*100</f>
        <v>4.1192052980132443</v>
      </c>
      <c r="M11">
        <f>D11/2494.55*100</f>
        <v>49.339961115231198</v>
      </c>
      <c r="N11">
        <f>E11/499.32*100</f>
        <v>8.0769846991908985</v>
      </c>
      <c r="O11">
        <f>F11/3850.69*100</f>
        <v>102.50136988435838</v>
      </c>
      <c r="P11">
        <f>G11/556.6*100</f>
        <v>0.95220984549047782</v>
      </c>
      <c r="Q11">
        <f>H11/188.66*100</f>
        <v>1.0283048870984841</v>
      </c>
      <c r="R11">
        <f>I11/11.63*100</f>
        <v>64.832330180567496</v>
      </c>
      <c r="S11">
        <f>J11/67.6*100</f>
        <v>18.180473372781066</v>
      </c>
      <c r="T11">
        <f>K11/5.26*100</f>
        <v>117.68060836501901</v>
      </c>
    </row>
    <row r="12" spans="1:21" x14ac:dyDescent="0.2">
      <c r="A12" t="s">
        <v>905</v>
      </c>
      <c r="B12" t="s">
        <v>104</v>
      </c>
      <c r="C12">
        <v>75.5</v>
      </c>
      <c r="D12">
        <v>2494.5500000000002</v>
      </c>
      <c r="E12">
        <v>499.32</v>
      </c>
      <c r="F12">
        <v>3850.69</v>
      </c>
      <c r="G12">
        <v>556.6</v>
      </c>
      <c r="H12">
        <v>188.66</v>
      </c>
      <c r="I12">
        <v>11.63</v>
      </c>
      <c r="J12">
        <v>67.599999999999994</v>
      </c>
      <c r="K12" s="10">
        <v>5.26</v>
      </c>
      <c r="L12">
        <f>C12/75.5*100</f>
        <v>100</v>
      </c>
      <c r="M12">
        <f>D12/2494.55*100</f>
        <v>100</v>
      </c>
      <c r="N12">
        <f>E12/499.32*100</f>
        <v>100</v>
      </c>
      <c r="O12">
        <f>F12/3850.69*100</f>
        <v>100</v>
      </c>
      <c r="P12">
        <f>G12/556.6*100</f>
        <v>100</v>
      </c>
      <c r="Q12">
        <f>H12/188.66*100</f>
        <v>100</v>
      </c>
      <c r="R12">
        <f>I12/11.63*100</f>
        <v>100</v>
      </c>
      <c r="S12">
        <f>J12/67.6*100</f>
        <v>100</v>
      </c>
      <c r="T12">
        <f>K12/5.26*100</f>
        <v>100</v>
      </c>
    </row>
    <row r="13" spans="1:21" x14ac:dyDescent="0.2">
      <c r="A13" t="s">
        <v>905</v>
      </c>
      <c r="B13" t="s">
        <v>903</v>
      </c>
      <c r="C13">
        <v>65.31</v>
      </c>
      <c r="D13">
        <v>1748.52</v>
      </c>
      <c r="E13">
        <v>30.28</v>
      </c>
      <c r="F13">
        <v>185.6</v>
      </c>
      <c r="G13">
        <v>19.010000000000002</v>
      </c>
      <c r="H13">
        <v>7.34</v>
      </c>
      <c r="I13">
        <v>5.04</v>
      </c>
      <c r="J13" s="66">
        <v>4</v>
      </c>
      <c r="K13" s="10">
        <v>2.82</v>
      </c>
      <c r="L13">
        <f>C13/75.5*100</f>
        <v>86.503311258278146</v>
      </c>
      <c r="M13">
        <f>D13/2494.55*100</f>
        <v>70.093604056843915</v>
      </c>
      <c r="N13">
        <f>E13/499.32*100</f>
        <v>6.0642473764319478</v>
      </c>
      <c r="O13">
        <f>F13/3850.69*100</f>
        <v>4.8199153917869264</v>
      </c>
      <c r="P13">
        <f>G13/556.6*100</f>
        <v>3.4153790873158467</v>
      </c>
      <c r="Q13">
        <f>H13/188.66*100</f>
        <v>3.89059684087777</v>
      </c>
      <c r="R13">
        <f>I13/11.63*100</f>
        <v>43.336199484092866</v>
      </c>
      <c r="S13">
        <f>J13/67.6*100</f>
        <v>5.9171597633136095</v>
      </c>
      <c r="T13">
        <f>K13/5.26*100</f>
        <v>53.612167300380229</v>
      </c>
    </row>
    <row r="14" spans="1:21" x14ac:dyDescent="0.2">
      <c r="A14" t="s">
        <v>905</v>
      </c>
      <c r="B14" t="s">
        <v>904</v>
      </c>
      <c r="C14">
        <v>3.57</v>
      </c>
      <c r="D14">
        <v>214.56</v>
      </c>
      <c r="E14">
        <v>2.25</v>
      </c>
      <c r="F14">
        <v>2227.4</v>
      </c>
      <c r="G14">
        <v>149.03</v>
      </c>
      <c r="H14">
        <v>28.29</v>
      </c>
      <c r="I14">
        <v>1.37</v>
      </c>
      <c r="J14">
        <v>8.57</v>
      </c>
      <c r="K14" s="75">
        <v>1.96</v>
      </c>
      <c r="L14">
        <f>C14/75.5*100</f>
        <v>4.7284768211920527</v>
      </c>
      <c r="M14">
        <f>D14/2494.55*100</f>
        <v>8.6011505081076738</v>
      </c>
      <c r="N14">
        <f>E14/499.32*100</f>
        <v>0.45061283345349673</v>
      </c>
      <c r="O14">
        <f>F14/3850.69*100</f>
        <v>57.844178575787723</v>
      </c>
      <c r="P14">
        <f>G14/556.6*100</f>
        <v>26.775062881782247</v>
      </c>
      <c r="Q14">
        <f>H14/188.66*100</f>
        <v>14.995229513410369</v>
      </c>
      <c r="R14">
        <f>I14/11.63*100</f>
        <v>11.779879621668101</v>
      </c>
      <c r="S14">
        <f>J14/67.6*100</f>
        <v>12.677514792899411</v>
      </c>
      <c r="T14">
        <f>K14/5.26*100</f>
        <v>37.262357414448672</v>
      </c>
    </row>
    <row r="15" spans="1:21" x14ac:dyDescent="0.2">
      <c r="A15" s="63" t="s">
        <v>905</v>
      </c>
      <c r="B15" s="63" t="s">
        <v>902</v>
      </c>
      <c r="C15" s="63">
        <v>1.7</v>
      </c>
      <c r="D15" s="63">
        <v>1621.54</v>
      </c>
      <c r="E15" s="63">
        <v>32.090000000000003</v>
      </c>
      <c r="F15" s="63">
        <v>3452.06</v>
      </c>
      <c r="G15" s="63">
        <v>4.04</v>
      </c>
      <c r="H15" s="177">
        <v>1.81</v>
      </c>
      <c r="I15" s="63">
        <v>5.95</v>
      </c>
      <c r="J15" s="63">
        <v>9.48</v>
      </c>
      <c r="K15" s="77">
        <v>12.66</v>
      </c>
      <c r="L15" s="63">
        <f>C15/80.95*100</f>
        <v>2.1000617665225447</v>
      </c>
      <c r="M15" s="63">
        <f>D15/2159.85*100</f>
        <v>75.076509942820095</v>
      </c>
      <c r="N15" s="63">
        <f>E15/153.01*100</f>
        <v>20.972485458466767</v>
      </c>
      <c r="O15">
        <f>F15/3901.16*100</f>
        <v>88.488039454931354</v>
      </c>
      <c r="P15">
        <f>G15/504.03*100</f>
        <v>0.80153959089736726</v>
      </c>
      <c r="Q15">
        <f>H15/237.64*100</f>
        <v>0.76165628682040065</v>
      </c>
      <c r="R15">
        <f>I15/6.49*100</f>
        <v>91.679506933744221</v>
      </c>
      <c r="S15">
        <f>J15/57.77*100</f>
        <v>16.409901332871733</v>
      </c>
      <c r="T15">
        <f>K15/20.75*100</f>
        <v>61.012048192771083</v>
      </c>
      <c r="U15" s="63"/>
    </row>
    <row r="16" spans="1:21" x14ac:dyDescent="0.2">
      <c r="A16" s="63" t="s">
        <v>905</v>
      </c>
      <c r="B16" s="63" t="s">
        <v>104</v>
      </c>
      <c r="C16" s="63">
        <v>80.95</v>
      </c>
      <c r="D16" s="63">
        <v>2159.85</v>
      </c>
      <c r="E16" s="63">
        <v>153.01</v>
      </c>
      <c r="F16" s="63">
        <v>3901.16</v>
      </c>
      <c r="G16" s="63">
        <v>504.03</v>
      </c>
      <c r="H16" s="63">
        <v>237.64</v>
      </c>
      <c r="I16" s="63">
        <v>6.49</v>
      </c>
      <c r="J16" s="63">
        <v>57.77</v>
      </c>
      <c r="K16" s="77">
        <v>20.75</v>
      </c>
      <c r="L16" s="63">
        <f>C16/80.95*100</f>
        <v>100</v>
      </c>
      <c r="M16" s="63">
        <f>D16/2159.85*100</f>
        <v>100</v>
      </c>
      <c r="N16" s="63">
        <f>E16/153.01*100</f>
        <v>100</v>
      </c>
      <c r="O16">
        <f>F16/3901.16*100</f>
        <v>100</v>
      </c>
      <c r="P16">
        <f>G16/504.03*100</f>
        <v>100</v>
      </c>
      <c r="Q16">
        <f>H16/237.64*100</f>
        <v>100</v>
      </c>
      <c r="R16">
        <f>I16/6.49*100</f>
        <v>100</v>
      </c>
      <c r="S16">
        <f>J16/57.77*100</f>
        <v>100</v>
      </c>
      <c r="T16">
        <f>K16/20.75*100</f>
        <v>100</v>
      </c>
      <c r="U16" s="63"/>
    </row>
    <row r="17" spans="1:21" x14ac:dyDescent="0.2">
      <c r="A17" s="63" t="s">
        <v>905</v>
      </c>
      <c r="B17" s="63" t="s">
        <v>903</v>
      </c>
      <c r="C17" s="63">
        <v>130.41999999999999</v>
      </c>
      <c r="D17" s="63">
        <v>1745.82</v>
      </c>
      <c r="E17" s="63">
        <v>3.22</v>
      </c>
      <c r="F17" s="63">
        <v>204.38</v>
      </c>
      <c r="G17" s="63">
        <v>22.2</v>
      </c>
      <c r="H17" s="63">
        <v>19.260000000000002</v>
      </c>
      <c r="I17" s="63">
        <v>4.0199999999999996</v>
      </c>
      <c r="J17" s="63">
        <v>4.88</v>
      </c>
      <c r="K17" s="77">
        <v>39.54</v>
      </c>
      <c r="L17" s="63">
        <f>C17/80.95*100</f>
        <v>161.11179740580604</v>
      </c>
      <c r="M17" s="63">
        <f>D17/2159.85*100</f>
        <v>80.830613237030349</v>
      </c>
      <c r="N17" s="63">
        <f>E17/153.01*100</f>
        <v>2.1044376184563105</v>
      </c>
      <c r="O17">
        <f>F17/3901.16*100</f>
        <v>5.2389545673594524</v>
      </c>
      <c r="P17">
        <f>G17/504.03*100</f>
        <v>4.4044997321587998</v>
      </c>
      <c r="Q17">
        <f>H17/237.64*100</f>
        <v>8.1046961790944305</v>
      </c>
      <c r="R17">
        <f>I17/6.49*100</f>
        <v>61.941448382126339</v>
      </c>
      <c r="S17">
        <f>J17/57.77*100</f>
        <v>8.4472909814782753</v>
      </c>
      <c r="T17">
        <f>K17/20.75*100</f>
        <v>190.55421686746988</v>
      </c>
      <c r="U17" s="63"/>
    </row>
    <row r="18" spans="1:21" x14ac:dyDescent="0.2">
      <c r="A18" s="63" t="s">
        <v>905</v>
      </c>
      <c r="B18" s="63" t="s">
        <v>904</v>
      </c>
      <c r="C18" s="63">
        <v>11.93</v>
      </c>
      <c r="D18" s="63">
        <v>623.63</v>
      </c>
      <c r="E18" s="63">
        <v>12.87</v>
      </c>
      <c r="F18" s="63">
        <v>3783.2</v>
      </c>
      <c r="G18" s="63">
        <v>350.09</v>
      </c>
      <c r="H18" s="63">
        <v>170.79</v>
      </c>
      <c r="I18" s="63">
        <v>1.51</v>
      </c>
      <c r="J18" s="63">
        <v>46.94</v>
      </c>
      <c r="K18" s="77">
        <v>3.79</v>
      </c>
      <c r="L18" s="63">
        <f>C18/80.95*100</f>
        <v>14.73749227918468</v>
      </c>
      <c r="M18" s="63">
        <f>D18/2159.85*100</f>
        <v>28.873764381785772</v>
      </c>
      <c r="N18" s="63">
        <f>E18/153.01*100</f>
        <v>8.4112149532710276</v>
      </c>
      <c r="O18">
        <f>F18/3901.16*100</f>
        <v>96.976283977073479</v>
      </c>
      <c r="P18">
        <f>G18/504.03*100</f>
        <v>69.458167172588929</v>
      </c>
      <c r="Q18">
        <f>H18/237.64*100</f>
        <v>71.869213937047633</v>
      </c>
      <c r="R18">
        <f>I18/6.49*100</f>
        <v>23.266563944530045</v>
      </c>
      <c r="S18">
        <f>J18/57.77*100</f>
        <v>81.253245629219307</v>
      </c>
      <c r="T18">
        <f>K18/20.75*100</f>
        <v>18.265060240963855</v>
      </c>
      <c r="U18" s="63"/>
    </row>
    <row r="21" spans="1:21" x14ac:dyDescent="0.2">
      <c r="C21" s="63" t="s">
        <v>17</v>
      </c>
      <c r="D21" s="63" t="s">
        <v>15</v>
      </c>
      <c r="E21" s="63" t="s">
        <v>98</v>
      </c>
      <c r="F21" s="63" t="s">
        <v>99</v>
      </c>
      <c r="G21" s="63" t="s">
        <v>100</v>
      </c>
      <c r="H21" s="63" t="s">
        <v>139</v>
      </c>
      <c r="I21" s="63" t="s">
        <v>571</v>
      </c>
      <c r="J21" s="63" t="s">
        <v>102</v>
      </c>
      <c r="K21" s="77" t="s">
        <v>10</v>
      </c>
    </row>
    <row r="22" spans="1:21" x14ac:dyDescent="0.2">
      <c r="A22" t="s">
        <v>901</v>
      </c>
      <c r="B22" t="s">
        <v>902</v>
      </c>
      <c r="C22">
        <v>3.19</v>
      </c>
      <c r="D22">
        <v>367.93</v>
      </c>
      <c r="E22">
        <v>41.24</v>
      </c>
      <c r="F22">
        <v>273.20999999999998</v>
      </c>
      <c r="G22">
        <v>3.45</v>
      </c>
      <c r="H22">
        <v>2.0299999999999998</v>
      </c>
      <c r="I22">
        <v>1.99</v>
      </c>
      <c r="J22" s="66">
        <v>4</v>
      </c>
      <c r="K22" s="10">
        <v>2.31</v>
      </c>
      <c r="L22">
        <f>C22/45.78*100</f>
        <v>6.9681083442551337</v>
      </c>
      <c r="M22">
        <f t="shared" ref="M22:M37" si="9">D22/11423.61*100</f>
        <v>3.2207857236022588</v>
      </c>
      <c r="N22" s="63">
        <f>E22/4875*100</f>
        <v>0.84594871794871807</v>
      </c>
      <c r="O22">
        <f>F22/1568.19*100</f>
        <v>17.421996059150992</v>
      </c>
      <c r="P22">
        <f>G22/23.13*100</f>
        <v>14.915693904020754</v>
      </c>
      <c r="Q22">
        <f>H22/1.81*100</f>
        <v>112.15469613259668</v>
      </c>
      <c r="R22">
        <f>I22/16.56*100</f>
        <v>12.016908212560388</v>
      </c>
      <c r="S22" t="s">
        <v>1215</v>
      </c>
      <c r="T22">
        <f>K22/117.75*100</f>
        <v>1.9617834394904461</v>
      </c>
    </row>
    <row r="23" spans="1:21" x14ac:dyDescent="0.2">
      <c r="A23" t="s">
        <v>901</v>
      </c>
      <c r="B23" t="s">
        <v>9</v>
      </c>
      <c r="C23">
        <v>45.78</v>
      </c>
      <c r="D23" s="178">
        <v>11423.61</v>
      </c>
      <c r="E23">
        <v>4875</v>
      </c>
      <c r="F23">
        <v>1568.19</v>
      </c>
      <c r="G23">
        <v>23.13</v>
      </c>
      <c r="H23" s="66">
        <v>1.81</v>
      </c>
      <c r="I23">
        <v>16.559999999999999</v>
      </c>
      <c r="J23" s="66">
        <v>4</v>
      </c>
      <c r="K23" s="10">
        <v>117.75</v>
      </c>
      <c r="L23">
        <f>C23/45.78*100</f>
        <v>100</v>
      </c>
      <c r="M23">
        <f t="shared" si="9"/>
        <v>100</v>
      </c>
      <c r="N23" s="63">
        <f>E23/4875*100</f>
        <v>100</v>
      </c>
      <c r="O23">
        <f>F23/1568.19*100</f>
        <v>100</v>
      </c>
      <c r="P23">
        <f>G23/23.13*100</f>
        <v>100</v>
      </c>
      <c r="Q23">
        <f>H23/1.81*100</f>
        <v>100</v>
      </c>
      <c r="R23">
        <f>I23/16.56*100</f>
        <v>100</v>
      </c>
      <c r="T23">
        <f>K23/117.75*100</f>
        <v>100</v>
      </c>
    </row>
    <row r="24" spans="1:21" x14ac:dyDescent="0.2">
      <c r="A24" t="s">
        <v>901</v>
      </c>
      <c r="B24" t="s">
        <v>906</v>
      </c>
      <c r="C24">
        <v>63.35</v>
      </c>
      <c r="D24" s="178">
        <v>11423.61</v>
      </c>
      <c r="E24">
        <v>25.01</v>
      </c>
      <c r="F24">
        <v>11.48</v>
      </c>
      <c r="G24">
        <v>6.78</v>
      </c>
      <c r="H24" s="66">
        <v>1.81</v>
      </c>
      <c r="I24">
        <v>1.76</v>
      </c>
      <c r="J24">
        <v>4.57</v>
      </c>
      <c r="K24" s="10">
        <v>72.599999999999994</v>
      </c>
      <c r="L24">
        <f>C24/45.78*100</f>
        <v>138.37920489296636</v>
      </c>
      <c r="M24">
        <f t="shared" si="9"/>
        <v>100</v>
      </c>
      <c r="N24" s="63">
        <f>E24/4875*100</f>
        <v>0.51302564102564097</v>
      </c>
      <c r="O24">
        <f>F24/1568.19*100</f>
        <v>0.73205415160152787</v>
      </c>
      <c r="P24">
        <f>G24/23.13*100</f>
        <v>29.312581063553829</v>
      </c>
      <c r="Q24">
        <f>H24/1.81*100</f>
        <v>100</v>
      </c>
      <c r="R24">
        <f>I24/16.56*100</f>
        <v>10.628019323671499</v>
      </c>
      <c r="T24">
        <f>K24/117.75*100</f>
        <v>61.65605095541401</v>
      </c>
    </row>
    <row r="25" spans="1:21" x14ac:dyDescent="0.2">
      <c r="A25" t="s">
        <v>901</v>
      </c>
      <c r="B25" t="s">
        <v>907</v>
      </c>
      <c r="C25">
        <v>5.9</v>
      </c>
      <c r="D25">
        <v>1680.04</v>
      </c>
      <c r="E25">
        <v>116.19</v>
      </c>
      <c r="F25">
        <v>234.07</v>
      </c>
      <c r="G25">
        <v>2.37</v>
      </c>
      <c r="H25" s="66">
        <v>1.81</v>
      </c>
      <c r="I25" s="66">
        <v>0.98</v>
      </c>
      <c r="J25" s="66">
        <v>4</v>
      </c>
      <c r="K25" s="10">
        <v>3.76</v>
      </c>
      <c r="L25">
        <f>C25/45.78*100</f>
        <v>12.88772389689821</v>
      </c>
      <c r="M25">
        <f t="shared" si="9"/>
        <v>14.706734561141355</v>
      </c>
      <c r="N25" s="63">
        <f>E25/4875*100</f>
        <v>2.3833846153846152</v>
      </c>
      <c r="O25">
        <f>F25/1568.19*100</f>
        <v>14.926125023115821</v>
      </c>
      <c r="P25">
        <f>G25/23.13*100</f>
        <v>10.246433203631648</v>
      </c>
      <c r="Q25">
        <f>H25/1.81*100</f>
        <v>100</v>
      </c>
      <c r="R25">
        <f>I25/16.56*100</f>
        <v>5.9178743961352662</v>
      </c>
      <c r="T25">
        <f>K25/117.75*100</f>
        <v>3.1932059447983012</v>
      </c>
    </row>
    <row r="26" spans="1:21" x14ac:dyDescent="0.2">
      <c r="A26" s="63" t="s">
        <v>901</v>
      </c>
      <c r="B26" s="63" t="s">
        <v>902</v>
      </c>
      <c r="C26" s="177">
        <v>1.57</v>
      </c>
      <c r="D26" s="63">
        <v>371.08</v>
      </c>
      <c r="E26" s="63">
        <v>186.85</v>
      </c>
      <c r="F26" s="63">
        <v>60.53</v>
      </c>
      <c r="G26" s="63">
        <v>1.87</v>
      </c>
      <c r="H26" s="63">
        <v>1.83</v>
      </c>
      <c r="I26" s="63">
        <v>8.19</v>
      </c>
      <c r="J26" s="63">
        <v>16.96</v>
      </c>
      <c r="K26" s="77">
        <v>8.25</v>
      </c>
      <c r="L26" s="63">
        <f>C26/41.57*100</f>
        <v>3.7767620880442632</v>
      </c>
      <c r="M26">
        <f t="shared" si="9"/>
        <v>3.2483601943693805</v>
      </c>
      <c r="N26" s="63">
        <f>E26/10483.18*100</f>
        <v>1.7823790109489677</v>
      </c>
      <c r="O26">
        <f>F26/2632.74*100</f>
        <v>2.2991256257739088</v>
      </c>
      <c r="P26">
        <f>G26/88.55*100</f>
        <v>2.1118012422360248</v>
      </c>
      <c r="Q26">
        <f>H26/1.83*100</f>
        <v>100</v>
      </c>
      <c r="R26">
        <f>I26/24.26*100</f>
        <v>33.759274525968671</v>
      </c>
      <c r="T26">
        <f>K26/116.29*100</f>
        <v>7.0943331326855281</v>
      </c>
      <c r="U26" s="63"/>
    </row>
    <row r="27" spans="1:21" x14ac:dyDescent="0.2">
      <c r="A27" s="63" t="s">
        <v>901</v>
      </c>
      <c r="B27" s="63" t="s">
        <v>9</v>
      </c>
      <c r="C27" s="63">
        <v>41.57</v>
      </c>
      <c r="D27" s="179">
        <v>11423.61</v>
      </c>
      <c r="E27" s="179">
        <v>10483.18</v>
      </c>
      <c r="F27" s="63">
        <v>2632.74</v>
      </c>
      <c r="G27" s="63">
        <v>88.55</v>
      </c>
      <c r="H27" s="177">
        <v>1.81</v>
      </c>
      <c r="I27" s="63">
        <v>24.26</v>
      </c>
      <c r="J27" s="177">
        <v>4</v>
      </c>
      <c r="K27" s="77">
        <v>116.29</v>
      </c>
      <c r="L27" s="63">
        <f>C27/41.57*100</f>
        <v>100</v>
      </c>
      <c r="M27">
        <f t="shared" si="9"/>
        <v>100</v>
      </c>
      <c r="N27" s="63">
        <f>E27/10483.18*100</f>
        <v>100</v>
      </c>
      <c r="O27">
        <f>F27/2632.74*100</f>
        <v>100</v>
      </c>
      <c r="P27">
        <f>G27/88.55*100</f>
        <v>100</v>
      </c>
      <c r="Q27">
        <f>H27/1.83*100</f>
        <v>98.907103825136616</v>
      </c>
      <c r="R27">
        <f>I27/24.26*100</f>
        <v>100</v>
      </c>
      <c r="T27">
        <f>K27/116.29*100</f>
        <v>100</v>
      </c>
      <c r="U27" s="63"/>
    </row>
    <row r="28" spans="1:21" x14ac:dyDescent="0.2">
      <c r="A28" s="63" t="s">
        <v>901</v>
      </c>
      <c r="B28" s="63" t="s">
        <v>906</v>
      </c>
      <c r="C28" s="63">
        <v>17.47</v>
      </c>
      <c r="D28" s="179">
        <v>11423.61</v>
      </c>
      <c r="E28" s="63">
        <v>70.16</v>
      </c>
      <c r="F28" s="63">
        <v>3.13</v>
      </c>
      <c r="G28" s="63">
        <v>3.9</v>
      </c>
      <c r="H28" s="177">
        <v>1.81</v>
      </c>
      <c r="I28" s="63">
        <v>3.01</v>
      </c>
      <c r="J28" s="177">
        <v>4</v>
      </c>
      <c r="K28" s="77">
        <v>17.850000000000001</v>
      </c>
      <c r="L28" s="63">
        <f>C28/41.57*100</f>
        <v>42.025499158046664</v>
      </c>
      <c r="M28">
        <f t="shared" si="9"/>
        <v>100</v>
      </c>
      <c r="N28" s="63">
        <f>E28/10483.18*100</f>
        <v>0.66926257109006992</v>
      </c>
      <c r="O28">
        <f>F28/2632.74*100</f>
        <v>0.11888754681434552</v>
      </c>
      <c r="P28">
        <f>G28/88.55*100</f>
        <v>4.4042913608131</v>
      </c>
      <c r="Q28">
        <f>H28/1.83*100</f>
        <v>98.907103825136616</v>
      </c>
      <c r="R28">
        <f>I28/24.26*100</f>
        <v>12.407254740313272</v>
      </c>
      <c r="T28">
        <f>K28/116.29*100</f>
        <v>15.349557141628686</v>
      </c>
      <c r="U28" s="63"/>
    </row>
    <row r="29" spans="1:21" x14ac:dyDescent="0.2">
      <c r="A29" s="63" t="s">
        <v>901</v>
      </c>
      <c r="B29" s="63" t="s">
        <v>907</v>
      </c>
      <c r="C29" s="63">
        <v>2.3199999999999998</v>
      </c>
      <c r="D29" s="63">
        <v>961.83</v>
      </c>
      <c r="E29" s="63">
        <v>97.32</v>
      </c>
      <c r="F29" s="63">
        <v>57.12</v>
      </c>
      <c r="G29" s="63">
        <v>2.34</v>
      </c>
      <c r="H29" s="177">
        <v>1.81</v>
      </c>
      <c r="I29" s="177">
        <v>0.98</v>
      </c>
      <c r="J29" s="177">
        <v>4</v>
      </c>
      <c r="K29" s="180">
        <v>1.96</v>
      </c>
      <c r="L29" s="63">
        <f>C29/41.57*100</f>
        <v>5.5809477988934324</v>
      </c>
      <c r="M29">
        <f t="shared" si="9"/>
        <v>8.4196676882351547</v>
      </c>
      <c r="N29" s="63">
        <f>E29/10483.18*100</f>
        <v>0.92834426195104913</v>
      </c>
      <c r="O29">
        <f>F29/2632.74*100</f>
        <v>2.1696027712573214</v>
      </c>
      <c r="P29">
        <f>G29/88.55*100</f>
        <v>2.6425748164878597</v>
      </c>
      <c r="Q29">
        <f>H29/1.83*100</f>
        <v>98.907103825136616</v>
      </c>
      <c r="R29">
        <f>I29/24.26*100</f>
        <v>4.03957131079967</v>
      </c>
      <c r="T29">
        <f>K29/116.29*100</f>
        <v>1.6854415684925617</v>
      </c>
      <c r="U29" s="63"/>
    </row>
    <row r="30" spans="1:21" x14ac:dyDescent="0.2">
      <c r="A30" t="s">
        <v>905</v>
      </c>
      <c r="B30" t="s">
        <v>902</v>
      </c>
      <c r="C30" s="66">
        <v>1.57</v>
      </c>
      <c r="D30">
        <v>664.26</v>
      </c>
      <c r="E30">
        <v>34.72</v>
      </c>
      <c r="F30">
        <v>375.53</v>
      </c>
      <c r="G30">
        <v>1.72</v>
      </c>
      <c r="H30" s="66">
        <v>1.81</v>
      </c>
      <c r="I30">
        <v>3.87</v>
      </c>
      <c r="J30" s="66">
        <v>4</v>
      </c>
      <c r="K30" s="10">
        <v>4.47</v>
      </c>
      <c r="L30">
        <f>C30/113.7*100</f>
        <v>1.3808267370272647</v>
      </c>
      <c r="M30">
        <f t="shared" si="9"/>
        <v>5.8147993497677168</v>
      </c>
      <c r="N30" s="63">
        <f>E30/9603.25*100</f>
        <v>0.36154426886731056</v>
      </c>
      <c r="O30">
        <f>F30/4379.68*100</f>
        <v>8.5743707302816627</v>
      </c>
      <c r="P30">
        <f>G30/195.27*100</f>
        <v>0.88083166897116805</v>
      </c>
      <c r="Q30">
        <f t="shared" ref="Q30:Q37" si="10">H30/1.81*100</f>
        <v>100</v>
      </c>
      <c r="R30">
        <f>I30/18.5*100</f>
        <v>20.918918918918919</v>
      </c>
      <c r="T30">
        <f>K30/100.01*100</f>
        <v>4.4695530446955294</v>
      </c>
    </row>
    <row r="31" spans="1:21" x14ac:dyDescent="0.2">
      <c r="A31" t="s">
        <v>905</v>
      </c>
      <c r="B31" t="s">
        <v>9</v>
      </c>
      <c r="C31">
        <v>113.7</v>
      </c>
      <c r="D31" s="178">
        <v>11423.61</v>
      </c>
      <c r="E31">
        <v>9603.25</v>
      </c>
      <c r="F31">
        <v>4379.68</v>
      </c>
      <c r="G31">
        <v>195.27</v>
      </c>
      <c r="H31" s="66">
        <v>1.81</v>
      </c>
      <c r="I31">
        <v>18.5</v>
      </c>
      <c r="J31" s="66">
        <v>4</v>
      </c>
      <c r="K31" s="10">
        <v>100.01</v>
      </c>
      <c r="L31">
        <f>C31/113.7*100</f>
        <v>100</v>
      </c>
      <c r="M31">
        <f t="shared" si="9"/>
        <v>100</v>
      </c>
      <c r="N31" s="63">
        <f>E31/9603.25*100</f>
        <v>100</v>
      </c>
      <c r="O31">
        <f>F31/4379.68*100</f>
        <v>100</v>
      </c>
      <c r="P31">
        <f>G31/195.27*100</f>
        <v>100</v>
      </c>
      <c r="Q31">
        <f t="shared" si="10"/>
        <v>100</v>
      </c>
      <c r="R31">
        <f>I31/18.5*100</f>
        <v>100</v>
      </c>
      <c r="T31">
        <f>K31/100.01*100</f>
        <v>100</v>
      </c>
    </row>
    <row r="32" spans="1:21" x14ac:dyDescent="0.2">
      <c r="A32" t="s">
        <v>905</v>
      </c>
      <c r="B32" t="s">
        <v>906</v>
      </c>
      <c r="C32">
        <v>110.74</v>
      </c>
      <c r="D32" s="178">
        <v>11423.61</v>
      </c>
      <c r="E32">
        <v>34.28</v>
      </c>
      <c r="F32">
        <v>188.19</v>
      </c>
      <c r="G32">
        <v>8.19</v>
      </c>
      <c r="H32" s="66">
        <v>1.81</v>
      </c>
      <c r="I32">
        <v>2.15</v>
      </c>
      <c r="J32" s="66">
        <v>4</v>
      </c>
      <c r="K32" s="10">
        <v>15.92</v>
      </c>
      <c r="L32">
        <f>C32/113.7*100</f>
        <v>97.396657871591898</v>
      </c>
      <c r="M32">
        <f t="shared" si="9"/>
        <v>100</v>
      </c>
      <c r="N32" s="63">
        <f>E32/9603.25*100</f>
        <v>0.35696248665816266</v>
      </c>
      <c r="O32">
        <f>F32/4379.68*100</f>
        <v>4.2968892704489825</v>
      </c>
      <c r="P32">
        <f>G32/195.27*100</f>
        <v>4.1941926563220147</v>
      </c>
      <c r="Q32">
        <f t="shared" si="10"/>
        <v>100</v>
      </c>
      <c r="R32">
        <f>I32/18.5*100</f>
        <v>11.621621621621621</v>
      </c>
      <c r="T32">
        <f>K32/100.01*100</f>
        <v>15.91840815918408</v>
      </c>
    </row>
    <row r="33" spans="1:21" x14ac:dyDescent="0.2">
      <c r="A33" t="s">
        <v>905</v>
      </c>
      <c r="B33" t="s">
        <v>907</v>
      </c>
      <c r="C33">
        <v>47.04</v>
      </c>
      <c r="D33" s="178">
        <v>11423.61</v>
      </c>
      <c r="E33">
        <v>694.84</v>
      </c>
      <c r="F33">
        <v>3281.88</v>
      </c>
      <c r="G33">
        <v>20.72</v>
      </c>
      <c r="H33" s="66">
        <v>1.81</v>
      </c>
      <c r="I33">
        <v>3.38</v>
      </c>
      <c r="J33" s="66">
        <v>4</v>
      </c>
      <c r="K33" s="75">
        <v>1.96</v>
      </c>
      <c r="L33">
        <f>C33/113.7*100</f>
        <v>41.372031662269123</v>
      </c>
      <c r="M33">
        <f t="shared" si="9"/>
        <v>100</v>
      </c>
      <c r="N33" s="63">
        <f>E33/9603.25*100</f>
        <v>7.235467159555359</v>
      </c>
      <c r="O33">
        <f>F33/4379.68*100</f>
        <v>74.934241771088296</v>
      </c>
      <c r="P33">
        <f>G33/195.27*100</f>
        <v>10.610948942489886</v>
      </c>
      <c r="Q33">
        <f t="shared" si="10"/>
        <v>100</v>
      </c>
      <c r="R33">
        <f>I33/18.5*100</f>
        <v>18.27027027027027</v>
      </c>
      <c r="T33">
        <f>K33/100.01*100</f>
        <v>1.95980401959804</v>
      </c>
    </row>
    <row r="34" spans="1:21" x14ac:dyDescent="0.2">
      <c r="A34" s="63" t="s">
        <v>905</v>
      </c>
      <c r="B34" s="63" t="s">
        <v>902</v>
      </c>
      <c r="C34" s="177">
        <v>1.57</v>
      </c>
      <c r="D34" s="63">
        <v>674.26</v>
      </c>
      <c r="E34" s="63">
        <v>72.25</v>
      </c>
      <c r="F34" s="63">
        <v>706.8</v>
      </c>
      <c r="G34" s="63">
        <v>1.87</v>
      </c>
      <c r="H34" s="177">
        <v>1.81</v>
      </c>
      <c r="I34" s="63">
        <v>6.23</v>
      </c>
      <c r="J34" s="177">
        <v>4</v>
      </c>
      <c r="K34" s="77">
        <v>4.0999999999999996</v>
      </c>
      <c r="L34" s="63">
        <f>C34/56.9*100</f>
        <v>2.7592267135325135</v>
      </c>
      <c r="M34">
        <f t="shared" si="9"/>
        <v>5.9023373522030251</v>
      </c>
      <c r="N34" s="63">
        <f>E34/10463.18*100</f>
        <v>0.69051664981391891</v>
      </c>
      <c r="O34">
        <f>F34/3453.87*100</f>
        <v>20.464001250770874</v>
      </c>
      <c r="P34">
        <f>G34/146.06*100</f>
        <v>1.2802957688621115</v>
      </c>
      <c r="Q34">
        <f t="shared" si="10"/>
        <v>100</v>
      </c>
      <c r="R34">
        <f>I34/102.31*100</f>
        <v>6.0893363307594566</v>
      </c>
      <c r="S34" s="63"/>
      <c r="T34">
        <f>K34/139.12*100</f>
        <v>2.9470960322024147</v>
      </c>
      <c r="U34" s="63"/>
    </row>
    <row r="35" spans="1:21" x14ac:dyDescent="0.2">
      <c r="A35" s="63" t="s">
        <v>905</v>
      </c>
      <c r="B35" s="63" t="s">
        <v>9</v>
      </c>
      <c r="C35" s="63">
        <v>56.9</v>
      </c>
      <c r="D35" s="179">
        <v>11423.61</v>
      </c>
      <c r="E35" s="179">
        <v>10483.18</v>
      </c>
      <c r="F35" s="63">
        <v>3453.87</v>
      </c>
      <c r="G35" s="63">
        <v>146.06</v>
      </c>
      <c r="H35" s="177">
        <v>1.81</v>
      </c>
      <c r="I35" s="63">
        <v>102.31</v>
      </c>
      <c r="J35" s="177">
        <v>4</v>
      </c>
      <c r="K35" s="77">
        <v>139.12</v>
      </c>
      <c r="L35" s="63">
        <f>C35/56.9*100</f>
        <v>100</v>
      </c>
      <c r="M35">
        <f t="shared" si="9"/>
        <v>100</v>
      </c>
      <c r="N35" s="63">
        <f>E35/10463.18*100</f>
        <v>100.19114647745715</v>
      </c>
      <c r="O35">
        <f>F35/3453.87*100</f>
        <v>100</v>
      </c>
      <c r="P35">
        <f>G35/146.06*100</f>
        <v>100</v>
      </c>
      <c r="Q35">
        <f t="shared" si="10"/>
        <v>100</v>
      </c>
      <c r="R35">
        <f>I35/102.31*100</f>
        <v>100</v>
      </c>
      <c r="S35" s="63"/>
      <c r="T35">
        <f>K35/139.12*100</f>
        <v>100</v>
      </c>
      <c r="U35" s="63"/>
    </row>
    <row r="36" spans="1:21" x14ac:dyDescent="0.2">
      <c r="A36" s="63" t="s">
        <v>905</v>
      </c>
      <c r="B36" s="63" t="s">
        <v>906</v>
      </c>
      <c r="C36" s="63">
        <v>60.64</v>
      </c>
      <c r="D36" s="179">
        <v>11423.61</v>
      </c>
      <c r="E36" s="63">
        <v>90.36</v>
      </c>
      <c r="F36" s="63">
        <v>571.37</v>
      </c>
      <c r="G36" s="63">
        <v>5.3</v>
      </c>
      <c r="H36" s="177">
        <v>1.81</v>
      </c>
      <c r="I36" s="63">
        <v>2.8</v>
      </c>
      <c r="J36" s="177">
        <v>4</v>
      </c>
      <c r="K36" s="77">
        <v>61.93</v>
      </c>
      <c r="L36" s="63">
        <f>C36/56.9*100</f>
        <v>106.57293497363796</v>
      </c>
      <c r="M36">
        <f t="shared" si="9"/>
        <v>100</v>
      </c>
      <c r="N36" s="63">
        <f>E36/10463.18*100</f>
        <v>0.86359978515135938</v>
      </c>
      <c r="O36">
        <f>F36/3453.87*100</f>
        <v>16.542892465553134</v>
      </c>
      <c r="P36">
        <f>G36/146.06*100</f>
        <v>3.6286457620156103</v>
      </c>
      <c r="Q36">
        <f t="shared" si="10"/>
        <v>100</v>
      </c>
      <c r="R36">
        <f>I36/102.31*100</f>
        <v>2.7367803733750367</v>
      </c>
      <c r="S36" s="63"/>
      <c r="T36">
        <f>K36/139.12*100</f>
        <v>44.515526164462329</v>
      </c>
      <c r="U36" s="63"/>
    </row>
    <row r="37" spans="1:21" x14ac:dyDescent="0.2">
      <c r="A37" s="63" t="s">
        <v>905</v>
      </c>
      <c r="B37" s="63" t="s">
        <v>907</v>
      </c>
      <c r="C37" s="63">
        <v>12.15</v>
      </c>
      <c r="D37" s="179">
        <v>11423.61</v>
      </c>
      <c r="E37" s="63">
        <v>710.65</v>
      </c>
      <c r="F37" s="63">
        <v>1940.95</v>
      </c>
      <c r="G37" s="63">
        <v>8.15</v>
      </c>
      <c r="H37" s="177">
        <v>1.81</v>
      </c>
      <c r="I37" s="63">
        <v>1.72</v>
      </c>
      <c r="J37" s="177">
        <v>4</v>
      </c>
      <c r="K37" s="77">
        <v>13.18</v>
      </c>
      <c r="L37" s="63">
        <f>C37/56.9*100</f>
        <v>21.353251318101936</v>
      </c>
      <c r="M37">
        <f t="shared" si="9"/>
        <v>100</v>
      </c>
      <c r="N37" s="63">
        <f>E37/10463.18*100</f>
        <v>6.7919122102458331</v>
      </c>
      <c r="O37">
        <f>F37/3453.87*100</f>
        <v>56.196382608494247</v>
      </c>
      <c r="P37">
        <f>G37/146.06*100</f>
        <v>5.5798986717787216</v>
      </c>
      <c r="Q37">
        <f t="shared" si="10"/>
        <v>100</v>
      </c>
      <c r="R37">
        <f>I37/102.31*100</f>
        <v>1.6811650865018082</v>
      </c>
      <c r="S37" s="63"/>
      <c r="T37">
        <f>K37/139.12*100</f>
        <v>9.4738355376653249</v>
      </c>
      <c r="U37" s="63"/>
    </row>
    <row r="40" spans="1:21" x14ac:dyDescent="0.2">
      <c r="C40" s="118" t="s">
        <v>1213</v>
      </c>
    </row>
    <row r="41" spans="1:21" x14ac:dyDescent="0.2">
      <c r="C41" s="82" t="s">
        <v>1214</v>
      </c>
    </row>
    <row r="43" spans="1:21" x14ac:dyDescent="0.2">
      <c r="A43" t="s">
        <v>1158</v>
      </c>
      <c r="B43" t="s">
        <v>1160</v>
      </c>
    </row>
    <row r="44" spans="1:21" x14ac:dyDescent="0.2">
      <c r="B44" t="s">
        <v>1159</v>
      </c>
      <c r="F44" t="s">
        <v>1161</v>
      </c>
    </row>
    <row r="45" spans="1:21" x14ac:dyDescent="0.2">
      <c r="A45" s="17"/>
      <c r="B45" s="18"/>
      <c r="C45" s="232" t="s">
        <v>961</v>
      </c>
      <c r="D45" s="233" t="s">
        <v>1096</v>
      </c>
      <c r="E45" s="235"/>
      <c r="F45" s="17"/>
      <c r="G45" s="18"/>
      <c r="H45" s="232" t="s">
        <v>961</v>
      </c>
      <c r="I45" s="233" t="s">
        <v>1096</v>
      </c>
    </row>
    <row r="46" spans="1:21" x14ac:dyDescent="0.2">
      <c r="A46" s="20" t="s">
        <v>1152</v>
      </c>
      <c r="B46" s="259" t="s">
        <v>1096</v>
      </c>
      <c r="C46" s="21">
        <v>2.9999999999999997E-4</v>
      </c>
      <c r="D46" s="263">
        <v>5.0000000000000001E-4</v>
      </c>
      <c r="F46" s="20" t="s">
        <v>66</v>
      </c>
      <c r="G46" s="259" t="s">
        <v>1096</v>
      </c>
      <c r="H46" s="21">
        <v>2.5000000000000001E-3</v>
      </c>
      <c r="I46" s="263"/>
    </row>
    <row r="47" spans="1:21" x14ac:dyDescent="0.2">
      <c r="A47" s="20"/>
      <c r="B47" s="259" t="s">
        <v>963</v>
      </c>
      <c r="C47" s="21">
        <v>0.19600000000000001</v>
      </c>
      <c r="D47" s="10">
        <v>2.8E-3</v>
      </c>
      <c r="F47" s="20"/>
      <c r="G47" s="259" t="s">
        <v>963</v>
      </c>
      <c r="H47" s="21">
        <v>0.19270000000000001</v>
      </c>
      <c r="I47" s="10">
        <v>4.3099999999999999E-2</v>
      </c>
    </row>
    <row r="48" spans="1:21" x14ac:dyDescent="0.2">
      <c r="A48" s="20" t="s">
        <v>1153</v>
      </c>
      <c r="B48" s="259" t="s">
        <v>1096</v>
      </c>
      <c r="C48" s="21">
        <v>2.3999999999999998E-3</v>
      </c>
      <c r="D48" s="263">
        <v>5.0000000000000001E-4</v>
      </c>
      <c r="F48" s="20" t="s">
        <v>1151</v>
      </c>
      <c r="G48" s="259" t="s">
        <v>1096</v>
      </c>
      <c r="H48" s="21">
        <v>4.1200000000000001E-2</v>
      </c>
      <c r="I48" s="263"/>
    </row>
    <row r="49" spans="1:9" x14ac:dyDescent="0.2">
      <c r="A49" s="20"/>
      <c r="B49" s="259" t="s">
        <v>963</v>
      </c>
      <c r="C49" s="21">
        <v>0.24299999999999999</v>
      </c>
      <c r="D49" s="10">
        <v>3.09E-2</v>
      </c>
      <c r="F49" s="20"/>
      <c r="G49" s="259" t="s">
        <v>963</v>
      </c>
      <c r="H49" s="113">
        <v>1.2800000000000001E-2</v>
      </c>
      <c r="I49" s="10">
        <v>0.99750000000000005</v>
      </c>
    </row>
    <row r="50" spans="1:9" x14ac:dyDescent="0.2">
      <c r="A50" s="20" t="s">
        <v>66</v>
      </c>
      <c r="B50" s="259" t="s">
        <v>1096</v>
      </c>
      <c r="C50" s="21">
        <v>1.8599999999999998E-2</v>
      </c>
      <c r="D50" s="263">
        <v>5.0000000000000001E-4</v>
      </c>
      <c r="F50" s="20" t="s">
        <v>321</v>
      </c>
      <c r="G50" s="259" t="s">
        <v>1096</v>
      </c>
      <c r="H50" s="113">
        <v>2.0000000000000001E-4</v>
      </c>
      <c r="I50" s="263"/>
    </row>
    <row r="51" spans="1:9" x14ac:dyDescent="0.2">
      <c r="A51" s="20"/>
      <c r="B51" s="259" t="s">
        <v>963</v>
      </c>
      <c r="C51" s="21">
        <v>0.98370000000000002</v>
      </c>
      <c r="D51" s="10">
        <v>2.4199999999999999E-2</v>
      </c>
      <c r="F51" s="20"/>
      <c r="G51" s="259" t="s">
        <v>963</v>
      </c>
      <c r="H51" s="113">
        <v>3.0999999999999999E-3</v>
      </c>
      <c r="I51" s="10">
        <v>9.98E-2</v>
      </c>
    </row>
    <row r="52" spans="1:9" x14ac:dyDescent="0.2">
      <c r="A52" s="20" t="s">
        <v>1151</v>
      </c>
      <c r="B52" s="259" t="s">
        <v>1096</v>
      </c>
      <c r="C52" s="21" t="s">
        <v>1131</v>
      </c>
      <c r="D52" s="263">
        <v>5.0000000000000001E-4</v>
      </c>
      <c r="F52" s="20" t="s">
        <v>1154</v>
      </c>
      <c r="G52" s="259" t="s">
        <v>1096</v>
      </c>
      <c r="H52" s="113">
        <v>0.9829</v>
      </c>
      <c r="I52" s="263"/>
    </row>
    <row r="53" spans="1:9" x14ac:dyDescent="0.2">
      <c r="A53" s="20"/>
      <c r="B53" s="259" t="s">
        <v>963</v>
      </c>
      <c r="C53" s="21">
        <v>0.2475</v>
      </c>
      <c r="D53" s="10">
        <v>2.9999999999999997E-4</v>
      </c>
      <c r="F53" s="20"/>
      <c r="G53" s="259" t="s">
        <v>963</v>
      </c>
      <c r="H53" s="113">
        <v>6.9599999999999995E-2</v>
      </c>
      <c r="I53" s="10">
        <v>9.1399999999999995E-2</v>
      </c>
    </row>
    <row r="54" spans="1:9" x14ac:dyDescent="0.2">
      <c r="A54" s="20" t="s">
        <v>321</v>
      </c>
      <c r="B54" s="259" t="s">
        <v>1096</v>
      </c>
      <c r="C54" s="21">
        <v>4.7000000000000002E-3</v>
      </c>
      <c r="D54" s="263">
        <v>5.0000000000000001E-4</v>
      </c>
      <c r="F54" s="20" t="s">
        <v>15</v>
      </c>
      <c r="G54" s="259" t="s">
        <v>1096</v>
      </c>
      <c r="H54" s="21" t="s">
        <v>1133</v>
      </c>
      <c r="I54" s="263"/>
    </row>
    <row r="55" spans="1:9" x14ac:dyDescent="0.2">
      <c r="A55" s="20"/>
      <c r="B55" s="259" t="s">
        <v>963</v>
      </c>
      <c r="C55" s="21">
        <v>2.2000000000000001E-3</v>
      </c>
      <c r="D55" s="10">
        <v>0.85340000000000005</v>
      </c>
      <c r="F55" s="20"/>
      <c r="G55" s="259" t="s">
        <v>963</v>
      </c>
      <c r="H55" s="113">
        <v>7.6999999999999999E-2</v>
      </c>
      <c r="I55" s="10">
        <v>7.6999999999999999E-2</v>
      </c>
    </row>
    <row r="56" spans="1:9" x14ac:dyDescent="0.2">
      <c r="A56" s="20" t="s">
        <v>1154</v>
      </c>
      <c r="B56" s="259" t="s">
        <v>1096</v>
      </c>
      <c r="C56" s="21">
        <v>0.92610000000000003</v>
      </c>
      <c r="D56" s="263">
        <v>5.0000000000000001E-4</v>
      </c>
      <c r="F56" s="20" t="s">
        <v>10</v>
      </c>
      <c r="G56" s="259" t="s">
        <v>1096</v>
      </c>
      <c r="H56" s="113">
        <v>0.25890000000000002</v>
      </c>
      <c r="I56" s="263"/>
    </row>
    <row r="57" spans="1:9" x14ac:dyDescent="0.2">
      <c r="A57" s="20"/>
      <c r="B57" s="259" t="s">
        <v>963</v>
      </c>
      <c r="C57" s="21">
        <v>4.0000000000000002E-4</v>
      </c>
      <c r="D57" s="10">
        <v>2.0000000000000001E-4</v>
      </c>
      <c r="F57" s="20"/>
      <c r="G57" s="259" t="s">
        <v>963</v>
      </c>
      <c r="H57" s="113">
        <v>3.0000000000000001E-3</v>
      </c>
      <c r="I57" s="10">
        <v>3.6999999999999998E-2</v>
      </c>
    </row>
    <row r="58" spans="1:9" x14ac:dyDescent="0.2">
      <c r="A58" s="20" t="s">
        <v>15</v>
      </c>
      <c r="B58" s="259" t="s">
        <v>1096</v>
      </c>
      <c r="C58" s="21">
        <v>0.92100000000000004</v>
      </c>
      <c r="D58" s="263">
        <v>5.0000000000000001E-4</v>
      </c>
      <c r="F58" s="20" t="s">
        <v>571</v>
      </c>
      <c r="G58" s="259" t="s">
        <v>1096</v>
      </c>
      <c r="H58" s="113">
        <v>1.5E-3</v>
      </c>
      <c r="I58" s="263"/>
    </row>
    <row r="59" spans="1:9" x14ac:dyDescent="0.2">
      <c r="A59" s="20"/>
      <c r="B59" s="259" t="s">
        <v>963</v>
      </c>
      <c r="C59" s="21">
        <v>1.5699999999999999E-2</v>
      </c>
      <c r="D59" s="10">
        <v>8.8000000000000005E-3</v>
      </c>
      <c r="F59" s="28"/>
      <c r="G59" s="234" t="s">
        <v>963</v>
      </c>
      <c r="H59" s="26">
        <v>5.0000000000000001E-4</v>
      </c>
      <c r="I59" s="11">
        <v>0.65369999999999995</v>
      </c>
    </row>
    <row r="60" spans="1:9" x14ac:dyDescent="0.2">
      <c r="A60" s="20" t="s">
        <v>10</v>
      </c>
      <c r="B60" s="259" t="s">
        <v>1096</v>
      </c>
      <c r="C60" s="21">
        <v>0.99039999999999995</v>
      </c>
      <c r="D60" s="263">
        <v>5.0000000000000001E-4</v>
      </c>
    </row>
    <row r="61" spans="1:9" x14ac:dyDescent="0.2">
      <c r="A61" s="20"/>
      <c r="B61" s="259" t="s">
        <v>963</v>
      </c>
      <c r="C61" s="21">
        <v>0.15490000000000001</v>
      </c>
      <c r="D61" s="10">
        <v>0.12709999999999999</v>
      </c>
    </row>
    <row r="62" spans="1:9" x14ac:dyDescent="0.2">
      <c r="A62" s="20" t="s">
        <v>571</v>
      </c>
      <c r="B62" s="259" t="s">
        <v>1096</v>
      </c>
      <c r="C62" s="21">
        <v>2.1299999999999999E-2</v>
      </c>
      <c r="D62" s="263">
        <v>5.0000000000000001E-4</v>
      </c>
    </row>
    <row r="63" spans="1:9" x14ac:dyDescent="0.2">
      <c r="A63" s="28"/>
      <c r="B63" s="234" t="s">
        <v>963</v>
      </c>
      <c r="C63" s="26">
        <v>5.0000000000000001E-4</v>
      </c>
      <c r="D63" s="11">
        <v>5.11E-2</v>
      </c>
    </row>
  </sheetData>
  <phoneticPr fontId="22" type="noConversion"/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D7C21D-BD23-AE4E-B62A-F31AE11DF303}">
  <dimension ref="A1:V62"/>
  <sheetViews>
    <sheetView zoomScale="73" zoomScaleNormal="73" workbookViewId="0">
      <selection activeCell="N24" sqref="N24"/>
    </sheetView>
  </sheetViews>
  <sheetFormatPr baseColWidth="10" defaultRowHeight="16" x14ac:dyDescent="0.2"/>
  <sheetData>
    <row r="1" spans="1:22" x14ac:dyDescent="0.2">
      <c r="A1" t="s">
        <v>1097</v>
      </c>
      <c r="S1" t="s">
        <v>1256</v>
      </c>
    </row>
    <row r="2" spans="1:22" x14ac:dyDescent="0.2">
      <c r="A2" s="203" t="s">
        <v>272</v>
      </c>
      <c r="B2" s="302" t="s">
        <v>7</v>
      </c>
      <c r="C2" s="307"/>
      <c r="D2" s="307"/>
      <c r="E2" s="303"/>
      <c r="F2" s="302" t="s">
        <v>961</v>
      </c>
      <c r="G2" s="307"/>
      <c r="H2" s="307"/>
      <c r="I2" s="303"/>
      <c r="J2" s="302" t="s">
        <v>1096</v>
      </c>
      <c r="K2" s="307"/>
      <c r="L2" s="307"/>
      <c r="M2" s="303"/>
      <c r="N2" s="302" t="s">
        <v>963</v>
      </c>
      <c r="O2" s="307"/>
      <c r="P2" s="307"/>
      <c r="Q2" s="303"/>
      <c r="S2" s="17"/>
      <c r="T2" s="18" t="s">
        <v>1127</v>
      </c>
      <c r="U2" s="18" t="s">
        <v>1096</v>
      </c>
      <c r="V2" s="19" t="s">
        <v>963</v>
      </c>
    </row>
    <row r="3" spans="1:22" x14ac:dyDescent="0.2">
      <c r="A3" s="214" t="s">
        <v>423</v>
      </c>
      <c r="B3" s="205">
        <v>17.662749999999999</v>
      </c>
      <c r="C3" s="206">
        <v>25.930630000000001</v>
      </c>
      <c r="D3" s="206">
        <v>18.786899999999999</v>
      </c>
      <c r="E3" s="207">
        <v>41.128079999999997</v>
      </c>
      <c r="F3" s="205">
        <v>100</v>
      </c>
      <c r="G3" s="206">
        <v>100</v>
      </c>
      <c r="H3" s="206">
        <v>100</v>
      </c>
      <c r="I3" s="207">
        <v>100</v>
      </c>
      <c r="J3" s="205">
        <v>91.889009999999999</v>
      </c>
      <c r="K3" s="206">
        <v>57.233499999999999</v>
      </c>
      <c r="L3" s="206">
        <v>66.50564</v>
      </c>
      <c r="M3" s="207">
        <v>80.37603</v>
      </c>
      <c r="N3" s="205">
        <v>51.867660000000001</v>
      </c>
      <c r="O3" s="206">
        <v>29.145520000000001</v>
      </c>
      <c r="P3" s="206">
        <v>45.786369999999998</v>
      </c>
      <c r="Q3" s="207">
        <v>85.370149999999995</v>
      </c>
      <c r="S3" s="214" t="s">
        <v>423</v>
      </c>
      <c r="T3" s="21" t="s">
        <v>961</v>
      </c>
      <c r="U3" s="21">
        <v>0.12130000000000001</v>
      </c>
      <c r="V3" s="10">
        <v>4.1000000000000003E-3</v>
      </c>
    </row>
    <row r="4" spans="1:22" x14ac:dyDescent="0.2">
      <c r="A4" s="215" t="s">
        <v>386</v>
      </c>
      <c r="B4" s="205">
        <v>50.415660000000003</v>
      </c>
      <c r="C4" s="206">
        <v>28.401789999999998</v>
      </c>
      <c r="D4" s="206">
        <v>41.347520000000003</v>
      </c>
      <c r="E4" s="207">
        <v>22.585380000000001</v>
      </c>
      <c r="F4" s="205">
        <v>100</v>
      </c>
      <c r="G4" s="206">
        <v>100</v>
      </c>
      <c r="H4" s="206">
        <v>100</v>
      </c>
      <c r="I4" s="207">
        <v>100</v>
      </c>
      <c r="J4" s="205">
        <v>54.90128</v>
      </c>
      <c r="K4" s="206">
        <v>53.520539999999997</v>
      </c>
      <c r="L4" s="206">
        <v>31.755320000000001</v>
      </c>
      <c r="M4" s="207">
        <v>73.959450000000004</v>
      </c>
      <c r="N4" s="205">
        <v>138.1018</v>
      </c>
      <c r="O4" s="206">
        <v>114.9204</v>
      </c>
      <c r="P4" s="206">
        <v>139.5213</v>
      </c>
      <c r="Q4" s="207">
        <v>102.00109999999999</v>
      </c>
      <c r="S4" s="215" t="s">
        <v>386</v>
      </c>
      <c r="T4" s="21" t="s">
        <v>961</v>
      </c>
      <c r="U4" s="21">
        <v>2.5999999999999999E-3</v>
      </c>
      <c r="V4" s="10">
        <v>0.13489999999999999</v>
      </c>
    </row>
    <row r="5" spans="1:22" x14ac:dyDescent="0.2">
      <c r="A5" s="215" t="s">
        <v>1022</v>
      </c>
      <c r="B5" s="205">
        <v>75.691410000000005</v>
      </c>
      <c r="C5" s="206">
        <v>83.508510000000001</v>
      </c>
      <c r="D5" s="206">
        <v>72.142489999999995</v>
      </c>
      <c r="E5" s="207">
        <v>103.97320000000001</v>
      </c>
      <c r="F5" s="205">
        <v>100</v>
      </c>
      <c r="G5" s="206">
        <v>100</v>
      </c>
      <c r="H5" s="206">
        <v>100</v>
      </c>
      <c r="I5" s="207">
        <v>100</v>
      </c>
      <c r="J5" s="205">
        <v>132.76320000000001</v>
      </c>
      <c r="K5" s="206">
        <v>140.1026</v>
      </c>
      <c r="L5" s="206">
        <v>82.519360000000006</v>
      </c>
      <c r="M5" s="207">
        <v>170.33670000000001</v>
      </c>
      <c r="N5" s="205">
        <v>109.34010000000001</v>
      </c>
      <c r="O5" s="206">
        <v>110.78579999999999</v>
      </c>
      <c r="P5" s="206">
        <v>100.4543</v>
      </c>
      <c r="Q5" s="207">
        <v>151.79509999999999</v>
      </c>
      <c r="S5" s="215" t="s">
        <v>1022</v>
      </c>
      <c r="T5" s="21" t="s">
        <v>961</v>
      </c>
      <c r="U5" s="21">
        <v>0.25540000000000002</v>
      </c>
      <c r="V5" s="10">
        <v>0.67859999999999998</v>
      </c>
    </row>
    <row r="6" spans="1:22" x14ac:dyDescent="0.2">
      <c r="A6" s="215" t="s">
        <v>1021</v>
      </c>
      <c r="B6" s="205">
        <v>96.406329999999997</v>
      </c>
      <c r="C6" s="206">
        <v>32.245710000000003</v>
      </c>
      <c r="D6" s="206">
        <v>50.686239999999998</v>
      </c>
      <c r="E6" s="207">
        <v>38.136499999999998</v>
      </c>
      <c r="F6" s="205">
        <v>100</v>
      </c>
      <c r="G6" s="206">
        <v>100</v>
      </c>
      <c r="H6" s="206">
        <v>100</v>
      </c>
      <c r="I6" s="207">
        <v>100</v>
      </c>
      <c r="J6" s="205">
        <v>87.236999999999995</v>
      </c>
      <c r="K6" s="206">
        <v>85.243979999999993</v>
      </c>
      <c r="L6" s="206">
        <v>73.390240000000006</v>
      </c>
      <c r="M6" s="207">
        <v>85.71772</v>
      </c>
      <c r="N6" s="205">
        <v>176.12299999999999</v>
      </c>
      <c r="O6" s="206">
        <v>156.93819999999999</v>
      </c>
      <c r="P6" s="206">
        <v>157.7216</v>
      </c>
      <c r="Q6" s="207">
        <v>210.09909999999999</v>
      </c>
      <c r="S6" s="215" t="s">
        <v>1021</v>
      </c>
      <c r="T6" s="21" t="s">
        <v>961</v>
      </c>
      <c r="U6" s="21">
        <v>0.6109</v>
      </c>
      <c r="V6" s="10">
        <v>6.9999999999999999E-4</v>
      </c>
    </row>
    <row r="7" spans="1:22" x14ac:dyDescent="0.2">
      <c r="A7" s="215" t="s">
        <v>891</v>
      </c>
      <c r="B7" s="205">
        <v>46.502800000000001</v>
      </c>
      <c r="C7" s="206">
        <v>42.825859999999999</v>
      </c>
      <c r="D7" s="206">
        <v>48.552100000000003</v>
      </c>
      <c r="E7" s="207">
        <v>44.465170000000001</v>
      </c>
      <c r="F7" s="205">
        <v>100</v>
      </c>
      <c r="G7" s="206">
        <v>100</v>
      </c>
      <c r="H7" s="206">
        <v>100</v>
      </c>
      <c r="I7" s="207">
        <v>100</v>
      </c>
      <c r="J7" s="205">
        <v>66.076269999999994</v>
      </c>
      <c r="K7" s="206">
        <v>62.881329999999998</v>
      </c>
      <c r="L7" s="206">
        <v>36.863239999999998</v>
      </c>
      <c r="M7" s="207">
        <v>78.342659999999995</v>
      </c>
      <c r="N7" s="205">
        <v>114.0069</v>
      </c>
      <c r="O7" s="206">
        <v>88.366659999999996</v>
      </c>
      <c r="P7" s="206">
        <v>121.7924</v>
      </c>
      <c r="Q7" s="207">
        <v>100.65300000000001</v>
      </c>
      <c r="S7" s="215" t="s">
        <v>891</v>
      </c>
      <c r="T7" s="21" t="s">
        <v>961</v>
      </c>
      <c r="U7" s="21">
        <v>2.0999999999999999E-3</v>
      </c>
      <c r="V7" s="10">
        <v>0.86909999999999998</v>
      </c>
    </row>
    <row r="8" spans="1:22" x14ac:dyDescent="0.2">
      <c r="A8" s="215" t="s">
        <v>892</v>
      </c>
      <c r="B8" s="205">
        <v>38.253810000000001</v>
      </c>
      <c r="C8" s="206">
        <v>34.071489999999997</v>
      </c>
      <c r="D8" s="206">
        <v>30.14649</v>
      </c>
      <c r="E8" s="207">
        <v>30.05236</v>
      </c>
      <c r="F8" s="205">
        <v>100</v>
      </c>
      <c r="G8" s="206">
        <v>100</v>
      </c>
      <c r="H8" s="206">
        <v>100</v>
      </c>
      <c r="I8" s="207">
        <v>100</v>
      </c>
      <c r="J8" s="205">
        <v>64.059389999999993</v>
      </c>
      <c r="K8" s="206">
        <v>58.761989999999997</v>
      </c>
      <c r="L8" s="206">
        <v>20.547419999999999</v>
      </c>
      <c r="M8" s="207">
        <v>62.454810000000002</v>
      </c>
      <c r="N8" s="205">
        <v>73.193820000000002</v>
      </c>
      <c r="O8" s="206">
        <v>61.34263</v>
      </c>
      <c r="P8" s="206">
        <v>64.539050000000003</v>
      </c>
      <c r="Q8" s="207">
        <v>77.895520000000005</v>
      </c>
      <c r="S8" s="215" t="s">
        <v>892</v>
      </c>
      <c r="T8" s="21" t="s">
        <v>961</v>
      </c>
      <c r="U8" s="21">
        <v>2.9999999999999997E-4</v>
      </c>
      <c r="V8" s="10">
        <v>1.0200000000000001E-2</v>
      </c>
    </row>
    <row r="9" spans="1:22" x14ac:dyDescent="0.2">
      <c r="A9" s="216" t="s">
        <v>387</v>
      </c>
      <c r="B9" s="208">
        <v>26.078469999999999</v>
      </c>
      <c r="C9" s="209">
        <v>26.26961</v>
      </c>
      <c r="D9" s="209">
        <v>18.222259999999999</v>
      </c>
      <c r="E9" s="210">
        <v>23.6584</v>
      </c>
      <c r="F9" s="208">
        <v>100</v>
      </c>
      <c r="G9" s="209">
        <v>100</v>
      </c>
      <c r="H9" s="209">
        <v>100</v>
      </c>
      <c r="I9" s="210">
        <v>100</v>
      </c>
      <c r="J9" s="208">
        <v>45.649700000000003</v>
      </c>
      <c r="K9" s="209">
        <v>39.760039999999996</v>
      </c>
      <c r="L9" s="209">
        <v>5.019463</v>
      </c>
      <c r="M9" s="210">
        <v>39.377719999999997</v>
      </c>
      <c r="N9" s="208">
        <v>54.274560000000001</v>
      </c>
      <c r="O9" s="209">
        <v>44.293410000000002</v>
      </c>
      <c r="P9" s="209">
        <v>48.283430000000003</v>
      </c>
      <c r="Q9" s="210">
        <v>64.192970000000003</v>
      </c>
      <c r="S9" s="216" t="s">
        <v>387</v>
      </c>
      <c r="T9" s="26" t="s">
        <v>961</v>
      </c>
      <c r="U9" s="26" t="s">
        <v>1131</v>
      </c>
      <c r="V9" s="11">
        <v>2.0000000000000001E-4</v>
      </c>
    </row>
    <row r="11" spans="1:22" x14ac:dyDescent="0.2">
      <c r="A11" s="203" t="s">
        <v>9</v>
      </c>
      <c r="B11" s="302" t="s">
        <v>7</v>
      </c>
      <c r="C11" s="307"/>
      <c r="D11" s="307"/>
      <c r="E11" s="303"/>
      <c r="F11" s="302" t="s">
        <v>961</v>
      </c>
      <c r="G11" s="307"/>
      <c r="H11" s="307"/>
      <c r="I11" s="303"/>
      <c r="J11" s="302" t="s">
        <v>1096</v>
      </c>
      <c r="K11" s="307"/>
      <c r="L11" s="307"/>
      <c r="M11" s="303"/>
      <c r="N11" s="302" t="s">
        <v>963</v>
      </c>
      <c r="O11" s="307"/>
      <c r="P11" s="307"/>
      <c r="Q11" s="303"/>
    </row>
    <row r="12" spans="1:22" x14ac:dyDescent="0.2">
      <c r="A12" s="214" t="s">
        <v>423</v>
      </c>
      <c r="B12" s="205">
        <v>77.43271</v>
      </c>
      <c r="C12" s="206">
        <v>87.645910000000001</v>
      </c>
      <c r="D12" s="206">
        <v>39.724310000000003</v>
      </c>
      <c r="E12" s="207">
        <v>46.608829999999998</v>
      </c>
      <c r="F12" s="205">
        <v>100</v>
      </c>
      <c r="G12" s="206">
        <v>100</v>
      </c>
      <c r="H12" s="206">
        <v>100</v>
      </c>
      <c r="I12" s="207">
        <v>100</v>
      </c>
      <c r="J12" s="205">
        <v>96.894409999999993</v>
      </c>
      <c r="K12" s="206">
        <v>110.7004</v>
      </c>
      <c r="L12" s="206">
        <v>69.674189999999996</v>
      </c>
      <c r="M12" s="207">
        <v>85.015770000000003</v>
      </c>
      <c r="N12" s="205">
        <v>126.501</v>
      </c>
      <c r="O12" s="206">
        <v>154.47470000000001</v>
      </c>
      <c r="P12" s="206">
        <v>103.2581</v>
      </c>
      <c r="Q12" s="207">
        <v>74.921139999999994</v>
      </c>
    </row>
    <row r="13" spans="1:22" x14ac:dyDescent="0.2">
      <c r="A13" s="215" t="s">
        <v>386</v>
      </c>
      <c r="B13" s="205">
        <v>114.5356</v>
      </c>
      <c r="C13" s="206">
        <v>66.979500000000002</v>
      </c>
      <c r="D13" s="206">
        <v>86.746510000000001</v>
      </c>
      <c r="E13" s="207">
        <v>89.16189</v>
      </c>
      <c r="F13" s="205">
        <v>100</v>
      </c>
      <c r="G13" s="206">
        <v>100</v>
      </c>
      <c r="H13" s="206">
        <v>100</v>
      </c>
      <c r="I13" s="207">
        <v>100</v>
      </c>
      <c r="J13" s="205">
        <v>99.638120000000001</v>
      </c>
      <c r="K13" s="206">
        <v>72.314149999999998</v>
      </c>
      <c r="L13" s="206">
        <v>57.924149999999997</v>
      </c>
      <c r="M13" s="207">
        <v>47.802349999999997</v>
      </c>
      <c r="N13" s="205">
        <v>198.19059999999999</v>
      </c>
      <c r="O13" s="206">
        <v>143.83799999999999</v>
      </c>
      <c r="P13" s="206">
        <v>164.67070000000001</v>
      </c>
      <c r="Q13" s="207">
        <v>90.96369</v>
      </c>
    </row>
    <row r="14" spans="1:22" x14ac:dyDescent="0.2">
      <c r="A14" s="215" t="s">
        <v>891</v>
      </c>
      <c r="B14" s="205">
        <v>44.355289999999997</v>
      </c>
      <c r="C14" s="206">
        <v>32.005629999999996</v>
      </c>
      <c r="D14" s="206">
        <v>32.253770000000003</v>
      </c>
      <c r="E14" s="207">
        <v>34.946620000000003</v>
      </c>
      <c r="F14" s="205">
        <v>100</v>
      </c>
      <c r="G14" s="206">
        <v>100</v>
      </c>
      <c r="H14" s="206">
        <v>100</v>
      </c>
      <c r="I14" s="207">
        <v>100</v>
      </c>
      <c r="J14" s="205">
        <v>87.721590000000006</v>
      </c>
      <c r="K14" s="206">
        <v>75.462710000000001</v>
      </c>
      <c r="L14" s="206">
        <v>105.8563</v>
      </c>
      <c r="M14" s="207">
        <v>79.347570000000005</v>
      </c>
      <c r="N14" s="205">
        <v>112.4837</v>
      </c>
      <c r="O14" s="206">
        <v>107.4683</v>
      </c>
      <c r="P14" s="206">
        <v>87.252290000000002</v>
      </c>
      <c r="Q14" s="207">
        <v>75.966790000000003</v>
      </c>
    </row>
    <row r="15" spans="1:22" x14ac:dyDescent="0.2">
      <c r="A15" s="215" t="s">
        <v>892</v>
      </c>
      <c r="B15" s="205">
        <v>49.311520000000002</v>
      </c>
      <c r="C15" s="206">
        <v>43.05556</v>
      </c>
      <c r="D15" s="206">
        <v>41.97739</v>
      </c>
      <c r="E15" s="207">
        <v>49.359870000000001</v>
      </c>
      <c r="F15" s="205">
        <v>100</v>
      </c>
      <c r="G15" s="206">
        <v>100</v>
      </c>
      <c r="H15" s="206">
        <v>100</v>
      </c>
      <c r="I15" s="207">
        <v>100</v>
      </c>
      <c r="J15" s="205">
        <v>39.155349999999999</v>
      </c>
      <c r="K15" s="206">
        <v>35.751550000000002</v>
      </c>
      <c r="L15" s="206">
        <v>40.16366</v>
      </c>
      <c r="M15" s="207">
        <v>33.265050000000002</v>
      </c>
      <c r="N15" s="205">
        <v>63.727939999999997</v>
      </c>
      <c r="O15" s="206">
        <v>84.531869999999998</v>
      </c>
      <c r="P15" s="206">
        <v>65.800569999999993</v>
      </c>
      <c r="Q15" s="207">
        <v>58.987490000000001</v>
      </c>
    </row>
    <row r="16" spans="1:22" x14ac:dyDescent="0.2">
      <c r="A16" s="216" t="s">
        <v>387</v>
      </c>
      <c r="B16" s="208">
        <v>36.562579999999997</v>
      </c>
      <c r="C16" s="209">
        <v>27.667110000000001</v>
      </c>
      <c r="D16" s="209">
        <v>25.053080000000001</v>
      </c>
      <c r="E16" s="210">
        <v>33.45937</v>
      </c>
      <c r="F16" s="208">
        <v>100</v>
      </c>
      <c r="G16" s="209">
        <v>100</v>
      </c>
      <c r="H16" s="209">
        <v>100</v>
      </c>
      <c r="I16" s="210">
        <v>100</v>
      </c>
      <c r="J16" s="208">
        <v>27.6568</v>
      </c>
      <c r="K16" s="209">
        <v>22.181149999999999</v>
      </c>
      <c r="L16" s="209">
        <v>30.436129999999999</v>
      </c>
      <c r="M16" s="210">
        <v>25.374089999999999</v>
      </c>
      <c r="N16" s="208">
        <v>51.077930000000002</v>
      </c>
      <c r="O16" s="209">
        <v>60.55171</v>
      </c>
      <c r="P16" s="209">
        <v>47.217799999999997</v>
      </c>
      <c r="Q16" s="210">
        <v>42.550280000000001</v>
      </c>
    </row>
    <row r="18" spans="1:4" x14ac:dyDescent="0.2">
      <c r="A18" s="231" t="s">
        <v>1099</v>
      </c>
    </row>
    <row r="19" spans="1:4" x14ac:dyDescent="0.2">
      <c r="B19" s="317" t="s">
        <v>1098</v>
      </c>
      <c r="C19" s="317"/>
      <c r="D19" s="317"/>
    </row>
    <row r="20" spans="1:4" x14ac:dyDescent="0.2">
      <c r="A20" s="203" t="s">
        <v>7</v>
      </c>
      <c r="B20" s="203" t="s">
        <v>961</v>
      </c>
      <c r="C20" s="203" t="s">
        <v>1096</v>
      </c>
      <c r="D20" s="203" t="s">
        <v>963</v>
      </c>
    </row>
    <row r="21" spans="1:4" x14ac:dyDescent="0.2">
      <c r="A21" s="202">
        <v>96.697165799999993</v>
      </c>
      <c r="B21" s="202">
        <v>41.397611699999999</v>
      </c>
      <c r="C21" s="202">
        <v>22.552664199999999</v>
      </c>
      <c r="D21" s="202">
        <v>89.226666699999996</v>
      </c>
    </row>
    <row r="22" spans="1:4" x14ac:dyDescent="0.2">
      <c r="A22" s="202">
        <v>97.620747100000003</v>
      </c>
      <c r="B22" s="202">
        <v>55.196051500000003</v>
      </c>
      <c r="C22" s="202">
        <v>46.850393699999998</v>
      </c>
      <c r="D22" s="202">
        <v>94.607037199999994</v>
      </c>
    </row>
    <row r="23" spans="1:4" x14ac:dyDescent="0.2">
      <c r="A23" s="202">
        <v>96.904109599999998</v>
      </c>
      <c r="B23" s="202">
        <v>38.377724000000001</v>
      </c>
      <c r="C23" s="202">
        <v>15.277777800000001</v>
      </c>
      <c r="D23" s="202">
        <v>80.465401099999994</v>
      </c>
    </row>
    <row r="24" spans="1:4" x14ac:dyDescent="0.2">
      <c r="A24" s="202">
        <v>97.660024199999995</v>
      </c>
      <c r="B24" s="202">
        <v>48.451008600000002</v>
      </c>
      <c r="C24" s="202">
        <v>20.995145600000001</v>
      </c>
      <c r="D24" s="202">
        <v>89.823008799999997</v>
      </c>
    </row>
    <row r="25" spans="1:4" x14ac:dyDescent="0.2">
      <c r="B25" s="317" t="s">
        <v>9</v>
      </c>
      <c r="C25" s="317"/>
      <c r="D25" s="317"/>
    </row>
    <row r="26" spans="1:4" x14ac:dyDescent="0.2">
      <c r="A26" s="203" t="s">
        <v>7</v>
      </c>
      <c r="B26" s="203" t="s">
        <v>961</v>
      </c>
      <c r="C26" s="203" t="s">
        <v>1096</v>
      </c>
      <c r="D26" s="203" t="s">
        <v>963</v>
      </c>
    </row>
    <row r="27" spans="1:4" x14ac:dyDescent="0.2">
      <c r="A27" s="202">
        <v>98.520142500000006</v>
      </c>
      <c r="B27" s="202">
        <v>88.933101199999996</v>
      </c>
      <c r="C27" s="202">
        <v>98.539958999999996</v>
      </c>
      <c r="D27" s="202">
        <v>98.316062200000005</v>
      </c>
    </row>
    <row r="28" spans="1:4" x14ac:dyDescent="0.2">
      <c r="A28" s="202">
        <v>97.865853700000002</v>
      </c>
      <c r="B28" s="202">
        <v>53.513824900000003</v>
      </c>
      <c r="C28" s="202">
        <v>97.723899099999997</v>
      </c>
      <c r="D28" s="202">
        <v>90.090344400000006</v>
      </c>
    </row>
    <row r="29" spans="1:4" x14ac:dyDescent="0.2">
      <c r="A29" s="202">
        <v>96.323529399999998</v>
      </c>
      <c r="B29" s="202">
        <v>68.640646000000004</v>
      </c>
      <c r="C29" s="202">
        <v>97.224102900000005</v>
      </c>
      <c r="D29" s="202">
        <v>97.391005800000002</v>
      </c>
    </row>
    <row r="30" spans="1:4" x14ac:dyDescent="0.2">
      <c r="A30" s="202">
        <v>96.9898606</v>
      </c>
      <c r="B30" s="202">
        <v>58.511306500000003</v>
      </c>
      <c r="C30" s="202">
        <v>97.620463999999998</v>
      </c>
      <c r="D30" s="202">
        <v>96.893787599999996</v>
      </c>
    </row>
    <row r="32" spans="1:4" x14ac:dyDescent="0.2">
      <c r="A32" t="s">
        <v>1216</v>
      </c>
    </row>
    <row r="33" spans="1:1" x14ac:dyDescent="0.2">
      <c r="A33" t="s">
        <v>747</v>
      </c>
    </row>
    <row r="48" spans="1:1" x14ac:dyDescent="0.2">
      <c r="A48" t="s">
        <v>768</v>
      </c>
    </row>
    <row r="62" spans="1:1" x14ac:dyDescent="0.2">
      <c r="A62" t="s">
        <v>757</v>
      </c>
    </row>
  </sheetData>
  <mergeCells count="10">
    <mergeCell ref="B19:D19"/>
    <mergeCell ref="B25:D25"/>
    <mergeCell ref="B2:E2"/>
    <mergeCell ref="F2:I2"/>
    <mergeCell ref="J2:M2"/>
    <mergeCell ref="N2:Q2"/>
    <mergeCell ref="B11:E11"/>
    <mergeCell ref="F11:I11"/>
    <mergeCell ref="J11:M11"/>
    <mergeCell ref="N11:Q11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76ED56-972F-2D4D-8D2A-9A71B3381924}">
  <sheetPr codeName="Sheet28"/>
  <dimension ref="A1:AL21"/>
  <sheetViews>
    <sheetView zoomScale="75" zoomScaleNormal="75" workbookViewId="0">
      <selection activeCell="W31" sqref="W31"/>
    </sheetView>
  </sheetViews>
  <sheetFormatPr baseColWidth="10" defaultRowHeight="16" x14ac:dyDescent="0.2"/>
  <sheetData>
    <row r="1" spans="1:38" x14ac:dyDescent="0.2">
      <c r="A1" t="s">
        <v>1217</v>
      </c>
    </row>
    <row r="2" spans="1:38" x14ac:dyDescent="0.2">
      <c r="A2" s="12" t="s">
        <v>89</v>
      </c>
      <c r="B2" s="304" t="s">
        <v>370</v>
      </c>
      <c r="C2" s="306"/>
      <c r="D2" s="306"/>
      <c r="E2" s="306"/>
      <c r="F2" s="306"/>
      <c r="G2" s="306"/>
      <c r="H2" s="306"/>
      <c r="I2" s="306"/>
      <c r="J2" s="305"/>
      <c r="K2" s="304" t="s">
        <v>371</v>
      </c>
      <c r="L2" s="306"/>
      <c r="M2" s="306"/>
      <c r="N2" s="306"/>
      <c r="O2" s="306"/>
      <c r="P2" s="306"/>
      <c r="Q2" s="306"/>
      <c r="R2" s="306"/>
      <c r="S2" s="305"/>
      <c r="T2" s="304" t="s">
        <v>372</v>
      </c>
      <c r="U2" s="306"/>
      <c r="V2" s="306"/>
      <c r="W2" s="306"/>
      <c r="X2" s="306"/>
      <c r="Y2" s="306"/>
      <c r="Z2" s="306"/>
      <c r="AA2" s="306"/>
      <c r="AB2" s="305"/>
      <c r="AC2" s="304" t="s">
        <v>373</v>
      </c>
      <c r="AD2" s="306"/>
      <c r="AE2" s="306"/>
      <c r="AF2" s="306"/>
      <c r="AG2" s="306"/>
      <c r="AH2" s="306"/>
      <c r="AI2" s="306"/>
      <c r="AJ2" s="306"/>
      <c r="AK2" s="306"/>
      <c r="AL2" s="305"/>
    </row>
    <row r="3" spans="1:38" x14ac:dyDescent="0.2">
      <c r="A3" s="13">
        <v>0</v>
      </c>
      <c r="B3" s="4">
        <v>19.867094000000002</v>
      </c>
      <c r="C3" s="5">
        <v>18.592704000000001</v>
      </c>
      <c r="D3" s="5">
        <v>12.532401</v>
      </c>
      <c r="E3" s="5">
        <v>16.142247000000001</v>
      </c>
      <c r="F3" s="5">
        <v>9.7419159999999998</v>
      </c>
      <c r="G3" s="5">
        <v>8.3870799999999992</v>
      </c>
      <c r="H3" s="5">
        <v>6.64</v>
      </c>
      <c r="I3" s="5">
        <v>4.8</v>
      </c>
      <c r="J3" s="6"/>
      <c r="K3" s="4">
        <v>10.058179000000001</v>
      </c>
      <c r="L3" s="5">
        <v>10.0064235</v>
      </c>
      <c r="M3" s="5">
        <v>13.70083</v>
      </c>
      <c r="N3" s="5">
        <v>5</v>
      </c>
      <c r="O3" s="5">
        <v>4</v>
      </c>
      <c r="P3" s="5">
        <v>7.8074909999999997</v>
      </c>
      <c r="Q3" s="5">
        <v>11.0808</v>
      </c>
      <c r="R3" s="5">
        <v>4</v>
      </c>
      <c r="S3" s="6"/>
      <c r="T3" s="4">
        <v>13.39758</v>
      </c>
      <c r="U3" s="5">
        <v>16.512795000000001</v>
      </c>
      <c r="V3" s="5">
        <v>14.717499999999999</v>
      </c>
      <c r="W3" s="5">
        <v>9.2580460000000002</v>
      </c>
      <c r="X3" s="5">
        <v>6.1710000000000003</v>
      </c>
      <c r="Y3" s="5">
        <v>10.330474000000001</v>
      </c>
      <c r="Z3" s="5">
        <v>12.808379499999999</v>
      </c>
      <c r="AA3" s="5">
        <v>4</v>
      </c>
      <c r="AB3" s="6"/>
      <c r="AC3" s="4">
        <v>9.1259999999999994</v>
      </c>
      <c r="AD3" s="5">
        <v>10.171578500000001</v>
      </c>
      <c r="AE3" s="5">
        <v>15.705</v>
      </c>
      <c r="AF3" s="5">
        <v>17.895174000000001</v>
      </c>
      <c r="AG3" s="5">
        <v>18.377606</v>
      </c>
      <c r="AH3" s="5">
        <v>5.412096</v>
      </c>
      <c r="AI3" s="5">
        <v>10.330474000000001</v>
      </c>
      <c r="AJ3" s="5">
        <v>8.9988275000000009</v>
      </c>
      <c r="AK3" s="5">
        <v>4.4000000000000004</v>
      </c>
      <c r="AL3" s="6"/>
    </row>
    <row r="4" spans="1:38" x14ac:dyDescent="0.2">
      <c r="A4" s="13">
        <v>3</v>
      </c>
      <c r="B4" s="4">
        <v>31.457379</v>
      </c>
      <c r="C4" s="5">
        <v>38.6015625</v>
      </c>
      <c r="D4" s="5">
        <v>37.26352</v>
      </c>
      <c r="E4" s="5">
        <v>7.6831304999999999</v>
      </c>
      <c r="F4" s="5">
        <v>7.3549439999999997</v>
      </c>
      <c r="G4" s="5">
        <v>30.30687</v>
      </c>
      <c r="H4" s="5">
        <v>16.054528000000001</v>
      </c>
      <c r="I4" s="5">
        <v>4.9577935000000002</v>
      </c>
      <c r="J4" s="6"/>
      <c r="K4" s="4">
        <v>6.4926539999999999</v>
      </c>
      <c r="L4" s="5">
        <v>3.516696</v>
      </c>
      <c r="M4" s="5">
        <v>40.46</v>
      </c>
      <c r="N4" s="5">
        <v>4.6399999999999997</v>
      </c>
      <c r="O4" s="5">
        <v>4</v>
      </c>
      <c r="P4" s="5">
        <v>7.2342124999999999</v>
      </c>
      <c r="Q4" s="5">
        <v>25.321532000000001</v>
      </c>
      <c r="R4" s="5">
        <v>10.745608499999999</v>
      </c>
      <c r="S4" s="6"/>
      <c r="T4" s="4">
        <v>16.226281499999999</v>
      </c>
      <c r="U4" s="5">
        <v>19.12968</v>
      </c>
      <c r="V4" s="5">
        <v>33.291972000000001</v>
      </c>
      <c r="W4" s="5">
        <v>6.0834999999999999</v>
      </c>
      <c r="X4" s="5">
        <v>5.46</v>
      </c>
      <c r="Y4" s="5">
        <v>6.8479000000000001</v>
      </c>
      <c r="Z4" s="5">
        <v>52.503839999999997</v>
      </c>
      <c r="AA4" s="5">
        <v>6.2836065000000003</v>
      </c>
      <c r="AB4" s="6"/>
      <c r="AC4" s="4">
        <v>14.508481</v>
      </c>
      <c r="AD4" s="5">
        <v>13.046462</v>
      </c>
      <c r="AE4" s="5">
        <v>47.867904000000003</v>
      </c>
      <c r="AF4" s="5">
        <v>31.382523500000001</v>
      </c>
      <c r="AG4" s="5">
        <v>34.715562499999997</v>
      </c>
      <c r="AH4" s="5">
        <v>4.5599999999999996</v>
      </c>
      <c r="AI4" s="5">
        <v>11.574135999999999</v>
      </c>
      <c r="AJ4" s="5">
        <v>54.214776000000001</v>
      </c>
      <c r="AK4" s="5">
        <v>4</v>
      </c>
      <c r="AL4" s="6"/>
    </row>
    <row r="5" spans="1:38" x14ac:dyDescent="0.2">
      <c r="A5" s="13">
        <v>6</v>
      </c>
      <c r="B5" s="4">
        <v>22.838847999999999</v>
      </c>
      <c r="C5" s="5">
        <v>108.438311</v>
      </c>
      <c r="D5" s="5">
        <v>82.8983025</v>
      </c>
      <c r="E5" s="5">
        <v>21.203378000000001</v>
      </c>
      <c r="F5" s="5">
        <v>11.2995</v>
      </c>
      <c r="G5" s="5">
        <v>121.170429</v>
      </c>
      <c r="H5" s="5">
        <v>28.089151999999999</v>
      </c>
      <c r="I5" s="5">
        <v>10.570499999999999</v>
      </c>
      <c r="J5" s="6"/>
      <c r="K5" s="4">
        <v>13.590536</v>
      </c>
      <c r="L5" s="5">
        <v>4</v>
      </c>
      <c r="M5" s="5">
        <v>67.818240000000003</v>
      </c>
      <c r="N5" s="5">
        <v>14.824977499999999</v>
      </c>
      <c r="O5" s="5">
        <v>4</v>
      </c>
      <c r="P5" s="5">
        <v>6.98</v>
      </c>
      <c r="Q5" s="5">
        <v>50.335999999999999</v>
      </c>
      <c r="R5" s="5">
        <v>5.4414980000000002</v>
      </c>
      <c r="S5" s="6"/>
      <c r="T5" s="4">
        <v>15.73269</v>
      </c>
      <c r="U5" s="5">
        <v>47.878549999999997</v>
      </c>
      <c r="V5" s="5">
        <v>53.035550000000001</v>
      </c>
      <c r="W5" s="5">
        <v>8.6050319999999996</v>
      </c>
      <c r="X5" s="5">
        <v>17.216875000000002</v>
      </c>
      <c r="Y5" s="5">
        <v>4</v>
      </c>
      <c r="Z5" s="5">
        <v>61.917183999999999</v>
      </c>
      <c r="AA5" s="5">
        <v>11.396857499999999</v>
      </c>
      <c r="AB5" s="6"/>
      <c r="AC5" s="4">
        <v>8</v>
      </c>
      <c r="AD5" s="5">
        <v>16.9502445</v>
      </c>
      <c r="AE5" s="5">
        <v>48.015173500000003</v>
      </c>
      <c r="AF5" s="5">
        <v>184.90383</v>
      </c>
      <c r="AG5" s="5">
        <v>20.172799999999999</v>
      </c>
      <c r="AH5" s="5">
        <v>8.4532500000000006</v>
      </c>
      <c r="AI5" s="5">
        <v>14.214759000000001</v>
      </c>
      <c r="AJ5" s="5">
        <v>100.82408700000001</v>
      </c>
      <c r="AK5" s="5">
        <v>4</v>
      </c>
      <c r="AL5" s="6"/>
    </row>
    <row r="6" spans="1:38" x14ac:dyDescent="0.2">
      <c r="A6" s="13">
        <v>9</v>
      </c>
      <c r="B6" s="4">
        <v>57.067703999999999</v>
      </c>
      <c r="C6" s="5">
        <v>228.0812</v>
      </c>
      <c r="D6" s="5">
        <v>90.508725999999996</v>
      </c>
      <c r="E6" s="5">
        <v>31.492791</v>
      </c>
      <c r="F6" s="5">
        <v>26.324842</v>
      </c>
      <c r="G6" s="5">
        <v>364.50125000000003</v>
      </c>
      <c r="H6" s="5">
        <v>79.344288000000006</v>
      </c>
      <c r="I6" s="5">
        <v>44.011800000000001</v>
      </c>
      <c r="J6" s="6"/>
      <c r="K6" s="4">
        <v>18.303443999999999</v>
      </c>
      <c r="L6" s="5">
        <v>4</v>
      </c>
      <c r="M6" s="5">
        <v>62.752535999999999</v>
      </c>
      <c r="N6" s="5">
        <v>21.068124000000001</v>
      </c>
      <c r="O6" s="5">
        <v>14.72256</v>
      </c>
      <c r="P6" s="5">
        <v>18.9262035</v>
      </c>
      <c r="Q6" s="5">
        <v>88.443524999999994</v>
      </c>
      <c r="R6" s="5">
        <v>32.5546875</v>
      </c>
      <c r="S6" s="6"/>
      <c r="T6" s="4">
        <v>24.409088000000001</v>
      </c>
      <c r="U6" s="5">
        <v>65.860764500000002</v>
      </c>
      <c r="V6" s="5">
        <v>77.456075999999996</v>
      </c>
      <c r="W6" s="5">
        <v>19.921427999999999</v>
      </c>
      <c r="X6" s="5">
        <v>57.267865999999998</v>
      </c>
      <c r="Y6" s="5">
        <v>0</v>
      </c>
      <c r="Z6" s="5">
        <v>190.28664900000001</v>
      </c>
      <c r="AA6" s="5">
        <v>27.984375</v>
      </c>
      <c r="AB6" s="6"/>
      <c r="AC6" s="4">
        <v>24.3828225</v>
      </c>
      <c r="AD6" s="5">
        <v>15.395637499999999</v>
      </c>
      <c r="AE6" s="5">
        <v>45.230238</v>
      </c>
      <c r="AF6" s="5">
        <v>55.779527999999999</v>
      </c>
      <c r="AG6" s="5">
        <v>17.686063999999998</v>
      </c>
      <c r="AH6" s="5">
        <v>4</v>
      </c>
      <c r="AI6" s="5">
        <v>30.537216000000001</v>
      </c>
      <c r="AJ6" s="5">
        <v>458.78305599999999</v>
      </c>
      <c r="AK6" s="5">
        <v>7.1</v>
      </c>
      <c r="AL6" s="6"/>
    </row>
    <row r="7" spans="1:38" x14ac:dyDescent="0.2">
      <c r="A7" s="13">
        <v>11</v>
      </c>
      <c r="B7" s="4">
        <v>84.013022500000005</v>
      </c>
      <c r="C7" s="5">
        <v>393.48345599999999</v>
      </c>
      <c r="D7" s="5">
        <v>128.04793799999999</v>
      </c>
      <c r="E7" s="5">
        <v>64.052662499999997</v>
      </c>
      <c r="F7" s="5">
        <v>43.999049999999997</v>
      </c>
      <c r="G7" s="5">
        <v>538.02224999999999</v>
      </c>
      <c r="H7" s="5">
        <v>173.25869</v>
      </c>
      <c r="I7" s="5">
        <v>110.061216</v>
      </c>
      <c r="J7" s="6"/>
      <c r="K7" s="4">
        <v>33.438208500000002</v>
      </c>
      <c r="L7" s="5">
        <v>4</v>
      </c>
      <c r="M7" s="5">
        <v>137.554799</v>
      </c>
      <c r="N7" s="5">
        <v>44.877167999999998</v>
      </c>
      <c r="O7" s="5">
        <v>7.9135650000000002</v>
      </c>
      <c r="P7" s="5">
        <v>47.528461499999999</v>
      </c>
      <c r="Q7" s="5">
        <v>134.122299</v>
      </c>
      <c r="R7" s="5">
        <v>78.854987499999993</v>
      </c>
      <c r="S7" s="6"/>
      <c r="T7" s="4">
        <v>31.695799999999998</v>
      </c>
      <c r="U7" s="5">
        <v>161.385334</v>
      </c>
      <c r="V7" s="5">
        <v>150.99166299999999</v>
      </c>
      <c r="W7" s="5">
        <v>32.661225000000002</v>
      </c>
      <c r="X7" s="5">
        <v>84.003767999999994</v>
      </c>
      <c r="Y7" s="5">
        <v>4</v>
      </c>
      <c r="Z7" s="5">
        <v>314.80459200000001</v>
      </c>
      <c r="AA7" s="5">
        <v>71.612759999999994</v>
      </c>
      <c r="AB7" s="6"/>
      <c r="AC7" s="4">
        <v>26.404201</v>
      </c>
      <c r="AD7" s="5">
        <v>26.885088</v>
      </c>
      <c r="AE7" s="5">
        <v>32.277928000000003</v>
      </c>
      <c r="AF7" s="5">
        <v>97.542143999999993</v>
      </c>
      <c r="AG7" s="5">
        <v>18.49925</v>
      </c>
      <c r="AH7" s="5">
        <v>7.3502580000000002</v>
      </c>
      <c r="AI7" s="5">
        <v>48.286683500000002</v>
      </c>
      <c r="AJ7" s="5">
        <v>1000</v>
      </c>
      <c r="AK7" s="5">
        <v>0</v>
      </c>
      <c r="AL7" s="6"/>
    </row>
    <row r="8" spans="1:38" x14ac:dyDescent="0.2">
      <c r="A8" s="14">
        <v>13</v>
      </c>
      <c r="B8" s="7">
        <v>235.58253400000001</v>
      </c>
      <c r="C8" s="8">
        <v>720.58026800000005</v>
      </c>
      <c r="D8" s="8">
        <v>264.079228</v>
      </c>
      <c r="E8" s="8">
        <v>103.67591899999999</v>
      </c>
      <c r="F8" s="8">
        <v>92.036096000000001</v>
      </c>
      <c r="G8" s="8">
        <v>976.32359199999996</v>
      </c>
      <c r="H8" s="8">
        <v>333.77306299999998</v>
      </c>
      <c r="I8" s="8">
        <v>195.38641799999999</v>
      </c>
      <c r="J8" s="9"/>
      <c r="K8" s="7">
        <v>68.852024999999998</v>
      </c>
      <c r="L8" s="8">
        <v>4</v>
      </c>
      <c r="M8" s="8">
        <v>175.804812</v>
      </c>
      <c r="N8" s="8">
        <v>107.407608</v>
      </c>
      <c r="O8" s="8">
        <v>18.071591999999999</v>
      </c>
      <c r="P8" s="8">
        <v>69.695999999999998</v>
      </c>
      <c r="Q8" s="8">
        <v>248.971788</v>
      </c>
      <c r="R8" s="8">
        <v>270.91663899999998</v>
      </c>
      <c r="S8" s="9"/>
      <c r="T8" s="7">
        <v>67.553403000000003</v>
      </c>
      <c r="U8" s="8">
        <v>353.22927600000003</v>
      </c>
      <c r="V8" s="8">
        <v>246.72582</v>
      </c>
      <c r="W8" s="8">
        <v>76.75</v>
      </c>
      <c r="X8" s="8">
        <v>286.98991899999999</v>
      </c>
      <c r="Y8" s="8">
        <v>0</v>
      </c>
      <c r="Z8" s="8">
        <v>547.36625000000004</v>
      </c>
      <c r="AA8" s="8">
        <v>154.517472</v>
      </c>
      <c r="AB8" s="9"/>
      <c r="AC8" s="7">
        <v>30.631195999999999</v>
      </c>
      <c r="AD8" s="8">
        <v>88.027862999999996</v>
      </c>
      <c r="AE8" s="8">
        <v>4</v>
      </c>
      <c r="AF8" s="8">
        <v>144.66182000000001</v>
      </c>
      <c r="AG8" s="8">
        <v>15.756928</v>
      </c>
      <c r="AH8" s="8">
        <v>25.725000000000001</v>
      </c>
      <c r="AI8" s="8">
        <v>67.633419500000002</v>
      </c>
      <c r="AJ8" s="8">
        <v>1000</v>
      </c>
      <c r="AK8" s="8">
        <v>4</v>
      </c>
      <c r="AL8" s="9"/>
    </row>
    <row r="9" spans="1:38" x14ac:dyDescent="0.2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  <c r="AE9" s="1"/>
      <c r="AF9" s="1"/>
      <c r="AG9" s="1"/>
      <c r="AH9" s="1"/>
      <c r="AI9" s="1"/>
      <c r="AJ9" s="1"/>
      <c r="AK9" s="1"/>
      <c r="AL9" s="1"/>
    </row>
    <row r="10" spans="1:38" x14ac:dyDescent="0.2">
      <c r="A10" s="1"/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  <c r="AE10" s="1"/>
      <c r="AF10" s="1"/>
      <c r="AG10" s="1"/>
      <c r="AH10" s="1"/>
      <c r="AI10" s="1"/>
      <c r="AJ10" s="1"/>
      <c r="AK10" s="1"/>
      <c r="AL10" s="1"/>
    </row>
    <row r="11" spans="1:38" x14ac:dyDescent="0.2">
      <c r="A11" s="1"/>
      <c r="B11" s="1"/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  <c r="AE11" s="1"/>
      <c r="AF11" s="1"/>
      <c r="AG11" s="1"/>
      <c r="AH11" s="1"/>
      <c r="AI11" s="1"/>
      <c r="AJ11" s="1"/>
      <c r="AK11" s="1"/>
      <c r="AL11" s="1"/>
    </row>
    <row r="12" spans="1:38" x14ac:dyDescent="0.2">
      <c r="A12" s="1"/>
      <c r="B12" s="1"/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</row>
    <row r="13" spans="1:38" x14ac:dyDescent="0.2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  <c r="AB13" s="1"/>
      <c r="AC13" s="1"/>
      <c r="AD13" s="1"/>
      <c r="AE13" s="1"/>
      <c r="AF13" s="1"/>
      <c r="AG13" s="1"/>
      <c r="AH13" s="1"/>
      <c r="AI13" s="1"/>
      <c r="AJ13" s="1"/>
      <c r="AK13" s="1"/>
      <c r="AL13" s="1"/>
    </row>
    <row r="14" spans="1:38" x14ac:dyDescent="0.2">
      <c r="A14" s="1" t="s">
        <v>1245</v>
      </c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  <c r="AC14" s="1"/>
      <c r="AD14" s="1"/>
      <c r="AE14" s="1"/>
      <c r="AF14" s="1"/>
      <c r="AG14" s="1"/>
      <c r="AH14" s="1"/>
      <c r="AI14" s="1"/>
      <c r="AJ14" s="1"/>
      <c r="AK14" s="1"/>
      <c r="AL14" s="1"/>
    </row>
    <row r="15" spans="1:38" x14ac:dyDescent="0.2">
      <c r="A15" s="203" t="s">
        <v>89</v>
      </c>
      <c r="B15" s="302" t="s">
        <v>1100</v>
      </c>
      <c r="C15" s="307"/>
      <c r="D15" s="307"/>
      <c r="E15" s="307"/>
      <c r="F15" s="307"/>
      <c r="G15" s="303"/>
      <c r="H15" s="302" t="s">
        <v>371</v>
      </c>
      <c r="I15" s="307"/>
      <c r="J15" s="307"/>
      <c r="K15" s="307"/>
      <c r="L15" s="303"/>
      <c r="M15" s="302" t="s">
        <v>1101</v>
      </c>
      <c r="N15" s="307"/>
      <c r="O15" s="307"/>
      <c r="P15" s="307"/>
      <c r="Q15" s="307"/>
      <c r="R15" s="303"/>
      <c r="S15" s="302" t="s">
        <v>373</v>
      </c>
      <c r="T15" s="307"/>
      <c r="U15" s="307"/>
      <c r="V15" s="307"/>
      <c r="W15" s="303"/>
      <c r="X15" s="203"/>
      <c r="Y15" s="203"/>
      <c r="Z15" s="203"/>
      <c r="AB15" s="203"/>
      <c r="AC15" s="203"/>
      <c r="AD15" s="203"/>
      <c r="AE15" s="203"/>
      <c r="AF15" s="203"/>
      <c r="AG15" s="203"/>
      <c r="AH15" s="203"/>
      <c r="AI15" s="203"/>
    </row>
    <row r="16" spans="1:38" x14ac:dyDescent="0.2">
      <c r="A16" s="211">
        <v>0</v>
      </c>
      <c r="B16" s="205">
        <v>12.659369999999999</v>
      </c>
      <c r="C16" s="206">
        <v>4</v>
      </c>
      <c r="D16" s="206">
        <v>24.889900000000001</v>
      </c>
      <c r="E16" s="206">
        <v>14.244899999999999</v>
      </c>
      <c r="F16" s="206">
        <v>40.793379999999999</v>
      </c>
      <c r="G16" s="207">
        <v>23.133600000000001</v>
      </c>
      <c r="H16" s="205">
        <v>4</v>
      </c>
      <c r="I16" s="206">
        <v>22.854019999999998</v>
      </c>
      <c r="J16" s="206">
        <v>24.913080000000001</v>
      </c>
      <c r="K16" s="206">
        <v>10.935</v>
      </c>
      <c r="L16" s="207">
        <v>15.24258</v>
      </c>
      <c r="M16" s="205">
        <v>19.874040000000001</v>
      </c>
      <c r="N16" s="206">
        <v>33.820239999999998</v>
      </c>
      <c r="O16" s="206">
        <v>9.0988000000000007</v>
      </c>
      <c r="P16" s="206">
        <v>4</v>
      </c>
      <c r="Q16" s="206">
        <v>20.740369999999999</v>
      </c>
      <c r="R16" s="207">
        <v>27.773440000000001</v>
      </c>
      <c r="S16" s="205">
        <v>25.112500000000001</v>
      </c>
      <c r="T16" s="206">
        <v>22.542000000000002</v>
      </c>
      <c r="U16" s="206">
        <v>10.924200000000001</v>
      </c>
      <c r="V16" s="206">
        <v>4</v>
      </c>
      <c r="W16" s="207">
        <v>15.692259999999999</v>
      </c>
    </row>
    <row r="17" spans="1:23" x14ac:dyDescent="0.2">
      <c r="A17" s="212">
        <v>2</v>
      </c>
      <c r="B17" s="205">
        <v>36.231340000000003</v>
      </c>
      <c r="C17" s="206">
        <v>38.538730000000001</v>
      </c>
      <c r="D17" s="206">
        <v>28.578140000000001</v>
      </c>
      <c r="E17" s="206">
        <v>30.93439</v>
      </c>
      <c r="F17" s="206">
        <v>45.000230000000002</v>
      </c>
      <c r="G17" s="207">
        <v>51.943210000000001</v>
      </c>
      <c r="H17" s="205">
        <v>28.642340000000001</v>
      </c>
      <c r="I17" s="206">
        <v>33.288069999999998</v>
      </c>
      <c r="J17" s="206">
        <v>31.816800000000001</v>
      </c>
      <c r="K17" s="206">
        <v>16.41825</v>
      </c>
      <c r="L17" s="207">
        <v>27.536460000000002</v>
      </c>
      <c r="M17" s="205">
        <v>54.33916</v>
      </c>
      <c r="N17" s="206">
        <v>69.75</v>
      </c>
      <c r="O17" s="206">
        <v>39.589010000000002</v>
      </c>
      <c r="P17" s="206">
        <v>16.432649999999999</v>
      </c>
      <c r="Q17" s="206">
        <v>24.054690000000001</v>
      </c>
      <c r="R17" s="207">
        <v>55.84348</v>
      </c>
      <c r="S17" s="205">
        <v>97.768299999999996</v>
      </c>
      <c r="T17" s="206">
        <v>101.2928</v>
      </c>
      <c r="U17" s="206">
        <v>74</v>
      </c>
      <c r="V17" s="206">
        <v>59.435200000000002</v>
      </c>
      <c r="W17" s="207">
        <v>18.83606</v>
      </c>
    </row>
    <row r="18" spans="1:23" x14ac:dyDescent="0.2">
      <c r="A18" s="212">
        <v>5</v>
      </c>
      <c r="B18" s="205">
        <v>136.12880000000001</v>
      </c>
      <c r="C18" s="206">
        <v>164.64670000000001</v>
      </c>
      <c r="D18" s="206">
        <v>65.832669999999993</v>
      </c>
      <c r="E18" s="206">
        <v>165.2842</v>
      </c>
      <c r="F18" s="206">
        <v>123.6125</v>
      </c>
      <c r="G18" s="207">
        <v>240.46879999999999</v>
      </c>
      <c r="H18" s="205">
        <v>53.547960000000003</v>
      </c>
      <c r="I18" s="206">
        <v>67.392160000000004</v>
      </c>
      <c r="J18" s="206">
        <v>53.359369999999998</v>
      </c>
      <c r="K18" s="206">
        <v>37.572929999999999</v>
      </c>
      <c r="L18" s="207">
        <v>93.246300000000005</v>
      </c>
      <c r="M18" s="205">
        <v>94.671530000000004</v>
      </c>
      <c r="N18" s="206">
        <v>124.9495</v>
      </c>
      <c r="O18" s="206">
        <v>81.151200000000003</v>
      </c>
      <c r="P18" s="206">
        <v>14.97467</v>
      </c>
      <c r="Q18" s="206">
        <v>39.223300000000002</v>
      </c>
      <c r="R18" s="207">
        <v>260.66460000000001</v>
      </c>
      <c r="S18" s="205">
        <v>192.84389999999999</v>
      </c>
      <c r="T18" s="206">
        <v>105.2676</v>
      </c>
      <c r="U18" s="206">
        <v>86.890630000000002</v>
      </c>
      <c r="V18" s="206">
        <v>95.718220000000002</v>
      </c>
      <c r="W18" s="207">
        <v>75.924260000000004</v>
      </c>
    </row>
    <row r="19" spans="1:23" x14ac:dyDescent="0.2">
      <c r="A19" s="212">
        <v>7</v>
      </c>
      <c r="B19" s="205">
        <v>217.7167</v>
      </c>
      <c r="C19" s="206">
        <v>281.19200000000001</v>
      </c>
      <c r="D19" s="206">
        <v>183.0078</v>
      </c>
      <c r="E19" s="206">
        <v>219.06190000000001</v>
      </c>
      <c r="F19" s="206">
        <v>301.85719999999998</v>
      </c>
      <c r="G19" s="207">
        <v>305.721</v>
      </c>
      <c r="H19" s="205">
        <v>117.2285</v>
      </c>
      <c r="I19" s="206">
        <v>256.35430000000002</v>
      </c>
      <c r="J19" s="206">
        <v>109.479</v>
      </c>
      <c r="K19" s="206">
        <v>71.446969999999993</v>
      </c>
      <c r="L19" s="207">
        <v>93.657920000000004</v>
      </c>
      <c r="M19" s="205">
        <v>212.75219999999999</v>
      </c>
      <c r="N19" s="206">
        <v>250.24039999999999</v>
      </c>
      <c r="O19" s="206">
        <v>132.1728</v>
      </c>
      <c r="P19" s="206">
        <v>9.9375</v>
      </c>
      <c r="Q19" s="206">
        <v>58.420319999999997</v>
      </c>
      <c r="R19" s="207">
        <v>397.36340000000001</v>
      </c>
      <c r="S19" s="205">
        <v>361.68700000000001</v>
      </c>
      <c r="T19" s="206">
        <v>145.4255</v>
      </c>
      <c r="U19" s="206">
        <v>122.4943</v>
      </c>
      <c r="V19" s="206">
        <v>149.565</v>
      </c>
      <c r="W19" s="207">
        <v>196.07640000000001</v>
      </c>
    </row>
    <row r="20" spans="1:23" x14ac:dyDescent="0.2">
      <c r="A20" s="212">
        <v>9</v>
      </c>
      <c r="B20" s="205">
        <v>810.5394</v>
      </c>
      <c r="C20" s="206">
        <v>612.5607</v>
      </c>
      <c r="D20" s="206">
        <v>182.25</v>
      </c>
      <c r="E20" s="206">
        <v>371.5865</v>
      </c>
      <c r="F20" s="206">
        <v>632.74130000000002</v>
      </c>
      <c r="G20" s="207">
        <v>679.428</v>
      </c>
      <c r="H20" s="205">
        <v>242.63050000000001</v>
      </c>
      <c r="I20" s="206">
        <v>380.46929999999998</v>
      </c>
      <c r="J20" s="206">
        <v>205.70269999999999</v>
      </c>
      <c r="K20" s="206">
        <v>180.40979999999999</v>
      </c>
      <c r="L20" s="207">
        <v>165.60589999999999</v>
      </c>
      <c r="M20" s="205">
        <v>304.19009999999997</v>
      </c>
      <c r="N20" s="206">
        <v>280.95999999999998</v>
      </c>
      <c r="O20" s="206">
        <v>291.56139999999999</v>
      </c>
      <c r="P20" s="206">
        <v>4.5999999999999996</v>
      </c>
      <c r="Q20" s="206">
        <v>118.0059</v>
      </c>
      <c r="R20" s="207">
        <v>462.3168</v>
      </c>
      <c r="S20" s="205">
        <v>854.00689999999997</v>
      </c>
      <c r="T20" s="206">
        <v>277.03219999999999</v>
      </c>
      <c r="U20" s="206">
        <v>373.96800000000002</v>
      </c>
      <c r="V20" s="206">
        <v>449.30650000000003</v>
      </c>
      <c r="W20" s="207">
        <v>453.72570000000002</v>
      </c>
    </row>
    <row r="21" spans="1:23" x14ac:dyDescent="0.2">
      <c r="A21" s="213">
        <v>12</v>
      </c>
      <c r="B21" s="208">
        <v>2077.348</v>
      </c>
      <c r="C21" s="209">
        <v>1187.79</v>
      </c>
      <c r="D21" s="209">
        <v>783.16110000000003</v>
      </c>
      <c r="E21" s="209">
        <v>961.45219999999995</v>
      </c>
      <c r="F21" s="209">
        <v>1368.9849999999999</v>
      </c>
      <c r="G21" s="210">
        <v>931.22919999999999</v>
      </c>
      <c r="H21" s="208">
        <v>534.68619999999999</v>
      </c>
      <c r="I21" s="209">
        <v>1008.473</v>
      </c>
      <c r="J21" s="209">
        <v>578.68470000000002</v>
      </c>
      <c r="K21" s="209">
        <v>481.46480000000003</v>
      </c>
      <c r="L21" s="210">
        <v>352.48450000000003</v>
      </c>
      <c r="M21" s="208">
        <v>1060.5409999999999</v>
      </c>
      <c r="N21" s="209">
        <v>717.75459999999998</v>
      </c>
      <c r="O21" s="209">
        <v>676.96900000000005</v>
      </c>
      <c r="P21" s="209">
        <v>39.312899999999999</v>
      </c>
      <c r="Q21" s="209">
        <v>209.0926</v>
      </c>
      <c r="R21" s="210">
        <v>1381.8520000000001</v>
      </c>
      <c r="S21" s="208">
        <v>1000</v>
      </c>
      <c r="T21" s="209">
        <v>487.02140000000003</v>
      </c>
      <c r="U21" s="209">
        <v>1058.4659999999999</v>
      </c>
      <c r="V21" s="209">
        <v>1355.1949999999999</v>
      </c>
      <c r="W21" s="210">
        <v>1242.0139999999999</v>
      </c>
    </row>
  </sheetData>
  <mergeCells count="8">
    <mergeCell ref="AC2:AL2"/>
    <mergeCell ref="B15:G15"/>
    <mergeCell ref="H15:L15"/>
    <mergeCell ref="M15:R15"/>
    <mergeCell ref="S15:W15"/>
    <mergeCell ref="B2:J2"/>
    <mergeCell ref="K2:S2"/>
    <mergeCell ref="T2:AB2"/>
  </mergeCells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A8FBFA-9904-224F-9384-F23A1DA191AC}">
  <sheetPr codeName="Sheet29"/>
  <dimension ref="A1:AM55"/>
  <sheetViews>
    <sheetView zoomScaleNormal="100" workbookViewId="0">
      <selection activeCell="E52" sqref="E52"/>
    </sheetView>
  </sheetViews>
  <sheetFormatPr baseColWidth="10" defaultRowHeight="16" x14ac:dyDescent="0.2"/>
  <cols>
    <col min="1" max="10" width="10.83203125" style="113"/>
    <col min="11" max="11" width="10.83203125" style="57"/>
    <col min="12" max="17" width="10.83203125" style="113"/>
    <col min="18" max="18" width="10.83203125" style="57"/>
    <col min="19" max="24" width="10.83203125" style="113"/>
    <col min="25" max="25" width="10.83203125" style="57"/>
    <col min="26" max="31" width="10.83203125" style="113"/>
    <col min="32" max="32" width="10.83203125" style="57"/>
    <col min="33" max="16384" width="10.83203125" style="113"/>
  </cols>
  <sheetData>
    <row r="1" spans="1:39" x14ac:dyDescent="0.2">
      <c r="E1" s="113" t="s">
        <v>922</v>
      </c>
      <c r="L1" s="113" t="s">
        <v>923</v>
      </c>
      <c r="S1" s="113" t="s">
        <v>791</v>
      </c>
      <c r="Z1" s="113" t="s">
        <v>924</v>
      </c>
      <c r="AG1" s="113" t="s">
        <v>1121</v>
      </c>
    </row>
    <row r="2" spans="1:39" x14ac:dyDescent="0.2">
      <c r="A2" s="113" t="s">
        <v>910</v>
      </c>
      <c r="B2" s="113" t="s">
        <v>911</v>
      </c>
      <c r="C2" s="113" t="s">
        <v>97</v>
      </c>
      <c r="E2" s="113" t="s">
        <v>16</v>
      </c>
      <c r="F2" s="113" t="s">
        <v>17</v>
      </c>
      <c r="G2" s="113" t="s">
        <v>66</v>
      </c>
      <c r="H2" s="113" t="s">
        <v>10</v>
      </c>
      <c r="I2" s="113" t="s">
        <v>18</v>
      </c>
      <c r="J2" s="113" t="s">
        <v>19</v>
      </c>
      <c r="K2" s="57" t="s">
        <v>15</v>
      </c>
      <c r="L2" s="113" t="s">
        <v>16</v>
      </c>
      <c r="M2" s="113" t="s">
        <v>17</v>
      </c>
      <c r="N2" s="113" t="s">
        <v>66</v>
      </c>
      <c r="O2" s="113" t="s">
        <v>10</v>
      </c>
      <c r="P2" s="113" t="s">
        <v>18</v>
      </c>
      <c r="Q2" s="113" t="s">
        <v>19</v>
      </c>
      <c r="R2" s="57" t="s">
        <v>15</v>
      </c>
      <c r="S2" s="113" t="s">
        <v>16</v>
      </c>
      <c r="T2" s="113" t="s">
        <v>17</v>
      </c>
      <c r="U2" s="113" t="s">
        <v>66</v>
      </c>
      <c r="V2" s="113" t="s">
        <v>10</v>
      </c>
      <c r="W2" s="113" t="s">
        <v>18</v>
      </c>
      <c r="X2" s="113" t="s">
        <v>19</v>
      </c>
      <c r="Y2" s="57" t="s">
        <v>15</v>
      </c>
      <c r="Z2" s="113" t="s">
        <v>16</v>
      </c>
      <c r="AA2" s="113" t="s">
        <v>17</v>
      </c>
      <c r="AB2" s="113" t="s">
        <v>66</v>
      </c>
      <c r="AC2" s="113" t="s">
        <v>10</v>
      </c>
      <c r="AD2" s="113" t="s">
        <v>18</v>
      </c>
      <c r="AE2" s="113" t="s">
        <v>19</v>
      </c>
      <c r="AF2" s="57" t="s">
        <v>15</v>
      </c>
      <c r="AG2" s="113" t="s">
        <v>16</v>
      </c>
      <c r="AH2" s="113" t="s">
        <v>17</v>
      </c>
      <c r="AI2" s="113" t="s">
        <v>66</v>
      </c>
      <c r="AJ2" s="113" t="s">
        <v>10</v>
      </c>
      <c r="AK2" s="113" t="s">
        <v>18</v>
      </c>
      <c r="AL2" s="113" t="s">
        <v>19</v>
      </c>
      <c r="AM2" s="113" t="s">
        <v>15</v>
      </c>
    </row>
    <row r="3" spans="1:39" x14ac:dyDescent="0.2">
      <c r="A3" s="113" t="s">
        <v>912</v>
      </c>
      <c r="B3" s="113">
        <v>3</v>
      </c>
      <c r="C3" s="113" t="s">
        <v>913</v>
      </c>
      <c r="E3" s="95">
        <v>5.18</v>
      </c>
      <c r="F3" s="95">
        <v>14.04</v>
      </c>
      <c r="G3" s="183">
        <v>205.63</v>
      </c>
      <c r="H3" s="95">
        <v>6.49</v>
      </c>
      <c r="I3" s="184">
        <v>4.42</v>
      </c>
      <c r="J3" s="95">
        <v>10.44</v>
      </c>
      <c r="K3" s="182">
        <v>20.12</v>
      </c>
      <c r="L3" s="181">
        <v>78.8</v>
      </c>
      <c r="M3" s="181">
        <v>967.2</v>
      </c>
      <c r="N3" s="181">
        <v>3400.54</v>
      </c>
      <c r="O3" s="181">
        <v>765.63</v>
      </c>
      <c r="P3" s="181">
        <v>967.12</v>
      </c>
      <c r="Q3" s="181">
        <v>51.75</v>
      </c>
      <c r="R3" s="182">
        <v>16454.14</v>
      </c>
      <c r="S3" s="113">
        <v>6.5736040609137101</v>
      </c>
      <c r="T3" s="113">
        <v>1.4516129032258063</v>
      </c>
      <c r="U3" s="113">
        <v>6.0469807736418328</v>
      </c>
      <c r="V3" s="113">
        <v>0.84766793359716841</v>
      </c>
      <c r="W3" s="113">
        <v>0.45702704938373723</v>
      </c>
      <c r="X3" s="113">
        <v>20.173913043478258</v>
      </c>
      <c r="Y3" s="57">
        <v>0.12227925616288668</v>
      </c>
      <c r="Z3" s="113">
        <v>10.336294416243653</v>
      </c>
      <c r="AA3" s="113">
        <v>2.2518610421836227</v>
      </c>
      <c r="AB3" s="113">
        <v>10.394672610820635</v>
      </c>
      <c r="AC3" s="113">
        <v>1.291420137664407</v>
      </c>
      <c r="AD3" s="113">
        <v>0.45702704938373723</v>
      </c>
      <c r="AE3" s="113">
        <v>15.705314009661835</v>
      </c>
      <c r="AF3" s="57">
        <v>0.30168699184521341</v>
      </c>
      <c r="AG3" s="113">
        <v>-3.7626903553299478</v>
      </c>
      <c r="AH3" s="113">
        <v>-0.80024813895781644</v>
      </c>
      <c r="AI3" s="113">
        <v>-4.347691837178802</v>
      </c>
      <c r="AJ3" s="113">
        <v>-0.44375220406723859</v>
      </c>
      <c r="AK3" s="113">
        <v>0</v>
      </c>
      <c r="AL3" s="113">
        <v>4.4685990338164228</v>
      </c>
      <c r="AM3" s="113">
        <v>-0.17940773568232674</v>
      </c>
    </row>
    <row r="4" spans="1:39" x14ac:dyDescent="0.2">
      <c r="A4" s="113" t="s">
        <v>914</v>
      </c>
      <c r="B4" s="113">
        <v>5</v>
      </c>
      <c r="C4" s="113" t="s">
        <v>913</v>
      </c>
      <c r="E4" s="95">
        <v>6.56</v>
      </c>
      <c r="F4" s="95">
        <v>18.87</v>
      </c>
      <c r="G4" s="183">
        <v>461.57</v>
      </c>
      <c r="H4" s="95">
        <v>8.51</v>
      </c>
      <c r="I4" s="184">
        <v>4.42</v>
      </c>
      <c r="J4" s="95">
        <v>14.34</v>
      </c>
      <c r="K4" s="182">
        <v>57.44</v>
      </c>
      <c r="S4" s="113">
        <v>8.3248730964466997</v>
      </c>
      <c r="T4" s="113">
        <v>1.9509925558312653</v>
      </c>
      <c r="U4" s="113">
        <v>13.573432454845408</v>
      </c>
      <c r="V4" s="113">
        <v>1.1115029452868881</v>
      </c>
      <c r="W4" s="113">
        <v>0.45702704938373723</v>
      </c>
      <c r="X4" s="113">
        <v>27.710144927536234</v>
      </c>
      <c r="Y4" s="57">
        <v>0.34909147485070624</v>
      </c>
      <c r="AG4" s="113">
        <v>-2.0114213197969537</v>
      </c>
      <c r="AH4" s="113">
        <v>-0.30086848635235741</v>
      </c>
      <c r="AI4" s="113">
        <v>3.1787598440247731</v>
      </c>
      <c r="AJ4" s="113">
        <v>-0.17991719237751891</v>
      </c>
      <c r="AK4" s="113">
        <v>0</v>
      </c>
      <c r="AL4" s="113">
        <v>12.004830917874399</v>
      </c>
      <c r="AM4" s="113">
        <v>4.7404483005492826E-2</v>
      </c>
    </row>
    <row r="5" spans="1:39" x14ac:dyDescent="0.2">
      <c r="A5" s="113" t="s">
        <v>915</v>
      </c>
      <c r="B5" s="113">
        <v>5</v>
      </c>
      <c r="C5" s="113" t="s">
        <v>498</v>
      </c>
      <c r="E5" s="95">
        <v>12.74</v>
      </c>
      <c r="F5" s="95">
        <v>27.59</v>
      </c>
      <c r="G5" s="183">
        <v>464.77</v>
      </c>
      <c r="H5" s="95">
        <v>17.149999999999999</v>
      </c>
      <c r="I5" s="184">
        <v>4.42</v>
      </c>
      <c r="J5" s="185">
        <v>1.07</v>
      </c>
      <c r="K5" s="182">
        <v>61.16</v>
      </c>
      <c r="S5" s="113">
        <v>16.167512690355331</v>
      </c>
      <c r="T5" s="113">
        <v>2.8525641025641026</v>
      </c>
      <c r="U5" s="113">
        <v>13.667535156181076</v>
      </c>
      <c r="V5" s="113">
        <v>2.2399853715241043</v>
      </c>
      <c r="W5" s="113">
        <v>0.45702704938373723</v>
      </c>
      <c r="X5" s="113">
        <v>2.0676328502415462</v>
      </c>
      <c r="Y5" s="57">
        <v>0.3716997667456336</v>
      </c>
      <c r="AG5" s="113">
        <v>5.8312182741116771</v>
      </c>
      <c r="AH5" s="113">
        <v>0.60070306038047994</v>
      </c>
      <c r="AI5" s="113">
        <v>3.2728625453604412</v>
      </c>
      <c r="AJ5" s="113">
        <v>0.94856523385969727</v>
      </c>
      <c r="AK5" s="113">
        <v>0</v>
      </c>
      <c r="AL5" s="113">
        <v>-13.637681159420289</v>
      </c>
      <c r="AM5" s="113">
        <v>7.0012774900420183E-2</v>
      </c>
    </row>
    <row r="6" spans="1:39" x14ac:dyDescent="0.2">
      <c r="A6" s="113" t="s">
        <v>916</v>
      </c>
      <c r="B6" s="113">
        <v>5</v>
      </c>
      <c r="C6" s="113" t="s">
        <v>913</v>
      </c>
      <c r="E6" s="95">
        <v>8.1</v>
      </c>
      <c r="F6" s="95">
        <v>26.62</v>
      </c>
      <c r="G6" s="183">
        <v>281.93</v>
      </c>
      <c r="H6" s="95">
        <v>7.4</v>
      </c>
      <c r="I6" s="184">
        <v>4.42</v>
      </c>
      <c r="J6" s="95">
        <v>6.66</v>
      </c>
      <c r="K6" s="182">
        <v>59.84</v>
      </c>
      <c r="S6" s="113">
        <v>10.279187817258883</v>
      </c>
      <c r="T6" s="113">
        <v>2.7522746071133164</v>
      </c>
      <c r="U6" s="113">
        <v>8.2907420586142209</v>
      </c>
      <c r="V6" s="113">
        <v>0.96652430024946789</v>
      </c>
      <c r="W6" s="113">
        <v>0.45702704938373723</v>
      </c>
      <c r="X6" s="113">
        <v>12.869565217391305</v>
      </c>
      <c r="Y6" s="57">
        <v>0.36367746962162717</v>
      </c>
      <c r="AG6" s="113">
        <v>-5.7106598984770329E-2</v>
      </c>
      <c r="AH6" s="113">
        <v>0.50041356492969369</v>
      </c>
      <c r="AI6" s="113">
        <v>-2.103930552206414</v>
      </c>
      <c r="AJ6" s="113">
        <v>-0.3248958374149391</v>
      </c>
      <c r="AK6" s="113">
        <v>0</v>
      </c>
      <c r="AL6" s="113">
        <v>-2.8357487922705307</v>
      </c>
      <c r="AM6" s="113">
        <v>6.1990477776413755E-2</v>
      </c>
    </row>
    <row r="7" spans="1:39" x14ac:dyDescent="0.2">
      <c r="A7" s="113" t="s">
        <v>917</v>
      </c>
      <c r="B7" s="113">
        <v>2</v>
      </c>
      <c r="C7" s="113" t="s">
        <v>8</v>
      </c>
      <c r="E7" s="186">
        <v>7.78</v>
      </c>
      <c r="F7" s="186">
        <v>74.75</v>
      </c>
      <c r="G7" s="187">
        <v>1713.9</v>
      </c>
      <c r="H7" s="186">
        <v>24.12</v>
      </c>
      <c r="I7" s="184">
        <v>4.42</v>
      </c>
      <c r="J7" s="186">
        <v>6.55</v>
      </c>
      <c r="K7" s="189">
        <v>145.94</v>
      </c>
      <c r="S7" s="113">
        <v>9.873096446700508</v>
      </c>
      <c r="T7" s="113">
        <v>7.728494623655914</v>
      </c>
      <c r="U7" s="113">
        <v>50.400818693501627</v>
      </c>
      <c r="V7" s="113">
        <v>3.1503467732455626</v>
      </c>
      <c r="W7" s="113">
        <v>0.45702704938373723</v>
      </c>
      <c r="X7" s="113">
        <v>12.657004830917874</v>
      </c>
      <c r="Y7" s="57">
        <v>0.88695003202841349</v>
      </c>
      <c r="AG7" s="113">
        <v>-0.4631979695431454</v>
      </c>
      <c r="AH7" s="113">
        <v>5.4766335814722913</v>
      </c>
      <c r="AI7" s="113">
        <v>40.006146082680992</v>
      </c>
      <c r="AJ7" s="113">
        <v>1.8589266355811556</v>
      </c>
      <c r="AK7" s="113">
        <v>0</v>
      </c>
      <c r="AL7" s="113">
        <v>-3.0483091787439616</v>
      </c>
      <c r="AM7" s="113">
        <v>0.58526304018320008</v>
      </c>
    </row>
    <row r="8" spans="1:39" x14ac:dyDescent="0.2">
      <c r="A8" s="113" t="s">
        <v>918</v>
      </c>
      <c r="B8" s="113">
        <v>1</v>
      </c>
      <c r="C8" s="113" t="s">
        <v>8</v>
      </c>
      <c r="E8" s="186">
        <v>13.42</v>
      </c>
      <c r="F8" s="186">
        <v>44.27</v>
      </c>
      <c r="G8" s="187">
        <v>1169.3599999999999</v>
      </c>
      <c r="H8" s="186">
        <v>34.380000000000003</v>
      </c>
      <c r="I8" s="184">
        <v>4.42</v>
      </c>
      <c r="J8" s="185">
        <v>1.07</v>
      </c>
      <c r="K8" s="189">
        <v>354.22</v>
      </c>
      <c r="S8" s="113">
        <v>17.030456852791879</v>
      </c>
      <c r="T8" s="113">
        <v>4.5771298593879237</v>
      </c>
      <c r="U8" s="113">
        <v>34.38747963558729</v>
      </c>
      <c r="V8" s="113">
        <v>4.490419654402257</v>
      </c>
      <c r="W8" s="113">
        <v>0.45702704938373723</v>
      </c>
      <c r="X8" s="113">
        <v>2.0676328502415462</v>
      </c>
      <c r="Y8" s="57">
        <v>2.1527712782314969</v>
      </c>
      <c r="AG8" s="113">
        <v>6.6941624365482255</v>
      </c>
      <c r="AH8" s="113">
        <v>2.325268817204301</v>
      </c>
      <c r="AI8" s="113">
        <v>23.992807024766655</v>
      </c>
      <c r="AJ8" s="113">
        <v>3.19899951673785</v>
      </c>
      <c r="AK8" s="113">
        <v>0</v>
      </c>
      <c r="AL8" s="113">
        <v>-13.637681159420289</v>
      </c>
      <c r="AM8" s="113">
        <v>1.8510842863862835</v>
      </c>
    </row>
    <row r="9" spans="1:39" x14ac:dyDescent="0.2">
      <c r="A9" s="113" t="s">
        <v>919</v>
      </c>
      <c r="B9" s="113">
        <v>1</v>
      </c>
      <c r="C9" s="113" t="s">
        <v>8</v>
      </c>
      <c r="E9" s="186">
        <v>11.66</v>
      </c>
      <c r="F9" s="186">
        <v>33.590000000000003</v>
      </c>
      <c r="G9" s="187">
        <v>487.81</v>
      </c>
      <c r="H9" s="186">
        <v>113.49</v>
      </c>
      <c r="I9" s="184">
        <v>4.42</v>
      </c>
      <c r="J9" s="185">
        <v>1.07</v>
      </c>
      <c r="K9" s="189">
        <v>418.55</v>
      </c>
      <c r="S9" s="113">
        <v>14.796954314720811</v>
      </c>
      <c r="T9" s="113">
        <v>3.4729114971050454</v>
      </c>
      <c r="U9" s="113">
        <v>14.345074605797903</v>
      </c>
      <c r="V9" s="113">
        <v>14.82308686963677</v>
      </c>
      <c r="W9" s="113">
        <v>0.45702704938373723</v>
      </c>
      <c r="X9" s="113">
        <v>2.0676328502415462</v>
      </c>
      <c r="Y9" s="57">
        <v>2.5437367130703885</v>
      </c>
      <c r="AG9" s="113">
        <v>4.4606598984771573</v>
      </c>
      <c r="AH9" s="113">
        <v>1.2210504549214227</v>
      </c>
      <c r="AI9" s="113">
        <v>3.950401994977268</v>
      </c>
      <c r="AJ9" s="113">
        <v>13.531666731972363</v>
      </c>
      <c r="AK9" s="113">
        <v>0</v>
      </c>
      <c r="AL9" s="113">
        <v>-13.637681159420289</v>
      </c>
      <c r="AM9" s="113">
        <v>2.2420497212251753</v>
      </c>
    </row>
    <row r="10" spans="1:39" x14ac:dyDescent="0.2">
      <c r="A10" s="113" t="s">
        <v>919</v>
      </c>
      <c r="B10" s="113">
        <v>3</v>
      </c>
      <c r="C10" s="113" t="s">
        <v>8</v>
      </c>
      <c r="E10" s="186">
        <v>10.1</v>
      </c>
      <c r="F10" s="186">
        <v>57.01</v>
      </c>
      <c r="G10" s="187">
        <v>499.73</v>
      </c>
      <c r="H10" s="186">
        <v>34.57</v>
      </c>
      <c r="I10" s="186">
        <v>8.39</v>
      </c>
      <c r="J10" s="186">
        <v>17.559999999999999</v>
      </c>
      <c r="K10" s="189">
        <v>84.1</v>
      </c>
      <c r="S10" s="113">
        <v>12.81725888324873</v>
      </c>
      <c r="T10" s="113">
        <v>5.8943341604631927</v>
      </c>
      <c r="U10" s="113">
        <v>14.695607168273275</v>
      </c>
      <c r="V10" s="113">
        <v>4.5152358188681223</v>
      </c>
      <c r="W10" s="113">
        <v>0.86752419554967319</v>
      </c>
      <c r="X10" s="113">
        <v>33.932367149758456</v>
      </c>
      <c r="Y10" s="57">
        <v>0.51111756676435227</v>
      </c>
      <c r="AG10" s="113">
        <v>2.4809644670050766</v>
      </c>
      <c r="AH10" s="113">
        <v>3.64247311827957</v>
      </c>
      <c r="AI10" s="113">
        <v>4.3009345574526403</v>
      </c>
      <c r="AJ10" s="113">
        <v>3.2238156812037153</v>
      </c>
      <c r="AK10" s="113">
        <v>0.41049714616593597</v>
      </c>
      <c r="AL10" s="113">
        <v>18.227053140096622</v>
      </c>
      <c r="AM10" s="113">
        <v>0.20943057491913886</v>
      </c>
    </row>
    <row r="11" spans="1:39" x14ac:dyDescent="0.2">
      <c r="A11" s="113" t="s">
        <v>916</v>
      </c>
      <c r="B11" s="113">
        <v>1</v>
      </c>
      <c r="C11" s="113" t="s">
        <v>8</v>
      </c>
      <c r="E11" s="186">
        <v>9.06</v>
      </c>
      <c r="F11" s="186">
        <v>91.27</v>
      </c>
      <c r="G11" s="187">
        <v>390.23</v>
      </c>
      <c r="H11" s="186">
        <v>27.76</v>
      </c>
      <c r="I11" s="184">
        <v>4.42</v>
      </c>
      <c r="J11" s="186">
        <v>3.76</v>
      </c>
      <c r="K11" s="189">
        <v>84.94</v>
      </c>
      <c r="S11" s="113">
        <v>11.49746192893401</v>
      </c>
      <c r="T11" s="113">
        <v>9.4365177832919755</v>
      </c>
      <c r="U11" s="113">
        <v>11.47553035694331</v>
      </c>
      <c r="V11" s="113">
        <v>3.6257722398547605</v>
      </c>
      <c r="W11" s="113">
        <v>0.45702704938373723</v>
      </c>
      <c r="X11" s="113">
        <v>7.2657004830917877</v>
      </c>
      <c r="Y11" s="57">
        <v>0.51622266493417457</v>
      </c>
      <c r="AG11" s="113">
        <v>1.1611675126903567</v>
      </c>
      <c r="AH11" s="113">
        <v>7.1846567411083528</v>
      </c>
      <c r="AI11" s="113">
        <v>1.0808577461226747</v>
      </c>
      <c r="AJ11" s="113">
        <v>2.3343521021903535</v>
      </c>
      <c r="AK11" s="113">
        <v>0</v>
      </c>
      <c r="AL11" s="113">
        <v>-8.4396135265700476</v>
      </c>
      <c r="AM11" s="113">
        <v>0.21453567308896115</v>
      </c>
    </row>
    <row r="12" spans="1:39" x14ac:dyDescent="0.2">
      <c r="A12" s="113" t="s">
        <v>917</v>
      </c>
      <c r="B12" s="113">
        <v>3</v>
      </c>
      <c r="C12" s="113" t="s">
        <v>105</v>
      </c>
      <c r="E12" s="95">
        <v>32.56</v>
      </c>
      <c r="F12" s="95">
        <v>493.76</v>
      </c>
      <c r="G12" s="183">
        <v>2207.7199999999998</v>
      </c>
      <c r="H12" s="95">
        <v>142.88</v>
      </c>
      <c r="I12" s="95">
        <v>6.59</v>
      </c>
      <c r="J12" s="95">
        <v>2.0499999999999998</v>
      </c>
      <c r="K12" s="182">
        <v>1466.13</v>
      </c>
      <c r="S12" s="113">
        <v>41.319796954314725</v>
      </c>
      <c r="T12" s="113">
        <v>51.050454921422663</v>
      </c>
      <c r="U12" s="113">
        <v>64.922629935245567</v>
      </c>
      <c r="V12" s="113">
        <v>18.661755678330262</v>
      </c>
      <c r="W12" s="113">
        <v>0.68140458267846804</v>
      </c>
      <c r="X12" s="113">
        <v>3.9613526570048303</v>
      </c>
      <c r="Y12" s="57">
        <v>8.9104018806209275</v>
      </c>
      <c r="AG12" s="113">
        <v>30.983502538071072</v>
      </c>
      <c r="AH12" s="113">
        <v>48.798593879239043</v>
      </c>
      <c r="AI12" s="113">
        <v>54.527957324424932</v>
      </c>
      <c r="AJ12" s="113">
        <v>17.370335540665856</v>
      </c>
      <c r="AK12" s="113">
        <v>0.22437753329473081</v>
      </c>
      <c r="AL12" s="113">
        <v>-11.743961352657005</v>
      </c>
      <c r="AM12" s="113">
        <v>8.6087148887757134</v>
      </c>
    </row>
    <row r="13" spans="1:39" x14ac:dyDescent="0.2">
      <c r="A13" s="113" t="s">
        <v>918</v>
      </c>
      <c r="B13" s="113">
        <v>2</v>
      </c>
      <c r="C13" s="113" t="s">
        <v>105</v>
      </c>
      <c r="E13" s="95">
        <v>19.940000000000001</v>
      </c>
      <c r="F13" s="95">
        <v>306.49</v>
      </c>
      <c r="G13" s="183">
        <v>2099.8200000000002</v>
      </c>
      <c r="H13" s="95">
        <v>118.13</v>
      </c>
      <c r="I13" s="95">
        <v>486.82</v>
      </c>
      <c r="J13" s="95">
        <v>19.53</v>
      </c>
      <c r="K13" s="182">
        <v>1056.28</v>
      </c>
      <c r="S13" s="113">
        <v>25.304568527918786</v>
      </c>
      <c r="T13" s="113">
        <v>31.688378825475599</v>
      </c>
      <c r="U13" s="113">
        <v>61.74960447458345</v>
      </c>
      <c r="V13" s="113">
        <v>15.42912372817157</v>
      </c>
      <c r="W13" s="113">
        <v>50.337083298866737</v>
      </c>
      <c r="X13" s="113">
        <v>37.739130434782609</v>
      </c>
      <c r="Y13" s="57">
        <v>6.4195393985951252</v>
      </c>
      <c r="AG13" s="113">
        <v>14.968274111675132</v>
      </c>
      <c r="AH13" s="113">
        <v>29.436517783291976</v>
      </c>
      <c r="AI13" s="113">
        <v>51.354931863762815</v>
      </c>
      <c r="AJ13" s="113">
        <v>14.137703590507163</v>
      </c>
      <c r="AK13" s="113">
        <v>49.880056249482998</v>
      </c>
      <c r="AL13" s="113">
        <v>22.033816425120776</v>
      </c>
      <c r="AM13" s="113">
        <v>6.117852406749912</v>
      </c>
    </row>
    <row r="14" spans="1:39" x14ac:dyDescent="0.2">
      <c r="A14" s="113" t="s">
        <v>920</v>
      </c>
      <c r="B14" s="113">
        <v>1</v>
      </c>
      <c r="C14" s="113" t="s">
        <v>105</v>
      </c>
      <c r="E14" s="95">
        <v>33.5</v>
      </c>
      <c r="F14" s="95">
        <v>409.26</v>
      </c>
      <c r="G14" s="188">
        <v>3400.54</v>
      </c>
      <c r="H14" s="95">
        <v>119.28</v>
      </c>
      <c r="I14" s="95">
        <v>967.12</v>
      </c>
      <c r="J14" s="95">
        <v>43.93</v>
      </c>
      <c r="K14" s="182">
        <v>3422.72</v>
      </c>
      <c r="S14" s="113">
        <v>42.512690355329951</v>
      </c>
      <c r="T14" s="113">
        <v>42.313895781637711</v>
      </c>
      <c r="U14" s="113">
        <v>100</v>
      </c>
      <c r="V14" s="113">
        <v>15.579326828886018</v>
      </c>
      <c r="W14" s="113">
        <v>100</v>
      </c>
      <c r="X14" s="113">
        <v>84.888888888888886</v>
      </c>
      <c r="Y14" s="57">
        <v>20.801573342635958</v>
      </c>
      <c r="AG14" s="113">
        <v>32.176395939086298</v>
      </c>
      <c r="AH14" s="113">
        <v>40.062034739454091</v>
      </c>
      <c r="AI14" s="113">
        <v>89.605327389179365</v>
      </c>
      <c r="AJ14" s="113">
        <v>14.287906691221611</v>
      </c>
      <c r="AK14" s="113">
        <v>99.54297295061626</v>
      </c>
      <c r="AL14" s="113">
        <v>69.183574879227052</v>
      </c>
      <c r="AM14" s="113">
        <v>20.499886350790746</v>
      </c>
    </row>
    <row r="15" spans="1:39" x14ac:dyDescent="0.2">
      <c r="A15" s="113" t="s">
        <v>920</v>
      </c>
      <c r="B15" s="113">
        <v>2</v>
      </c>
      <c r="C15" s="113" t="s">
        <v>105</v>
      </c>
      <c r="E15" s="95">
        <v>58.1</v>
      </c>
      <c r="F15" s="95">
        <v>452.55</v>
      </c>
      <c r="G15" s="188">
        <v>3400.54</v>
      </c>
      <c r="H15" s="95">
        <v>139.88</v>
      </c>
      <c r="I15" s="95">
        <v>32.409999999999997</v>
      </c>
      <c r="J15" s="95">
        <v>33.590000000000003</v>
      </c>
      <c r="K15" s="190">
        <v>16454.14</v>
      </c>
      <c r="S15" s="113">
        <v>73.73096446700508</v>
      </c>
      <c r="T15" s="113">
        <v>46.789702233250615</v>
      </c>
      <c r="U15" s="113">
        <v>100</v>
      </c>
      <c r="V15" s="113">
        <v>18.269921502553451</v>
      </c>
      <c r="W15" s="113">
        <v>3.3511870295309785</v>
      </c>
      <c r="X15" s="113">
        <v>64.908212560386474</v>
      </c>
      <c r="Y15" s="57">
        <v>100</v>
      </c>
      <c r="AG15" s="113">
        <v>63.394670050761427</v>
      </c>
      <c r="AH15" s="113">
        <v>44.537841191066995</v>
      </c>
      <c r="AI15" s="113">
        <v>89.605327389179365</v>
      </c>
      <c r="AJ15" s="113">
        <v>16.978501364889045</v>
      </c>
      <c r="AK15" s="113">
        <v>2.8941599801472413</v>
      </c>
      <c r="AL15" s="113">
        <v>49.20289855072464</v>
      </c>
      <c r="AM15" s="113">
        <v>99.698313008154784</v>
      </c>
    </row>
    <row r="16" spans="1:39" x14ac:dyDescent="0.2">
      <c r="A16" s="113" t="s">
        <v>912</v>
      </c>
      <c r="B16" s="113">
        <v>4</v>
      </c>
      <c r="C16" s="113" t="s">
        <v>921</v>
      </c>
      <c r="E16" s="95">
        <v>42.67</v>
      </c>
      <c r="F16" s="95">
        <v>967.2</v>
      </c>
      <c r="G16" s="183">
        <v>2494.64</v>
      </c>
      <c r="H16" s="95">
        <v>507.93</v>
      </c>
      <c r="I16" s="95">
        <v>789.2</v>
      </c>
      <c r="J16" s="95">
        <v>51.75</v>
      </c>
      <c r="K16" s="190">
        <v>16454.14</v>
      </c>
      <c r="S16" s="113">
        <v>54.149746192893403</v>
      </c>
      <c r="T16" s="113">
        <v>100</v>
      </c>
      <c r="U16" s="113">
        <v>73.360113393755114</v>
      </c>
      <c r="V16" s="113">
        <v>66.341444300771911</v>
      </c>
      <c r="W16" s="113">
        <v>81.60311026553066</v>
      </c>
      <c r="X16" s="113">
        <v>100</v>
      </c>
      <c r="Y16" s="57">
        <v>100</v>
      </c>
      <c r="AG16" s="113">
        <v>43.81345177664975</v>
      </c>
      <c r="AH16" s="113">
        <v>97.74813895781638</v>
      </c>
      <c r="AI16" s="113">
        <v>62.965440782934479</v>
      </c>
      <c r="AJ16" s="113">
        <v>65.050024163107508</v>
      </c>
      <c r="AK16" s="113">
        <v>81.14608321614692</v>
      </c>
      <c r="AL16" s="113">
        <v>84.294685990338166</v>
      </c>
      <c r="AM16" s="113">
        <v>99.698313008154784</v>
      </c>
    </row>
    <row r="17" spans="1:39" x14ac:dyDescent="0.2">
      <c r="A17" s="113" t="s">
        <v>912</v>
      </c>
      <c r="B17" s="113">
        <v>5</v>
      </c>
      <c r="C17" s="113" t="s">
        <v>9</v>
      </c>
      <c r="E17" s="186">
        <v>42.35</v>
      </c>
      <c r="F17" s="186">
        <v>513.85</v>
      </c>
      <c r="G17" s="187">
        <v>2757.84</v>
      </c>
      <c r="H17" s="186">
        <v>293.54000000000002</v>
      </c>
      <c r="I17" s="184">
        <v>4.42</v>
      </c>
      <c r="J17" s="186">
        <v>7.21</v>
      </c>
      <c r="K17" s="189">
        <v>6816.55</v>
      </c>
      <c r="S17" s="113">
        <v>53.743654822335031</v>
      </c>
      <c r="T17" s="113">
        <v>53.127584780810587</v>
      </c>
      <c r="U17" s="113">
        <v>81.100060578613991</v>
      </c>
      <c r="V17" s="113">
        <v>38.339667985841729</v>
      </c>
      <c r="W17" s="113">
        <v>0.45702704938373723</v>
      </c>
      <c r="X17" s="113">
        <v>13.932367149758454</v>
      </c>
      <c r="Y17" s="57">
        <v>41.427567773216957</v>
      </c>
      <c r="AG17" s="113">
        <v>43.407360406091378</v>
      </c>
      <c r="AH17" s="113">
        <v>50.875723738626967</v>
      </c>
      <c r="AI17" s="113">
        <v>70.705387967793357</v>
      </c>
      <c r="AJ17" s="113">
        <v>37.048247848177319</v>
      </c>
      <c r="AK17" s="113">
        <v>0</v>
      </c>
      <c r="AL17" s="113">
        <v>-1.7729468599033815</v>
      </c>
      <c r="AM17" s="113">
        <v>41.125880781371741</v>
      </c>
    </row>
    <row r="18" spans="1:39" x14ac:dyDescent="0.2">
      <c r="A18" s="113" t="s">
        <v>914</v>
      </c>
      <c r="B18" s="113">
        <v>1</v>
      </c>
      <c r="C18" s="113" t="s">
        <v>9</v>
      </c>
      <c r="E18" s="186">
        <v>48.92</v>
      </c>
      <c r="F18" s="186">
        <v>560.52</v>
      </c>
      <c r="G18" s="187">
        <v>2202.79</v>
      </c>
      <c r="H18" s="186">
        <v>190.38</v>
      </c>
      <c r="I18" s="186">
        <v>4.5599999999999996</v>
      </c>
      <c r="J18" s="186">
        <v>8.99</v>
      </c>
      <c r="K18" s="190">
        <v>16454.14</v>
      </c>
      <c r="S18" s="113">
        <v>62.081218274111684</v>
      </c>
      <c r="T18" s="113">
        <v>57.952853598014883</v>
      </c>
      <c r="U18" s="113">
        <v>64.777652961000314</v>
      </c>
      <c r="V18" s="113">
        <v>24.865796794796442</v>
      </c>
      <c r="W18" s="113">
        <v>0.4715030192737199</v>
      </c>
      <c r="X18" s="113">
        <v>17.371980676328501</v>
      </c>
      <c r="Y18" s="57">
        <v>100</v>
      </c>
      <c r="AG18" s="113">
        <v>51.744923857868031</v>
      </c>
      <c r="AH18" s="113">
        <v>55.700992555831263</v>
      </c>
      <c r="AI18" s="113">
        <v>54.382980350179679</v>
      </c>
      <c r="AJ18" s="113">
        <v>23.574376657132035</v>
      </c>
      <c r="AK18" s="113">
        <v>1.4475969889982676E-2</v>
      </c>
      <c r="AL18" s="113">
        <v>1.6666666666666661</v>
      </c>
      <c r="AM18" s="113">
        <v>99.698313008154784</v>
      </c>
    </row>
    <row r="19" spans="1:39" x14ac:dyDescent="0.2">
      <c r="A19" s="113" t="s">
        <v>914</v>
      </c>
      <c r="B19" s="113">
        <v>2</v>
      </c>
      <c r="C19" s="113" t="s">
        <v>9</v>
      </c>
      <c r="E19" s="186">
        <v>49.97</v>
      </c>
      <c r="F19" s="186">
        <v>254.14</v>
      </c>
      <c r="G19" s="187">
        <v>1597.85</v>
      </c>
      <c r="H19" s="186">
        <v>99.71</v>
      </c>
      <c r="I19" s="184">
        <v>4.42</v>
      </c>
      <c r="J19" s="186">
        <v>3.14</v>
      </c>
      <c r="K19" s="189">
        <v>639.98</v>
      </c>
      <c r="S19" s="113">
        <v>63.413705583756339</v>
      </c>
      <c r="T19" s="113">
        <v>26.275847808105869</v>
      </c>
      <c r="U19" s="113">
        <v>46.988125415375201</v>
      </c>
      <c r="V19" s="113">
        <v>13.023261888901949</v>
      </c>
      <c r="W19" s="113">
        <v>0.45702704938373723</v>
      </c>
      <c r="X19" s="113">
        <v>6.0676328502415462</v>
      </c>
      <c r="Y19" s="57">
        <v>3.8894770556224758</v>
      </c>
      <c r="AG19" s="113">
        <v>53.077411167512686</v>
      </c>
      <c r="AH19" s="113">
        <v>24.023986765922245</v>
      </c>
      <c r="AI19" s="113">
        <v>36.593452804554566</v>
      </c>
      <c r="AJ19" s="113">
        <v>11.731841751237543</v>
      </c>
      <c r="AK19" s="113">
        <v>0</v>
      </c>
      <c r="AL19" s="113">
        <v>-9.6376811594202891</v>
      </c>
      <c r="AM19" s="113">
        <v>3.5877900637772626</v>
      </c>
    </row>
    <row r="20" spans="1:39" x14ac:dyDescent="0.2">
      <c r="A20" s="113" t="s">
        <v>914</v>
      </c>
      <c r="B20" s="113">
        <v>4</v>
      </c>
      <c r="C20" s="113" t="s">
        <v>22</v>
      </c>
      <c r="E20" s="186">
        <v>68.5</v>
      </c>
      <c r="F20" s="186">
        <v>964.52</v>
      </c>
      <c r="G20" s="187">
        <v>2199.14</v>
      </c>
      <c r="H20" s="186">
        <v>765.63</v>
      </c>
      <c r="I20" s="186">
        <v>18.61</v>
      </c>
      <c r="J20" s="186">
        <v>12.9</v>
      </c>
      <c r="K20" s="190">
        <v>16454.14</v>
      </c>
      <c r="S20" s="113">
        <v>86.92893401015229</v>
      </c>
      <c r="T20" s="113">
        <v>99.722911497105031</v>
      </c>
      <c r="U20" s="113">
        <v>64.670317067289304</v>
      </c>
      <c r="V20" s="113">
        <v>100</v>
      </c>
      <c r="W20" s="113">
        <v>1.924269997518405</v>
      </c>
      <c r="X20" s="113">
        <v>24.927536231884059</v>
      </c>
      <c r="Y20" s="57">
        <v>100</v>
      </c>
      <c r="AG20" s="113">
        <v>76.592639593908643</v>
      </c>
      <c r="AH20" s="113">
        <v>97.471050454921411</v>
      </c>
      <c r="AI20" s="113">
        <v>54.275644456468669</v>
      </c>
      <c r="AJ20" s="113">
        <v>98.708579862335597</v>
      </c>
      <c r="AK20" s="113">
        <v>1.4672429481346678</v>
      </c>
      <c r="AL20" s="113">
        <v>9.2222222222222232</v>
      </c>
      <c r="AM20" s="113">
        <v>99.698313008154784</v>
      </c>
    </row>
    <row r="21" spans="1:39" x14ac:dyDescent="0.2">
      <c r="A21" s="113" t="s">
        <v>915</v>
      </c>
      <c r="B21" s="113">
        <v>3</v>
      </c>
      <c r="C21" s="113" t="s">
        <v>22</v>
      </c>
      <c r="E21" s="186">
        <v>78.8</v>
      </c>
      <c r="F21" s="186">
        <v>737.08</v>
      </c>
      <c r="G21" s="188">
        <v>3400.54</v>
      </c>
      <c r="H21" s="186">
        <v>527.99</v>
      </c>
      <c r="I21" s="184">
        <v>4.42</v>
      </c>
      <c r="J21" s="186">
        <v>4.71</v>
      </c>
      <c r="K21" s="190">
        <v>16454.14</v>
      </c>
      <c r="S21" s="113">
        <v>100</v>
      </c>
      <c r="T21" s="113">
        <v>76.207609594706369</v>
      </c>
      <c r="U21" s="113">
        <v>100</v>
      </c>
      <c r="V21" s="113">
        <v>68.961508822799516</v>
      </c>
      <c r="W21" s="113">
        <v>0.45702704938373723</v>
      </c>
      <c r="X21" s="113">
        <v>9.1014492753623202</v>
      </c>
      <c r="Y21" s="57">
        <v>100</v>
      </c>
      <c r="AG21" s="113">
        <v>89.663705583756354</v>
      </c>
      <c r="AH21" s="113">
        <v>73.955748552522749</v>
      </c>
      <c r="AI21" s="113">
        <v>89.605327389179365</v>
      </c>
      <c r="AJ21" s="113">
        <v>67.670088685135113</v>
      </c>
      <c r="AK21" s="113">
        <v>0</v>
      </c>
      <c r="AL21" s="113">
        <v>-6.6038647342995151</v>
      </c>
      <c r="AM21" s="113">
        <v>99.698313008154784</v>
      </c>
    </row>
    <row r="24" spans="1:39" x14ac:dyDescent="0.2">
      <c r="D24" s="118" t="s">
        <v>908</v>
      </c>
    </row>
    <row r="25" spans="1:39" x14ac:dyDescent="0.2">
      <c r="D25" s="82" t="s">
        <v>909</v>
      </c>
    </row>
    <row r="26" spans="1:39" x14ac:dyDescent="0.2">
      <c r="A26" s="113" t="s">
        <v>1164</v>
      </c>
    </row>
    <row r="27" spans="1:39" x14ac:dyDescent="0.2">
      <c r="A27" s="113" t="s">
        <v>1134</v>
      </c>
      <c r="B27" s="247" t="s">
        <v>1127</v>
      </c>
      <c r="C27" s="113" t="s">
        <v>8</v>
      </c>
      <c r="D27" s="113" t="s">
        <v>1063</v>
      </c>
      <c r="E27" s="113" t="s">
        <v>9</v>
      </c>
    </row>
    <row r="28" spans="1:39" x14ac:dyDescent="0.2">
      <c r="A28" s="113" t="s">
        <v>1162</v>
      </c>
      <c r="B28" s="113" t="s">
        <v>498</v>
      </c>
      <c r="C28" s="113">
        <v>0.99199999999999999</v>
      </c>
      <c r="D28" s="113">
        <v>4.7399999999999998E-2</v>
      </c>
      <c r="E28" s="113">
        <v>0.99970000000000003</v>
      </c>
    </row>
    <row r="29" spans="1:39" x14ac:dyDescent="0.2">
      <c r="B29" s="113" t="s">
        <v>8</v>
      </c>
      <c r="C29" s="260"/>
      <c r="D29" s="113">
        <v>1.9099999999999999E-2</v>
      </c>
      <c r="E29" s="113">
        <v>0.99729999999999996</v>
      </c>
    </row>
    <row r="30" spans="1:39" x14ac:dyDescent="0.2">
      <c r="B30" s="113" t="s">
        <v>1063</v>
      </c>
      <c r="C30" s="113">
        <v>1.9099999999999999E-2</v>
      </c>
      <c r="D30" s="260"/>
      <c r="E30" s="113">
        <v>2.7799999999999998E-2</v>
      </c>
    </row>
    <row r="31" spans="1:39" x14ac:dyDescent="0.2">
      <c r="B31" s="113" t="s">
        <v>9</v>
      </c>
      <c r="C31" s="113">
        <v>0.99729999999999996</v>
      </c>
      <c r="D31" s="113">
        <v>2.7799999999999998E-2</v>
      </c>
      <c r="E31" s="260"/>
    </row>
    <row r="32" spans="1:39" x14ac:dyDescent="0.2">
      <c r="A32" s="113" t="s">
        <v>1163</v>
      </c>
      <c r="B32" s="113" t="s">
        <v>498</v>
      </c>
      <c r="C32" s="113" t="s">
        <v>1133</v>
      </c>
      <c r="D32" s="113">
        <v>3.9699999999999999E-2</v>
      </c>
      <c r="E32" s="113" t="s">
        <v>1133</v>
      </c>
    </row>
    <row r="33" spans="1:5" x14ac:dyDescent="0.2">
      <c r="B33" s="113" t="s">
        <v>8</v>
      </c>
      <c r="C33" s="260"/>
      <c r="D33" s="113">
        <v>2.8299999999999999E-2</v>
      </c>
      <c r="E33" s="113" t="s">
        <v>1133</v>
      </c>
    </row>
    <row r="34" spans="1:5" x14ac:dyDescent="0.2">
      <c r="B34" s="113" t="s">
        <v>1063</v>
      </c>
      <c r="C34" s="113">
        <v>2.8299999999999999E-2</v>
      </c>
      <c r="D34" s="260"/>
      <c r="E34" s="113">
        <v>0.29099999999999998</v>
      </c>
    </row>
    <row r="35" spans="1:5" x14ac:dyDescent="0.2">
      <c r="B35" s="113" t="s">
        <v>9</v>
      </c>
      <c r="C35" s="113" t="s">
        <v>1133</v>
      </c>
      <c r="D35" s="113">
        <v>2.9100000000000001E-2</v>
      </c>
      <c r="E35" s="260"/>
    </row>
    <row r="36" spans="1:5" x14ac:dyDescent="0.2">
      <c r="A36" s="113" t="s">
        <v>66</v>
      </c>
      <c r="B36" s="113" t="s">
        <v>498</v>
      </c>
      <c r="C36" s="113">
        <v>0.57120000000000004</v>
      </c>
      <c r="D36" s="113" t="s">
        <v>1131</v>
      </c>
      <c r="E36" s="113">
        <v>2.9999999999999997E-4</v>
      </c>
    </row>
    <row r="37" spans="1:5" x14ac:dyDescent="0.2">
      <c r="B37" s="113" t="s">
        <v>8</v>
      </c>
      <c r="C37" s="260"/>
      <c r="D37" s="113">
        <v>5.9999999999999995E-4</v>
      </c>
      <c r="E37" s="113">
        <v>2.5999999999999999E-3</v>
      </c>
    </row>
    <row r="38" spans="1:5" x14ac:dyDescent="0.2">
      <c r="B38" s="113" t="s">
        <v>1063</v>
      </c>
      <c r="C38" s="113">
        <v>5.9999999999999995E-4</v>
      </c>
      <c r="D38" s="260"/>
      <c r="E38" s="113">
        <v>0.85109999999999997</v>
      </c>
    </row>
    <row r="39" spans="1:5" x14ac:dyDescent="0.2">
      <c r="B39" s="113" t="s">
        <v>9</v>
      </c>
      <c r="C39" s="113">
        <v>2.5999999999999999E-3</v>
      </c>
      <c r="D39" s="113">
        <v>0.85109999999999997</v>
      </c>
      <c r="E39" s="260"/>
    </row>
    <row r="40" spans="1:5" x14ac:dyDescent="0.2">
      <c r="A40" s="113" t="s">
        <v>321</v>
      </c>
      <c r="B40" s="113" t="s">
        <v>498</v>
      </c>
      <c r="C40" s="113">
        <v>0.98939999999999995</v>
      </c>
      <c r="D40" s="113">
        <v>5.7999999999999996E-3</v>
      </c>
      <c r="E40" s="113" t="s">
        <v>1131</v>
      </c>
    </row>
    <row r="41" spans="1:5" x14ac:dyDescent="0.2">
      <c r="B41" s="113" t="s">
        <v>8</v>
      </c>
      <c r="C41" s="260"/>
      <c r="D41" s="113">
        <v>6.8999999999999999E-3</v>
      </c>
      <c r="E41" s="113" t="s">
        <v>1131</v>
      </c>
    </row>
    <row r="42" spans="1:5" x14ac:dyDescent="0.2">
      <c r="B42" s="113" t="s">
        <v>1063</v>
      </c>
      <c r="C42" s="113">
        <v>6.8999999999999999E-3</v>
      </c>
      <c r="D42" s="260"/>
      <c r="E42" s="113">
        <v>4.3999999999999997E-2</v>
      </c>
    </row>
    <row r="43" spans="1:5" x14ac:dyDescent="0.2">
      <c r="B43" s="113" t="s">
        <v>9</v>
      </c>
      <c r="C43" s="113" t="s">
        <v>1131</v>
      </c>
      <c r="D43" s="113">
        <v>0.44</v>
      </c>
      <c r="E43" s="260"/>
    </row>
    <row r="44" spans="1:5" x14ac:dyDescent="0.2">
      <c r="A44" s="113" t="s">
        <v>1154</v>
      </c>
      <c r="B44" s="113" t="s">
        <v>498</v>
      </c>
      <c r="C44" s="113">
        <v>0.99019999999999997</v>
      </c>
      <c r="D44" s="113">
        <v>6.4000000000000003E-3</v>
      </c>
      <c r="E44" s="113">
        <v>1.9E-3</v>
      </c>
    </row>
    <row r="45" spans="1:5" x14ac:dyDescent="0.2">
      <c r="B45" s="113" t="s">
        <v>8</v>
      </c>
      <c r="C45" s="260"/>
      <c r="D45" s="113">
        <v>7.4999999999999997E-3</v>
      </c>
      <c r="E45" s="113">
        <v>2E-3</v>
      </c>
    </row>
    <row r="46" spans="1:5" x14ac:dyDescent="0.2">
      <c r="B46" s="113" t="s">
        <v>1063</v>
      </c>
      <c r="C46" s="113">
        <v>7.4999999999999997E-3</v>
      </c>
      <c r="D46" s="260"/>
      <c r="E46" s="113">
        <v>0.98060000000000003</v>
      </c>
    </row>
    <row r="47" spans="1:5" x14ac:dyDescent="0.2">
      <c r="B47" s="113" t="s">
        <v>9</v>
      </c>
      <c r="C47" s="113">
        <v>2E-3</v>
      </c>
      <c r="D47" s="113">
        <v>0.98060000000000003</v>
      </c>
      <c r="E47" s="260"/>
    </row>
    <row r="48" spans="1:5" x14ac:dyDescent="0.2">
      <c r="A48" s="113" t="s">
        <v>15</v>
      </c>
      <c r="B48" s="113" t="s">
        <v>498</v>
      </c>
      <c r="C48" s="113" t="s">
        <v>1133</v>
      </c>
      <c r="D48" s="113">
        <v>0.21049999999999999</v>
      </c>
      <c r="E48" s="113">
        <v>3.8600000000000002E-2</v>
      </c>
    </row>
    <row r="49" spans="1:5" x14ac:dyDescent="0.2">
      <c r="B49" s="113" t="s">
        <v>8</v>
      </c>
      <c r="C49" s="260"/>
      <c r="D49" s="113">
        <v>0.186</v>
      </c>
      <c r="E49" s="113">
        <v>0.29799999999999999</v>
      </c>
    </row>
    <row r="50" spans="1:5" x14ac:dyDescent="0.2">
      <c r="B50" s="113" t="s">
        <v>1063</v>
      </c>
      <c r="C50" s="113">
        <v>0.186</v>
      </c>
      <c r="D50" s="260"/>
      <c r="E50" s="113">
        <v>0.74219999999999997</v>
      </c>
    </row>
    <row r="51" spans="1:5" x14ac:dyDescent="0.2">
      <c r="B51" s="113" t="s">
        <v>9</v>
      </c>
      <c r="C51" s="113">
        <v>0.29799999999999999</v>
      </c>
      <c r="D51" s="113">
        <v>0.74219999999999997</v>
      </c>
      <c r="E51" s="260"/>
    </row>
    <row r="52" spans="1:5" x14ac:dyDescent="0.2">
      <c r="A52" s="113" t="s">
        <v>10</v>
      </c>
      <c r="B52" s="113" t="s">
        <v>498</v>
      </c>
      <c r="C52" s="113">
        <v>0.98680000000000001</v>
      </c>
      <c r="D52" s="113">
        <v>0.33</v>
      </c>
      <c r="E52" s="113">
        <v>2.3199999999999998E-2</v>
      </c>
    </row>
    <row r="53" spans="1:5" x14ac:dyDescent="0.2">
      <c r="B53" s="113" t="s">
        <v>8</v>
      </c>
      <c r="C53" s="260"/>
      <c r="D53" s="113">
        <v>0.4546</v>
      </c>
      <c r="E53" s="113">
        <v>0.311</v>
      </c>
    </row>
    <row r="54" spans="1:5" x14ac:dyDescent="0.2">
      <c r="B54" s="113" t="s">
        <v>1063</v>
      </c>
      <c r="C54" s="113">
        <v>0.4546</v>
      </c>
      <c r="D54" s="260"/>
      <c r="E54" s="113">
        <v>0.39839999999999998</v>
      </c>
    </row>
    <row r="55" spans="1:5" x14ac:dyDescent="0.2">
      <c r="B55" s="113" t="s">
        <v>9</v>
      </c>
      <c r="C55" s="113">
        <v>0.311</v>
      </c>
      <c r="D55" s="113">
        <v>0.39839999999999998</v>
      </c>
      <c r="E55" s="260"/>
    </row>
  </sheetData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A7C91-0728-7148-A017-229769689759}">
  <sheetPr codeName="Sheet30"/>
  <dimension ref="A1:AO38"/>
  <sheetViews>
    <sheetView topLeftCell="A5" zoomScale="116" zoomScaleNormal="116" workbookViewId="0">
      <selection activeCell="M38" sqref="M38"/>
    </sheetView>
  </sheetViews>
  <sheetFormatPr baseColWidth="10" defaultRowHeight="16" x14ac:dyDescent="0.2"/>
  <cols>
    <col min="1" max="1" width="13.83203125" customWidth="1"/>
  </cols>
  <sheetData>
    <row r="1" spans="1:41" x14ac:dyDescent="0.2">
      <c r="A1" t="s">
        <v>504</v>
      </c>
    </row>
    <row r="2" spans="1:41" x14ac:dyDescent="0.2">
      <c r="A2" s="123" t="s">
        <v>503</v>
      </c>
      <c r="B2" s="308" t="s">
        <v>498</v>
      </c>
      <c r="C2" s="318"/>
      <c r="D2" s="318"/>
      <c r="E2" s="319"/>
      <c r="F2" s="308" t="s">
        <v>8</v>
      </c>
      <c r="G2" s="318"/>
      <c r="H2" s="318"/>
      <c r="I2" s="318"/>
      <c r="J2" s="319"/>
      <c r="K2" s="154"/>
      <c r="L2" s="308" t="s">
        <v>274</v>
      </c>
      <c r="M2" s="318"/>
      <c r="N2" s="318"/>
      <c r="O2" s="318"/>
      <c r="P2" s="319"/>
      <c r="Q2" s="123"/>
      <c r="R2" s="308" t="s">
        <v>9</v>
      </c>
      <c r="S2" s="318"/>
      <c r="T2" s="318"/>
      <c r="U2" s="318"/>
      <c r="V2" s="319"/>
    </row>
    <row r="3" spans="1:41" x14ac:dyDescent="0.2">
      <c r="A3" s="153" t="s">
        <v>499</v>
      </c>
      <c r="B3" s="124">
        <v>8.78111E-3</v>
      </c>
      <c r="C3" s="125">
        <v>1.5936957700000001</v>
      </c>
      <c r="D3" s="125">
        <v>1.39752312</v>
      </c>
      <c r="E3" s="126"/>
      <c r="F3" s="124">
        <v>4.149535E-2</v>
      </c>
      <c r="G3" s="125">
        <v>0.35273937</v>
      </c>
      <c r="H3" s="125">
        <v>1.6267920199999999</v>
      </c>
      <c r="I3" s="125">
        <v>0.12397226</v>
      </c>
      <c r="J3" s="126">
        <v>0.31425955999999999</v>
      </c>
      <c r="K3" s="125"/>
      <c r="L3" s="124">
        <v>9.9654560000000003E-2</v>
      </c>
      <c r="M3" s="125">
        <v>0.16542167999999999</v>
      </c>
      <c r="N3" s="125">
        <v>0.19167381999999999</v>
      </c>
      <c r="O3" s="125">
        <v>0.11415316</v>
      </c>
      <c r="P3" s="126">
        <v>0.76678648000000005</v>
      </c>
      <c r="Q3" s="122"/>
      <c r="R3" s="124">
        <v>0.42860480000000001</v>
      </c>
      <c r="S3" s="125">
        <v>0.48968979000000001</v>
      </c>
      <c r="T3" s="125">
        <v>0.12019870000000001</v>
      </c>
      <c r="U3" s="125">
        <v>0.34460276000000001</v>
      </c>
      <c r="V3" s="126">
        <v>0.78233514999999998</v>
      </c>
    </row>
    <row r="4" spans="1:41" x14ac:dyDescent="0.2">
      <c r="A4" s="153" t="s">
        <v>500</v>
      </c>
      <c r="B4" s="124">
        <v>1.62448437</v>
      </c>
      <c r="C4" s="125">
        <v>0.89453643000000005</v>
      </c>
      <c r="D4" s="125">
        <v>0.4809792</v>
      </c>
      <c r="E4" s="126"/>
      <c r="F4" s="124">
        <v>5.4976489500000003</v>
      </c>
      <c r="G4" s="125">
        <v>0.88646431999999997</v>
      </c>
      <c r="H4" s="125">
        <v>0.40261574999999999</v>
      </c>
      <c r="I4" s="125">
        <v>0.1546806</v>
      </c>
      <c r="J4" s="126">
        <v>0.17074554</v>
      </c>
      <c r="K4" s="125"/>
      <c r="L4" s="124">
        <v>5.1087029999999999E-2</v>
      </c>
      <c r="M4" s="125">
        <v>8.1413324100000004</v>
      </c>
      <c r="N4" s="125">
        <v>0.22614665</v>
      </c>
      <c r="O4" s="125">
        <v>0.14060871999999999</v>
      </c>
      <c r="P4" s="126">
        <v>0.16871607</v>
      </c>
      <c r="Q4" s="122"/>
      <c r="R4" s="124">
        <v>1.72399488</v>
      </c>
      <c r="S4" s="125">
        <v>8.2822759999999995E-2</v>
      </c>
      <c r="T4" s="125">
        <v>0.16440658999999999</v>
      </c>
      <c r="U4" s="125">
        <v>0.19003996000000001</v>
      </c>
      <c r="V4" s="126">
        <v>0.22525054</v>
      </c>
    </row>
    <row r="5" spans="1:41" x14ac:dyDescent="0.2">
      <c r="A5" s="153" t="s">
        <v>501</v>
      </c>
      <c r="B5" s="124">
        <v>0.51269640999999999</v>
      </c>
      <c r="C5" s="125">
        <v>1.09383959</v>
      </c>
      <c r="D5" s="125">
        <v>1.39346401</v>
      </c>
      <c r="E5" s="126"/>
      <c r="F5" s="124">
        <v>0.98415682000000004</v>
      </c>
      <c r="G5" s="125">
        <v>1.24030924</v>
      </c>
      <c r="H5" s="125">
        <v>1.5432311999999999</v>
      </c>
      <c r="I5" s="125">
        <v>0.20372482</v>
      </c>
      <c r="J5" s="126">
        <v>0.35692247999999999</v>
      </c>
      <c r="K5" s="125"/>
      <c r="L5" s="124">
        <v>5.1224760000000001E-2</v>
      </c>
      <c r="M5" s="125">
        <v>2.44343266</v>
      </c>
      <c r="N5" s="125">
        <v>0.18587538000000001</v>
      </c>
      <c r="O5" s="125">
        <v>0.15220864000000001</v>
      </c>
      <c r="P5" s="126">
        <v>0.62280086000000001</v>
      </c>
      <c r="Q5" s="122"/>
      <c r="R5" s="124">
        <v>0.39850867000000001</v>
      </c>
      <c r="S5" s="125">
        <v>0.42258913999999997</v>
      </c>
      <c r="T5" s="125">
        <v>8.8639350000000006E-2</v>
      </c>
      <c r="U5" s="125">
        <v>0.20902097</v>
      </c>
      <c r="V5" s="126">
        <v>0.41239098000000002</v>
      </c>
    </row>
    <row r="6" spans="1:41" x14ac:dyDescent="0.2">
      <c r="A6" s="153" t="s">
        <v>502</v>
      </c>
      <c r="B6" s="124">
        <v>0.35023768999999999</v>
      </c>
      <c r="C6" s="125">
        <v>0.79900990999999999</v>
      </c>
      <c r="D6" s="125">
        <v>1.8507524</v>
      </c>
      <c r="E6" s="126"/>
      <c r="F6" s="124">
        <v>0.19758292999999999</v>
      </c>
      <c r="G6" s="125">
        <v>1.4765797300000001</v>
      </c>
      <c r="H6" s="125">
        <v>1.6485871299999999</v>
      </c>
      <c r="I6" s="125">
        <v>2.37151778</v>
      </c>
      <c r="J6" s="126">
        <v>4.6651057500000004</v>
      </c>
      <c r="K6" s="125"/>
      <c r="L6" s="124">
        <v>3.3323452800000002</v>
      </c>
      <c r="M6" s="125">
        <v>0.45347423999999997</v>
      </c>
      <c r="N6" s="125">
        <v>3.3155520300000001</v>
      </c>
      <c r="O6" s="125">
        <v>2.9162690699999998</v>
      </c>
      <c r="P6" s="126">
        <v>2.49103677</v>
      </c>
      <c r="Q6" s="122"/>
      <c r="R6" s="124">
        <v>8.9395259899999999</v>
      </c>
      <c r="S6" s="125">
        <v>16.205587699999999</v>
      </c>
      <c r="T6" s="125">
        <v>5.1448621899999996</v>
      </c>
      <c r="U6" s="125">
        <v>11.469847700000001</v>
      </c>
      <c r="V6" s="126">
        <v>9.2530742000000004</v>
      </c>
    </row>
    <row r="7" spans="1:41" x14ac:dyDescent="0.2">
      <c r="A7" s="153" t="s">
        <v>384</v>
      </c>
      <c r="B7" s="127">
        <v>5.1850880000000002E-2</v>
      </c>
      <c r="C7" s="128">
        <v>1.15572903</v>
      </c>
      <c r="D7" s="128">
        <v>1.79242009</v>
      </c>
      <c r="E7" s="129"/>
      <c r="F7" s="127">
        <v>0.14854986000000001</v>
      </c>
      <c r="G7" s="128">
        <v>2.9043871299999999</v>
      </c>
      <c r="H7" s="128">
        <v>2.4489120199999999</v>
      </c>
      <c r="I7" s="128">
        <v>0.59123387000000005</v>
      </c>
      <c r="J7" s="129">
        <v>0.82854987000000002</v>
      </c>
      <c r="K7" s="125"/>
      <c r="L7" s="127">
        <v>0.42677788</v>
      </c>
      <c r="M7" s="128">
        <v>1.1678990899999999</v>
      </c>
      <c r="N7" s="128">
        <v>1.61217952</v>
      </c>
      <c r="O7" s="128">
        <v>1.5942092699999999</v>
      </c>
      <c r="P7" s="129">
        <v>5.0917860299999997</v>
      </c>
      <c r="Q7" s="122"/>
      <c r="R7" s="127">
        <v>0.66484169000000004</v>
      </c>
      <c r="S7" s="128">
        <v>0.90063314999999999</v>
      </c>
      <c r="T7" s="128">
        <v>0.41539685999999998</v>
      </c>
      <c r="U7" s="128">
        <v>0.57639174000000004</v>
      </c>
      <c r="V7" s="129">
        <v>0.97441661000000002</v>
      </c>
    </row>
    <row r="9" spans="1:41" x14ac:dyDescent="0.2">
      <c r="A9" s="155" t="s">
        <v>505</v>
      </c>
    </row>
    <row r="10" spans="1:41" x14ac:dyDescent="0.2">
      <c r="A10" s="123"/>
      <c r="B10" s="308" t="s">
        <v>498</v>
      </c>
      <c r="C10" s="318"/>
      <c r="D10" s="318"/>
      <c r="E10" s="318"/>
      <c r="F10" s="318"/>
      <c r="G10" s="318"/>
      <c r="H10" s="318"/>
      <c r="I10" s="318"/>
      <c r="J10" s="318"/>
      <c r="K10" s="318"/>
      <c r="L10" s="319"/>
      <c r="M10" s="308" t="s">
        <v>8</v>
      </c>
      <c r="N10" s="318"/>
      <c r="O10" s="318"/>
      <c r="P10" s="318"/>
      <c r="Q10" s="318"/>
      <c r="R10" s="318"/>
      <c r="S10" s="318"/>
      <c r="T10" s="318"/>
      <c r="U10" s="318"/>
      <c r="V10" s="318"/>
      <c r="W10" s="308" t="s">
        <v>274</v>
      </c>
      <c r="X10" s="318"/>
      <c r="Y10" s="318"/>
      <c r="Z10" s="318"/>
      <c r="AA10" s="318"/>
      <c r="AB10" s="318"/>
      <c r="AC10" s="318"/>
      <c r="AD10" s="318"/>
      <c r="AE10" s="318"/>
      <c r="AF10" s="308" t="s">
        <v>9</v>
      </c>
      <c r="AG10" s="318"/>
      <c r="AH10" s="318"/>
      <c r="AI10" s="318"/>
      <c r="AJ10" s="318"/>
      <c r="AK10" s="318"/>
      <c r="AL10" s="318"/>
      <c r="AM10" s="318"/>
      <c r="AN10" s="318"/>
      <c r="AO10" s="319"/>
    </row>
    <row r="11" spans="1:41" x14ac:dyDescent="0.2">
      <c r="A11" s="156" t="s">
        <v>499</v>
      </c>
      <c r="B11" s="124">
        <v>0.25199326</v>
      </c>
      <c r="C11" s="125">
        <v>0.65008597999999995</v>
      </c>
      <c r="D11" s="125">
        <v>0.89072295000000001</v>
      </c>
      <c r="E11" s="125">
        <v>0.46061089999999999</v>
      </c>
      <c r="F11" s="125">
        <v>3.7378997900000002</v>
      </c>
      <c r="G11" s="125">
        <v>0.28453631000000001</v>
      </c>
      <c r="H11" s="125">
        <v>0.72415081000000003</v>
      </c>
      <c r="I11" s="125"/>
      <c r="J11" s="125"/>
      <c r="K11" s="125"/>
      <c r="L11" s="126"/>
      <c r="M11" s="124">
        <v>2.5976324100000001</v>
      </c>
      <c r="N11" s="125">
        <v>3.1900393999999999</v>
      </c>
      <c r="O11" s="125">
        <v>1.47897871</v>
      </c>
      <c r="P11" s="125">
        <v>10.140105699999999</v>
      </c>
      <c r="Q11" s="125">
        <v>0.35470076</v>
      </c>
      <c r="R11" s="125">
        <v>2.0563776699999998</v>
      </c>
      <c r="S11" s="125">
        <v>12.093823</v>
      </c>
      <c r="T11" s="125">
        <v>5.9712321499999996</v>
      </c>
      <c r="U11" s="125">
        <v>6.7062541900000001</v>
      </c>
      <c r="V11" s="125"/>
      <c r="W11" s="124">
        <v>6.0984562100000002</v>
      </c>
      <c r="X11" s="125">
        <v>2.0831591199999999</v>
      </c>
      <c r="Y11" s="125">
        <v>3.2471964899999999</v>
      </c>
      <c r="Z11" s="125">
        <v>4.5294740400000002</v>
      </c>
      <c r="AA11" s="125">
        <v>1.7131535499999999</v>
      </c>
      <c r="AB11" s="125">
        <v>34.1162846</v>
      </c>
      <c r="AC11" s="125">
        <v>0.75499424999999998</v>
      </c>
      <c r="AD11" s="125">
        <v>24.3542086</v>
      </c>
      <c r="AE11" s="125"/>
      <c r="AF11" s="124">
        <v>36.566491499999998</v>
      </c>
      <c r="AG11" s="125">
        <v>5.3717978500000001</v>
      </c>
      <c r="AH11" s="125">
        <v>1.5242947099999999</v>
      </c>
      <c r="AI11" s="125">
        <v>1.27445287</v>
      </c>
      <c r="AJ11" s="125">
        <v>0.81164692000000005</v>
      </c>
      <c r="AK11" s="125">
        <v>37.433016000000002</v>
      </c>
      <c r="AL11" s="125">
        <v>16.353769799999998</v>
      </c>
      <c r="AM11" s="125">
        <v>3.5233566999999999</v>
      </c>
      <c r="AN11" s="125">
        <v>0.99055941999999997</v>
      </c>
      <c r="AO11" s="126"/>
    </row>
    <row r="12" spans="1:41" x14ac:dyDescent="0.2">
      <c r="A12" s="157" t="s">
        <v>500</v>
      </c>
      <c r="B12" s="124">
        <v>0.21901179000000001</v>
      </c>
      <c r="C12" s="125">
        <v>0.49328464</v>
      </c>
      <c r="D12" s="125">
        <v>1.5958054500000001</v>
      </c>
      <c r="E12" s="125">
        <v>0.80130383999999999</v>
      </c>
      <c r="F12" s="125">
        <v>1.09516111</v>
      </c>
      <c r="G12" s="125">
        <v>1.0791737699999999</v>
      </c>
      <c r="H12" s="125">
        <v>1.7162594099999999</v>
      </c>
      <c r="I12" s="125"/>
      <c r="J12" s="125"/>
      <c r="K12" s="125"/>
      <c r="L12" s="126"/>
      <c r="M12" s="124">
        <v>0.50378743999999998</v>
      </c>
      <c r="N12" s="125">
        <v>0.48718998000000002</v>
      </c>
      <c r="O12" s="125">
        <v>0.32834612000000002</v>
      </c>
      <c r="P12" s="125">
        <v>1.84495838</v>
      </c>
      <c r="Q12" s="125">
        <v>0.19666470999999999</v>
      </c>
      <c r="R12" s="125">
        <v>1.91312386</v>
      </c>
      <c r="S12" s="125">
        <v>0.44941150000000002</v>
      </c>
      <c r="T12" s="125">
        <v>0.78656585000000001</v>
      </c>
      <c r="U12" s="125">
        <v>2.12851502</v>
      </c>
      <c r="V12" s="125"/>
      <c r="W12" s="124">
        <v>0.31780594000000001</v>
      </c>
      <c r="X12" s="125">
        <v>0.28287120999999998</v>
      </c>
      <c r="Y12" s="125">
        <v>0.27934935999999999</v>
      </c>
      <c r="Z12" s="125">
        <v>0.20331367</v>
      </c>
      <c r="AA12" s="125">
        <v>2.51562632</v>
      </c>
      <c r="AB12" s="125">
        <v>1.3038256699999999</v>
      </c>
      <c r="AC12" s="125">
        <v>0.41774813</v>
      </c>
      <c r="AD12" s="125">
        <v>1.6821093199999999</v>
      </c>
      <c r="AE12" s="125"/>
      <c r="AF12" s="124">
        <v>0.97354386999999998</v>
      </c>
      <c r="AG12" s="125">
        <v>1.66094707</v>
      </c>
      <c r="AH12" s="125">
        <v>0.13514859000000001</v>
      </c>
      <c r="AI12" s="125">
        <v>0.53203986000000003</v>
      </c>
      <c r="AJ12" s="125">
        <v>0.57827894000000002</v>
      </c>
      <c r="AK12" s="125">
        <v>2.2636987199999998</v>
      </c>
      <c r="AL12" s="125">
        <v>3.24640336</v>
      </c>
      <c r="AM12" s="125">
        <v>0.29606396000000001</v>
      </c>
      <c r="AN12" s="125">
        <v>1.6609312599999999</v>
      </c>
      <c r="AO12" s="126"/>
    </row>
    <row r="13" spans="1:41" x14ac:dyDescent="0.2">
      <c r="A13" s="157" t="s">
        <v>501</v>
      </c>
      <c r="B13" s="124">
        <v>0.31189076999999998</v>
      </c>
      <c r="C13" s="125">
        <v>0.47371931</v>
      </c>
      <c r="D13" s="125">
        <v>0.68892863999999998</v>
      </c>
      <c r="E13" s="125">
        <v>0.34141484999999999</v>
      </c>
      <c r="F13" s="125">
        <v>4.3271854000000003</v>
      </c>
      <c r="G13" s="125">
        <v>0.44847578999999999</v>
      </c>
      <c r="H13" s="125">
        <v>0.40838524999999998</v>
      </c>
      <c r="I13" s="125"/>
      <c r="J13" s="125"/>
      <c r="K13" s="125"/>
      <c r="L13" s="126"/>
      <c r="M13" s="124">
        <v>2.6064599899999998</v>
      </c>
      <c r="N13" s="125">
        <v>2.5237242700000002</v>
      </c>
      <c r="O13" s="125">
        <v>1.494292</v>
      </c>
      <c r="P13" s="125">
        <v>13.618316999999999</v>
      </c>
      <c r="Q13" s="125">
        <v>0.28905966999999999</v>
      </c>
      <c r="R13" s="125">
        <v>1.53276535</v>
      </c>
      <c r="S13" s="125">
        <v>12.118569000000001</v>
      </c>
      <c r="T13" s="125">
        <v>5.5861844100000004</v>
      </c>
      <c r="U13" s="125">
        <v>4.9246025900000001</v>
      </c>
      <c r="V13" s="125"/>
      <c r="W13" s="124">
        <v>7.4107857299999997</v>
      </c>
      <c r="X13" s="125">
        <v>1.14718729</v>
      </c>
      <c r="Y13" s="125">
        <v>2.78949742</v>
      </c>
      <c r="Z13" s="125">
        <v>4.8837746800000001</v>
      </c>
      <c r="AA13" s="125">
        <v>0.90747575999999996</v>
      </c>
      <c r="AB13" s="125">
        <v>35.758145599999999</v>
      </c>
      <c r="AC13" s="125">
        <v>0.80836618000000005</v>
      </c>
      <c r="AD13" s="125">
        <v>33.814220900000002</v>
      </c>
      <c r="AE13" s="125"/>
      <c r="AF13" s="124">
        <v>36.1303652</v>
      </c>
      <c r="AG13" s="125">
        <v>5.2816364199999999</v>
      </c>
      <c r="AH13" s="125">
        <v>3.8013272699999998</v>
      </c>
      <c r="AI13" s="125">
        <v>2.32289485</v>
      </c>
      <c r="AJ13" s="125">
        <v>1.40243385</v>
      </c>
      <c r="AK13" s="125">
        <v>60.489097800000003</v>
      </c>
      <c r="AL13" s="125">
        <v>24.809007900000001</v>
      </c>
      <c r="AM13" s="125">
        <v>3.96997226</v>
      </c>
      <c r="AN13" s="125">
        <v>0.65211925999999998</v>
      </c>
      <c r="AO13" s="126"/>
    </row>
    <row r="14" spans="1:41" x14ac:dyDescent="0.2">
      <c r="A14" s="157" t="s">
        <v>502</v>
      </c>
      <c r="B14" s="124">
        <v>1.3819352899999999</v>
      </c>
      <c r="C14" s="125">
        <v>2.19600281</v>
      </c>
      <c r="D14" s="125">
        <v>2.1025947700000001</v>
      </c>
      <c r="E14" s="125">
        <v>0.23977012</v>
      </c>
      <c r="F14" s="125">
        <v>0.39675681000000002</v>
      </c>
      <c r="G14" s="125">
        <v>0.36201748</v>
      </c>
      <c r="H14" s="125">
        <v>0.32092271999999999</v>
      </c>
      <c r="I14" s="125"/>
      <c r="J14" s="125"/>
      <c r="K14" s="125"/>
      <c r="L14" s="126"/>
      <c r="M14" s="124">
        <v>1.03264194</v>
      </c>
      <c r="N14" s="125">
        <v>1.37822921</v>
      </c>
      <c r="O14" s="125">
        <v>1.4886157</v>
      </c>
      <c r="P14" s="125">
        <v>1.2287838200000001</v>
      </c>
      <c r="Q14" s="125">
        <v>3.71759686</v>
      </c>
      <c r="R14" s="125">
        <v>0.18530014</v>
      </c>
      <c r="S14" s="125">
        <v>0.27316520999999999</v>
      </c>
      <c r="T14" s="125">
        <v>1.4257115499999999</v>
      </c>
      <c r="U14" s="125">
        <v>0.45624933000000001</v>
      </c>
      <c r="V14" s="125"/>
      <c r="W14" s="124">
        <v>1.6536187099999999</v>
      </c>
      <c r="X14" s="125">
        <v>1.7189699599999999</v>
      </c>
      <c r="Y14" s="125">
        <v>1.12997634</v>
      </c>
      <c r="Z14" s="125">
        <v>1.2918311499999999</v>
      </c>
      <c r="AA14" s="125">
        <v>0.85711194999999996</v>
      </c>
      <c r="AB14" s="125">
        <v>0.38942810999999999</v>
      </c>
      <c r="AC14" s="125">
        <v>0.51363241000000004</v>
      </c>
      <c r="AD14" s="125">
        <v>2.0819019399999998</v>
      </c>
      <c r="AE14" s="125"/>
      <c r="AF14" s="124">
        <v>2.6631862499999999</v>
      </c>
      <c r="AG14" s="125">
        <v>1.11237695</v>
      </c>
      <c r="AH14" s="125">
        <v>5.9092902299999999</v>
      </c>
      <c r="AI14" s="125">
        <v>4.93239859</v>
      </c>
      <c r="AJ14" s="125">
        <v>2.7519019500000002</v>
      </c>
      <c r="AK14" s="125">
        <v>2.9684065199999998</v>
      </c>
      <c r="AL14" s="125">
        <v>42.665422300000003</v>
      </c>
      <c r="AM14" s="125">
        <v>0.45134737000000003</v>
      </c>
      <c r="AN14" s="125">
        <v>0.35892970000000002</v>
      </c>
      <c r="AO14" s="126"/>
    </row>
    <row r="15" spans="1:41" x14ac:dyDescent="0.2">
      <c r="A15" s="158" t="s">
        <v>384</v>
      </c>
      <c r="B15" s="127">
        <v>0.33018226000000001</v>
      </c>
      <c r="C15" s="128">
        <v>0.59841796000000003</v>
      </c>
      <c r="D15" s="128">
        <v>0.66832851000000004</v>
      </c>
      <c r="E15" s="128">
        <v>0.60809117000000001</v>
      </c>
      <c r="F15" s="128">
        <v>3.4270803000000001</v>
      </c>
      <c r="G15" s="128">
        <v>0.61429047999999997</v>
      </c>
      <c r="H15" s="128">
        <v>0.75360930999999998</v>
      </c>
      <c r="I15" s="128"/>
      <c r="J15" s="128"/>
      <c r="K15" s="128"/>
      <c r="L15" s="129"/>
      <c r="M15" s="127">
        <v>1.9597847799999999</v>
      </c>
      <c r="N15" s="128">
        <v>1.43344673</v>
      </c>
      <c r="O15" s="128">
        <v>1.25477277</v>
      </c>
      <c r="P15" s="128">
        <v>4.5401699500000001</v>
      </c>
      <c r="Q15" s="128">
        <v>0.31925519000000002</v>
      </c>
      <c r="R15" s="128">
        <v>1.69873717</v>
      </c>
      <c r="S15" s="128">
        <v>3.8728785100000001</v>
      </c>
      <c r="T15" s="128">
        <v>2.3935031599999999</v>
      </c>
      <c r="U15" s="128">
        <v>2.9254475700000002</v>
      </c>
      <c r="V15" s="128"/>
      <c r="W15" s="127">
        <v>2.83946042</v>
      </c>
      <c r="X15" s="128">
        <v>0.81847247999999995</v>
      </c>
      <c r="Y15" s="128">
        <v>1.7724778699999999</v>
      </c>
      <c r="Z15" s="128">
        <v>1.93472069</v>
      </c>
      <c r="AA15" s="128">
        <v>0.91489231000000004</v>
      </c>
      <c r="AB15" s="128">
        <v>9.0975560600000005</v>
      </c>
      <c r="AC15" s="128">
        <v>0.68642555999999999</v>
      </c>
      <c r="AD15" s="128">
        <v>10.817376700000001</v>
      </c>
      <c r="AE15" s="128"/>
      <c r="AF15" s="127">
        <v>9.7791561399999996</v>
      </c>
      <c r="AG15" s="128">
        <v>2.73566441</v>
      </c>
      <c r="AH15" s="128">
        <v>2.08138435</v>
      </c>
      <c r="AI15" s="128">
        <v>1.5403393999999999</v>
      </c>
      <c r="AJ15" s="128">
        <v>1.2404067599999999</v>
      </c>
      <c r="AK15" s="128">
        <v>12.3292704</v>
      </c>
      <c r="AL15" s="128">
        <v>12.776798599999999</v>
      </c>
      <c r="AM15" s="128">
        <v>2.1225326799999999</v>
      </c>
      <c r="AN15" s="128">
        <v>0.69171026999999996</v>
      </c>
      <c r="AO15" s="129"/>
    </row>
    <row r="17" spans="1:14" x14ac:dyDescent="0.2">
      <c r="A17" s="268" t="s">
        <v>1134</v>
      </c>
      <c r="B17" s="18" t="s">
        <v>1252</v>
      </c>
      <c r="C17" s="18"/>
      <c r="D17" s="18"/>
      <c r="E17" s="19"/>
      <c r="G17" s="268" t="s">
        <v>1134</v>
      </c>
      <c r="H17" s="18" t="s">
        <v>1252</v>
      </c>
      <c r="I17" s="18"/>
      <c r="J17" s="18"/>
      <c r="K17" s="19"/>
    </row>
    <row r="18" spans="1:14" x14ac:dyDescent="0.2">
      <c r="A18" s="269" t="s">
        <v>1165</v>
      </c>
      <c r="B18" s="270" t="s">
        <v>1127</v>
      </c>
      <c r="C18" s="21" t="s">
        <v>8</v>
      </c>
      <c r="D18" s="21" t="s">
        <v>1157</v>
      </c>
      <c r="E18" s="10" t="s">
        <v>9</v>
      </c>
      <c r="G18" s="269" t="s">
        <v>1166</v>
      </c>
      <c r="H18" s="270" t="s">
        <v>1127</v>
      </c>
      <c r="I18" s="21" t="s">
        <v>8</v>
      </c>
      <c r="J18" s="21" t="s">
        <v>1157</v>
      </c>
      <c r="K18" s="10" t="s">
        <v>9</v>
      </c>
    </row>
    <row r="19" spans="1:14" x14ac:dyDescent="0.2">
      <c r="A19" s="269" t="s">
        <v>499</v>
      </c>
      <c r="B19" s="21" t="s">
        <v>498</v>
      </c>
      <c r="C19" s="125">
        <v>0.5484</v>
      </c>
      <c r="D19" s="125">
        <v>0.254</v>
      </c>
      <c r="E19" s="126">
        <v>0.45979999999999999</v>
      </c>
      <c r="G19" s="269" t="s">
        <v>499</v>
      </c>
      <c r="H19" s="21" t="s">
        <v>498</v>
      </c>
      <c r="I19" s="125">
        <v>4.02E-2</v>
      </c>
      <c r="J19" s="125">
        <v>1.38E-2</v>
      </c>
      <c r="K19" s="126">
        <v>1.3100000000000001E-2</v>
      </c>
    </row>
    <row r="20" spans="1:14" x14ac:dyDescent="0.2">
      <c r="A20" s="20"/>
      <c r="B20" s="21" t="s">
        <v>8</v>
      </c>
      <c r="C20" s="260"/>
      <c r="D20" s="125">
        <v>0.89990000000000003</v>
      </c>
      <c r="E20" s="126">
        <v>0.99780000000000002</v>
      </c>
      <c r="G20" s="20"/>
      <c r="H20" s="21" t="s">
        <v>8</v>
      </c>
      <c r="I20" s="260"/>
      <c r="J20" s="125">
        <v>0.94330000000000003</v>
      </c>
      <c r="K20" s="126">
        <v>0.95530000000000004</v>
      </c>
    </row>
    <row r="21" spans="1:14" x14ac:dyDescent="0.2">
      <c r="A21" s="20"/>
      <c r="B21" s="21" t="s">
        <v>1157</v>
      </c>
      <c r="C21" s="125">
        <v>0.89990000000000003</v>
      </c>
      <c r="D21" s="260"/>
      <c r="E21" s="126">
        <v>0.95589999999999997</v>
      </c>
      <c r="G21" s="20"/>
      <c r="H21" s="21" t="s">
        <v>1157</v>
      </c>
      <c r="I21" s="125">
        <v>0.94330000000000003</v>
      </c>
      <c r="J21" s="260"/>
      <c r="K21" s="126" t="s">
        <v>1133</v>
      </c>
    </row>
    <row r="22" spans="1:14" x14ac:dyDescent="0.2">
      <c r="A22" s="20"/>
      <c r="B22" s="21" t="s">
        <v>9</v>
      </c>
      <c r="C22" s="125">
        <v>0.99780000000000002</v>
      </c>
      <c r="D22" s="125">
        <v>0.95589999999999997</v>
      </c>
      <c r="E22" s="263"/>
      <c r="G22" s="20"/>
      <c r="H22" s="21" t="s">
        <v>9</v>
      </c>
      <c r="I22" s="125">
        <v>0.95530000000000004</v>
      </c>
      <c r="J22" s="125" t="s">
        <v>1133</v>
      </c>
      <c r="K22" s="263"/>
    </row>
    <row r="23" spans="1:14" x14ac:dyDescent="0.2">
      <c r="A23" s="20" t="s">
        <v>500</v>
      </c>
      <c r="B23" s="21" t="s">
        <v>498</v>
      </c>
      <c r="C23" s="125">
        <v>0.99429999999999996</v>
      </c>
      <c r="D23" s="125">
        <v>0.97019999999999995</v>
      </c>
      <c r="E23" s="126">
        <v>0.98929999999999996</v>
      </c>
      <c r="G23" s="20" t="s">
        <v>500</v>
      </c>
      <c r="H23" s="21" t="s">
        <v>498</v>
      </c>
      <c r="I23" s="125">
        <v>0.98219999999999996</v>
      </c>
      <c r="J23" s="125">
        <v>0.85729999999999995</v>
      </c>
      <c r="K23" s="126" t="s">
        <v>1133</v>
      </c>
      <c r="N23" s="122"/>
    </row>
    <row r="24" spans="1:14" x14ac:dyDescent="0.2">
      <c r="A24" s="20"/>
      <c r="B24" s="21" t="s">
        <v>8</v>
      </c>
      <c r="C24" s="260"/>
      <c r="D24" s="125">
        <v>0.996</v>
      </c>
      <c r="E24" s="126">
        <v>0.91510000000000002</v>
      </c>
      <c r="G24" s="20"/>
      <c r="H24" s="21" t="s">
        <v>8</v>
      </c>
      <c r="I24" s="260"/>
      <c r="J24" s="125">
        <v>0.96719999999999995</v>
      </c>
      <c r="K24" s="126">
        <v>0.96840000000000004</v>
      </c>
      <c r="N24" s="122"/>
    </row>
    <row r="25" spans="1:14" x14ac:dyDescent="0.2">
      <c r="A25" s="20"/>
      <c r="B25" s="21" t="s">
        <v>1157</v>
      </c>
      <c r="C25" s="125">
        <v>0.996</v>
      </c>
      <c r="D25" s="260"/>
      <c r="E25" s="126">
        <v>0.82150000000000001</v>
      </c>
      <c r="G25" s="20"/>
      <c r="H25" s="21" t="s">
        <v>1157</v>
      </c>
      <c r="I25" s="125">
        <v>0.96719999999999995</v>
      </c>
      <c r="J25" s="260"/>
      <c r="K25" s="126">
        <v>0.80520000000000003</v>
      </c>
      <c r="N25" s="122"/>
    </row>
    <row r="26" spans="1:14" x14ac:dyDescent="0.2">
      <c r="A26" s="20"/>
      <c r="B26" s="21" t="s">
        <v>9</v>
      </c>
      <c r="C26" s="125">
        <v>0.91510000000000002</v>
      </c>
      <c r="D26" s="125">
        <v>0.82150000000000001</v>
      </c>
      <c r="E26" s="263"/>
      <c r="G26" s="20"/>
      <c r="H26" s="21" t="s">
        <v>9</v>
      </c>
      <c r="I26" s="125">
        <v>0.96840000000000004</v>
      </c>
      <c r="J26" s="125">
        <v>0.80520000000000003</v>
      </c>
      <c r="K26" s="263"/>
    </row>
    <row r="27" spans="1:14" x14ac:dyDescent="0.2">
      <c r="A27" s="20" t="s">
        <v>501</v>
      </c>
      <c r="B27" s="21" t="s">
        <v>498</v>
      </c>
      <c r="C27" s="125">
        <v>0.99160000000000004</v>
      </c>
      <c r="D27" s="125">
        <v>0.91190000000000004</v>
      </c>
      <c r="E27" s="126">
        <v>0.47889999999999999</v>
      </c>
      <c r="G27" s="20" t="s">
        <v>501</v>
      </c>
      <c r="H27" s="21" t="s">
        <v>498</v>
      </c>
      <c r="I27" s="125">
        <v>9.8900000000000002E-2</v>
      </c>
      <c r="J27" s="125">
        <v>3.8699999999999998E-2</v>
      </c>
      <c r="K27" s="126">
        <v>9.5999999999999992E-3</v>
      </c>
    </row>
    <row r="28" spans="1:14" x14ac:dyDescent="0.2">
      <c r="A28" s="20"/>
      <c r="B28" s="21" t="s">
        <v>8</v>
      </c>
      <c r="C28" s="260"/>
      <c r="D28" s="125">
        <v>0.9728</v>
      </c>
      <c r="E28" s="126">
        <v>0.53659999999999997</v>
      </c>
      <c r="G28" s="20"/>
      <c r="H28" s="21" t="s">
        <v>8</v>
      </c>
      <c r="I28" s="260"/>
      <c r="J28" s="125">
        <v>0.95089999999999997</v>
      </c>
      <c r="K28" s="126">
        <v>0.7</v>
      </c>
      <c r="N28" s="122"/>
    </row>
    <row r="29" spans="1:14" x14ac:dyDescent="0.2">
      <c r="A29" s="20"/>
      <c r="B29" s="21" t="s">
        <v>1157</v>
      </c>
      <c r="C29" s="125">
        <v>0.9728</v>
      </c>
      <c r="D29" s="260"/>
      <c r="E29" s="126">
        <v>0.78280000000000005</v>
      </c>
      <c r="G29" s="20"/>
      <c r="H29" s="21" t="s">
        <v>1157</v>
      </c>
      <c r="I29" s="125">
        <v>0.95089999999999997</v>
      </c>
      <c r="J29" s="260"/>
      <c r="K29" s="126">
        <v>0.9526</v>
      </c>
      <c r="N29" s="122"/>
    </row>
    <row r="30" spans="1:14" x14ac:dyDescent="0.2">
      <c r="A30" s="20"/>
      <c r="B30" s="21" t="s">
        <v>9</v>
      </c>
      <c r="C30" s="125">
        <v>0.53659999999999997</v>
      </c>
      <c r="D30" s="125">
        <v>0.78280000000000005</v>
      </c>
      <c r="E30" s="263"/>
      <c r="G30" s="20"/>
      <c r="H30" s="21" t="s">
        <v>9</v>
      </c>
      <c r="I30" s="125">
        <v>0.7</v>
      </c>
      <c r="J30" s="125">
        <v>0.9526</v>
      </c>
      <c r="K30" s="263"/>
      <c r="M30" s="122"/>
      <c r="N30" s="122"/>
    </row>
    <row r="31" spans="1:14" x14ac:dyDescent="0.2">
      <c r="A31" s="20" t="s">
        <v>502</v>
      </c>
      <c r="B31" s="21" t="s">
        <v>498</v>
      </c>
      <c r="C31" s="125">
        <v>0.93</v>
      </c>
      <c r="D31" s="125">
        <v>0.8337</v>
      </c>
      <c r="E31" s="126">
        <v>6.9999999999999999E-4</v>
      </c>
      <c r="G31" s="20" t="s">
        <v>502</v>
      </c>
      <c r="H31" s="21" t="s">
        <v>498</v>
      </c>
      <c r="I31" s="125">
        <v>0.96350000000000002</v>
      </c>
      <c r="J31" s="125">
        <v>0.85850000000000004</v>
      </c>
      <c r="K31" s="126">
        <v>7.9899999999999999E-2</v>
      </c>
      <c r="M31" s="122"/>
    </row>
    <row r="32" spans="1:14" x14ac:dyDescent="0.2">
      <c r="A32" s="20"/>
      <c r="B32" s="21" t="s">
        <v>8</v>
      </c>
      <c r="C32" s="260"/>
      <c r="D32" s="125">
        <v>0.99209999999999998</v>
      </c>
      <c r="E32" s="126">
        <v>5.9999999999999995E-4</v>
      </c>
      <c r="G32" s="20"/>
      <c r="H32" s="21" t="s">
        <v>8</v>
      </c>
      <c r="I32" s="260"/>
      <c r="J32" s="125">
        <v>0.98540000000000005</v>
      </c>
      <c r="K32" s="126">
        <v>0.15579999999999999</v>
      </c>
      <c r="M32" s="122"/>
    </row>
    <row r="33" spans="1:11" x14ac:dyDescent="0.2">
      <c r="A33" s="20"/>
      <c r="B33" s="21" t="s">
        <v>1157</v>
      </c>
      <c r="C33" s="125">
        <v>0.99209999999999998</v>
      </c>
      <c r="D33" s="260"/>
      <c r="E33" s="126">
        <v>1E-3</v>
      </c>
      <c r="G33" s="20"/>
      <c r="H33" s="21" t="s">
        <v>1157</v>
      </c>
      <c r="I33" s="125">
        <v>0.98540000000000005</v>
      </c>
      <c r="J33" s="260"/>
      <c r="K33" s="126">
        <v>0.31330000000000002</v>
      </c>
    </row>
    <row r="34" spans="1:11" x14ac:dyDescent="0.2">
      <c r="A34" s="20"/>
      <c r="B34" s="21" t="s">
        <v>9</v>
      </c>
      <c r="C34" s="125">
        <v>5.9999999999999995E-4</v>
      </c>
      <c r="D34" s="125">
        <v>1E-3</v>
      </c>
      <c r="E34" s="263"/>
      <c r="G34" s="20"/>
      <c r="H34" s="21" t="s">
        <v>9</v>
      </c>
      <c r="I34" s="125">
        <v>0.15579999999999999</v>
      </c>
      <c r="J34" s="125">
        <v>0.31330000000000002</v>
      </c>
      <c r="K34" s="263"/>
    </row>
    <row r="35" spans="1:11" x14ac:dyDescent="0.2">
      <c r="A35" s="20" t="s">
        <v>384</v>
      </c>
      <c r="B35" s="21" t="s">
        <v>498</v>
      </c>
      <c r="C35" s="125">
        <v>0.9718</v>
      </c>
      <c r="D35" s="125">
        <v>0.69440000000000002</v>
      </c>
      <c r="E35" s="126">
        <v>0.98699999999999999</v>
      </c>
      <c r="G35" s="20" t="s">
        <v>384</v>
      </c>
      <c r="H35" s="21" t="s">
        <v>498</v>
      </c>
      <c r="I35" s="125">
        <v>0.2394</v>
      </c>
      <c r="J35" s="125">
        <v>0.14000000000000001</v>
      </c>
      <c r="K35" s="126">
        <v>2.4799999999999999E-2</v>
      </c>
    </row>
    <row r="36" spans="1:11" x14ac:dyDescent="0.2">
      <c r="A36" s="20"/>
      <c r="B36" s="21" t="s">
        <v>8</v>
      </c>
      <c r="C36" s="260"/>
      <c r="D36" s="125">
        <v>0.86550000000000005</v>
      </c>
      <c r="E36" s="126">
        <v>0.81440000000000001</v>
      </c>
      <c r="G36" s="20"/>
      <c r="H36" s="21" t="s">
        <v>8</v>
      </c>
      <c r="I36" s="260"/>
      <c r="J36" s="125">
        <v>0.98199999999999998</v>
      </c>
      <c r="K36" s="126">
        <v>0.64349999999999996</v>
      </c>
    </row>
    <row r="37" spans="1:11" x14ac:dyDescent="0.2">
      <c r="A37" s="20"/>
      <c r="B37" s="21" t="s">
        <v>1157</v>
      </c>
      <c r="C37" s="125">
        <v>0.86550000000000005</v>
      </c>
      <c r="D37" s="260"/>
      <c r="E37" s="126">
        <v>0.38250000000000001</v>
      </c>
      <c r="G37" s="20"/>
      <c r="H37" s="21" t="s">
        <v>1157</v>
      </c>
      <c r="I37" s="125">
        <v>0.98199999999999998</v>
      </c>
      <c r="J37" s="260"/>
      <c r="K37" s="126">
        <v>0.86609999999999998</v>
      </c>
    </row>
    <row r="38" spans="1:11" x14ac:dyDescent="0.2">
      <c r="A38" s="28"/>
      <c r="B38" s="26" t="s">
        <v>9</v>
      </c>
      <c r="C38" s="128">
        <v>0.81440000000000001</v>
      </c>
      <c r="D38" s="128">
        <v>0.38250000000000001</v>
      </c>
      <c r="E38" s="264"/>
      <c r="G38" s="28"/>
      <c r="H38" s="26" t="s">
        <v>9</v>
      </c>
      <c r="I38" s="128">
        <v>0.64349999999999996</v>
      </c>
      <c r="J38" s="128">
        <v>0.86609999999999998</v>
      </c>
      <c r="K38" s="264"/>
    </row>
  </sheetData>
  <mergeCells count="8">
    <mergeCell ref="W10:AE10"/>
    <mergeCell ref="AF10:AO10"/>
    <mergeCell ref="B2:E2"/>
    <mergeCell ref="F2:J2"/>
    <mergeCell ref="L2:P2"/>
    <mergeCell ref="R2:V2"/>
    <mergeCell ref="B10:L10"/>
    <mergeCell ref="M10:V10"/>
  </mergeCells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2CE417-6110-9543-9093-81F54A5C8BE6}">
  <sheetPr codeName="Sheet31"/>
  <dimension ref="A1:AW66"/>
  <sheetViews>
    <sheetView zoomScaleNormal="100" workbookViewId="0"/>
  </sheetViews>
  <sheetFormatPr baseColWidth="10" defaultRowHeight="16" x14ac:dyDescent="0.2"/>
  <cols>
    <col min="7" max="7" width="12.5" customWidth="1"/>
  </cols>
  <sheetData>
    <row r="1" spans="1:49" x14ac:dyDescent="0.2">
      <c r="A1" t="s">
        <v>1219</v>
      </c>
      <c r="C1" t="s">
        <v>926</v>
      </c>
    </row>
    <row r="2" spans="1:49" x14ac:dyDescent="0.2">
      <c r="A2" s="123"/>
      <c r="B2" s="308" t="s">
        <v>498</v>
      </c>
      <c r="C2" s="318"/>
      <c r="D2" s="318"/>
      <c r="E2" s="318"/>
      <c r="F2" s="318"/>
      <c r="G2" s="318"/>
      <c r="H2" s="318"/>
      <c r="I2" s="318"/>
      <c r="J2" s="318"/>
      <c r="K2" s="318"/>
      <c r="L2" s="318"/>
      <c r="M2" s="319"/>
      <c r="N2" s="308" t="s">
        <v>8</v>
      </c>
      <c r="O2" s="318"/>
      <c r="P2" s="318"/>
      <c r="Q2" s="318"/>
      <c r="R2" s="318"/>
      <c r="S2" s="318"/>
      <c r="T2" s="318"/>
      <c r="U2" s="318"/>
      <c r="V2" s="318"/>
      <c r="W2" s="318"/>
      <c r="X2" s="318"/>
      <c r="Y2" s="319"/>
      <c r="Z2" s="308" t="s">
        <v>274</v>
      </c>
      <c r="AA2" s="318"/>
      <c r="AB2" s="318"/>
      <c r="AC2" s="318"/>
      <c r="AD2" s="318"/>
      <c r="AE2" s="318"/>
      <c r="AF2" s="318"/>
      <c r="AG2" s="318"/>
      <c r="AH2" s="318"/>
      <c r="AI2" s="318"/>
      <c r="AJ2" s="318"/>
      <c r="AK2" s="319"/>
      <c r="AL2" s="308" t="s">
        <v>9</v>
      </c>
      <c r="AM2" s="318"/>
      <c r="AN2" s="318"/>
      <c r="AO2" s="318"/>
      <c r="AP2" s="318"/>
      <c r="AQ2" s="318"/>
      <c r="AR2" s="318"/>
      <c r="AS2" s="318"/>
      <c r="AT2" s="318"/>
      <c r="AU2" s="318"/>
      <c r="AV2" s="318"/>
      <c r="AW2" s="319"/>
    </row>
    <row r="3" spans="1:49" x14ac:dyDescent="0.2">
      <c r="A3" s="156" t="s">
        <v>423</v>
      </c>
      <c r="B3" s="124">
        <v>0.97968496000000005</v>
      </c>
      <c r="C3" s="125">
        <v>0.73991149000000001</v>
      </c>
      <c r="D3" s="125">
        <v>1.0991668000000001</v>
      </c>
      <c r="E3" s="125">
        <v>0.73303784000000005</v>
      </c>
      <c r="F3" s="125">
        <v>1.4119744999999999</v>
      </c>
      <c r="G3" s="125">
        <v>0.87041234000000001</v>
      </c>
      <c r="H3" s="125">
        <v>1.16581208</v>
      </c>
      <c r="I3" s="125"/>
      <c r="J3" s="125"/>
      <c r="K3" s="125"/>
      <c r="L3" s="125"/>
      <c r="M3" s="126"/>
      <c r="N3" s="124">
        <v>1.5055884399999999</v>
      </c>
      <c r="O3" s="125">
        <v>1.4177920100000001</v>
      </c>
      <c r="P3" s="125">
        <v>1.40930456</v>
      </c>
      <c r="Q3" s="125">
        <v>1.73210887</v>
      </c>
      <c r="R3" s="125">
        <v>1.0304726200000001</v>
      </c>
      <c r="S3" s="125">
        <v>1.4462032</v>
      </c>
      <c r="T3" s="125">
        <v>1.4512031400000001</v>
      </c>
      <c r="U3" s="125">
        <v>1.3318314099999999</v>
      </c>
      <c r="V3" s="125">
        <v>1.47438395</v>
      </c>
      <c r="W3" s="125"/>
      <c r="X3" s="125"/>
      <c r="Y3" s="126"/>
      <c r="Z3" s="124">
        <v>1.8950438199999999</v>
      </c>
      <c r="AA3" s="125">
        <v>1.32162727</v>
      </c>
      <c r="AB3" s="125">
        <v>1.71263919</v>
      </c>
      <c r="AC3" s="125">
        <v>1.6965348499999999</v>
      </c>
      <c r="AD3" s="125">
        <v>1.0984542900000001</v>
      </c>
      <c r="AE3" s="125">
        <v>1.54391415</v>
      </c>
      <c r="AF3" s="125">
        <v>0.97712193000000003</v>
      </c>
      <c r="AG3" s="125">
        <v>1.5731967499999999</v>
      </c>
      <c r="AH3" s="125"/>
      <c r="AI3" s="125"/>
      <c r="AJ3" s="125"/>
      <c r="AK3" s="126"/>
      <c r="AL3" s="124">
        <v>1.89582406</v>
      </c>
      <c r="AM3" s="125">
        <v>1.8028156200000001</v>
      </c>
      <c r="AN3" s="125">
        <v>1.1552633000000001</v>
      </c>
      <c r="AO3" s="125">
        <v>0.78490565000000001</v>
      </c>
      <c r="AP3" s="125">
        <v>1.3088947</v>
      </c>
      <c r="AQ3" s="125">
        <v>1.95823909</v>
      </c>
      <c r="AR3" s="125">
        <v>1.19522047</v>
      </c>
      <c r="AS3" s="125">
        <v>1.43252333</v>
      </c>
      <c r="AT3" s="125">
        <v>0.92268220000000001</v>
      </c>
      <c r="AU3" s="125"/>
      <c r="AV3" s="125"/>
      <c r="AW3" s="126"/>
    </row>
    <row r="4" spans="1:49" x14ac:dyDescent="0.2">
      <c r="A4" s="157" t="s">
        <v>386</v>
      </c>
      <c r="B4" s="124">
        <v>0.96281499999999998</v>
      </c>
      <c r="C4" s="125">
        <v>0.78776606999999998</v>
      </c>
      <c r="D4" s="125">
        <v>0.79627208999999999</v>
      </c>
      <c r="E4" s="125">
        <v>1.2374092800000001</v>
      </c>
      <c r="F4" s="125">
        <v>1.05626731</v>
      </c>
      <c r="G4" s="125">
        <v>1.08473964</v>
      </c>
      <c r="H4" s="125">
        <v>1.07473061</v>
      </c>
      <c r="I4" s="125"/>
      <c r="J4" s="125"/>
      <c r="K4" s="125"/>
      <c r="L4" s="125"/>
      <c r="M4" s="126"/>
      <c r="N4" s="124">
        <v>0.8398909</v>
      </c>
      <c r="O4" s="125">
        <v>0.80798806000000001</v>
      </c>
      <c r="P4" s="125">
        <v>0.81907233999999995</v>
      </c>
      <c r="Q4" s="125">
        <v>0.82692979</v>
      </c>
      <c r="R4" s="125">
        <v>0.81650602000000005</v>
      </c>
      <c r="S4" s="125">
        <v>0.75235647000000005</v>
      </c>
      <c r="T4" s="125">
        <v>0.86039390000000004</v>
      </c>
      <c r="U4" s="125">
        <v>1.0024765499999999</v>
      </c>
      <c r="V4" s="125">
        <v>0.79486608000000003</v>
      </c>
      <c r="W4" s="125"/>
      <c r="X4" s="125"/>
      <c r="Y4" s="126"/>
      <c r="Z4" s="124">
        <v>1.05484395</v>
      </c>
      <c r="AA4" s="125">
        <v>0.86024248999999997</v>
      </c>
      <c r="AB4" s="125">
        <v>1.08772969</v>
      </c>
      <c r="AC4" s="125">
        <v>0.80121240999999999</v>
      </c>
      <c r="AD4" s="125">
        <v>0.78671904999999998</v>
      </c>
      <c r="AE4" s="125">
        <v>0.89774419999999999</v>
      </c>
      <c r="AF4" s="125">
        <v>1.2348597100000001</v>
      </c>
      <c r="AG4" s="125">
        <v>0.88105263</v>
      </c>
      <c r="AH4" s="125"/>
      <c r="AI4" s="125"/>
      <c r="AJ4" s="125"/>
      <c r="AK4" s="126"/>
      <c r="AL4" s="124">
        <v>1.0263607800000001</v>
      </c>
      <c r="AM4" s="125">
        <v>1.1714442599999999</v>
      </c>
      <c r="AN4" s="125">
        <v>0.79464603</v>
      </c>
      <c r="AO4" s="125">
        <v>0.76383864000000001</v>
      </c>
      <c r="AP4" s="125">
        <v>0.68728321000000003</v>
      </c>
      <c r="AQ4" s="125">
        <v>0.78588148999999996</v>
      </c>
      <c r="AR4" s="125">
        <v>1.4162078199999999</v>
      </c>
      <c r="AS4" s="125">
        <v>1.0937513400000001</v>
      </c>
      <c r="AT4" s="125">
        <v>1.2236225300000001</v>
      </c>
      <c r="AU4" s="125"/>
      <c r="AV4" s="125"/>
      <c r="AW4" s="126"/>
    </row>
    <row r="5" spans="1:49" x14ac:dyDescent="0.2">
      <c r="A5" s="158" t="s">
        <v>925</v>
      </c>
      <c r="B5" s="127">
        <v>0.87265333</v>
      </c>
      <c r="C5" s="128">
        <v>0.79457034999999998</v>
      </c>
      <c r="D5" s="128">
        <v>0.95466099000000004</v>
      </c>
      <c r="E5" s="128">
        <v>1.0083736599999999</v>
      </c>
      <c r="F5" s="128">
        <v>1.24075069</v>
      </c>
      <c r="G5" s="128">
        <v>1.0340224600000001</v>
      </c>
      <c r="H5" s="128">
        <v>1.0949685199999999</v>
      </c>
      <c r="I5" s="128"/>
      <c r="J5" s="128"/>
      <c r="K5" s="128"/>
      <c r="L5" s="128"/>
      <c r="M5" s="129"/>
      <c r="N5" s="127">
        <v>1.3582031699999999</v>
      </c>
      <c r="O5" s="128">
        <v>1.46066998</v>
      </c>
      <c r="P5" s="128">
        <v>1.2454811299999999</v>
      </c>
      <c r="Q5" s="128">
        <v>1.52257211</v>
      </c>
      <c r="R5" s="128">
        <v>1.07559453</v>
      </c>
      <c r="S5" s="128">
        <v>1.17876271</v>
      </c>
      <c r="T5" s="128">
        <v>1.22296538</v>
      </c>
      <c r="U5" s="128">
        <v>1.2274474799999999</v>
      </c>
      <c r="V5" s="128">
        <v>1.2282059400000001</v>
      </c>
      <c r="W5" s="128"/>
      <c r="X5" s="128"/>
      <c r="Y5" s="129"/>
      <c r="Z5" s="127">
        <v>1.5665177699999999</v>
      </c>
      <c r="AA5" s="128">
        <v>1.4061337599999999</v>
      </c>
      <c r="AB5" s="128">
        <v>1.4760615800000001</v>
      </c>
      <c r="AC5" s="128">
        <v>1.3441524499999999</v>
      </c>
      <c r="AD5" s="128">
        <v>1.0788539800000001</v>
      </c>
      <c r="AE5" s="128">
        <v>1.24916261</v>
      </c>
      <c r="AF5" s="128">
        <v>1.05589175</v>
      </c>
      <c r="AG5" s="128">
        <v>1.3378058799999999</v>
      </c>
      <c r="AH5" s="128"/>
      <c r="AI5" s="128"/>
      <c r="AJ5" s="128"/>
      <c r="AK5" s="129"/>
      <c r="AL5" s="127">
        <v>1.5054881899999999</v>
      </c>
      <c r="AM5" s="128">
        <v>1.5523238500000001</v>
      </c>
      <c r="AN5" s="128">
        <v>1.1547401100000001</v>
      </c>
      <c r="AO5" s="128">
        <v>0.87530047</v>
      </c>
      <c r="AP5" s="128">
        <v>1.12699901</v>
      </c>
      <c r="AQ5" s="128">
        <v>1.4431293199999999</v>
      </c>
      <c r="AR5" s="128">
        <v>1.1793098399999999</v>
      </c>
      <c r="AS5" s="128">
        <v>1.3428629700000001</v>
      </c>
      <c r="AT5" s="128">
        <v>1.20253758</v>
      </c>
      <c r="AU5" s="128"/>
      <c r="AV5" s="128"/>
      <c r="AW5" s="129"/>
    </row>
    <row r="7" spans="1:49" x14ac:dyDescent="0.2">
      <c r="A7" s="155" t="s">
        <v>1218</v>
      </c>
      <c r="C7" t="s">
        <v>929</v>
      </c>
    </row>
    <row r="8" spans="1:49" x14ac:dyDescent="0.2">
      <c r="A8" s="123"/>
      <c r="B8" s="308" t="s">
        <v>498</v>
      </c>
      <c r="C8" s="318"/>
      <c r="D8" s="318"/>
      <c r="E8" s="318"/>
      <c r="F8" s="318"/>
      <c r="G8" s="318"/>
      <c r="H8" s="318"/>
      <c r="I8" s="318"/>
      <c r="J8" s="318"/>
      <c r="K8" s="318"/>
      <c r="L8" s="318"/>
      <c r="M8" s="319"/>
      <c r="N8" s="308" t="s">
        <v>8</v>
      </c>
      <c r="O8" s="318"/>
      <c r="P8" s="318"/>
      <c r="Q8" s="318"/>
      <c r="R8" s="318"/>
      <c r="S8" s="318"/>
      <c r="T8" s="318"/>
      <c r="U8" s="318"/>
      <c r="V8" s="318"/>
      <c r="W8" s="318"/>
      <c r="X8" s="318"/>
      <c r="Y8" s="319"/>
      <c r="Z8" s="308" t="s">
        <v>274</v>
      </c>
      <c r="AA8" s="318"/>
      <c r="AB8" s="318"/>
      <c r="AC8" s="318"/>
      <c r="AD8" s="318"/>
      <c r="AE8" s="318"/>
      <c r="AF8" s="318"/>
      <c r="AG8" s="318"/>
      <c r="AH8" s="318"/>
      <c r="AI8" s="318"/>
      <c r="AJ8" s="318"/>
      <c r="AK8" s="319"/>
      <c r="AL8" s="308" t="s">
        <v>9</v>
      </c>
      <c r="AM8" s="318"/>
      <c r="AN8" s="318"/>
      <c r="AO8" s="318"/>
      <c r="AP8" s="318"/>
      <c r="AQ8" s="318"/>
      <c r="AR8" s="318"/>
      <c r="AS8" s="318"/>
      <c r="AT8" s="318"/>
      <c r="AU8" s="318"/>
      <c r="AV8" s="318"/>
      <c r="AW8" s="319"/>
    </row>
    <row r="9" spans="1:49" x14ac:dyDescent="0.2">
      <c r="A9" s="156" t="s">
        <v>32</v>
      </c>
      <c r="B9" s="124">
        <v>0.50561542000000004</v>
      </c>
      <c r="C9" s="125">
        <v>1.4621846000000001</v>
      </c>
      <c r="D9" s="125">
        <v>0.48410556999999999</v>
      </c>
      <c r="E9" s="125">
        <v>0.88960289000000004</v>
      </c>
      <c r="F9" s="125">
        <v>0.95041856999999996</v>
      </c>
      <c r="G9" s="125">
        <v>1.07123934</v>
      </c>
      <c r="H9" s="125">
        <v>0.43521093</v>
      </c>
      <c r="I9" s="125">
        <v>1.44152608</v>
      </c>
      <c r="J9" s="125">
        <v>1.7600965900000001</v>
      </c>
      <c r="K9" s="125"/>
      <c r="L9" s="125"/>
      <c r="M9" s="126"/>
      <c r="N9" s="124">
        <v>3.7720639199999999</v>
      </c>
      <c r="O9" s="125">
        <v>2.4674382700000002</v>
      </c>
      <c r="P9" s="125">
        <v>3.1464843299999998</v>
      </c>
      <c r="Q9" s="125">
        <v>1.31714065</v>
      </c>
      <c r="R9" s="125">
        <v>2.5028000800000001</v>
      </c>
      <c r="S9" s="125">
        <v>1.7123183500000001</v>
      </c>
      <c r="T9" s="125">
        <v>2.3351254400000001</v>
      </c>
      <c r="U9" s="125">
        <v>5.8159501300000001</v>
      </c>
      <c r="V9" s="125">
        <v>3.1689477300000002</v>
      </c>
      <c r="W9" s="125">
        <v>4.7302689600000001</v>
      </c>
      <c r="X9" s="125">
        <v>0.75283120000000003</v>
      </c>
      <c r="Y9" s="126"/>
      <c r="Z9" s="124">
        <v>1.7834059799999999</v>
      </c>
      <c r="AA9" s="125">
        <v>3.5426984699999999</v>
      </c>
      <c r="AB9" s="125">
        <v>2.6754082800000001</v>
      </c>
      <c r="AC9" s="125">
        <v>4.0822955099999998</v>
      </c>
      <c r="AD9" s="125">
        <v>1.5580638499999999</v>
      </c>
      <c r="AE9" s="125">
        <v>2.26390256</v>
      </c>
      <c r="AF9" s="125">
        <v>4.7335615799999999</v>
      </c>
      <c r="AG9" s="125">
        <v>1.84935816</v>
      </c>
      <c r="AH9" s="125">
        <v>4.8917534399999996</v>
      </c>
      <c r="AI9" s="125">
        <v>8.7753970799999994</v>
      </c>
      <c r="AJ9" s="125">
        <v>2.55043833</v>
      </c>
      <c r="AK9" s="126"/>
      <c r="AL9" s="124">
        <v>3.24483532</v>
      </c>
      <c r="AM9" s="125">
        <v>1.10534003</v>
      </c>
      <c r="AN9" s="125">
        <v>1.6302217299999999</v>
      </c>
      <c r="AO9" s="125">
        <v>0.97053518000000005</v>
      </c>
      <c r="AP9" s="125">
        <v>0.55244956000000001</v>
      </c>
      <c r="AQ9" s="125">
        <v>3.3837755199999999</v>
      </c>
      <c r="AR9" s="125">
        <v>2.1799436299999999</v>
      </c>
      <c r="AS9" s="125">
        <v>7.8362585300000003</v>
      </c>
      <c r="AT9" s="125">
        <v>3.02350743</v>
      </c>
      <c r="AU9" s="125">
        <v>0.49082146999999998</v>
      </c>
      <c r="AV9" s="125">
        <v>0.93697260999999998</v>
      </c>
      <c r="AW9" s="126">
        <v>1.5623238699999999</v>
      </c>
    </row>
    <row r="10" spans="1:49" x14ac:dyDescent="0.2">
      <c r="A10" s="157" t="s">
        <v>927</v>
      </c>
      <c r="B10" s="124">
        <v>0.80327035000000002</v>
      </c>
      <c r="C10" s="125">
        <v>0.93034921000000004</v>
      </c>
      <c r="D10" s="125">
        <v>0.50962034</v>
      </c>
      <c r="E10" s="125">
        <v>0.75718717000000002</v>
      </c>
      <c r="F10" s="125">
        <v>0.93867862999999996</v>
      </c>
      <c r="G10" s="125">
        <v>1.83627585</v>
      </c>
      <c r="H10" s="125">
        <v>0.86093684999999998</v>
      </c>
      <c r="I10" s="125">
        <v>0.76541395999999995</v>
      </c>
      <c r="J10" s="125">
        <v>1.59826764</v>
      </c>
      <c r="K10" s="125"/>
      <c r="L10" s="125"/>
      <c r="M10" s="126"/>
      <c r="N10" s="124">
        <v>2.9282753800000001</v>
      </c>
      <c r="O10" s="125">
        <v>2.6542560800000001</v>
      </c>
      <c r="P10" s="125">
        <v>2.9693510299999999</v>
      </c>
      <c r="Q10" s="125">
        <v>2.2416816100000001</v>
      </c>
      <c r="R10" s="125">
        <v>2.16812184</v>
      </c>
      <c r="S10" s="125">
        <v>2.3865942100000002</v>
      </c>
      <c r="T10" s="125">
        <v>1.6945615199999999</v>
      </c>
      <c r="U10" s="125">
        <v>1.2162461099999999</v>
      </c>
      <c r="V10" s="125">
        <v>1.3285831699999999</v>
      </c>
      <c r="W10" s="125">
        <v>1.92044211</v>
      </c>
      <c r="X10" s="125">
        <v>0.61661529999999998</v>
      </c>
      <c r="Y10" s="126"/>
      <c r="Z10" s="124">
        <v>0.89581672000000001</v>
      </c>
      <c r="AA10" s="125">
        <v>2.4655450000000001</v>
      </c>
      <c r="AB10" s="125">
        <v>1.8178876799999999</v>
      </c>
      <c r="AC10" s="125">
        <v>1.70270717</v>
      </c>
      <c r="AD10" s="125">
        <v>0.86774017999999997</v>
      </c>
      <c r="AE10" s="125">
        <v>1.53152925</v>
      </c>
      <c r="AF10" s="125">
        <v>1.0797432600000001</v>
      </c>
      <c r="AG10" s="125">
        <v>1.2894410599999999</v>
      </c>
      <c r="AH10" s="125">
        <v>1.2430831499999999</v>
      </c>
      <c r="AI10" s="125">
        <v>1.16230637</v>
      </c>
      <c r="AJ10" s="125">
        <v>2.16696534</v>
      </c>
      <c r="AK10" s="126"/>
      <c r="AL10" s="124">
        <v>1.9557741900000001</v>
      </c>
      <c r="AM10" s="125">
        <v>0.77850876999999996</v>
      </c>
      <c r="AN10" s="125">
        <v>1.59996877</v>
      </c>
      <c r="AO10" s="125">
        <v>0.71251114000000004</v>
      </c>
      <c r="AP10" s="125">
        <v>0.50099125</v>
      </c>
      <c r="AQ10" s="125">
        <v>1.8895440100000001</v>
      </c>
      <c r="AR10" s="125">
        <v>1.38284428</v>
      </c>
      <c r="AS10" s="125">
        <v>2.8308479000000002</v>
      </c>
      <c r="AT10" s="125">
        <v>2.2284995799999998</v>
      </c>
      <c r="AU10" s="125">
        <v>0.54402662999999996</v>
      </c>
      <c r="AV10" s="125">
        <v>0.64477912999999998</v>
      </c>
      <c r="AW10" s="126">
        <v>0.76394972999999999</v>
      </c>
    </row>
    <row r="11" spans="1:49" x14ac:dyDescent="0.2">
      <c r="A11" s="157" t="s">
        <v>50</v>
      </c>
      <c r="B11" s="124">
        <v>1.1950867199999999</v>
      </c>
      <c r="C11" s="125">
        <v>1.33906551</v>
      </c>
      <c r="D11" s="125">
        <v>0.43473922999999998</v>
      </c>
      <c r="E11" s="125">
        <v>1.05171792</v>
      </c>
      <c r="F11" s="125">
        <v>1.0348606899999999</v>
      </c>
      <c r="G11" s="125">
        <v>2.9041885299999999</v>
      </c>
      <c r="H11" s="125">
        <v>0.35192647999999999</v>
      </c>
      <c r="I11" s="125">
        <v>0.15692512</v>
      </c>
      <c r="J11" s="125">
        <v>0.53148978999999996</v>
      </c>
      <c r="K11" s="125"/>
      <c r="L11" s="125"/>
      <c r="M11" s="126"/>
      <c r="N11" s="124">
        <v>2.2348895199999999</v>
      </c>
      <c r="O11" s="125">
        <v>1.7564790400000001</v>
      </c>
      <c r="P11" s="125">
        <v>2.23379349</v>
      </c>
      <c r="Q11" s="125">
        <v>1.70695803</v>
      </c>
      <c r="R11" s="125">
        <v>2.7067773100000001</v>
      </c>
      <c r="S11" s="125">
        <v>2.52040058</v>
      </c>
      <c r="T11" s="125">
        <v>1.5313906100000001</v>
      </c>
      <c r="U11" s="125">
        <v>0.79728410999999999</v>
      </c>
      <c r="V11" s="125">
        <v>1.1080698</v>
      </c>
      <c r="W11" s="125">
        <v>1.3089694700000001</v>
      </c>
      <c r="X11" s="125">
        <v>0.63205977999999996</v>
      </c>
      <c r="Y11" s="126"/>
      <c r="Z11" s="124">
        <v>0.54582766000000005</v>
      </c>
      <c r="AA11" s="125">
        <v>2.9837561500000001</v>
      </c>
      <c r="AB11" s="125">
        <v>2.3888059699999999</v>
      </c>
      <c r="AC11" s="125">
        <v>2.9306605399999999</v>
      </c>
      <c r="AD11" s="125">
        <v>0.90831057999999998</v>
      </c>
      <c r="AE11" s="125">
        <v>1.59631184</v>
      </c>
      <c r="AF11" s="125">
        <v>1.0941771</v>
      </c>
      <c r="AG11" s="125">
        <v>0.48718984999999998</v>
      </c>
      <c r="AH11" s="125">
        <v>0.91127049000000004</v>
      </c>
      <c r="AI11" s="125">
        <v>1.0216379200000001</v>
      </c>
      <c r="AJ11" s="125">
        <v>0.67648997</v>
      </c>
      <c r="AK11" s="126"/>
      <c r="AL11" s="124">
        <v>1.61500569</v>
      </c>
      <c r="AM11" s="125">
        <v>1.0536994500000001</v>
      </c>
      <c r="AN11" s="125">
        <v>2.2470870999999999</v>
      </c>
      <c r="AO11" s="125">
        <v>0.74013667999999999</v>
      </c>
      <c r="AP11" s="125">
        <v>0.35431688</v>
      </c>
      <c r="AQ11" s="125">
        <v>1.26478161</v>
      </c>
      <c r="AR11" s="125">
        <v>1.8306174</v>
      </c>
      <c r="AS11" s="125">
        <v>1.4163412799999999</v>
      </c>
      <c r="AT11" s="125">
        <v>2.3406708200000002</v>
      </c>
      <c r="AU11" s="125">
        <v>0.20959417999999999</v>
      </c>
      <c r="AV11" s="125">
        <v>0.34726780000000002</v>
      </c>
      <c r="AW11" s="126">
        <v>0.73739714999999995</v>
      </c>
    </row>
    <row r="12" spans="1:49" x14ac:dyDescent="0.2">
      <c r="A12" s="158" t="s">
        <v>928</v>
      </c>
      <c r="B12" s="127">
        <v>0.54072536000000004</v>
      </c>
      <c r="C12" s="128">
        <v>0.64586027000000001</v>
      </c>
      <c r="D12" s="128">
        <v>0.54916989999999999</v>
      </c>
      <c r="E12" s="128">
        <v>0.54446466999999998</v>
      </c>
      <c r="F12" s="128">
        <v>0.86758086999999995</v>
      </c>
      <c r="G12" s="128">
        <v>1.1244298800000001</v>
      </c>
      <c r="H12" s="128">
        <v>1.2186282799999999</v>
      </c>
      <c r="I12" s="128">
        <v>1.17454441</v>
      </c>
      <c r="J12" s="128">
        <v>2.3345963699999999</v>
      </c>
      <c r="K12" s="128"/>
      <c r="L12" s="128"/>
      <c r="M12" s="129"/>
      <c r="N12" s="127">
        <v>3.35190879</v>
      </c>
      <c r="O12" s="128">
        <v>3.2060902599999999</v>
      </c>
      <c r="P12" s="128">
        <v>3.4337210200000001</v>
      </c>
      <c r="Q12" s="128">
        <v>2.5752698600000001</v>
      </c>
      <c r="R12" s="128">
        <v>1.79834892</v>
      </c>
      <c r="S12" s="128">
        <v>2.2830673799999999</v>
      </c>
      <c r="T12" s="128">
        <v>1.8429205799999999</v>
      </c>
      <c r="U12" s="128">
        <v>1.5282538999999999</v>
      </c>
      <c r="V12" s="128">
        <v>1.50000376</v>
      </c>
      <c r="W12" s="128">
        <v>2.3602245700000002</v>
      </c>
      <c r="X12" s="128">
        <v>0.61788191000000003</v>
      </c>
      <c r="Y12" s="129"/>
      <c r="Z12" s="127">
        <v>1.1208511400000001</v>
      </c>
      <c r="AA12" s="128">
        <v>2.11302229</v>
      </c>
      <c r="AB12" s="128">
        <v>1.42944995</v>
      </c>
      <c r="AC12" s="128">
        <v>0.86726773999999995</v>
      </c>
      <c r="AD12" s="128">
        <v>0.82693282999999995</v>
      </c>
      <c r="AE12" s="128">
        <v>1.4719242400000001</v>
      </c>
      <c r="AF12" s="128">
        <v>1.0896347500000001</v>
      </c>
      <c r="AG12" s="128">
        <v>1.8255772100000001</v>
      </c>
      <c r="AH12" s="128">
        <v>1.48140304</v>
      </c>
      <c r="AI12" s="128">
        <v>1.2764759000000001</v>
      </c>
      <c r="AJ12" s="128">
        <v>3.1501601699999999</v>
      </c>
      <c r="AK12" s="129"/>
      <c r="AL12" s="127">
        <v>2.1403339300000002</v>
      </c>
      <c r="AM12" s="128">
        <v>0.58680270999999995</v>
      </c>
      <c r="AN12" s="128">
        <v>1.16248087</v>
      </c>
      <c r="AO12" s="128">
        <v>0.69218186999999998</v>
      </c>
      <c r="AP12" s="128">
        <v>0.59399356000000003</v>
      </c>
      <c r="AQ12" s="128">
        <v>2.2917405400000002</v>
      </c>
      <c r="AR12" s="128">
        <v>1.08303902</v>
      </c>
      <c r="AS12" s="128">
        <v>3.8075392400000001</v>
      </c>
      <c r="AT12" s="128">
        <v>2.1739305199999999</v>
      </c>
      <c r="AU12" s="128">
        <v>0.77119654999999998</v>
      </c>
      <c r="AV12" s="128">
        <v>0.84092109000000004</v>
      </c>
      <c r="AW12" s="129">
        <v>0.79056948000000005</v>
      </c>
    </row>
    <row r="14" spans="1:49" x14ac:dyDescent="0.2">
      <c r="A14" s="155" t="s">
        <v>1220</v>
      </c>
    </row>
    <row r="15" spans="1:49" x14ac:dyDescent="0.2">
      <c r="A15" s="123"/>
      <c r="B15" s="308" t="s">
        <v>498</v>
      </c>
      <c r="C15" s="318"/>
      <c r="D15" s="318"/>
      <c r="E15" s="318"/>
      <c r="F15" s="318"/>
      <c r="G15" s="318"/>
      <c r="H15" s="318"/>
      <c r="I15" s="318"/>
      <c r="J15" s="318"/>
      <c r="K15" s="318"/>
      <c r="L15" s="318"/>
      <c r="M15" s="319"/>
      <c r="N15" s="308" t="s">
        <v>8</v>
      </c>
      <c r="O15" s="318"/>
      <c r="P15" s="318"/>
      <c r="Q15" s="318"/>
      <c r="R15" s="318"/>
      <c r="S15" s="318"/>
      <c r="T15" s="318"/>
      <c r="U15" s="318"/>
      <c r="V15" s="318"/>
      <c r="W15" s="318"/>
      <c r="X15" s="318"/>
      <c r="Y15" s="319"/>
      <c r="Z15" s="308" t="s">
        <v>274</v>
      </c>
      <c r="AA15" s="318"/>
      <c r="AB15" s="318"/>
      <c r="AC15" s="318"/>
      <c r="AD15" s="318"/>
      <c r="AE15" s="318"/>
      <c r="AF15" s="318"/>
      <c r="AG15" s="318"/>
      <c r="AH15" s="318"/>
      <c r="AI15" s="318"/>
      <c r="AJ15" s="318"/>
      <c r="AK15" s="319"/>
      <c r="AL15" s="308" t="s">
        <v>9</v>
      </c>
      <c r="AM15" s="318"/>
      <c r="AN15" s="318"/>
      <c r="AO15" s="318"/>
      <c r="AP15" s="318"/>
      <c r="AQ15" s="318"/>
      <c r="AR15" s="318"/>
      <c r="AS15" s="318"/>
      <c r="AT15" s="318"/>
      <c r="AU15" s="318"/>
      <c r="AV15" s="318"/>
      <c r="AW15" s="319"/>
    </row>
    <row r="16" spans="1:49" x14ac:dyDescent="0.2">
      <c r="A16" s="156" t="s">
        <v>930</v>
      </c>
      <c r="B16" s="124">
        <v>0.71789126000000003</v>
      </c>
      <c r="C16" s="125">
        <v>1.0727810099999999</v>
      </c>
      <c r="D16" s="125">
        <v>0.87868210999999996</v>
      </c>
      <c r="E16" s="125">
        <v>1.1702074899999999</v>
      </c>
      <c r="F16" s="125">
        <v>1.1400797</v>
      </c>
      <c r="G16" s="125">
        <v>0.81665352999999996</v>
      </c>
      <c r="H16" s="125">
        <v>1.5887353</v>
      </c>
      <c r="I16" s="125">
        <v>0.50361871000000002</v>
      </c>
      <c r="J16" s="125">
        <v>1.1113508999999999</v>
      </c>
      <c r="K16" s="125"/>
      <c r="L16" s="125"/>
      <c r="M16" s="126"/>
      <c r="N16" s="124">
        <v>2.2785407800000002</v>
      </c>
      <c r="O16" s="125">
        <v>4.0865230400000003</v>
      </c>
      <c r="P16" s="125">
        <v>1.9080560200000001</v>
      </c>
      <c r="Q16" s="125">
        <v>3.2230617399999999</v>
      </c>
      <c r="R16" s="125">
        <v>0.73647467</v>
      </c>
      <c r="S16" s="125">
        <v>0.85028775000000001</v>
      </c>
      <c r="T16" s="125">
        <v>3.1262391100000002</v>
      </c>
      <c r="U16" s="125">
        <v>2.97854492</v>
      </c>
      <c r="V16" s="125">
        <v>2.2112530000000001</v>
      </c>
      <c r="W16" s="125">
        <v>2.8546989300000001</v>
      </c>
      <c r="X16" s="125">
        <v>2.8674549900000001</v>
      </c>
      <c r="Y16" s="126"/>
      <c r="Z16" s="124">
        <v>1.161613</v>
      </c>
      <c r="AA16" s="125">
        <v>0.98306616000000002</v>
      </c>
      <c r="AB16" s="125">
        <v>1.04050566</v>
      </c>
      <c r="AC16" s="125">
        <v>1.7077496000000001</v>
      </c>
      <c r="AD16" s="125">
        <v>0.94738109000000004</v>
      </c>
      <c r="AE16" s="125">
        <v>2.7070076200000002</v>
      </c>
      <c r="AF16" s="125">
        <v>2.5499409800000001</v>
      </c>
      <c r="AG16" s="125">
        <v>0.95948047000000003</v>
      </c>
      <c r="AH16" s="125">
        <v>1.43328985</v>
      </c>
      <c r="AI16" s="125">
        <v>1.6511499000000001</v>
      </c>
      <c r="AJ16" s="125">
        <v>0.80845014999999998</v>
      </c>
      <c r="AK16" s="126"/>
      <c r="AL16" s="124">
        <v>1.5712059599999999</v>
      </c>
      <c r="AM16" s="125">
        <v>1.5943939600000001</v>
      </c>
      <c r="AN16" s="125">
        <v>1.07588225</v>
      </c>
      <c r="AO16" s="125">
        <v>0.52320387999999995</v>
      </c>
      <c r="AP16" s="125">
        <v>0.58373986</v>
      </c>
      <c r="AQ16" s="125">
        <v>1.3844343800000001</v>
      </c>
      <c r="AR16" s="125">
        <v>0.65704673000000002</v>
      </c>
      <c r="AS16" s="125">
        <v>1.0717362699999999</v>
      </c>
      <c r="AT16" s="125">
        <v>1.19979751</v>
      </c>
      <c r="AU16" s="125">
        <v>0.49393373000000002</v>
      </c>
      <c r="AV16" s="125">
        <v>2.6268293900000002</v>
      </c>
      <c r="AW16" s="126">
        <v>2.3886635300000001</v>
      </c>
    </row>
    <row r="17" spans="1:49" x14ac:dyDescent="0.2">
      <c r="A17" s="157" t="s">
        <v>143</v>
      </c>
      <c r="B17" s="124">
        <v>1.1847722300000001</v>
      </c>
      <c r="C17" s="125">
        <v>1.2736149400000001</v>
      </c>
      <c r="D17" s="125">
        <v>0.95323460999999998</v>
      </c>
      <c r="E17" s="125">
        <v>1.48557889</v>
      </c>
      <c r="F17" s="125">
        <v>0.83754678000000005</v>
      </c>
      <c r="G17" s="125">
        <v>0.79280269999999997</v>
      </c>
      <c r="H17" s="125">
        <v>0.70018521</v>
      </c>
      <c r="I17" s="125">
        <v>0.81225769000000003</v>
      </c>
      <c r="J17" s="125">
        <v>0.96000695999999996</v>
      </c>
      <c r="K17" s="125"/>
      <c r="L17" s="125"/>
      <c r="M17" s="126"/>
      <c r="N17" s="124">
        <v>1.5206944600000001</v>
      </c>
      <c r="O17" s="125">
        <v>1.64858112</v>
      </c>
      <c r="P17" s="125">
        <v>1.3144527800000001</v>
      </c>
      <c r="Q17" s="125">
        <v>1.2857500500000001</v>
      </c>
      <c r="R17" s="125">
        <v>0.84252185999999996</v>
      </c>
      <c r="S17" s="125">
        <v>0.79181539999999995</v>
      </c>
      <c r="T17" s="125">
        <v>1.03567374</v>
      </c>
      <c r="U17" s="125">
        <v>0.86460917999999998</v>
      </c>
      <c r="V17" s="125">
        <v>0.77835628000000001</v>
      </c>
      <c r="W17" s="125">
        <v>0.89141241999999998</v>
      </c>
      <c r="X17" s="125">
        <v>0.86041924999999997</v>
      </c>
      <c r="Y17" s="126"/>
      <c r="Z17" s="124">
        <v>0.78425535000000002</v>
      </c>
      <c r="AA17" s="125">
        <v>0.92357617000000003</v>
      </c>
      <c r="AB17" s="125">
        <v>0.93665403999999997</v>
      </c>
      <c r="AC17" s="125">
        <v>1.63295547</v>
      </c>
      <c r="AD17" s="125">
        <v>1.1489436099999999</v>
      </c>
      <c r="AE17" s="125">
        <v>1.55118288</v>
      </c>
      <c r="AF17" s="125">
        <v>0.81817465</v>
      </c>
      <c r="AG17" s="125">
        <v>0.85633369000000004</v>
      </c>
      <c r="AH17" s="125">
        <v>1.06659419</v>
      </c>
      <c r="AI17" s="125">
        <v>1.0569604399999999</v>
      </c>
      <c r="AJ17" s="125">
        <v>0.77795002999999996</v>
      </c>
      <c r="AK17" s="126"/>
      <c r="AL17" s="124">
        <v>1.63397079</v>
      </c>
      <c r="AM17" s="125">
        <v>1.32545815</v>
      </c>
      <c r="AN17" s="125">
        <v>1.3733223800000001</v>
      </c>
      <c r="AO17" s="125">
        <v>1.2987727600000001</v>
      </c>
      <c r="AP17" s="125">
        <v>0.84076399000000002</v>
      </c>
      <c r="AQ17" s="125">
        <v>0.95546266999999996</v>
      </c>
      <c r="AR17" s="125">
        <v>0.94097132000000006</v>
      </c>
      <c r="AS17" s="125">
        <v>0.91047328000000005</v>
      </c>
      <c r="AT17" s="125">
        <v>0.88503865000000004</v>
      </c>
      <c r="AU17" s="125">
        <v>1.1856928</v>
      </c>
      <c r="AV17" s="125">
        <v>1.35122783</v>
      </c>
      <c r="AW17" s="126">
        <v>0.83235634999999997</v>
      </c>
    </row>
    <row r="18" spans="1:49" x14ac:dyDescent="0.2">
      <c r="A18" s="157" t="s">
        <v>13</v>
      </c>
      <c r="B18" s="124">
        <v>0.43899116999999999</v>
      </c>
      <c r="C18" s="125">
        <v>0.95023378000000003</v>
      </c>
      <c r="D18" s="125">
        <v>0.65260921000000005</v>
      </c>
      <c r="E18" s="125">
        <v>0.62577294999999999</v>
      </c>
      <c r="F18" s="125">
        <v>1.8447531100000001</v>
      </c>
      <c r="G18" s="125">
        <v>1.1224552999999999</v>
      </c>
      <c r="H18" s="125">
        <v>1.4189204500000001</v>
      </c>
      <c r="I18" s="125">
        <v>1.27642685</v>
      </c>
      <c r="J18" s="125">
        <v>0.66983718999999997</v>
      </c>
      <c r="K18" s="125"/>
      <c r="L18" s="125"/>
      <c r="M18" s="126"/>
      <c r="N18" s="124">
        <v>1.96506874</v>
      </c>
      <c r="O18" s="125">
        <v>2.0736590499999998</v>
      </c>
      <c r="P18" s="125">
        <v>0.80446273000000001</v>
      </c>
      <c r="Q18" s="125">
        <v>1.61869939</v>
      </c>
      <c r="R18" s="125">
        <v>1.07107441</v>
      </c>
      <c r="S18" s="125">
        <v>0.70207640000000004</v>
      </c>
      <c r="T18" s="125">
        <v>1.0678058100000001</v>
      </c>
      <c r="U18" s="125">
        <v>0.96279053999999997</v>
      </c>
      <c r="V18" s="125">
        <v>0.90328030000000004</v>
      </c>
      <c r="W18" s="125">
        <v>0.89187304999999995</v>
      </c>
      <c r="X18" s="125">
        <v>1.1074429699999999</v>
      </c>
      <c r="Y18" s="126"/>
      <c r="Z18" s="124">
        <v>1.3645763500000001</v>
      </c>
      <c r="AA18" s="125">
        <v>1.37404769</v>
      </c>
      <c r="AB18" s="125">
        <v>1.25443876</v>
      </c>
      <c r="AC18" s="125">
        <v>1.8951123599999999</v>
      </c>
      <c r="AD18" s="125">
        <v>0.44211600000000001</v>
      </c>
      <c r="AE18" s="125">
        <v>1.32202179</v>
      </c>
      <c r="AF18" s="125">
        <v>1.15057656</v>
      </c>
      <c r="AG18" s="125">
        <v>0.97866377999999998</v>
      </c>
      <c r="AH18" s="125">
        <v>1.1790667399999999</v>
      </c>
      <c r="AI18" s="125">
        <v>1.08407714</v>
      </c>
      <c r="AJ18" s="125">
        <v>1.0928134899999999</v>
      </c>
      <c r="AK18" s="126"/>
      <c r="AL18" s="124">
        <v>2.4168780700000001</v>
      </c>
      <c r="AM18" s="125">
        <v>2.1753935700000002</v>
      </c>
      <c r="AN18" s="125">
        <v>0.89699054</v>
      </c>
      <c r="AO18" s="125">
        <v>0.33984020999999998</v>
      </c>
      <c r="AP18" s="125">
        <v>1.64576178</v>
      </c>
      <c r="AQ18" s="125">
        <v>1.58113678</v>
      </c>
      <c r="AR18" s="125">
        <v>0.94006080999999997</v>
      </c>
      <c r="AS18" s="125">
        <v>1.5320284200000001</v>
      </c>
      <c r="AT18" s="125">
        <v>0.92353236999999999</v>
      </c>
      <c r="AU18" s="125">
        <v>1.46251398</v>
      </c>
      <c r="AV18" s="125">
        <v>1.3768359299999999</v>
      </c>
      <c r="AW18" s="126">
        <v>1.17547972</v>
      </c>
    </row>
    <row r="19" spans="1:49" x14ac:dyDescent="0.2">
      <c r="A19" s="157" t="s">
        <v>936</v>
      </c>
      <c r="B19" s="124">
        <v>0.66281804</v>
      </c>
      <c r="C19" s="125">
        <v>1.5503201600000001</v>
      </c>
      <c r="D19" s="125">
        <v>0.63062576999999997</v>
      </c>
      <c r="E19" s="125">
        <v>1.31226887</v>
      </c>
      <c r="F19" s="125">
        <v>1.0316040200000001</v>
      </c>
      <c r="G19" s="125">
        <v>0.81236315000000003</v>
      </c>
      <c r="H19" s="125"/>
      <c r="I19" s="125"/>
      <c r="J19" s="125"/>
      <c r="K19" s="125"/>
      <c r="L19" s="125"/>
      <c r="M19" s="126"/>
      <c r="N19" s="124">
        <v>3.5274666300000002</v>
      </c>
      <c r="O19" s="125">
        <v>3.7730243099999998</v>
      </c>
      <c r="P19" s="125">
        <v>2.5822505100000002</v>
      </c>
      <c r="Q19" s="125">
        <v>5.6529343000000001</v>
      </c>
      <c r="R19" s="125">
        <v>1.2346929200000001</v>
      </c>
      <c r="S19" s="125">
        <v>1.84652408</v>
      </c>
      <c r="T19" s="125"/>
      <c r="U19" s="125"/>
      <c r="V19" s="125"/>
      <c r="W19" s="125"/>
      <c r="X19" s="125"/>
      <c r="Y19" s="126"/>
      <c r="Z19" s="124">
        <v>1.0724995399999999</v>
      </c>
      <c r="AA19" s="125">
        <v>1.6242157500000001</v>
      </c>
      <c r="AB19" s="125">
        <v>1.6398571500000001</v>
      </c>
      <c r="AC19" s="125">
        <v>2.9211166999999998</v>
      </c>
      <c r="AD19" s="125">
        <v>0.52942518999999999</v>
      </c>
      <c r="AE19" s="125">
        <v>2.0877329200000001</v>
      </c>
      <c r="AF19" s="125"/>
      <c r="AG19" s="125"/>
      <c r="AH19" s="125"/>
      <c r="AI19" s="125"/>
      <c r="AJ19" s="125"/>
      <c r="AK19" s="126"/>
      <c r="AL19" s="124">
        <v>3.8468392100000002</v>
      </c>
      <c r="AM19" s="125">
        <v>2.7434787900000002</v>
      </c>
      <c r="AN19" s="125">
        <v>2.23067094</v>
      </c>
      <c r="AO19" s="125">
        <v>0.66566053000000003</v>
      </c>
      <c r="AP19" s="125">
        <v>0.54463134999999996</v>
      </c>
      <c r="AQ19" s="125">
        <v>1.7529972</v>
      </c>
      <c r="AR19" s="125">
        <v>1.5848138899999999</v>
      </c>
      <c r="AS19" s="125"/>
      <c r="AT19" s="125"/>
      <c r="AU19" s="125"/>
      <c r="AV19" s="125"/>
      <c r="AW19" s="126"/>
    </row>
    <row r="20" spans="1:49" x14ac:dyDescent="0.2">
      <c r="A20" s="157" t="s">
        <v>27</v>
      </c>
      <c r="B20" s="124">
        <v>0.52530863000000005</v>
      </c>
      <c r="C20" s="125">
        <v>0.43238935000000001</v>
      </c>
      <c r="D20" s="125">
        <v>0.84778226000000001</v>
      </c>
      <c r="E20" s="125">
        <v>1.0611742900000001</v>
      </c>
      <c r="F20" s="125">
        <v>1.5024856</v>
      </c>
      <c r="G20" s="125">
        <v>1.0968583999999999</v>
      </c>
      <c r="H20" s="125">
        <v>1.1662951699999999</v>
      </c>
      <c r="I20" s="125">
        <v>1.09564372</v>
      </c>
      <c r="J20" s="125">
        <v>1.27206259</v>
      </c>
      <c r="K20" s="125"/>
      <c r="L20" s="125"/>
      <c r="M20" s="126"/>
      <c r="N20" s="124">
        <v>1.2986533499999999</v>
      </c>
      <c r="O20" s="125">
        <v>0.91654360999999995</v>
      </c>
      <c r="P20" s="125">
        <v>1.1799877000000001</v>
      </c>
      <c r="Q20" s="125">
        <v>1.45737307</v>
      </c>
      <c r="R20" s="125">
        <v>1.23797782</v>
      </c>
      <c r="S20" s="125">
        <v>1.2884979400000001</v>
      </c>
      <c r="T20" s="125">
        <v>1.3257324699999999</v>
      </c>
      <c r="U20" s="125">
        <v>1.1744746699999999</v>
      </c>
      <c r="V20" s="125">
        <v>1.0973084099999999</v>
      </c>
      <c r="W20" s="125">
        <v>1.03842441</v>
      </c>
      <c r="X20" s="125"/>
      <c r="Y20" s="126"/>
      <c r="Z20" s="124">
        <v>0.97352289000000003</v>
      </c>
      <c r="AA20" s="125">
        <v>0.60292029000000003</v>
      </c>
      <c r="AB20" s="125">
        <v>0.93022998000000001</v>
      </c>
      <c r="AC20" s="125">
        <v>1.25238213</v>
      </c>
      <c r="AD20" s="125">
        <v>0.37543037000000001</v>
      </c>
      <c r="AE20" s="125">
        <v>0.61198680000000005</v>
      </c>
      <c r="AF20" s="125">
        <v>1.15192962</v>
      </c>
      <c r="AG20" s="125">
        <v>1.59868207</v>
      </c>
      <c r="AH20" s="125">
        <v>1.6944388399999999</v>
      </c>
      <c r="AI20" s="125">
        <v>1.0274311199999999</v>
      </c>
      <c r="AJ20" s="125">
        <v>1.4340526199999999</v>
      </c>
      <c r="AK20" s="126"/>
      <c r="AL20" s="124">
        <v>1.03166248</v>
      </c>
      <c r="AM20" s="125">
        <v>0.98719738000000001</v>
      </c>
      <c r="AN20" s="125">
        <v>0.91535496000000005</v>
      </c>
      <c r="AO20" s="125">
        <v>1.00509465</v>
      </c>
      <c r="AP20" s="125">
        <v>1.0515551700000001</v>
      </c>
      <c r="AQ20" s="125">
        <v>1.3219181799999999</v>
      </c>
      <c r="AR20" s="125">
        <v>1.3288618699999999</v>
      </c>
      <c r="AS20" s="125">
        <v>0.75297709000000002</v>
      </c>
      <c r="AT20" s="125">
        <v>0.51774343</v>
      </c>
      <c r="AU20" s="125">
        <v>0.95178315999999996</v>
      </c>
      <c r="AV20" s="125">
        <v>1.4084993299999999</v>
      </c>
      <c r="AW20" s="126"/>
    </row>
    <row r="21" spans="1:49" x14ac:dyDescent="0.2">
      <c r="A21" s="157" t="s">
        <v>31</v>
      </c>
      <c r="B21" s="124">
        <v>1.5598430599999999</v>
      </c>
      <c r="C21" s="125">
        <v>1.14022435</v>
      </c>
      <c r="D21" s="125">
        <v>1.2508152299999999</v>
      </c>
      <c r="E21" s="125">
        <v>0.47985850000000002</v>
      </c>
      <c r="F21" s="125">
        <v>1.8899630700000001</v>
      </c>
      <c r="G21" s="125">
        <v>1.67712449</v>
      </c>
      <c r="H21" s="125">
        <v>0.34901141000000002</v>
      </c>
      <c r="I21" s="125">
        <v>0.45895192000000001</v>
      </c>
      <c r="J21" s="125">
        <v>0.19420796000000001</v>
      </c>
      <c r="K21" s="125"/>
      <c r="L21" s="125"/>
      <c r="M21" s="126"/>
      <c r="N21" s="124">
        <v>0.36913689</v>
      </c>
      <c r="O21" s="125">
        <v>0.41300677000000002</v>
      </c>
      <c r="P21" s="125">
        <v>0.41204579000000002</v>
      </c>
      <c r="Q21" s="125">
        <v>0.33371766000000003</v>
      </c>
      <c r="R21" s="125">
        <v>1.1061490899999999</v>
      </c>
      <c r="S21" s="125">
        <v>0.34198988000000002</v>
      </c>
      <c r="T21" s="125">
        <v>0.42358845000000001</v>
      </c>
      <c r="U21" s="125">
        <v>5.6886109999999997E-2</v>
      </c>
      <c r="V21" s="125">
        <v>0.37287928999999997</v>
      </c>
      <c r="W21" s="125">
        <v>0.54624541999999998</v>
      </c>
      <c r="X21" s="125">
        <v>0.57796289999999995</v>
      </c>
      <c r="Y21" s="126"/>
      <c r="Z21" s="124">
        <v>1.39018712</v>
      </c>
      <c r="AA21" s="125">
        <v>0.97799398999999998</v>
      </c>
      <c r="AB21" s="125">
        <v>0.87366485000000005</v>
      </c>
      <c r="AC21" s="125">
        <v>0.21837388999999999</v>
      </c>
      <c r="AD21" s="125">
        <v>0.31185048999999998</v>
      </c>
      <c r="AE21" s="125">
        <v>0.18799908000000001</v>
      </c>
      <c r="AF21" s="125">
        <v>0.45870072000000001</v>
      </c>
      <c r="AG21" s="125">
        <v>0.12502288</v>
      </c>
      <c r="AH21" s="125">
        <v>0.73345545999999995</v>
      </c>
      <c r="AI21" s="125">
        <v>0.75078513999999996</v>
      </c>
      <c r="AJ21" s="125">
        <v>1.67179352</v>
      </c>
      <c r="AK21" s="126"/>
      <c r="AL21" s="124">
        <v>0.36285968000000002</v>
      </c>
      <c r="AM21" s="125">
        <v>0.99291061999999997</v>
      </c>
      <c r="AN21" s="125">
        <v>0.97925941000000005</v>
      </c>
      <c r="AO21" s="125">
        <v>0.44556611000000002</v>
      </c>
      <c r="AP21" s="125">
        <v>0.68442974999999995</v>
      </c>
      <c r="AQ21" s="125">
        <v>0.41680017000000003</v>
      </c>
      <c r="AR21" s="125">
        <v>1.12104873</v>
      </c>
      <c r="AS21" s="125">
        <v>0.17221779000000001</v>
      </c>
      <c r="AT21" s="125">
        <v>0.4466483</v>
      </c>
      <c r="AU21" s="125">
        <v>0.49824387999999997</v>
      </c>
      <c r="AV21" s="125">
        <v>0.57796289999999995</v>
      </c>
      <c r="AW21" s="126">
        <v>0.40136313000000001</v>
      </c>
    </row>
    <row r="22" spans="1:49" x14ac:dyDescent="0.2">
      <c r="A22" s="157" t="s">
        <v>30</v>
      </c>
      <c r="B22" s="124">
        <v>1.3149328499999999</v>
      </c>
      <c r="C22" s="125">
        <v>1.2006135</v>
      </c>
      <c r="D22" s="125">
        <v>1.26887215</v>
      </c>
      <c r="E22" s="125">
        <v>0.83655040000000003</v>
      </c>
      <c r="F22" s="125">
        <v>0.26903302000000001</v>
      </c>
      <c r="G22" s="125">
        <v>0.47441090000000002</v>
      </c>
      <c r="H22" s="125">
        <v>1.2834304700000001</v>
      </c>
      <c r="I22" s="125">
        <v>1.6760786599999999</v>
      </c>
      <c r="J22" s="125">
        <v>0.67607804999999999</v>
      </c>
      <c r="K22" s="125"/>
      <c r="L22" s="125"/>
      <c r="M22" s="126"/>
      <c r="N22" s="124">
        <v>1.6898724199999999</v>
      </c>
      <c r="O22" s="125">
        <v>1.77717887</v>
      </c>
      <c r="P22" s="125">
        <v>1.37650114</v>
      </c>
      <c r="Q22" s="125">
        <v>0.53067686999999997</v>
      </c>
      <c r="R22" s="125">
        <v>0.40676762999999999</v>
      </c>
      <c r="S22" s="125">
        <v>0.31440248999999998</v>
      </c>
      <c r="T22" s="125">
        <v>2.3384353899999999</v>
      </c>
      <c r="U22" s="125">
        <v>0.36259437</v>
      </c>
      <c r="V22" s="125">
        <v>2.39198318</v>
      </c>
      <c r="W22" s="125">
        <v>1.4428262700000001</v>
      </c>
      <c r="X22" s="125">
        <v>1.41690724</v>
      </c>
      <c r="Y22" s="126"/>
      <c r="Z22" s="124">
        <v>1.7330646300000001</v>
      </c>
      <c r="AA22" s="125">
        <v>1.2993472500000001</v>
      </c>
      <c r="AB22" s="125">
        <v>1.5355320299999999</v>
      </c>
      <c r="AC22" s="125">
        <v>1.30269809</v>
      </c>
      <c r="AD22" s="125">
        <v>0.92308504999999996</v>
      </c>
      <c r="AE22" s="125">
        <v>0.71108727000000005</v>
      </c>
      <c r="AF22" s="125">
        <v>1.88920965</v>
      </c>
      <c r="AG22" s="125">
        <v>0.30650032999999999</v>
      </c>
      <c r="AH22" s="125">
        <v>0.28769689999999998</v>
      </c>
      <c r="AI22" s="125">
        <v>0.59732364000000004</v>
      </c>
      <c r="AJ22" s="125">
        <v>0.85873166000000001</v>
      </c>
      <c r="AK22" s="126"/>
      <c r="AL22" s="124">
        <v>1.14576627</v>
      </c>
      <c r="AM22" s="125">
        <v>1.6712239200000001</v>
      </c>
      <c r="AN22" s="125">
        <v>1.0092769399999999</v>
      </c>
      <c r="AO22" s="125">
        <v>0.44733487999999999</v>
      </c>
      <c r="AP22" s="125">
        <v>0.37287033000000003</v>
      </c>
      <c r="AQ22" s="125">
        <v>0.46321966999999997</v>
      </c>
      <c r="AR22" s="125">
        <v>0.61073588000000001</v>
      </c>
      <c r="AS22" s="125">
        <v>1.5114803000000001</v>
      </c>
      <c r="AT22" s="125">
        <v>0.72816329999999996</v>
      </c>
      <c r="AU22" s="125">
        <v>2.6872378600000002</v>
      </c>
      <c r="AV22" s="125">
        <v>1.6436123899999999</v>
      </c>
      <c r="AW22" s="126">
        <v>1.34943546</v>
      </c>
    </row>
    <row r="23" spans="1:49" x14ac:dyDescent="0.2">
      <c r="A23" s="157" t="s">
        <v>29</v>
      </c>
      <c r="B23" s="124">
        <v>0.66650739000000003</v>
      </c>
      <c r="C23" s="125">
        <v>1.3657797</v>
      </c>
      <c r="D23" s="125">
        <v>0.93377354000000001</v>
      </c>
      <c r="E23" s="125">
        <v>0.70082239000000002</v>
      </c>
      <c r="F23" s="125">
        <v>0.42425064000000001</v>
      </c>
      <c r="G23" s="125">
        <v>1.0972434600000001</v>
      </c>
      <c r="H23" s="125">
        <v>1.5921354400000001</v>
      </c>
      <c r="I23" s="125">
        <v>1.73146614</v>
      </c>
      <c r="J23" s="125">
        <v>0.48802129</v>
      </c>
      <c r="K23" s="125"/>
      <c r="L23" s="125"/>
      <c r="M23" s="126"/>
      <c r="N23" s="124">
        <v>1.16495656</v>
      </c>
      <c r="O23" s="125">
        <v>1.32976512</v>
      </c>
      <c r="P23" s="125">
        <v>1.49313103</v>
      </c>
      <c r="Q23" s="125">
        <v>0.88915200999999999</v>
      </c>
      <c r="R23" s="125">
        <v>1.34971923</v>
      </c>
      <c r="S23" s="125">
        <v>1.15685701</v>
      </c>
      <c r="T23" s="125">
        <v>3.14172721</v>
      </c>
      <c r="U23" s="125">
        <v>1.04461976</v>
      </c>
      <c r="V23" s="125">
        <v>2.2103610300000001</v>
      </c>
      <c r="W23" s="125">
        <v>2.0027734399999999</v>
      </c>
      <c r="X23" s="125">
        <v>1.4015698299999999</v>
      </c>
      <c r="Y23" s="126"/>
      <c r="Z23" s="124">
        <v>1.45795447</v>
      </c>
      <c r="AA23" s="125">
        <v>1.01230401</v>
      </c>
      <c r="AB23" s="125">
        <v>1.24969767</v>
      </c>
      <c r="AC23" s="125">
        <v>1.5899603</v>
      </c>
      <c r="AD23" s="125">
        <v>0.77247980999999999</v>
      </c>
      <c r="AE23" s="125">
        <v>2.3015290400000001</v>
      </c>
      <c r="AF23" s="125">
        <v>1.8087892299999999</v>
      </c>
      <c r="AG23" s="125">
        <v>0.39357244000000002</v>
      </c>
      <c r="AH23" s="125">
        <v>0.51039290000000004</v>
      </c>
      <c r="AI23" s="125">
        <v>0.96385308000000003</v>
      </c>
      <c r="AJ23" s="125">
        <v>1.1233486800000001</v>
      </c>
      <c r="AK23" s="126"/>
      <c r="AL23" s="124">
        <v>0.99879666</v>
      </c>
      <c r="AM23" s="125">
        <v>1.6614670300000001</v>
      </c>
      <c r="AN23" s="125">
        <v>1.56324657</v>
      </c>
      <c r="AO23" s="125">
        <v>0.49215565999999999</v>
      </c>
      <c r="AP23" s="125">
        <v>0.47039720000000002</v>
      </c>
      <c r="AQ23" s="125">
        <v>0.51562770000000002</v>
      </c>
      <c r="AR23" s="125">
        <v>1.2038721400000001</v>
      </c>
      <c r="AS23" s="125">
        <v>1.13849858</v>
      </c>
      <c r="AT23" s="125">
        <v>0.71659233</v>
      </c>
      <c r="AU23" s="125">
        <v>2.2472279899999998</v>
      </c>
      <c r="AV23" s="125">
        <v>1.43000748</v>
      </c>
      <c r="AW23" s="126">
        <v>2.2609865299999998</v>
      </c>
    </row>
    <row r="24" spans="1:49" x14ac:dyDescent="0.2">
      <c r="A24" s="158" t="s">
        <v>931</v>
      </c>
      <c r="B24" s="127">
        <v>0.66522144000000005</v>
      </c>
      <c r="C24" s="128">
        <v>0.40848086</v>
      </c>
      <c r="D24" s="128">
        <v>0.71913585999999996</v>
      </c>
      <c r="E24" s="128">
        <v>1.19106877</v>
      </c>
      <c r="F24" s="128">
        <v>0.92189021999999998</v>
      </c>
      <c r="G24" s="128">
        <v>0.77617223000000002</v>
      </c>
      <c r="H24" s="128">
        <v>1.2617705299999999</v>
      </c>
      <c r="I24" s="128">
        <v>1.3525740500000001</v>
      </c>
      <c r="J24" s="128">
        <v>1.7036860300000001</v>
      </c>
      <c r="K24" s="128"/>
      <c r="L24" s="128"/>
      <c r="M24" s="129"/>
      <c r="N24" s="127">
        <v>1.38182819</v>
      </c>
      <c r="O24" s="128">
        <v>1.3226462000000001</v>
      </c>
      <c r="P24" s="128">
        <v>1.66885291</v>
      </c>
      <c r="Q24" s="128">
        <v>2.2960361900000001</v>
      </c>
      <c r="R24" s="128">
        <v>0.24810550000000001</v>
      </c>
      <c r="S24" s="128">
        <v>0.32469743000000001</v>
      </c>
      <c r="T24" s="128">
        <v>0.47253906000000001</v>
      </c>
      <c r="U24" s="128">
        <v>1.3039521000000001</v>
      </c>
      <c r="V24" s="128">
        <v>1.56565365</v>
      </c>
      <c r="W24" s="128">
        <v>1.8465993199999999</v>
      </c>
      <c r="X24" s="128"/>
      <c r="Y24" s="129"/>
      <c r="Z24" s="127">
        <v>1.0698551599999999</v>
      </c>
      <c r="AA24" s="128">
        <v>0.41179295999999999</v>
      </c>
      <c r="AB24" s="128">
        <v>0.91513443000000005</v>
      </c>
      <c r="AC24" s="128">
        <v>1.57720649</v>
      </c>
      <c r="AD24" s="128">
        <v>0.31791269999999999</v>
      </c>
      <c r="AE24" s="128">
        <v>0.58300605999999999</v>
      </c>
      <c r="AF24" s="128">
        <v>1.3247411</v>
      </c>
      <c r="AG24" s="128">
        <v>1.5493832599999999</v>
      </c>
      <c r="AH24" s="128">
        <v>0.68134623000000005</v>
      </c>
      <c r="AI24" s="128">
        <v>0.90120398000000002</v>
      </c>
      <c r="AJ24" s="128">
        <v>0.40810590000000002</v>
      </c>
      <c r="AK24" s="129"/>
      <c r="AL24" s="127">
        <v>0.83323893999999998</v>
      </c>
      <c r="AM24" s="128">
        <v>1.2387402000000001</v>
      </c>
      <c r="AN24" s="128">
        <v>0.93893771000000004</v>
      </c>
      <c r="AO24" s="128">
        <v>1.2344921900000001</v>
      </c>
      <c r="AP24" s="128">
        <v>0.31795575999999998</v>
      </c>
      <c r="AQ24" s="128">
        <v>0.73211227999999995</v>
      </c>
      <c r="AR24" s="128">
        <v>0.7946626</v>
      </c>
      <c r="AS24" s="128">
        <v>0.65662343000000001</v>
      </c>
      <c r="AT24" s="128">
        <v>0.83884886999999997</v>
      </c>
      <c r="AU24" s="128">
        <v>1.06640311</v>
      </c>
      <c r="AV24" s="128">
        <v>1.7775237500000001</v>
      </c>
      <c r="AW24" s="129"/>
    </row>
    <row r="26" spans="1:49" x14ac:dyDescent="0.2">
      <c r="A26" s="155" t="s">
        <v>1221</v>
      </c>
    </row>
    <row r="28" spans="1:49" x14ac:dyDescent="0.2">
      <c r="A28" s="123"/>
      <c r="B28" s="308" t="s">
        <v>498</v>
      </c>
      <c r="C28" s="318"/>
      <c r="D28" s="318"/>
      <c r="E28" s="318"/>
      <c r="F28" s="318"/>
      <c r="G28" s="318"/>
      <c r="H28" s="318"/>
      <c r="I28" s="318"/>
      <c r="J28" s="318"/>
      <c r="K28" s="318"/>
      <c r="L28" s="318"/>
      <c r="M28" s="319"/>
      <c r="N28" s="308" t="s">
        <v>8</v>
      </c>
      <c r="O28" s="318"/>
      <c r="P28" s="318"/>
      <c r="Q28" s="318"/>
      <c r="R28" s="318"/>
      <c r="S28" s="318"/>
      <c r="T28" s="318"/>
      <c r="U28" s="318"/>
      <c r="V28" s="318"/>
      <c r="W28" s="318"/>
      <c r="X28" s="318"/>
      <c r="Y28" s="319"/>
      <c r="Z28" s="308" t="s">
        <v>274</v>
      </c>
      <c r="AA28" s="318"/>
      <c r="AB28" s="318"/>
      <c r="AC28" s="318"/>
      <c r="AD28" s="318"/>
      <c r="AE28" s="318"/>
      <c r="AF28" s="318"/>
      <c r="AG28" s="318"/>
      <c r="AH28" s="318"/>
      <c r="AI28" s="318"/>
      <c r="AJ28" s="318"/>
      <c r="AK28" s="319"/>
      <c r="AL28" s="308" t="s">
        <v>9</v>
      </c>
      <c r="AM28" s="318"/>
      <c r="AN28" s="318"/>
      <c r="AO28" s="318"/>
      <c r="AP28" s="318"/>
      <c r="AQ28" s="318"/>
      <c r="AR28" s="318"/>
      <c r="AS28" s="318"/>
      <c r="AT28" s="318"/>
      <c r="AU28" s="318"/>
      <c r="AV28" s="318"/>
      <c r="AW28" s="319"/>
    </row>
    <row r="29" spans="1:49" x14ac:dyDescent="0.2">
      <c r="A29" s="156" t="s">
        <v>932</v>
      </c>
      <c r="B29" s="124">
        <v>0.46468897999999997</v>
      </c>
      <c r="C29" s="125">
        <v>1.7255971800000001</v>
      </c>
      <c r="D29" s="125">
        <v>1.43809203</v>
      </c>
      <c r="E29" s="125">
        <v>1.58033468</v>
      </c>
      <c r="F29" s="125">
        <v>0.82814699000000003</v>
      </c>
      <c r="G29" s="125">
        <v>0.99672346999999994</v>
      </c>
      <c r="H29" s="125">
        <v>0.47290748999999999</v>
      </c>
      <c r="I29" s="125">
        <v>1.0704985899999999</v>
      </c>
      <c r="J29" s="125">
        <v>0.42301058000000002</v>
      </c>
      <c r="K29" s="125"/>
      <c r="L29" s="125"/>
      <c r="M29" s="126"/>
      <c r="N29" s="124">
        <v>2.2530623599999999</v>
      </c>
      <c r="O29" s="125">
        <v>1.9229082799999999</v>
      </c>
      <c r="P29" s="125">
        <v>1.99097283</v>
      </c>
      <c r="Q29" s="125">
        <v>1.15201548</v>
      </c>
      <c r="R29" s="125">
        <v>1.48542811</v>
      </c>
      <c r="S29" s="125">
        <v>1.1106112299999999</v>
      </c>
      <c r="T29" s="125">
        <v>1.72162539</v>
      </c>
      <c r="U29" s="125">
        <v>1.9929299300000001</v>
      </c>
      <c r="V29" s="125">
        <v>2.2262781899999999</v>
      </c>
      <c r="W29" s="125">
        <v>1.7130899900000001</v>
      </c>
      <c r="X29" s="125">
        <v>1.4147558499999999</v>
      </c>
      <c r="Y29" s="126"/>
      <c r="Z29" s="124">
        <v>0.81664298000000002</v>
      </c>
      <c r="AA29" s="125">
        <v>0.99088233999999997</v>
      </c>
      <c r="AB29" s="125">
        <v>1.4394307200000001</v>
      </c>
      <c r="AC29" s="125">
        <v>2.2161747799999998</v>
      </c>
      <c r="AD29" s="125">
        <v>0.95346573999999995</v>
      </c>
      <c r="AE29" s="125">
        <v>1.86661375</v>
      </c>
      <c r="AF29" s="125">
        <v>1.93852045</v>
      </c>
      <c r="AG29" s="125">
        <v>1.5652011800000001</v>
      </c>
      <c r="AH29" s="125">
        <v>1.9418525200000001</v>
      </c>
      <c r="AI29" s="125">
        <v>2.2339385799999998</v>
      </c>
      <c r="AJ29" s="125">
        <v>0.58882663000000002</v>
      </c>
      <c r="AK29" s="126"/>
      <c r="AL29" s="124">
        <v>1.67923069</v>
      </c>
      <c r="AM29" s="125">
        <v>1.37907902</v>
      </c>
      <c r="AN29" s="125">
        <v>1.31217688</v>
      </c>
      <c r="AO29" s="125">
        <v>0.68925658000000001</v>
      </c>
      <c r="AP29" s="125">
        <v>0.49625893999999998</v>
      </c>
      <c r="AQ29" s="125">
        <v>1.1773282700000001</v>
      </c>
      <c r="AR29" s="125">
        <v>1.2495951599999999</v>
      </c>
      <c r="AS29" s="125">
        <v>2.0810858099999998</v>
      </c>
      <c r="AT29" s="125">
        <v>1.0453885300000001</v>
      </c>
      <c r="AU29" s="125">
        <v>1.2843522700000001</v>
      </c>
      <c r="AV29" s="125">
        <v>0.63993233000000005</v>
      </c>
      <c r="AW29" s="126">
        <v>0.99298677999999996</v>
      </c>
    </row>
    <row r="30" spans="1:49" x14ac:dyDescent="0.2">
      <c r="A30" s="157" t="s">
        <v>143</v>
      </c>
      <c r="B30" s="124">
        <v>1.2079860600000001</v>
      </c>
      <c r="C30" s="125">
        <v>1.3783256399999999</v>
      </c>
      <c r="D30" s="125">
        <v>0.96050338999999996</v>
      </c>
      <c r="E30" s="125">
        <v>2.18044065</v>
      </c>
      <c r="F30" s="125">
        <v>0.77530747</v>
      </c>
      <c r="G30" s="125">
        <v>0.78727775</v>
      </c>
      <c r="H30" s="125">
        <v>0.35334243999999998</v>
      </c>
      <c r="I30" s="125">
        <v>0.77291482</v>
      </c>
      <c r="J30" s="125">
        <v>0.58390178999999998</v>
      </c>
      <c r="K30" s="125"/>
      <c r="L30" s="125"/>
      <c r="M30" s="126"/>
      <c r="N30" s="124">
        <v>2.2521716700000001</v>
      </c>
      <c r="O30" s="125">
        <v>1.9521049699999999</v>
      </c>
      <c r="P30" s="125">
        <v>0.83481437999999997</v>
      </c>
      <c r="Q30" s="125">
        <v>1.2194582700000001</v>
      </c>
      <c r="R30" s="125">
        <v>1.4140712099999999</v>
      </c>
      <c r="S30" s="125">
        <v>2.0866240600000001</v>
      </c>
      <c r="T30" s="125">
        <v>1.1237170299999999</v>
      </c>
      <c r="U30" s="125">
        <v>1.90590419</v>
      </c>
      <c r="V30" s="125">
        <v>2.1341254699999999</v>
      </c>
      <c r="W30" s="125">
        <v>1.9216028199999999</v>
      </c>
      <c r="X30" s="125">
        <v>1.7309786199999999</v>
      </c>
      <c r="Y30" s="126"/>
      <c r="Z30" s="124">
        <v>0.60748473000000003</v>
      </c>
      <c r="AA30" s="125">
        <v>0.84019794999999997</v>
      </c>
      <c r="AB30" s="125">
        <v>1.3830067699999999</v>
      </c>
      <c r="AC30" s="125">
        <v>2.73655304</v>
      </c>
      <c r="AD30" s="125">
        <v>0.88243185000000002</v>
      </c>
      <c r="AE30" s="125">
        <v>2.1336373000000002</v>
      </c>
      <c r="AF30" s="125">
        <v>1.65546251</v>
      </c>
      <c r="AG30" s="125">
        <v>1.0714002</v>
      </c>
      <c r="AH30" s="125">
        <v>1.9101613399999999</v>
      </c>
      <c r="AI30" s="125">
        <v>2.1961919499999998</v>
      </c>
      <c r="AJ30" s="125">
        <v>1.01895592</v>
      </c>
      <c r="AK30" s="126"/>
      <c r="AL30" s="124">
        <v>1.1237775699999999</v>
      </c>
      <c r="AM30" s="125">
        <v>1.15125878</v>
      </c>
      <c r="AN30" s="125">
        <v>0.90865682000000003</v>
      </c>
      <c r="AO30" s="125">
        <v>1.53349121</v>
      </c>
      <c r="AP30" s="125">
        <v>0.77484012999999996</v>
      </c>
      <c r="AQ30" s="125">
        <v>1.33264212</v>
      </c>
      <c r="AR30" s="125">
        <v>2.2681890600000001</v>
      </c>
      <c r="AS30" s="125">
        <v>1.33093503</v>
      </c>
      <c r="AT30" s="125">
        <v>1.29643598</v>
      </c>
      <c r="AU30" s="125">
        <v>1.26808236</v>
      </c>
      <c r="AV30" s="125">
        <v>0.75411466999999999</v>
      </c>
      <c r="AW30" s="126">
        <v>0.87776586000000001</v>
      </c>
    </row>
    <row r="31" spans="1:49" x14ac:dyDescent="0.2">
      <c r="A31" s="157" t="s">
        <v>933</v>
      </c>
      <c r="B31" s="124">
        <v>0.61172402999999997</v>
      </c>
      <c r="C31" s="125">
        <v>1.64245979</v>
      </c>
      <c r="D31" s="125">
        <v>1.1888479000000001</v>
      </c>
      <c r="E31" s="125">
        <v>2.2921281100000002</v>
      </c>
      <c r="F31" s="125">
        <v>0.79753673000000003</v>
      </c>
      <c r="G31" s="125">
        <v>0.86000047999999996</v>
      </c>
      <c r="H31" s="125">
        <v>0.32332219000000001</v>
      </c>
      <c r="I31" s="125">
        <v>0.91459299000000005</v>
      </c>
      <c r="J31" s="125">
        <v>0.36938778</v>
      </c>
      <c r="K31" s="125"/>
      <c r="L31" s="125"/>
      <c r="M31" s="126"/>
      <c r="N31" s="124">
        <v>2.6269377700000001</v>
      </c>
      <c r="O31" s="125">
        <v>2.4127069900000002</v>
      </c>
      <c r="P31" s="125">
        <v>0.91474374999999997</v>
      </c>
      <c r="Q31" s="125">
        <v>1.48960625</v>
      </c>
      <c r="R31" s="125">
        <v>1.78201626</v>
      </c>
      <c r="S31" s="125">
        <v>1.9396498799999999</v>
      </c>
      <c r="T31" s="125">
        <v>1.75796752</v>
      </c>
      <c r="U31" s="125">
        <v>3.0096402499999999</v>
      </c>
      <c r="V31" s="125">
        <v>3.4590272400000002</v>
      </c>
      <c r="W31" s="125">
        <v>2.8159976699999998</v>
      </c>
      <c r="X31" s="125">
        <v>2.3235184200000001</v>
      </c>
      <c r="Y31" s="126"/>
      <c r="Z31" s="124">
        <v>0.42448434000000002</v>
      </c>
      <c r="AA31" s="125">
        <v>0.99931656999999996</v>
      </c>
      <c r="AB31" s="125">
        <v>1.67735631</v>
      </c>
      <c r="AC31" s="125">
        <v>2.8801435199999998</v>
      </c>
      <c r="AD31" s="125">
        <v>0.89872436</v>
      </c>
      <c r="AE31" s="125">
        <v>2.7377079900000001</v>
      </c>
      <c r="AF31" s="125">
        <v>2.5786472499999999</v>
      </c>
      <c r="AG31" s="125">
        <v>1.6317139700000001</v>
      </c>
      <c r="AH31" s="125">
        <v>2.9454889199999998</v>
      </c>
      <c r="AI31" s="125">
        <v>3.52533714</v>
      </c>
      <c r="AJ31" s="125">
        <v>0.83641321000000002</v>
      </c>
      <c r="AK31" s="126"/>
      <c r="AL31" s="124">
        <v>1.19601522</v>
      </c>
      <c r="AM31" s="125">
        <v>1.22991787</v>
      </c>
      <c r="AN31" s="125">
        <v>1.0510654800000001</v>
      </c>
      <c r="AO31" s="125">
        <v>1.0957644099999999</v>
      </c>
      <c r="AP31" s="125">
        <v>0.51901321</v>
      </c>
      <c r="AQ31" s="125">
        <v>1.2426609799999999</v>
      </c>
      <c r="AR31" s="125">
        <v>2.2814416199999998</v>
      </c>
      <c r="AS31" s="125">
        <v>2.2562075699999999</v>
      </c>
      <c r="AT31" s="125">
        <v>1.5790658</v>
      </c>
      <c r="AU31" s="125">
        <v>1.5375766200000001</v>
      </c>
      <c r="AV31" s="125">
        <v>0.66725023000000006</v>
      </c>
      <c r="AW31" s="126">
        <v>1.1184207399999999</v>
      </c>
    </row>
    <row r="32" spans="1:49" x14ac:dyDescent="0.2">
      <c r="A32" s="157" t="s">
        <v>13</v>
      </c>
      <c r="B32" s="124">
        <v>0.50094587000000002</v>
      </c>
      <c r="C32" s="125">
        <v>1.8101922699999999</v>
      </c>
      <c r="D32" s="125">
        <v>1.0806486900000001</v>
      </c>
      <c r="E32" s="125">
        <v>0.40672033000000002</v>
      </c>
      <c r="F32" s="125">
        <v>2.1636148099999999</v>
      </c>
      <c r="G32" s="125">
        <v>1.5115707899999999</v>
      </c>
      <c r="H32" s="125">
        <v>0.79305281999999999</v>
      </c>
      <c r="I32" s="125">
        <v>0.49341933999999998</v>
      </c>
      <c r="J32" s="125">
        <v>0.23983509</v>
      </c>
      <c r="K32" s="125"/>
      <c r="L32" s="125"/>
      <c r="M32" s="126"/>
      <c r="N32" s="124">
        <v>3.0618155599999999</v>
      </c>
      <c r="O32" s="125">
        <v>2.8740079299999999</v>
      </c>
      <c r="P32" s="125">
        <v>1.7613872699999999</v>
      </c>
      <c r="Q32" s="125">
        <v>1.9616560700000001</v>
      </c>
      <c r="R32" s="125">
        <v>1.45760807</v>
      </c>
      <c r="S32" s="125">
        <v>0.49412803999999999</v>
      </c>
      <c r="T32" s="125">
        <v>0.58386506999999999</v>
      </c>
      <c r="U32" s="125">
        <v>0.41394185</v>
      </c>
      <c r="V32" s="125">
        <v>0.39401188999999998</v>
      </c>
      <c r="W32" s="125">
        <v>0.37953271999999999</v>
      </c>
      <c r="X32" s="125">
        <v>0.51299410999999995</v>
      </c>
      <c r="Y32" s="126"/>
      <c r="Z32" s="124">
        <v>1.4767146499999999</v>
      </c>
      <c r="AA32" s="125">
        <v>1.9941285799999999</v>
      </c>
      <c r="AB32" s="125">
        <v>1.4672183999999999</v>
      </c>
      <c r="AC32" s="125">
        <v>3.0858439899999999</v>
      </c>
      <c r="AD32" s="125">
        <v>0.65851199000000005</v>
      </c>
      <c r="AE32" s="125">
        <v>2.70027303</v>
      </c>
      <c r="AF32" s="125">
        <v>0.57986305000000005</v>
      </c>
      <c r="AG32" s="125">
        <v>0.50798540000000003</v>
      </c>
      <c r="AH32" s="125">
        <v>0.59426893000000003</v>
      </c>
      <c r="AI32" s="125">
        <v>0.98685102999999996</v>
      </c>
      <c r="AJ32" s="125">
        <v>0.41211246000000001</v>
      </c>
      <c r="AK32" s="126"/>
      <c r="AL32" s="124">
        <v>3.0601291700000002</v>
      </c>
      <c r="AM32" s="125">
        <v>2.8822578600000002</v>
      </c>
      <c r="AN32" s="125">
        <v>2.3251756399999999</v>
      </c>
      <c r="AO32" s="125">
        <v>0.16695476000000001</v>
      </c>
      <c r="AP32" s="125">
        <v>1.3198519500000001</v>
      </c>
      <c r="AQ32" s="125">
        <v>1.08776172</v>
      </c>
      <c r="AR32" s="125">
        <v>0.80661742999999997</v>
      </c>
      <c r="AS32" s="125">
        <v>1.3676978799999999</v>
      </c>
      <c r="AT32" s="125">
        <v>0.33907010999999998</v>
      </c>
      <c r="AU32" s="125">
        <v>1.2732114800000001</v>
      </c>
      <c r="AV32" s="125">
        <v>0.41439429999999999</v>
      </c>
      <c r="AW32" s="126">
        <v>0.47538740000000002</v>
      </c>
    </row>
    <row r="33" spans="1:49" x14ac:dyDescent="0.2">
      <c r="A33" s="157" t="s">
        <v>936</v>
      </c>
      <c r="B33" s="124">
        <v>0.43576764000000001</v>
      </c>
      <c r="C33" s="125">
        <v>1.7719452499999999</v>
      </c>
      <c r="D33" s="125">
        <v>0.85458650000000003</v>
      </c>
      <c r="E33" s="125">
        <v>0.77095659000000005</v>
      </c>
      <c r="F33" s="125">
        <v>1.2488119099999999</v>
      </c>
      <c r="G33" s="125">
        <v>0.91793212000000002</v>
      </c>
      <c r="H33" s="125"/>
      <c r="I33" s="125"/>
      <c r="J33" s="125"/>
      <c r="K33" s="125"/>
      <c r="L33" s="125"/>
      <c r="M33" s="126"/>
      <c r="N33" s="124">
        <v>2.5924878100000002</v>
      </c>
      <c r="O33" s="125">
        <v>1.96174984</v>
      </c>
      <c r="P33" s="125">
        <v>1.6342066399999999</v>
      </c>
      <c r="Q33" s="125">
        <v>1.9328529400000001</v>
      </c>
      <c r="R33" s="125">
        <v>1.22465924</v>
      </c>
      <c r="S33" s="125">
        <v>0.70682750000000005</v>
      </c>
      <c r="T33" s="125"/>
      <c r="U33" s="125"/>
      <c r="V33" s="125"/>
      <c r="W33" s="125"/>
      <c r="X33" s="125"/>
      <c r="Y33" s="126"/>
      <c r="Z33" s="124">
        <v>1.01711522</v>
      </c>
      <c r="AA33" s="125">
        <v>1.1203063499999999</v>
      </c>
      <c r="AB33" s="125">
        <v>1.3397153900000001</v>
      </c>
      <c r="AC33" s="125">
        <v>2.7209292899999999</v>
      </c>
      <c r="AD33" s="125">
        <v>0.40733952000000001</v>
      </c>
      <c r="AE33" s="125">
        <v>1.8758572200000001</v>
      </c>
      <c r="AF33" s="125"/>
      <c r="AG33" s="125"/>
      <c r="AH33" s="125"/>
      <c r="AI33" s="125"/>
      <c r="AJ33" s="125"/>
      <c r="AK33" s="126"/>
      <c r="AL33" s="124">
        <v>2.6143789900000001</v>
      </c>
      <c r="AM33" s="125">
        <v>2.1754753500000001</v>
      </c>
      <c r="AN33" s="125">
        <v>1.9454115299999999</v>
      </c>
      <c r="AO33" s="125">
        <v>0.53771928999999996</v>
      </c>
      <c r="AP33" s="125">
        <v>0.6684445</v>
      </c>
      <c r="AQ33" s="125">
        <v>1.0981323199999999</v>
      </c>
      <c r="AR33" s="125">
        <v>1.5379999600000001</v>
      </c>
      <c r="AS33" s="125"/>
      <c r="AT33" s="125"/>
      <c r="AU33" s="125"/>
      <c r="AV33" s="125"/>
      <c r="AW33" s="126"/>
    </row>
    <row r="34" spans="1:49" x14ac:dyDescent="0.2">
      <c r="A34" s="157" t="s">
        <v>27</v>
      </c>
      <c r="B34" s="124">
        <v>0.45983712999999998</v>
      </c>
      <c r="C34" s="125">
        <v>1.3707074400000001</v>
      </c>
      <c r="D34" s="125">
        <v>0.41081896000000001</v>
      </c>
      <c r="E34" s="125">
        <v>0.54044296999999997</v>
      </c>
      <c r="F34" s="125">
        <v>1.45305453</v>
      </c>
      <c r="G34" s="125">
        <v>1.00804154</v>
      </c>
      <c r="H34" s="125">
        <v>1.3296805199999999</v>
      </c>
      <c r="I34" s="125">
        <v>1.0672264</v>
      </c>
      <c r="J34" s="125">
        <v>1.36019051</v>
      </c>
      <c r="K34" s="125"/>
      <c r="L34" s="125"/>
      <c r="M34" s="126"/>
      <c r="N34" s="124">
        <v>2.2485468900000001</v>
      </c>
      <c r="O34" s="125">
        <v>0.57379230999999997</v>
      </c>
      <c r="P34" s="125">
        <v>1.1407705800000001</v>
      </c>
      <c r="Q34" s="125">
        <v>1.1607837299999999</v>
      </c>
      <c r="R34" s="125">
        <v>1.1633127299999999</v>
      </c>
      <c r="S34" s="125">
        <v>1.31424107</v>
      </c>
      <c r="T34" s="125">
        <v>0.88017778999999996</v>
      </c>
      <c r="U34" s="125">
        <v>1.73014303</v>
      </c>
      <c r="V34" s="125">
        <v>1.48186309</v>
      </c>
      <c r="W34" s="125">
        <v>1.7579070299999999</v>
      </c>
      <c r="X34" s="125"/>
      <c r="Y34" s="126"/>
      <c r="Z34" s="124">
        <v>1.8340306799999999</v>
      </c>
      <c r="AA34" s="125">
        <v>0.84571103999999997</v>
      </c>
      <c r="AB34" s="125">
        <v>1.39187196</v>
      </c>
      <c r="AC34" s="125">
        <v>1.47317407</v>
      </c>
      <c r="AD34" s="125">
        <v>0.21232831999999999</v>
      </c>
      <c r="AE34" s="125">
        <v>0.79813940000000005</v>
      </c>
      <c r="AF34" s="125">
        <v>1.0192140199999999</v>
      </c>
      <c r="AG34" s="125">
        <v>1.2769777899999999</v>
      </c>
      <c r="AH34" s="125">
        <v>1.4204184500000001</v>
      </c>
      <c r="AI34" s="125">
        <v>0.84855921000000001</v>
      </c>
      <c r="AJ34" s="125">
        <v>1.6437359499999999</v>
      </c>
      <c r="AK34" s="126"/>
      <c r="AL34" s="124">
        <v>2.0310214700000002</v>
      </c>
      <c r="AM34" s="125">
        <v>0.85648247</v>
      </c>
      <c r="AN34" s="125">
        <v>1.40430046</v>
      </c>
      <c r="AO34" s="125">
        <v>1.4395349500000001</v>
      </c>
      <c r="AP34" s="125">
        <v>1.0146865599999999</v>
      </c>
      <c r="AQ34" s="125">
        <v>1.07020264</v>
      </c>
      <c r="AR34" s="125">
        <v>0.87669096000000002</v>
      </c>
      <c r="AS34" s="125">
        <v>0.59851816999999996</v>
      </c>
      <c r="AT34" s="125">
        <v>0.48680501999999998</v>
      </c>
      <c r="AU34" s="125">
        <v>1.0099248199999999</v>
      </c>
      <c r="AV34" s="125">
        <v>2.0202639599999999</v>
      </c>
      <c r="AW34" s="126"/>
    </row>
    <row r="35" spans="1:49" x14ac:dyDescent="0.2">
      <c r="A35" s="157" t="s">
        <v>31</v>
      </c>
      <c r="B35" s="124">
        <v>0.20625699</v>
      </c>
      <c r="C35" s="125">
        <v>0.65349889999999999</v>
      </c>
      <c r="D35" s="125">
        <v>0.1031285</v>
      </c>
      <c r="E35" s="125">
        <v>0.96069923999999995</v>
      </c>
      <c r="F35" s="125">
        <v>0.93529614000000005</v>
      </c>
      <c r="G35" s="125">
        <v>4.0685983800000001</v>
      </c>
      <c r="H35" s="125">
        <v>0.21790053000000001</v>
      </c>
      <c r="I35" s="125">
        <v>1.6158111399999999</v>
      </c>
      <c r="J35" s="125">
        <v>0.23881018000000001</v>
      </c>
      <c r="K35" s="125"/>
      <c r="L35" s="125"/>
      <c r="M35" s="126"/>
      <c r="N35" s="124">
        <v>0.88476049000000001</v>
      </c>
      <c r="O35" s="125">
        <v>0.34944081999999999</v>
      </c>
      <c r="P35" s="125">
        <v>0.29043941000000001</v>
      </c>
      <c r="Q35" s="125">
        <v>1.8741965</v>
      </c>
      <c r="R35" s="125">
        <v>3.64063683</v>
      </c>
      <c r="S35" s="125">
        <v>0.62836433000000003</v>
      </c>
      <c r="T35" s="125">
        <v>1.2366367599999999</v>
      </c>
      <c r="U35" s="125">
        <v>7.0180950000000006E-2</v>
      </c>
      <c r="V35" s="125">
        <v>0.62394810999999994</v>
      </c>
      <c r="W35" s="125">
        <v>1.8644968</v>
      </c>
      <c r="X35" s="125">
        <v>0.53504289000000005</v>
      </c>
      <c r="Y35" s="126"/>
      <c r="Z35" s="124">
        <v>0.98984466999999998</v>
      </c>
      <c r="AA35" s="125">
        <v>0.17399969000000001</v>
      </c>
      <c r="AB35" s="125">
        <v>0.46789865000000003</v>
      </c>
      <c r="AC35" s="125">
        <v>0.34751981999999998</v>
      </c>
      <c r="AD35" s="125">
        <v>0.5669305</v>
      </c>
      <c r="AE35" s="125">
        <v>1.0222925599999999</v>
      </c>
      <c r="AF35" s="125">
        <v>1.30635623</v>
      </c>
      <c r="AG35" s="125">
        <v>0.27814361999999998</v>
      </c>
      <c r="AH35" s="125">
        <v>0.32553815000000003</v>
      </c>
      <c r="AI35" s="125">
        <v>2.9171308800000002</v>
      </c>
      <c r="AJ35" s="125">
        <v>3.5374874599999999</v>
      </c>
      <c r="AK35" s="126"/>
      <c r="AL35" s="124">
        <v>1.5693766499999999</v>
      </c>
      <c r="AM35" s="125">
        <v>0.9703195</v>
      </c>
      <c r="AN35" s="125">
        <v>1.4401760299999999</v>
      </c>
      <c r="AO35" s="125">
        <v>0.11621362</v>
      </c>
      <c r="AP35" s="191" t="s">
        <v>934</v>
      </c>
      <c r="AQ35" s="125">
        <v>0.12765197</v>
      </c>
      <c r="AR35" s="125">
        <v>0.57083801999999995</v>
      </c>
      <c r="AS35" s="125">
        <v>2.6827319300000001</v>
      </c>
      <c r="AT35" s="125">
        <v>0.83835179999999998</v>
      </c>
      <c r="AU35" s="125">
        <v>0.47402923000000002</v>
      </c>
      <c r="AV35" s="125">
        <v>1.4097217099999999</v>
      </c>
      <c r="AW35" s="126">
        <v>0.21546783</v>
      </c>
    </row>
    <row r="36" spans="1:49" x14ac:dyDescent="0.2">
      <c r="A36" s="157" t="s">
        <v>30</v>
      </c>
      <c r="B36" s="124">
        <v>0.16332110999999999</v>
      </c>
      <c r="C36" s="125">
        <v>2.9853579899999998</v>
      </c>
      <c r="D36" s="125">
        <v>0.93909639</v>
      </c>
      <c r="E36" s="125">
        <v>0.68939656000000005</v>
      </c>
      <c r="F36" s="125">
        <v>0.57602100000000001</v>
      </c>
      <c r="G36" s="125">
        <v>1.52821897</v>
      </c>
      <c r="H36" s="125">
        <v>0.10783803</v>
      </c>
      <c r="I36" s="125">
        <v>1.8486661099999999</v>
      </c>
      <c r="J36" s="125">
        <v>0.16208383000000001</v>
      </c>
      <c r="K36" s="125"/>
      <c r="L36" s="125"/>
      <c r="M36" s="126"/>
      <c r="N36" s="124">
        <v>3.3539256100000001</v>
      </c>
      <c r="O36" s="125">
        <v>2.0172235399999998</v>
      </c>
      <c r="P36" s="125">
        <v>2.2928262500000001</v>
      </c>
      <c r="Q36" s="125">
        <v>0.97081656000000005</v>
      </c>
      <c r="R36" s="125">
        <v>1.5195359100000001</v>
      </c>
      <c r="S36" s="125">
        <v>0.37316975000000002</v>
      </c>
      <c r="T36" s="125">
        <v>1.9953078399999999</v>
      </c>
      <c r="U36" s="125">
        <v>0.66685919000000005</v>
      </c>
      <c r="V36" s="125">
        <v>1.5949634800000001</v>
      </c>
      <c r="W36" s="125">
        <v>0.91965564</v>
      </c>
      <c r="X36" s="125">
        <v>0.42366467000000002</v>
      </c>
      <c r="Y36" s="126"/>
      <c r="Z36" s="124">
        <v>3.4949151999999999</v>
      </c>
      <c r="AA36" s="125">
        <v>0.99397499</v>
      </c>
      <c r="AB36" s="125">
        <v>1.91814595</v>
      </c>
      <c r="AC36" s="125">
        <v>1.0594341199999999</v>
      </c>
      <c r="AD36" s="125">
        <v>0.65665658999999998</v>
      </c>
      <c r="AE36" s="125">
        <v>1.18742346</v>
      </c>
      <c r="AF36" s="125">
        <v>1.68172926</v>
      </c>
      <c r="AG36" s="125">
        <v>0.16518248999999999</v>
      </c>
      <c r="AH36" s="125">
        <v>0.40276855</v>
      </c>
      <c r="AI36" s="125">
        <v>1.38429023</v>
      </c>
      <c r="AJ36" s="125">
        <v>1.3672033800000001</v>
      </c>
      <c r="AK36" s="126"/>
      <c r="AL36" s="124">
        <v>2.2448048200000001</v>
      </c>
      <c r="AM36" s="125">
        <v>2.1040451299999998</v>
      </c>
      <c r="AN36" s="125">
        <v>2.1598087600000002</v>
      </c>
      <c r="AO36" s="125">
        <v>0.21855174999999999</v>
      </c>
      <c r="AP36" s="125">
        <v>0.27289625000000001</v>
      </c>
      <c r="AQ36" s="125">
        <v>0.90971144999999998</v>
      </c>
      <c r="AR36" s="125">
        <v>0.45200843000000002</v>
      </c>
      <c r="AS36" s="125">
        <v>1.68338845</v>
      </c>
      <c r="AT36" s="125">
        <v>0.50331729000000003</v>
      </c>
      <c r="AU36" s="125">
        <v>1.03221808</v>
      </c>
      <c r="AV36" s="125">
        <v>0.44960644999999999</v>
      </c>
      <c r="AW36" s="126">
        <v>0.29004475000000002</v>
      </c>
    </row>
    <row r="37" spans="1:49" x14ac:dyDescent="0.2">
      <c r="A37" s="157" t="s">
        <v>29</v>
      </c>
      <c r="B37" s="124">
        <v>0.31112886000000001</v>
      </c>
      <c r="C37" s="125">
        <v>2.60660867</v>
      </c>
      <c r="D37" s="125">
        <v>1.0267252499999999</v>
      </c>
      <c r="E37" s="125">
        <v>0.67024070999999996</v>
      </c>
      <c r="F37" s="125">
        <v>0.65839654000000003</v>
      </c>
      <c r="G37" s="125">
        <v>1.8569227699999999</v>
      </c>
      <c r="H37" s="125">
        <v>9.8607780000000006E-2</v>
      </c>
      <c r="I37" s="125">
        <v>1.68903026</v>
      </c>
      <c r="J37" s="125">
        <v>8.233915E-2</v>
      </c>
      <c r="K37" s="125"/>
      <c r="L37" s="125"/>
      <c r="M37" s="126"/>
      <c r="N37" s="124">
        <v>2.63370616</v>
      </c>
      <c r="O37" s="125">
        <v>1.5932471699999999</v>
      </c>
      <c r="P37" s="125">
        <v>1.3183249500000001</v>
      </c>
      <c r="Q37" s="125">
        <v>1.3900086599999999</v>
      </c>
      <c r="R37" s="125">
        <v>1.72691671</v>
      </c>
      <c r="S37" s="125">
        <v>0.85307193000000003</v>
      </c>
      <c r="T37" s="125">
        <v>2.2614874500000002</v>
      </c>
      <c r="U37" s="125">
        <v>1.4715183000000001</v>
      </c>
      <c r="V37" s="125">
        <v>2.0174332700000002</v>
      </c>
      <c r="W37" s="125">
        <v>1.46953372</v>
      </c>
      <c r="X37" s="125">
        <v>0.60531506999999996</v>
      </c>
      <c r="Y37" s="126"/>
      <c r="Z37" s="124">
        <v>3.0136801900000001</v>
      </c>
      <c r="AA37" s="125">
        <v>1.3648453300000001</v>
      </c>
      <c r="AB37" s="125">
        <v>1.68767289</v>
      </c>
      <c r="AC37" s="125">
        <v>1.21094155</v>
      </c>
      <c r="AD37" s="125">
        <v>0.47854119000000001</v>
      </c>
      <c r="AE37" s="125">
        <v>1.82087953</v>
      </c>
      <c r="AF37" s="125">
        <v>2.44669683</v>
      </c>
      <c r="AG37" s="125">
        <v>0.15583896</v>
      </c>
      <c r="AH37" s="125">
        <v>0.65065291999999997</v>
      </c>
      <c r="AI37" s="125">
        <v>1.56040892</v>
      </c>
      <c r="AJ37" s="125">
        <v>1.8346128500000001</v>
      </c>
      <c r="AK37" s="126"/>
      <c r="AL37" s="124">
        <v>1.89176904</v>
      </c>
      <c r="AM37" s="125">
        <v>1.73615063</v>
      </c>
      <c r="AN37" s="125">
        <v>2.1271779199999998</v>
      </c>
      <c r="AO37" s="125">
        <v>0.21036326</v>
      </c>
      <c r="AP37" s="125">
        <v>0.37430707000000002</v>
      </c>
      <c r="AQ37" s="125">
        <v>0.59050787999999999</v>
      </c>
      <c r="AR37" s="125">
        <v>0.97589292999999999</v>
      </c>
      <c r="AS37" s="125">
        <v>1.9210720999999999</v>
      </c>
      <c r="AT37" s="125">
        <v>0.82510868000000004</v>
      </c>
      <c r="AU37" s="125">
        <v>0.85806064999999998</v>
      </c>
      <c r="AV37" s="125">
        <v>0.69701884000000003</v>
      </c>
      <c r="AW37" s="126">
        <v>0.76055375999999997</v>
      </c>
    </row>
    <row r="38" spans="1:49" x14ac:dyDescent="0.2">
      <c r="A38" s="158" t="s">
        <v>935</v>
      </c>
      <c r="B38" s="127">
        <v>0.11603463</v>
      </c>
      <c r="C38" s="128">
        <v>0.89478254000000002</v>
      </c>
      <c r="D38" s="128">
        <v>0.34987093000000002</v>
      </c>
      <c r="E38" s="128">
        <v>0.74153685999999996</v>
      </c>
      <c r="F38" s="128">
        <v>2.1665992300000001</v>
      </c>
      <c r="G38" s="128">
        <v>0.85394884000000004</v>
      </c>
      <c r="H38" s="128">
        <v>1.88229756</v>
      </c>
      <c r="I38" s="128">
        <v>0.69977809999999996</v>
      </c>
      <c r="J38" s="128">
        <v>1.29515129</v>
      </c>
      <c r="K38" s="128"/>
      <c r="L38" s="128"/>
      <c r="M38" s="129"/>
      <c r="N38" s="127">
        <v>1.8414548799999999</v>
      </c>
      <c r="O38" s="128">
        <v>1.41972487</v>
      </c>
      <c r="P38" s="128">
        <v>1.87908868</v>
      </c>
      <c r="Q38" s="128">
        <v>2.0409535999999999</v>
      </c>
      <c r="R38" s="128">
        <v>1.84304099</v>
      </c>
      <c r="S38" s="128">
        <v>1.2146667600000001</v>
      </c>
      <c r="T38" s="128">
        <v>1.08154401</v>
      </c>
      <c r="U38" s="128">
        <v>1.55700375</v>
      </c>
      <c r="V38" s="128">
        <v>1.81317672</v>
      </c>
      <c r="W38" s="128">
        <v>2.0402191099999998</v>
      </c>
      <c r="X38" s="128"/>
      <c r="Y38" s="129"/>
      <c r="Z38" s="127">
        <v>1.9677540099999999</v>
      </c>
      <c r="AA38" s="128">
        <v>0.61140225000000004</v>
      </c>
      <c r="AB38" s="128">
        <v>1.6079509000000001</v>
      </c>
      <c r="AC38" s="128">
        <v>2.15612314</v>
      </c>
      <c r="AD38" s="128">
        <v>0.30850915000000001</v>
      </c>
      <c r="AE38" s="128">
        <v>0.44308293999999998</v>
      </c>
      <c r="AF38" s="128">
        <v>1.3591064399999999</v>
      </c>
      <c r="AG38" s="128">
        <v>1.6376845900000001</v>
      </c>
      <c r="AH38" s="128">
        <v>2.1804768800000001</v>
      </c>
      <c r="AI38" s="128">
        <v>0.94720219999999999</v>
      </c>
      <c r="AJ38" s="128">
        <v>1.2689132700000001</v>
      </c>
      <c r="AK38" s="129"/>
      <c r="AL38" s="127">
        <v>2.0261291799999999</v>
      </c>
      <c r="AM38" s="128">
        <v>1.00436536</v>
      </c>
      <c r="AN38" s="128">
        <v>0.95126507000000005</v>
      </c>
      <c r="AO38" s="128">
        <v>0.76082316999999999</v>
      </c>
      <c r="AP38" s="128">
        <v>1.1654300500000001</v>
      </c>
      <c r="AQ38" s="128">
        <v>1.16149407</v>
      </c>
      <c r="AR38" s="128">
        <v>1.5558307199999999</v>
      </c>
      <c r="AS38" s="128">
        <v>0.70910055000000005</v>
      </c>
      <c r="AT38" s="128">
        <v>0.59116592999999995</v>
      </c>
      <c r="AU38" s="128">
        <v>0.99898441999999998</v>
      </c>
      <c r="AV38" s="128">
        <v>2.0169971100000001</v>
      </c>
      <c r="AW38" s="129"/>
    </row>
    <row r="42" spans="1:49" x14ac:dyDescent="0.2">
      <c r="A42" t="s">
        <v>937</v>
      </c>
    </row>
    <row r="43" spans="1:49" x14ac:dyDescent="0.2">
      <c r="A43" t="s">
        <v>1158</v>
      </c>
    </row>
    <row r="44" spans="1:49" x14ac:dyDescent="0.2">
      <c r="A44" t="s">
        <v>1169</v>
      </c>
    </row>
    <row r="46" spans="1:49" x14ac:dyDescent="0.2">
      <c r="A46" t="s">
        <v>1170</v>
      </c>
      <c r="G46" t="s">
        <v>1168</v>
      </c>
    </row>
    <row r="47" spans="1:49" x14ac:dyDescent="0.2">
      <c r="A47" s="17"/>
      <c r="B47" s="18" t="s">
        <v>1167</v>
      </c>
      <c r="C47" s="18" t="s">
        <v>8</v>
      </c>
      <c r="D47" s="18" t="s">
        <v>1063</v>
      </c>
      <c r="E47" s="19" t="s">
        <v>9</v>
      </c>
      <c r="G47" s="17"/>
      <c r="H47" s="18" t="s">
        <v>1167</v>
      </c>
      <c r="I47" s="18" t="s">
        <v>8</v>
      </c>
      <c r="J47" s="18" t="s">
        <v>1063</v>
      </c>
      <c r="K47" s="19" t="s">
        <v>9</v>
      </c>
    </row>
    <row r="48" spans="1:49" x14ac:dyDescent="0.2">
      <c r="A48" s="20" t="s">
        <v>423</v>
      </c>
      <c r="B48" s="21" t="s">
        <v>498</v>
      </c>
      <c r="C48" s="21">
        <v>2.9100000000000001E-2</v>
      </c>
      <c r="D48" s="21">
        <v>1.5299999999999999E-2</v>
      </c>
      <c r="E48" s="10">
        <v>5.0299999999999997E-2</v>
      </c>
      <c r="G48" s="20" t="s">
        <v>32</v>
      </c>
      <c r="H48" s="21" t="s">
        <v>498</v>
      </c>
      <c r="I48" s="21">
        <v>4.7199999999999999E-2</v>
      </c>
      <c r="J48" s="21">
        <v>5.8999999999999999E-3</v>
      </c>
      <c r="K48" s="10">
        <v>0.2394</v>
      </c>
    </row>
    <row r="49" spans="1:11" x14ac:dyDescent="0.2">
      <c r="A49" s="20"/>
      <c r="B49" s="21" t="s">
        <v>8</v>
      </c>
      <c r="C49" s="260"/>
      <c r="D49" s="21">
        <v>0.98270000000000002</v>
      </c>
      <c r="E49" s="10">
        <v>0.99360000000000004</v>
      </c>
      <c r="G49" s="20" t="s">
        <v>927</v>
      </c>
      <c r="H49" s="21" t="s">
        <v>498</v>
      </c>
      <c r="I49" s="21">
        <v>6.6E-3</v>
      </c>
      <c r="J49" s="21">
        <v>0.3725</v>
      </c>
      <c r="K49" s="10">
        <v>0.67979999999999996</v>
      </c>
    </row>
    <row r="50" spans="1:11" x14ac:dyDescent="0.2">
      <c r="A50" s="20"/>
      <c r="B50" s="21" t="s">
        <v>1063</v>
      </c>
      <c r="C50" s="21">
        <v>0.98270000000000002</v>
      </c>
      <c r="D50" s="260"/>
      <c r="E50" s="10">
        <v>0.92469999999999997</v>
      </c>
      <c r="G50" s="28" t="s">
        <v>928</v>
      </c>
      <c r="H50" s="26" t="s">
        <v>498</v>
      </c>
      <c r="I50" s="26">
        <v>8.8999999999999999E-3</v>
      </c>
      <c r="J50" s="26">
        <v>0.50029999999999997</v>
      </c>
      <c r="K50" s="11">
        <v>0.66080000000000005</v>
      </c>
    </row>
    <row r="51" spans="1:11" x14ac:dyDescent="0.2">
      <c r="A51" s="20" t="s">
        <v>925</v>
      </c>
      <c r="B51" s="21" t="s">
        <v>498</v>
      </c>
      <c r="C51" s="21">
        <v>1.7500000000000002E-2</v>
      </c>
      <c r="D51" s="21">
        <v>8.3999999999999995E-3</v>
      </c>
      <c r="E51" s="10">
        <v>2.64E-2</v>
      </c>
    </row>
    <row r="52" spans="1:11" x14ac:dyDescent="0.2">
      <c r="A52" s="20"/>
      <c r="B52" s="21" t="s">
        <v>8</v>
      </c>
      <c r="C52" s="260"/>
      <c r="D52" s="21">
        <v>0.97729999999999995</v>
      </c>
      <c r="E52" s="10">
        <v>0.99770000000000003</v>
      </c>
    </row>
    <row r="53" spans="1:11" x14ac:dyDescent="0.2">
      <c r="A53" s="28"/>
      <c r="B53" s="26" t="s">
        <v>1063</v>
      </c>
      <c r="C53" s="26">
        <v>0.97729999999999995</v>
      </c>
      <c r="D53" s="271"/>
      <c r="E53" s="11">
        <v>0.93630000000000002</v>
      </c>
    </row>
    <row r="55" spans="1:11" x14ac:dyDescent="0.2">
      <c r="A55" t="s">
        <v>1171</v>
      </c>
    </row>
    <row r="56" spans="1:11" x14ac:dyDescent="0.2">
      <c r="A56" t="s">
        <v>1172</v>
      </c>
      <c r="G56" s="17" t="s">
        <v>1173</v>
      </c>
      <c r="H56" s="18"/>
      <c r="I56" s="18"/>
      <c r="J56" s="18"/>
      <c r="K56" s="19"/>
    </row>
    <row r="57" spans="1:11" x14ac:dyDescent="0.2">
      <c r="A57" s="17"/>
      <c r="B57" s="18" t="s">
        <v>1167</v>
      </c>
      <c r="C57" s="18" t="s">
        <v>8</v>
      </c>
      <c r="D57" s="18" t="s">
        <v>1063</v>
      </c>
      <c r="E57" s="19" t="s">
        <v>9</v>
      </c>
      <c r="G57" s="20"/>
      <c r="H57" s="21" t="s">
        <v>1167</v>
      </c>
      <c r="I57" s="21" t="s">
        <v>8</v>
      </c>
      <c r="J57" s="21" t="s">
        <v>1063</v>
      </c>
      <c r="K57" s="10" t="s">
        <v>9</v>
      </c>
    </row>
    <row r="58" spans="1:11" x14ac:dyDescent="0.2">
      <c r="A58" s="20" t="s">
        <v>930</v>
      </c>
      <c r="B58" s="21" t="s">
        <v>498</v>
      </c>
      <c r="C58" s="21">
        <v>4.0000000000000002E-4</v>
      </c>
      <c r="D58" s="21">
        <v>0.52210000000000001</v>
      </c>
      <c r="E58" s="10">
        <v>0.84319999999999995</v>
      </c>
      <c r="G58" s="20" t="s">
        <v>930</v>
      </c>
      <c r="H58" s="21" t="s">
        <v>498</v>
      </c>
      <c r="I58" s="21">
        <v>9.9000000000000008E-3</v>
      </c>
      <c r="J58" s="21">
        <v>0.11219999999999999</v>
      </c>
      <c r="K58" s="10">
        <v>0.85880000000000001</v>
      </c>
    </row>
    <row r="59" spans="1:11" x14ac:dyDescent="0.2">
      <c r="A59" s="20"/>
      <c r="B59" s="21" t="s">
        <v>8</v>
      </c>
      <c r="C59" s="260"/>
      <c r="D59" s="21">
        <v>1.15E-2</v>
      </c>
      <c r="E59" s="10">
        <v>1.6999999999999999E-3</v>
      </c>
      <c r="G59" s="20"/>
      <c r="H59" s="21" t="s">
        <v>8</v>
      </c>
      <c r="I59" s="260"/>
      <c r="J59" s="21">
        <v>0.71030000000000004</v>
      </c>
      <c r="K59" s="10">
        <v>4.2799999999999998E-2</v>
      </c>
    </row>
    <row r="60" spans="1:11" x14ac:dyDescent="0.2">
      <c r="A60" s="20"/>
      <c r="B60" s="21" t="s">
        <v>1063</v>
      </c>
      <c r="C60" s="21">
        <v>1.15E-2</v>
      </c>
      <c r="D60" s="260"/>
      <c r="E60" s="10">
        <v>0.92789999999999995</v>
      </c>
      <c r="G60" s="20"/>
      <c r="H60" s="21" t="s">
        <v>1063</v>
      </c>
      <c r="I60" s="21">
        <v>0.71030000000000004</v>
      </c>
      <c r="J60" s="260"/>
      <c r="K60" s="10">
        <v>0.35920000000000002</v>
      </c>
    </row>
    <row r="61" spans="1:11" x14ac:dyDescent="0.2">
      <c r="A61" s="20" t="s">
        <v>964</v>
      </c>
      <c r="B61" s="21" t="s">
        <v>498</v>
      </c>
      <c r="C61" s="21">
        <v>1.4500000000000001E-2</v>
      </c>
      <c r="D61" s="21">
        <v>0.73270000000000002</v>
      </c>
      <c r="E61" s="10">
        <v>0.44969999999999999</v>
      </c>
      <c r="G61" s="20" t="s">
        <v>1174</v>
      </c>
      <c r="H61" s="21" t="s">
        <v>498</v>
      </c>
      <c r="I61" s="21">
        <v>3.1300000000000001E-2</v>
      </c>
      <c r="J61" s="21">
        <v>0.18190000000000001</v>
      </c>
      <c r="K61" s="57">
        <v>0.78849999999999998</v>
      </c>
    </row>
    <row r="62" spans="1:11" x14ac:dyDescent="0.2">
      <c r="A62" s="20"/>
      <c r="B62" s="21" t="s">
        <v>8</v>
      </c>
      <c r="C62" s="260"/>
      <c r="D62" s="21">
        <v>0.1232</v>
      </c>
      <c r="E62" s="10">
        <v>0.2273</v>
      </c>
      <c r="G62" s="20"/>
      <c r="H62" s="21" t="s">
        <v>8</v>
      </c>
      <c r="I62" s="260"/>
      <c r="J62" s="113">
        <v>0.82630000000000003</v>
      </c>
      <c r="K62" s="57">
        <v>0.16520000000000001</v>
      </c>
    </row>
    <row r="63" spans="1:11" x14ac:dyDescent="0.2">
      <c r="A63" s="28"/>
      <c r="B63" s="26" t="s">
        <v>1063</v>
      </c>
      <c r="C63" s="26">
        <v>0.1232</v>
      </c>
      <c r="D63" s="271"/>
      <c r="E63" s="11">
        <v>0.97119999999999995</v>
      </c>
      <c r="G63" s="20"/>
      <c r="H63" s="21" t="s">
        <v>1063</v>
      </c>
      <c r="I63" s="113">
        <v>0.82630000000000003</v>
      </c>
      <c r="J63" s="260"/>
      <c r="K63" s="57">
        <v>0.60440000000000005</v>
      </c>
    </row>
    <row r="64" spans="1:11" x14ac:dyDescent="0.2">
      <c r="G64" s="20" t="s">
        <v>1175</v>
      </c>
      <c r="H64" s="21" t="s">
        <v>498</v>
      </c>
      <c r="I64" s="113">
        <v>5.1000000000000004E-3</v>
      </c>
      <c r="J64" s="113">
        <v>0.51</v>
      </c>
      <c r="K64" s="57">
        <v>0.78869999999999996</v>
      </c>
    </row>
    <row r="65" spans="7:11" x14ac:dyDescent="0.2">
      <c r="G65" s="20"/>
      <c r="H65" s="21" t="s">
        <v>8</v>
      </c>
      <c r="I65" s="260"/>
      <c r="J65" s="113">
        <v>0.78100000000000003</v>
      </c>
      <c r="K65" s="57">
        <v>3.27E-2</v>
      </c>
    </row>
    <row r="66" spans="7:11" x14ac:dyDescent="0.2">
      <c r="G66" s="28"/>
      <c r="H66" s="26" t="s">
        <v>1063</v>
      </c>
      <c r="I66" s="141">
        <v>0.78100000000000003</v>
      </c>
      <c r="J66" s="271"/>
      <c r="K66" s="139">
        <v>0.246</v>
      </c>
    </row>
  </sheetData>
  <mergeCells count="16">
    <mergeCell ref="B28:M28"/>
    <mergeCell ref="N28:Y28"/>
    <mergeCell ref="Z28:AK28"/>
    <mergeCell ref="AL28:AW28"/>
    <mergeCell ref="B15:M15"/>
    <mergeCell ref="N15:Y15"/>
    <mergeCell ref="Z15:AK15"/>
    <mergeCell ref="AL15:AW15"/>
    <mergeCell ref="B2:M2"/>
    <mergeCell ref="N2:Y2"/>
    <mergeCell ref="Z2:AK2"/>
    <mergeCell ref="AL2:AW2"/>
    <mergeCell ref="B8:M8"/>
    <mergeCell ref="N8:Y8"/>
    <mergeCell ref="Z8:AK8"/>
    <mergeCell ref="AL8:AW8"/>
  </mergeCells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DD65B9-6B4C-1D4A-8163-44FE80234AA7}">
  <sheetPr codeName="Sheet32"/>
  <dimension ref="A1:M31"/>
  <sheetViews>
    <sheetView workbookViewId="0">
      <selection activeCell="O23" sqref="O23"/>
    </sheetView>
  </sheetViews>
  <sheetFormatPr baseColWidth="10" defaultRowHeight="16" x14ac:dyDescent="0.2"/>
  <cols>
    <col min="12" max="12" width="12.6640625" customWidth="1"/>
  </cols>
  <sheetData>
    <row r="1" spans="1:12" x14ac:dyDescent="0.2">
      <c r="E1" s="21"/>
    </row>
    <row r="2" spans="1:12" x14ac:dyDescent="0.2">
      <c r="A2" t="s">
        <v>1229</v>
      </c>
      <c r="B2" s="17" t="s">
        <v>938</v>
      </c>
      <c r="C2" s="18"/>
      <c r="D2" s="19"/>
      <c r="E2" s="21"/>
      <c r="F2" s="17" t="s">
        <v>939</v>
      </c>
      <c r="G2" s="18"/>
      <c r="H2" s="19"/>
      <c r="I2" s="21"/>
      <c r="J2" s="17" t="s">
        <v>940</v>
      </c>
      <c r="K2" s="18"/>
      <c r="L2" s="19"/>
    </row>
    <row r="3" spans="1:12" x14ac:dyDescent="0.2">
      <c r="B3" s="192" t="s">
        <v>7</v>
      </c>
      <c r="C3" s="154" t="s">
        <v>8</v>
      </c>
      <c r="D3" s="193" t="s">
        <v>9</v>
      </c>
      <c r="E3" s="154"/>
      <c r="F3" s="192" t="s">
        <v>7</v>
      </c>
      <c r="G3" s="154" t="s">
        <v>8</v>
      </c>
      <c r="H3" s="193" t="s">
        <v>9</v>
      </c>
      <c r="J3" s="192" t="s">
        <v>7</v>
      </c>
      <c r="K3" s="154" t="s">
        <v>8</v>
      </c>
      <c r="L3" s="193" t="s">
        <v>9</v>
      </c>
    </row>
    <row r="4" spans="1:12" x14ac:dyDescent="0.2">
      <c r="B4" s="279">
        <v>1</v>
      </c>
      <c r="C4" s="272">
        <v>2</v>
      </c>
      <c r="D4" s="280">
        <v>2.5</v>
      </c>
      <c r="E4" s="125"/>
      <c r="F4" s="279">
        <v>42</v>
      </c>
      <c r="G4" s="272">
        <v>26.3333333</v>
      </c>
      <c r="H4" s="280">
        <v>97.833333300000007</v>
      </c>
      <c r="J4" s="279">
        <v>3506.9302299999999</v>
      </c>
      <c r="K4" s="272">
        <v>3563.6542100000001</v>
      </c>
      <c r="L4" s="280">
        <v>2672.7452400000002</v>
      </c>
    </row>
    <row r="5" spans="1:12" x14ac:dyDescent="0.2">
      <c r="B5" s="124">
        <v>0.5</v>
      </c>
      <c r="C5" s="125">
        <v>8</v>
      </c>
      <c r="D5" s="126">
        <v>1</v>
      </c>
      <c r="E5" s="125"/>
      <c r="F5" s="124">
        <v>30.3333333</v>
      </c>
      <c r="G5" s="125">
        <v>125.5</v>
      </c>
      <c r="H5" s="126">
        <v>50</v>
      </c>
      <c r="J5" s="124">
        <v>2866.7796600000001</v>
      </c>
      <c r="K5" s="125">
        <v>4783.0957900000003</v>
      </c>
      <c r="L5" s="126">
        <v>2787.3396200000002</v>
      </c>
    </row>
    <row r="6" spans="1:12" x14ac:dyDescent="0.2">
      <c r="B6" s="124">
        <v>0</v>
      </c>
      <c r="C6" s="125">
        <v>3.5</v>
      </c>
      <c r="D6" s="126">
        <v>2</v>
      </c>
      <c r="E6" s="125"/>
      <c r="F6" s="124">
        <v>34.6666667</v>
      </c>
      <c r="G6" s="125">
        <v>122.833333</v>
      </c>
      <c r="H6" s="126">
        <v>60.6666667</v>
      </c>
      <c r="J6" s="124">
        <v>3294.9565200000002</v>
      </c>
      <c r="K6" s="125">
        <v>3992.125</v>
      </c>
      <c r="L6" s="126">
        <v>2704.3912999999998</v>
      </c>
    </row>
    <row r="7" spans="1:12" x14ac:dyDescent="0.2">
      <c r="B7" s="124">
        <v>2</v>
      </c>
      <c r="C7" s="125">
        <v>4</v>
      </c>
      <c r="D7" s="126">
        <v>0</v>
      </c>
      <c r="E7" s="125"/>
      <c r="F7" s="124">
        <v>61.1666667</v>
      </c>
      <c r="G7" s="125">
        <v>59.6666667</v>
      </c>
      <c r="H7" s="126">
        <v>110.833333</v>
      </c>
      <c r="J7" s="124">
        <v>6215.9166699999996</v>
      </c>
      <c r="K7" s="125">
        <v>4653.6813199999997</v>
      </c>
      <c r="L7" s="126">
        <v>2767.6101699999999</v>
      </c>
    </row>
    <row r="8" spans="1:12" x14ac:dyDescent="0.2">
      <c r="B8" s="124">
        <v>0</v>
      </c>
      <c r="C8" s="125">
        <v>52.5</v>
      </c>
      <c r="D8" s="126">
        <v>2.5</v>
      </c>
      <c r="E8" s="125"/>
      <c r="F8" s="124">
        <v>32.8333333</v>
      </c>
      <c r="G8" s="125">
        <v>37.1666667</v>
      </c>
      <c r="H8" s="126">
        <v>160.33333300000001</v>
      </c>
      <c r="J8" s="124">
        <v>4079.2527500000001</v>
      </c>
      <c r="K8" s="125">
        <v>6209.8932599999998</v>
      </c>
      <c r="L8" s="126">
        <v>2757.1145499999998</v>
      </c>
    </row>
    <row r="9" spans="1:12" x14ac:dyDescent="0.2">
      <c r="B9" s="124">
        <v>2</v>
      </c>
      <c r="C9" s="125">
        <v>18.5</v>
      </c>
      <c r="D9" s="126">
        <v>20.5</v>
      </c>
      <c r="E9" s="125"/>
      <c r="F9" s="124">
        <v>34</v>
      </c>
      <c r="G9" s="125">
        <v>33.6666667</v>
      </c>
      <c r="H9" s="126">
        <v>44.8333333</v>
      </c>
      <c r="J9" s="124">
        <v>4322.4727300000004</v>
      </c>
      <c r="K9" s="125">
        <v>5533.9481100000003</v>
      </c>
      <c r="L9" s="126">
        <v>3385.0929599999999</v>
      </c>
    </row>
    <row r="10" spans="1:12" x14ac:dyDescent="0.2">
      <c r="B10" s="124">
        <v>26</v>
      </c>
      <c r="C10" s="125">
        <v>44</v>
      </c>
      <c r="D10" s="126">
        <v>6</v>
      </c>
      <c r="E10" s="191"/>
      <c r="F10" s="124">
        <v>25.1666667</v>
      </c>
      <c r="G10" s="125">
        <v>79</v>
      </c>
      <c r="H10" s="126">
        <v>149</v>
      </c>
      <c r="J10" s="124">
        <v>6196.4642899999999</v>
      </c>
      <c r="K10" s="125">
        <v>6218.2893899999999</v>
      </c>
      <c r="L10" s="126">
        <v>3782.1943900000001</v>
      </c>
    </row>
    <row r="11" spans="1:12" x14ac:dyDescent="0.2">
      <c r="B11" s="124">
        <v>5.5</v>
      </c>
      <c r="C11" s="125">
        <v>42.5</v>
      </c>
      <c r="D11" s="126">
        <v>9.5</v>
      </c>
      <c r="E11" s="191"/>
      <c r="F11" s="124">
        <v>42</v>
      </c>
      <c r="G11" s="125">
        <v>72.333333300000007</v>
      </c>
      <c r="H11" s="126">
        <v>137.5</v>
      </c>
      <c r="J11" s="124">
        <v>5369.4782599999999</v>
      </c>
      <c r="K11" s="125">
        <v>4189.1799199999996</v>
      </c>
      <c r="L11" s="126">
        <v>3728.25153</v>
      </c>
    </row>
    <row r="12" spans="1:12" x14ac:dyDescent="0.2">
      <c r="B12" s="124">
        <v>25</v>
      </c>
      <c r="C12" s="125">
        <v>57.5</v>
      </c>
      <c r="D12" s="126">
        <v>8</v>
      </c>
      <c r="E12" s="191"/>
      <c r="F12" s="124">
        <v>19.1666667</v>
      </c>
      <c r="G12" s="125">
        <v>62.1666667</v>
      </c>
      <c r="H12" s="126">
        <v>90</v>
      </c>
      <c r="J12" s="124">
        <v>6564.8395499999997</v>
      </c>
      <c r="K12" s="125">
        <v>7001.81124</v>
      </c>
      <c r="L12" s="126">
        <v>5001.8307199999999</v>
      </c>
    </row>
    <row r="13" spans="1:12" x14ac:dyDescent="0.2">
      <c r="B13" s="124">
        <v>0.5</v>
      </c>
      <c r="C13" s="125">
        <v>13</v>
      </c>
      <c r="D13" s="126">
        <v>5.5</v>
      </c>
      <c r="E13" s="125"/>
      <c r="F13" s="124">
        <v>38.3333333</v>
      </c>
      <c r="G13" s="125">
        <v>39.1666667</v>
      </c>
      <c r="H13" s="126">
        <v>19.6666667</v>
      </c>
      <c r="J13" s="124">
        <v>4068.8311699999999</v>
      </c>
      <c r="K13" s="125">
        <v>5349.4857099999999</v>
      </c>
      <c r="L13" s="126">
        <v>4968.7586199999996</v>
      </c>
    </row>
    <row r="14" spans="1:12" x14ac:dyDescent="0.2">
      <c r="B14" s="28"/>
      <c r="C14" s="26"/>
      <c r="D14" s="129">
        <v>11</v>
      </c>
      <c r="E14" s="125"/>
      <c r="F14" s="28"/>
      <c r="G14" s="26"/>
      <c r="H14" s="129">
        <v>105.166667</v>
      </c>
      <c r="J14" s="28"/>
      <c r="K14" s="26"/>
      <c r="L14" s="129">
        <v>4954.4770799999997</v>
      </c>
    </row>
    <row r="15" spans="1:12" x14ac:dyDescent="0.2">
      <c r="E15" s="21"/>
    </row>
    <row r="19" spans="2:13" x14ac:dyDescent="0.2">
      <c r="B19" t="s">
        <v>1226</v>
      </c>
      <c r="F19" t="s">
        <v>1227</v>
      </c>
      <c r="J19" t="s">
        <v>1228</v>
      </c>
    </row>
    <row r="20" spans="2:13" x14ac:dyDescent="0.2">
      <c r="B20" s="275" t="s">
        <v>7</v>
      </c>
      <c r="C20" s="277" t="s">
        <v>8</v>
      </c>
      <c r="D20" s="276" t="s">
        <v>9</v>
      </c>
      <c r="F20" s="228" t="s">
        <v>7</v>
      </c>
      <c r="G20" s="229" t="s">
        <v>8</v>
      </c>
      <c r="H20" s="230" t="s">
        <v>9</v>
      </c>
      <c r="J20" s="228" t="s">
        <v>7</v>
      </c>
      <c r="K20" s="229" t="s">
        <v>8</v>
      </c>
      <c r="L20" s="230" t="s">
        <v>9</v>
      </c>
      <c r="M20" s="21"/>
    </row>
    <row r="21" spans="2:13" x14ac:dyDescent="0.2">
      <c r="B21" s="279">
        <v>1512</v>
      </c>
      <c r="C21" s="272">
        <v>4325</v>
      </c>
      <c r="D21" s="280">
        <v>3280</v>
      </c>
      <c r="E21" s="88"/>
      <c r="F21" s="279">
        <v>873.5</v>
      </c>
      <c r="G21" s="272">
        <v>755.5</v>
      </c>
      <c r="H21" s="280">
        <v>672</v>
      </c>
      <c r="I21" s="88"/>
      <c r="J21" s="279">
        <v>3170682</v>
      </c>
      <c r="K21" s="272">
        <v>3220053.5</v>
      </c>
      <c r="L21" s="280">
        <v>2440539</v>
      </c>
      <c r="M21" s="21"/>
    </row>
    <row r="22" spans="2:13" x14ac:dyDescent="0.2">
      <c r="B22" s="124">
        <v>562.5</v>
      </c>
      <c r="C22" s="125">
        <v>19589.5</v>
      </c>
      <c r="D22" s="126">
        <v>2560.5</v>
      </c>
      <c r="E22" s="88"/>
      <c r="F22" s="124">
        <v>744.5</v>
      </c>
      <c r="G22" s="125">
        <v>983.5</v>
      </c>
      <c r="H22" s="126">
        <v>707.5</v>
      </c>
      <c r="I22" s="88"/>
      <c r="J22" s="124">
        <v>1767878</v>
      </c>
      <c r="K22" s="125">
        <v>3582883.5</v>
      </c>
      <c r="L22" s="126">
        <v>2816727</v>
      </c>
      <c r="M22" s="21"/>
    </row>
    <row r="23" spans="2:13" x14ac:dyDescent="0.2">
      <c r="B23" s="124">
        <v>0</v>
      </c>
      <c r="C23" s="125">
        <v>11354.5</v>
      </c>
      <c r="D23" s="126">
        <v>5457</v>
      </c>
      <c r="E23" s="88"/>
      <c r="F23" s="124">
        <v>805.5</v>
      </c>
      <c r="G23" s="125">
        <v>894</v>
      </c>
      <c r="H23" s="126">
        <v>738.5</v>
      </c>
      <c r="I23" s="88"/>
      <c r="J23" s="124">
        <v>1797477.5</v>
      </c>
      <c r="K23" s="125">
        <v>2815831</v>
      </c>
      <c r="L23" s="126">
        <v>2821466.5</v>
      </c>
      <c r="M23" s="21"/>
    </row>
    <row r="24" spans="2:13" x14ac:dyDescent="0.2">
      <c r="B24" s="124">
        <v>5319</v>
      </c>
      <c r="C24" s="125">
        <v>11881.5</v>
      </c>
      <c r="D24" s="126">
        <v>0</v>
      </c>
      <c r="E24" s="88"/>
      <c r="F24" s="124">
        <v>1078</v>
      </c>
      <c r="G24" s="125">
        <v>1012</v>
      </c>
      <c r="H24" s="126">
        <v>841.5</v>
      </c>
      <c r="I24" s="88"/>
      <c r="J24" s="124">
        <v>3626763</v>
      </c>
      <c r="K24" s="125">
        <v>2895078</v>
      </c>
      <c r="L24" s="126">
        <v>2426409</v>
      </c>
      <c r="M24" s="21"/>
    </row>
    <row r="25" spans="2:13" x14ac:dyDescent="0.2">
      <c r="B25" s="124">
        <v>0</v>
      </c>
      <c r="C25" s="125">
        <v>165766</v>
      </c>
      <c r="D25" s="126">
        <v>6735</v>
      </c>
      <c r="E25" s="88"/>
      <c r="F25" s="124">
        <v>974</v>
      </c>
      <c r="G25" s="125">
        <v>1064.5</v>
      </c>
      <c r="H25" s="126">
        <v>699.5</v>
      </c>
      <c r="I25" s="88"/>
      <c r="J25" s="124">
        <v>2725468.5</v>
      </c>
      <c r="K25" s="125">
        <v>3968584.5</v>
      </c>
      <c r="L25" s="126">
        <v>3027092</v>
      </c>
      <c r="M25" s="21"/>
    </row>
    <row r="26" spans="2:13" x14ac:dyDescent="0.2">
      <c r="B26" s="124">
        <v>3159.5</v>
      </c>
      <c r="C26" s="125">
        <v>48155.5</v>
      </c>
      <c r="D26" s="126">
        <v>54389.5</v>
      </c>
      <c r="E26" s="88"/>
      <c r="F26" s="124">
        <v>929.5</v>
      </c>
      <c r="G26" s="125">
        <v>852</v>
      </c>
      <c r="H26" s="126">
        <v>914</v>
      </c>
      <c r="I26" s="88"/>
      <c r="J26" s="124">
        <v>3344021</v>
      </c>
      <c r="K26" s="125">
        <v>3973420.5</v>
      </c>
      <c r="L26" s="126">
        <v>2650374.5</v>
      </c>
      <c r="M26" s="21"/>
    </row>
    <row r="27" spans="2:13" x14ac:dyDescent="0.2">
      <c r="B27" s="124">
        <v>89990</v>
      </c>
      <c r="C27" s="125">
        <v>144595.5</v>
      </c>
      <c r="D27" s="126">
        <v>19473</v>
      </c>
      <c r="E27" s="88"/>
      <c r="F27" s="124">
        <v>642</v>
      </c>
      <c r="G27" s="125">
        <v>835</v>
      </c>
      <c r="H27" s="126">
        <v>670.5</v>
      </c>
      <c r="I27" s="88"/>
      <c r="J27" s="124">
        <v>3780587</v>
      </c>
      <c r="K27" s="125">
        <v>3709711.5</v>
      </c>
      <c r="L27" s="126">
        <v>2837442.5</v>
      </c>
      <c r="M27" s="21"/>
    </row>
    <row r="28" spans="2:13" x14ac:dyDescent="0.2">
      <c r="B28" s="124">
        <v>18084.5</v>
      </c>
      <c r="C28" s="125">
        <v>133000</v>
      </c>
      <c r="D28" s="126">
        <v>44486.5</v>
      </c>
      <c r="E28" s="88"/>
      <c r="F28" s="124">
        <v>807.5</v>
      </c>
      <c r="G28" s="125">
        <v>731.5</v>
      </c>
      <c r="H28" s="126">
        <v>751.5</v>
      </c>
      <c r="I28" s="88"/>
      <c r="J28" s="124">
        <v>3637024.5</v>
      </c>
      <c r="K28" s="125">
        <v>3718314</v>
      </c>
      <c r="L28" s="126">
        <v>3135661.5</v>
      </c>
      <c r="M28" s="21"/>
    </row>
    <row r="29" spans="2:13" x14ac:dyDescent="0.2">
      <c r="B29" s="124">
        <v>90145.5</v>
      </c>
      <c r="C29" s="125">
        <v>212916.5</v>
      </c>
      <c r="D29" s="126">
        <v>29632.5</v>
      </c>
      <c r="E29" s="88"/>
      <c r="F29" s="124">
        <v>638</v>
      </c>
      <c r="G29" s="125">
        <v>622</v>
      </c>
      <c r="H29" s="126">
        <v>840.5</v>
      </c>
      <c r="I29" s="88"/>
      <c r="J29" s="124">
        <v>3671332</v>
      </c>
      <c r="K29" s="125">
        <v>3549317</v>
      </c>
      <c r="L29" s="126">
        <v>3311912.5</v>
      </c>
      <c r="M29" s="21"/>
    </row>
    <row r="30" spans="2:13" x14ac:dyDescent="0.2">
      <c r="B30" s="124">
        <v>1650.5</v>
      </c>
      <c r="C30" s="125">
        <v>42004.5</v>
      </c>
      <c r="D30" s="126">
        <v>16120.5</v>
      </c>
      <c r="E30" s="88"/>
      <c r="F30" s="124">
        <v>633.5</v>
      </c>
      <c r="G30" s="125">
        <v>726</v>
      </c>
      <c r="H30" s="126">
        <v>707</v>
      </c>
      <c r="I30" s="88"/>
      <c r="J30" s="124">
        <v>1785867.5</v>
      </c>
      <c r="K30" s="125">
        <v>3250907</v>
      </c>
      <c r="L30" s="126">
        <v>2528697.5</v>
      </c>
      <c r="M30" s="21"/>
    </row>
    <row r="31" spans="2:13" x14ac:dyDescent="0.2">
      <c r="B31" s="28"/>
      <c r="C31" s="26"/>
      <c r="D31" s="129">
        <v>42503</v>
      </c>
      <c r="E31" s="88"/>
      <c r="F31" s="28"/>
      <c r="G31" s="26"/>
      <c r="H31" s="129">
        <v>852.5</v>
      </c>
      <c r="I31" s="88"/>
      <c r="J31" s="28"/>
      <c r="K31" s="26"/>
      <c r="L31" s="129">
        <v>2547624</v>
      </c>
      <c r="M31" s="21"/>
    </row>
  </sheetData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1CEB43-95F3-C845-A0CF-9BCDBAB7A302}">
  <sheetPr codeName="Sheet33"/>
  <dimension ref="A1:AN53"/>
  <sheetViews>
    <sheetView zoomScale="69" zoomScaleNormal="69" workbookViewId="0">
      <selection activeCell="A39" sqref="A39"/>
    </sheetView>
  </sheetViews>
  <sheetFormatPr baseColWidth="10" defaultRowHeight="16" x14ac:dyDescent="0.2"/>
  <cols>
    <col min="13" max="13" width="10.83203125" style="10"/>
    <col min="16" max="16" width="10.83203125" style="20"/>
  </cols>
  <sheetData>
    <row r="1" spans="1:40" x14ac:dyDescent="0.2">
      <c r="A1" t="s">
        <v>1223</v>
      </c>
      <c r="N1" s="90"/>
      <c r="P1" s="20" t="s">
        <v>1224</v>
      </c>
      <c r="X1" s="17"/>
      <c r="Y1" s="18" t="s">
        <v>953</v>
      </c>
      <c r="Z1" s="18"/>
      <c r="AA1" s="18"/>
      <c r="AB1" s="18"/>
      <c r="AC1" s="18"/>
      <c r="AD1" s="18"/>
      <c r="AE1" s="19"/>
    </row>
    <row r="2" spans="1:40" x14ac:dyDescent="0.2">
      <c r="A2" s="88" t="s">
        <v>103</v>
      </c>
      <c r="B2" s="88" t="s">
        <v>941</v>
      </c>
      <c r="C2" s="88" t="s">
        <v>98</v>
      </c>
      <c r="D2" s="88" t="s">
        <v>942</v>
      </c>
      <c r="E2" s="88" t="s">
        <v>15</v>
      </c>
      <c r="F2" s="88" t="s">
        <v>943</v>
      </c>
      <c r="G2" s="88" t="s">
        <v>10</v>
      </c>
      <c r="H2" s="88" t="s">
        <v>944</v>
      </c>
      <c r="I2" s="88" t="s">
        <v>945</v>
      </c>
      <c r="J2" s="88" t="s">
        <v>946</v>
      </c>
      <c r="K2" s="88" t="s">
        <v>947</v>
      </c>
      <c r="L2" s="88" t="s">
        <v>948</v>
      </c>
      <c r="M2" s="148" t="s">
        <v>949</v>
      </c>
      <c r="N2" s="287"/>
      <c r="P2" s="20" t="s">
        <v>948</v>
      </c>
      <c r="Q2" t="s">
        <v>949</v>
      </c>
      <c r="R2" s="176" t="s">
        <v>103</v>
      </c>
      <c r="S2" s="176" t="s">
        <v>941</v>
      </c>
      <c r="T2" s="176" t="s">
        <v>98</v>
      </c>
      <c r="U2" s="176" t="s">
        <v>943</v>
      </c>
      <c r="V2" s="176" t="s">
        <v>944</v>
      </c>
      <c r="W2" s="176" t="s">
        <v>947</v>
      </c>
      <c r="X2" s="20"/>
      <c r="Y2" s="21"/>
      <c r="Z2" s="21" t="s">
        <v>951</v>
      </c>
      <c r="AA2" s="21"/>
      <c r="AB2" s="21"/>
      <c r="AC2" s="21"/>
      <c r="AD2" s="21"/>
      <c r="AE2" s="10"/>
    </row>
    <row r="3" spans="1:40" x14ac:dyDescent="0.2">
      <c r="A3" s="64">
        <v>2.87</v>
      </c>
      <c r="B3" s="64">
        <v>1.84</v>
      </c>
      <c r="C3" s="64">
        <v>5.05</v>
      </c>
      <c r="D3" s="64">
        <v>67.150000000000006</v>
      </c>
      <c r="E3" s="64">
        <v>37.54</v>
      </c>
      <c r="F3" s="64">
        <v>9.0500000000000007</v>
      </c>
      <c r="G3" s="64">
        <v>2.23</v>
      </c>
      <c r="H3" s="118">
        <v>3.52</v>
      </c>
      <c r="I3" s="118">
        <v>0.84</v>
      </c>
      <c r="J3" s="118">
        <v>1.89</v>
      </c>
      <c r="K3" s="118">
        <v>2.39</v>
      </c>
      <c r="L3" t="s">
        <v>950</v>
      </c>
      <c r="M3" s="10" t="s">
        <v>498</v>
      </c>
      <c r="N3" s="90"/>
      <c r="P3" s="20" t="s">
        <v>951</v>
      </c>
      <c r="Q3" t="s">
        <v>498</v>
      </c>
      <c r="R3" s="195">
        <v>33.400000000000006</v>
      </c>
      <c r="S3" s="195">
        <v>2.76</v>
      </c>
      <c r="T3" s="195">
        <v>-0.17999999999999972</v>
      </c>
      <c r="U3" s="195">
        <v>-4.5600000000000005</v>
      </c>
      <c r="V3" s="195">
        <v>0</v>
      </c>
      <c r="W3" s="195">
        <v>0.63999999999999968</v>
      </c>
      <c r="X3" s="20"/>
      <c r="Y3" s="21"/>
      <c r="Z3" s="198" t="s">
        <v>103</v>
      </c>
      <c r="AA3" s="198" t="s">
        <v>941</v>
      </c>
      <c r="AB3" s="198" t="s">
        <v>98</v>
      </c>
      <c r="AC3" s="198" t="s">
        <v>943</v>
      </c>
      <c r="AD3" s="198" t="s">
        <v>944</v>
      </c>
      <c r="AE3" s="199" t="s">
        <v>947</v>
      </c>
      <c r="AF3" s="64"/>
      <c r="AG3" s="64"/>
      <c r="AH3" s="64"/>
      <c r="AI3" s="64"/>
      <c r="AJ3" s="64"/>
      <c r="AK3" s="64"/>
      <c r="AL3" s="64"/>
      <c r="AM3" s="64"/>
      <c r="AN3" s="64"/>
    </row>
    <row r="4" spans="1:40" x14ac:dyDescent="0.2">
      <c r="A4" s="64">
        <v>0.88</v>
      </c>
      <c r="B4" s="64">
        <v>4.1100000000000003</v>
      </c>
      <c r="C4" s="64">
        <v>2.65</v>
      </c>
      <c r="D4" s="64">
        <v>43.47</v>
      </c>
      <c r="E4" s="64">
        <v>39.450000000000003</v>
      </c>
      <c r="F4" s="64">
        <v>7.4</v>
      </c>
      <c r="G4" s="64">
        <v>2.23</v>
      </c>
      <c r="H4" s="118">
        <v>3.52</v>
      </c>
      <c r="I4" s="118">
        <v>0.84</v>
      </c>
      <c r="J4" s="118">
        <v>1.89</v>
      </c>
      <c r="K4" s="118">
        <v>2.39</v>
      </c>
      <c r="L4" t="s">
        <v>950</v>
      </c>
      <c r="M4" s="10" t="s">
        <v>498</v>
      </c>
      <c r="N4" s="90"/>
      <c r="P4" s="20" t="s">
        <v>951</v>
      </c>
      <c r="Q4" t="s">
        <v>498</v>
      </c>
      <c r="R4" s="195">
        <v>30.6</v>
      </c>
      <c r="S4" s="195">
        <v>3.37</v>
      </c>
      <c r="T4" s="195">
        <v>1.73</v>
      </c>
      <c r="U4" s="195">
        <v>0</v>
      </c>
      <c r="V4" s="195">
        <v>0</v>
      </c>
      <c r="W4" s="195">
        <v>1.7099999999999995</v>
      </c>
      <c r="X4" s="20"/>
      <c r="Y4" s="21" t="s">
        <v>498</v>
      </c>
      <c r="Z4" s="200">
        <v>138.07625000000002</v>
      </c>
      <c r="AA4" s="200">
        <v>7.7650000000000006</v>
      </c>
      <c r="AB4" s="200">
        <v>3.1225000000000005</v>
      </c>
      <c r="AC4" s="200">
        <v>-1.2725000000000002</v>
      </c>
      <c r="AD4" s="200">
        <v>4.19625</v>
      </c>
      <c r="AE4" s="201">
        <v>6.7512499999999989</v>
      </c>
    </row>
    <row r="5" spans="1:40" x14ac:dyDescent="0.2">
      <c r="A5" s="118">
        <v>0.8</v>
      </c>
      <c r="B5" s="64">
        <v>2.7</v>
      </c>
      <c r="C5" s="64">
        <v>8.59</v>
      </c>
      <c r="D5" s="64">
        <v>75.58</v>
      </c>
      <c r="E5" s="64">
        <v>37.11</v>
      </c>
      <c r="F5" s="64">
        <v>6.44</v>
      </c>
      <c r="G5" s="64">
        <v>3.5</v>
      </c>
      <c r="H5" s="118">
        <v>3.52</v>
      </c>
      <c r="I5" s="118">
        <v>0.84</v>
      </c>
      <c r="J5" s="64">
        <v>2.44</v>
      </c>
      <c r="K5" s="118">
        <v>2.39</v>
      </c>
      <c r="L5" t="s">
        <v>950</v>
      </c>
      <c r="M5" s="10" t="s">
        <v>498</v>
      </c>
      <c r="N5" s="90"/>
      <c r="P5" s="20" t="s">
        <v>951</v>
      </c>
      <c r="Q5" t="s">
        <v>498</v>
      </c>
      <c r="R5" s="195">
        <v>32.540000000000006</v>
      </c>
      <c r="S5" s="195">
        <v>4.09</v>
      </c>
      <c r="T5" s="195">
        <v>0.67999999999999972</v>
      </c>
      <c r="U5" s="195">
        <v>-5.41</v>
      </c>
      <c r="V5" s="195">
        <v>0</v>
      </c>
      <c r="W5" s="195">
        <v>6.999999999999984E-2</v>
      </c>
      <c r="X5" s="20"/>
      <c r="Y5" s="21" t="s">
        <v>8</v>
      </c>
      <c r="Z5" s="71">
        <v>462.37285714285707</v>
      </c>
      <c r="AA5" s="71">
        <v>20.365714285714287</v>
      </c>
      <c r="AB5" s="71">
        <v>5.0442857142857145</v>
      </c>
      <c r="AC5" s="71">
        <v>3.8899999999999997</v>
      </c>
      <c r="AD5" s="71">
        <v>24.23</v>
      </c>
      <c r="AE5" s="72">
        <v>36.344285714285718</v>
      </c>
    </row>
    <row r="6" spans="1:40" x14ac:dyDescent="0.2">
      <c r="A6" s="64">
        <v>8.42</v>
      </c>
      <c r="B6" s="64">
        <v>1.77</v>
      </c>
      <c r="C6" s="64">
        <v>10.23</v>
      </c>
      <c r="D6" s="64">
        <v>228.1</v>
      </c>
      <c r="E6" s="64">
        <v>63.78</v>
      </c>
      <c r="F6" s="64">
        <v>8.84</v>
      </c>
      <c r="G6" s="64">
        <v>14.78</v>
      </c>
      <c r="H6" s="118">
        <v>3.52</v>
      </c>
      <c r="I6" s="64">
        <v>2.38</v>
      </c>
      <c r="J6" s="64">
        <v>6.38</v>
      </c>
      <c r="K6" s="64">
        <v>4.16</v>
      </c>
      <c r="L6" t="s">
        <v>950</v>
      </c>
      <c r="M6" s="10" t="s">
        <v>498</v>
      </c>
      <c r="N6" s="90"/>
      <c r="P6" s="20" t="s">
        <v>951</v>
      </c>
      <c r="Q6" t="s">
        <v>498</v>
      </c>
      <c r="R6" s="195">
        <v>18.5</v>
      </c>
      <c r="S6" s="195">
        <v>-0.43999999999999995</v>
      </c>
      <c r="T6" s="195">
        <v>5.1400000000000006</v>
      </c>
      <c r="U6" s="195">
        <v>3.75</v>
      </c>
      <c r="V6" s="195">
        <v>13.91</v>
      </c>
      <c r="W6" s="195">
        <v>15.52</v>
      </c>
      <c r="X6" s="28"/>
      <c r="Y6" s="26" t="s">
        <v>9</v>
      </c>
      <c r="Z6" s="290">
        <v>283.47249999999997</v>
      </c>
      <c r="AA6" s="290">
        <v>3.5537499999999991</v>
      </c>
      <c r="AB6" s="290">
        <v>3.7275000000000005</v>
      </c>
      <c r="AC6" s="290">
        <v>1.4974999999999998</v>
      </c>
      <c r="AD6" s="290">
        <v>10.10375</v>
      </c>
      <c r="AE6" s="291">
        <v>5.0312500000000009</v>
      </c>
    </row>
    <row r="7" spans="1:40" x14ac:dyDescent="0.2">
      <c r="A7" s="64">
        <v>60.75</v>
      </c>
      <c r="B7" s="64">
        <v>12.7</v>
      </c>
      <c r="C7" s="64">
        <v>6.43</v>
      </c>
      <c r="D7" s="64">
        <v>164.52</v>
      </c>
      <c r="E7" s="64">
        <v>82.31</v>
      </c>
      <c r="F7" s="64">
        <v>9.09</v>
      </c>
      <c r="G7" s="64">
        <v>13.69</v>
      </c>
      <c r="H7" s="118">
        <v>3.52</v>
      </c>
      <c r="I7" s="64">
        <v>2.7</v>
      </c>
      <c r="J7" s="64">
        <v>5.08</v>
      </c>
      <c r="K7" s="64">
        <v>3.03</v>
      </c>
      <c r="L7" t="s">
        <v>950</v>
      </c>
      <c r="M7" s="10" t="s">
        <v>498</v>
      </c>
      <c r="N7" s="90"/>
      <c r="P7" s="20" t="s">
        <v>951</v>
      </c>
      <c r="Q7" t="s">
        <v>498</v>
      </c>
      <c r="R7" s="195">
        <v>335.18</v>
      </c>
      <c r="S7" s="195">
        <v>17.16</v>
      </c>
      <c r="T7" s="195">
        <v>3.4800000000000004</v>
      </c>
      <c r="U7" s="195">
        <v>-0.94999999999999929</v>
      </c>
      <c r="V7" s="195">
        <v>0.22999999999999998</v>
      </c>
      <c r="W7" s="195">
        <v>6.07</v>
      </c>
    </row>
    <row r="8" spans="1:40" x14ac:dyDescent="0.2">
      <c r="A8" s="64">
        <v>5.7</v>
      </c>
      <c r="B8" s="64">
        <v>13.2</v>
      </c>
      <c r="C8" s="64">
        <v>8.7100000000000009</v>
      </c>
      <c r="D8" s="64">
        <v>249.24</v>
      </c>
      <c r="E8" s="64">
        <v>79.58</v>
      </c>
      <c r="F8" s="64">
        <v>9.41</v>
      </c>
      <c r="G8" s="64">
        <v>7.03</v>
      </c>
      <c r="H8" s="118">
        <v>3.52</v>
      </c>
      <c r="I8" s="64">
        <v>1.08</v>
      </c>
      <c r="J8" s="64">
        <v>9.01</v>
      </c>
      <c r="K8" s="64">
        <v>5.48</v>
      </c>
      <c r="L8" t="s">
        <v>950</v>
      </c>
      <c r="M8" s="10" t="s">
        <v>498</v>
      </c>
      <c r="N8" s="90"/>
      <c r="P8" s="20" t="s">
        <v>951</v>
      </c>
      <c r="Q8" t="s">
        <v>498</v>
      </c>
      <c r="R8" s="195">
        <v>111.41</v>
      </c>
      <c r="S8" s="195">
        <v>10.420000000000002</v>
      </c>
      <c r="T8" s="195">
        <v>9.77</v>
      </c>
      <c r="U8" s="195">
        <v>-4.07</v>
      </c>
      <c r="V8" s="195">
        <v>13.11</v>
      </c>
      <c r="W8" s="195">
        <v>12.2</v>
      </c>
      <c r="Z8" s="160"/>
      <c r="AA8" s="160"/>
      <c r="AB8" s="160"/>
      <c r="AC8" s="160"/>
      <c r="AD8" s="160"/>
      <c r="AE8" s="160"/>
    </row>
    <row r="9" spans="1:40" x14ac:dyDescent="0.2">
      <c r="A9" s="64">
        <v>49.84</v>
      </c>
      <c r="B9" s="64">
        <v>31.14</v>
      </c>
      <c r="C9" s="64">
        <v>9.67</v>
      </c>
      <c r="D9" s="64">
        <v>191.22</v>
      </c>
      <c r="E9" s="64">
        <v>62.52</v>
      </c>
      <c r="F9" s="64">
        <v>5.16</v>
      </c>
      <c r="G9" s="64">
        <v>15.15</v>
      </c>
      <c r="H9" s="118">
        <v>3.52</v>
      </c>
      <c r="I9" s="64">
        <v>5.57</v>
      </c>
      <c r="J9" s="64">
        <v>8.3800000000000008</v>
      </c>
      <c r="K9" s="64">
        <v>5.81</v>
      </c>
      <c r="L9" t="s">
        <v>950</v>
      </c>
      <c r="M9" s="10" t="s">
        <v>498</v>
      </c>
      <c r="N9" s="90"/>
      <c r="P9" s="20" t="s">
        <v>951</v>
      </c>
      <c r="Q9" t="s">
        <v>498</v>
      </c>
      <c r="R9" s="195">
        <v>170.74</v>
      </c>
      <c r="S9" s="195">
        <v>11.079999999999998</v>
      </c>
      <c r="T9" s="195">
        <v>3.4399999999999995</v>
      </c>
      <c r="U9" s="195">
        <v>2.1099999999999994</v>
      </c>
      <c r="V9" s="195">
        <v>6.32</v>
      </c>
      <c r="W9" s="195">
        <v>16.93</v>
      </c>
      <c r="Z9" s="160"/>
      <c r="AA9" s="160"/>
      <c r="AB9" s="160"/>
      <c r="AC9" s="160"/>
      <c r="AD9" s="160"/>
      <c r="AE9" s="160"/>
    </row>
    <row r="10" spans="1:40" x14ac:dyDescent="0.2">
      <c r="A10" s="64">
        <v>33.53</v>
      </c>
      <c r="B10" s="64">
        <v>25.88</v>
      </c>
      <c r="C10" s="64">
        <v>3.09</v>
      </c>
      <c r="D10" s="64">
        <v>51.09</v>
      </c>
      <c r="E10" s="64">
        <v>17.89</v>
      </c>
      <c r="F10" s="64">
        <v>3.04</v>
      </c>
      <c r="G10" s="64">
        <v>6.48</v>
      </c>
      <c r="H10" s="118">
        <v>3.52</v>
      </c>
      <c r="I10" s="118">
        <v>0.84</v>
      </c>
      <c r="J10" s="64">
        <v>3.25</v>
      </c>
      <c r="K10" s="118">
        <v>2.39</v>
      </c>
      <c r="L10" t="s">
        <v>950</v>
      </c>
      <c r="M10" s="10" t="s">
        <v>498</v>
      </c>
      <c r="N10" s="90"/>
      <c r="P10" s="20" t="s">
        <v>951</v>
      </c>
      <c r="Q10" t="s">
        <v>498</v>
      </c>
      <c r="R10" s="195">
        <v>372.24</v>
      </c>
      <c r="S10" s="195">
        <v>13.680000000000003</v>
      </c>
      <c r="T10" s="195">
        <v>0.91999999999999993</v>
      </c>
      <c r="U10" s="195">
        <v>-1.05</v>
      </c>
      <c r="V10" s="195">
        <v>0</v>
      </c>
      <c r="W10" s="195">
        <v>0.86999999999999966</v>
      </c>
      <c r="X10" s="17" t="s">
        <v>955</v>
      </c>
      <c r="Y10" s="18"/>
      <c r="Z10" s="196"/>
      <c r="AA10" s="196"/>
      <c r="AB10" s="196"/>
      <c r="AC10" s="196"/>
      <c r="AD10" s="196"/>
      <c r="AE10" s="197"/>
    </row>
    <row r="11" spans="1:40" x14ac:dyDescent="0.2">
      <c r="N11" s="90"/>
      <c r="Q11" s="64"/>
      <c r="R11" s="195"/>
      <c r="S11" s="195"/>
      <c r="T11" s="195"/>
      <c r="U11" s="195"/>
      <c r="V11" s="195"/>
      <c r="W11" s="195"/>
      <c r="X11" s="20"/>
      <c r="Y11" s="21"/>
      <c r="Z11" s="198" t="s">
        <v>103</v>
      </c>
      <c r="AA11" s="198" t="s">
        <v>941</v>
      </c>
      <c r="AB11" s="198" t="s">
        <v>98</v>
      </c>
      <c r="AC11" s="198" t="s">
        <v>943</v>
      </c>
      <c r="AD11" s="198" t="s">
        <v>944</v>
      </c>
      <c r="AE11" s="199" t="s">
        <v>947</v>
      </c>
    </row>
    <row r="12" spans="1:40" x14ac:dyDescent="0.2">
      <c r="A12" s="118"/>
      <c r="B12" s="64"/>
      <c r="C12" s="64"/>
      <c r="D12" s="64"/>
      <c r="E12" s="64"/>
      <c r="F12" s="64"/>
      <c r="G12" s="64"/>
      <c r="H12" s="118"/>
      <c r="I12" s="118"/>
      <c r="J12" s="64"/>
      <c r="K12" s="118"/>
      <c r="M12" s="72"/>
      <c r="N12" s="95"/>
      <c r="P12" s="20" t="s">
        <v>952</v>
      </c>
      <c r="Q12" t="s">
        <v>498</v>
      </c>
      <c r="R12" s="160">
        <v>20.63</v>
      </c>
      <c r="S12" s="160">
        <v>2.4299999999999997</v>
      </c>
      <c r="T12" s="160">
        <v>-0.17999999999999972</v>
      </c>
      <c r="U12" s="160">
        <v>-7.0600000000000005</v>
      </c>
      <c r="V12" s="160">
        <v>0</v>
      </c>
      <c r="W12" s="160">
        <v>1.3899999999999997</v>
      </c>
      <c r="X12" s="20"/>
      <c r="Y12" s="21" t="s">
        <v>954</v>
      </c>
      <c r="Z12" s="200">
        <v>462.37285714285707</v>
      </c>
      <c r="AA12" s="200">
        <v>25.844285714285714</v>
      </c>
      <c r="AB12" s="200">
        <v>5.0442857142857145</v>
      </c>
      <c r="AC12" s="200">
        <v>3.8899999999999997</v>
      </c>
      <c r="AD12" s="200">
        <v>24.23</v>
      </c>
      <c r="AE12" s="201">
        <v>36.344285714285718</v>
      </c>
    </row>
    <row r="13" spans="1:40" x14ac:dyDescent="0.2">
      <c r="A13" s="64">
        <v>37.9</v>
      </c>
      <c r="B13" s="64">
        <v>109.19</v>
      </c>
      <c r="C13" s="64">
        <v>20.49</v>
      </c>
      <c r="D13" s="64">
        <v>558.65</v>
      </c>
      <c r="E13" s="64">
        <v>165.08</v>
      </c>
      <c r="F13" s="64">
        <v>5.32</v>
      </c>
      <c r="G13" s="64">
        <v>34.020000000000003</v>
      </c>
      <c r="H13" s="64">
        <v>4.25</v>
      </c>
      <c r="I13" s="64">
        <v>27.72</v>
      </c>
      <c r="J13" s="64">
        <v>38.049999999999997</v>
      </c>
      <c r="K13" s="64">
        <v>25.54</v>
      </c>
      <c r="L13" t="s">
        <v>950</v>
      </c>
      <c r="M13" s="10" t="s">
        <v>8</v>
      </c>
      <c r="N13" s="95"/>
      <c r="P13" s="20" t="s">
        <v>952</v>
      </c>
      <c r="Q13" t="s">
        <v>498</v>
      </c>
      <c r="R13" s="160">
        <v>17.790000000000003</v>
      </c>
      <c r="S13" s="160">
        <v>11.900000000000002</v>
      </c>
      <c r="T13" s="160">
        <v>0.18999999999999995</v>
      </c>
      <c r="U13" s="160">
        <v>-5.41</v>
      </c>
      <c r="V13" s="160">
        <v>0.48</v>
      </c>
      <c r="W13" s="160">
        <v>3.07</v>
      </c>
      <c r="X13" s="17" t="s">
        <v>951</v>
      </c>
      <c r="Y13" s="18" t="s">
        <v>498</v>
      </c>
      <c r="Z13" s="18">
        <v>0.29862533638591005</v>
      </c>
      <c r="AA13" s="18">
        <v>0.30045326405394951</v>
      </c>
      <c r="AB13" s="18">
        <v>0.61901727555933173</v>
      </c>
      <c r="AC13" s="18">
        <v>-0.32712082262210807</v>
      </c>
      <c r="AD13" s="18">
        <v>0.17318406933553446</v>
      </c>
      <c r="AE13" s="19">
        <v>0.18575822491254271</v>
      </c>
    </row>
    <row r="14" spans="1:40" x14ac:dyDescent="0.2">
      <c r="A14" s="64">
        <v>129.87</v>
      </c>
      <c r="B14" s="64">
        <v>10.58</v>
      </c>
      <c r="C14" s="64">
        <v>10.34</v>
      </c>
      <c r="D14" s="64">
        <v>287.64999999999998</v>
      </c>
      <c r="E14" s="64">
        <v>71.84</v>
      </c>
      <c r="F14" s="64">
        <v>7.01</v>
      </c>
      <c r="G14" s="64">
        <v>7.95</v>
      </c>
      <c r="H14" s="118">
        <v>3.52</v>
      </c>
      <c r="I14" s="64">
        <v>2.94</v>
      </c>
      <c r="J14" s="64">
        <v>5.08</v>
      </c>
      <c r="K14" s="64">
        <v>5.1100000000000003</v>
      </c>
      <c r="L14" t="s">
        <v>950</v>
      </c>
      <c r="M14" s="10" t="s">
        <v>8</v>
      </c>
      <c r="N14" s="90"/>
      <c r="P14" s="20" t="s">
        <v>952</v>
      </c>
      <c r="Q14" t="s">
        <v>498</v>
      </c>
      <c r="R14" s="160">
        <v>17.46</v>
      </c>
      <c r="S14" s="160">
        <v>6.6800000000000006</v>
      </c>
      <c r="T14" s="160">
        <v>1.3599999999999999</v>
      </c>
      <c r="U14" s="160">
        <v>-2.3900000000000006</v>
      </c>
      <c r="V14" s="160">
        <v>0</v>
      </c>
      <c r="W14" s="160">
        <v>1.4699999999999998</v>
      </c>
      <c r="X14" s="20"/>
      <c r="Y14" s="21" t="s">
        <v>8</v>
      </c>
      <c r="Z14" s="21">
        <v>1</v>
      </c>
      <c r="AA14" s="21">
        <v>0.78801614062240899</v>
      </c>
      <c r="AB14" s="21">
        <v>1</v>
      </c>
      <c r="AC14" s="21">
        <v>1</v>
      </c>
      <c r="AD14" s="21">
        <v>1</v>
      </c>
      <c r="AE14" s="10">
        <v>1</v>
      </c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0" x14ac:dyDescent="0.2">
      <c r="A15" s="64">
        <v>100.91</v>
      </c>
      <c r="B15" s="64">
        <v>107.58</v>
      </c>
      <c r="C15" s="64">
        <v>13.6</v>
      </c>
      <c r="D15" s="64">
        <v>343.17</v>
      </c>
      <c r="E15" s="64">
        <v>90.14</v>
      </c>
      <c r="F15" s="64">
        <v>8.3800000000000008</v>
      </c>
      <c r="G15" s="64">
        <v>26.89</v>
      </c>
      <c r="H15" s="64">
        <v>8.1999999999999993</v>
      </c>
      <c r="I15" s="64">
        <v>17.45</v>
      </c>
      <c r="J15" s="64">
        <v>34.46</v>
      </c>
      <c r="K15" s="64">
        <v>19.8</v>
      </c>
      <c r="L15" t="s">
        <v>950</v>
      </c>
      <c r="M15" s="10" t="s">
        <v>8</v>
      </c>
      <c r="N15" s="90"/>
      <c r="P15" s="20" t="s">
        <v>952</v>
      </c>
      <c r="Q15" t="s">
        <v>498</v>
      </c>
      <c r="R15" s="160">
        <v>13.090000000000002</v>
      </c>
      <c r="S15" s="160">
        <v>1.4700000000000002</v>
      </c>
      <c r="T15" s="160">
        <v>-3.5999999999999996</v>
      </c>
      <c r="U15" s="160">
        <v>-6.5600000000000005</v>
      </c>
      <c r="V15" s="160">
        <v>9.870000000000001</v>
      </c>
      <c r="W15" s="160">
        <v>0.56000000000000005</v>
      </c>
      <c r="X15" s="28"/>
      <c r="Y15" s="26" t="s">
        <v>9</v>
      </c>
      <c r="Z15" s="26">
        <v>0.61308205189998177</v>
      </c>
      <c r="AA15" s="26">
        <v>0.13750621856171574</v>
      </c>
      <c r="AB15" s="26">
        <v>0.73895497026338153</v>
      </c>
      <c r="AC15" s="26">
        <v>0.38496143958868895</v>
      </c>
      <c r="AD15" s="26">
        <v>0.41699339661576557</v>
      </c>
      <c r="AE15" s="11">
        <v>0.1384330411540427</v>
      </c>
    </row>
    <row r="16" spans="1:40" x14ac:dyDescent="0.2">
      <c r="A16" s="64">
        <v>59.79</v>
      </c>
      <c r="B16" s="64">
        <v>99.97</v>
      </c>
      <c r="C16" s="64">
        <v>13.49</v>
      </c>
      <c r="D16" s="64">
        <v>351.04</v>
      </c>
      <c r="E16" s="64">
        <v>160.82</v>
      </c>
      <c r="F16" s="64">
        <v>10.11</v>
      </c>
      <c r="G16" s="64">
        <v>41.34</v>
      </c>
      <c r="H16" s="64">
        <v>7.39</v>
      </c>
      <c r="I16" s="64">
        <v>30.52</v>
      </c>
      <c r="J16" s="64">
        <v>36.56</v>
      </c>
      <c r="K16" s="64">
        <v>30.56</v>
      </c>
      <c r="L16" t="s">
        <v>950</v>
      </c>
      <c r="M16" s="10" t="s">
        <v>8</v>
      </c>
      <c r="N16" s="90"/>
      <c r="P16" s="20" t="s">
        <v>952</v>
      </c>
      <c r="Q16" t="s">
        <v>498</v>
      </c>
      <c r="R16" s="160">
        <v>22.930000000000007</v>
      </c>
      <c r="S16" s="160">
        <v>11.95</v>
      </c>
      <c r="T16" s="160">
        <v>2.4899999999999984</v>
      </c>
      <c r="U16" s="160">
        <v>-5.8599999999999994</v>
      </c>
      <c r="V16" s="160">
        <v>0.73</v>
      </c>
      <c r="W16" s="160">
        <v>6.1400000000000006</v>
      </c>
    </row>
    <row r="17" spans="1:40" x14ac:dyDescent="0.2">
      <c r="A17" s="64">
        <v>56.18</v>
      </c>
      <c r="B17" s="64">
        <v>41.28</v>
      </c>
      <c r="C17" s="64">
        <v>14.91</v>
      </c>
      <c r="D17" s="64">
        <v>345.34</v>
      </c>
      <c r="E17" s="64">
        <v>120.9</v>
      </c>
      <c r="F17" s="64">
        <v>6.6</v>
      </c>
      <c r="G17" s="64">
        <v>34.31</v>
      </c>
      <c r="H17" s="64">
        <v>5.0199999999999996</v>
      </c>
      <c r="I17" s="64">
        <v>3.83</v>
      </c>
      <c r="J17" s="64">
        <v>11.01</v>
      </c>
      <c r="K17" s="64">
        <v>9.18</v>
      </c>
      <c r="L17" t="s">
        <v>950</v>
      </c>
      <c r="M17" s="10" t="s">
        <v>8</v>
      </c>
      <c r="N17" s="90"/>
      <c r="P17" s="20" t="s">
        <v>952</v>
      </c>
      <c r="Q17" t="s">
        <v>498</v>
      </c>
      <c r="R17" s="160">
        <v>89.82</v>
      </c>
      <c r="S17" s="160">
        <v>14.45</v>
      </c>
      <c r="T17" s="160">
        <v>0.27999999999999936</v>
      </c>
      <c r="U17" s="160">
        <v>-7.42</v>
      </c>
      <c r="V17" s="160">
        <v>8.23</v>
      </c>
      <c r="W17" s="160">
        <v>7.0400000000000009</v>
      </c>
    </row>
    <row r="18" spans="1:40" x14ac:dyDescent="0.2">
      <c r="A18" s="64">
        <v>61.93</v>
      </c>
      <c r="B18" s="64">
        <v>36</v>
      </c>
      <c r="C18" s="64">
        <v>10.9</v>
      </c>
      <c r="D18" s="64">
        <v>277.86</v>
      </c>
      <c r="E18" s="64">
        <v>106.09</v>
      </c>
      <c r="F18" s="64">
        <v>4.97</v>
      </c>
      <c r="G18" s="64">
        <v>33.15</v>
      </c>
      <c r="H18" s="64">
        <v>4.25</v>
      </c>
      <c r="I18" s="64">
        <v>11.28</v>
      </c>
      <c r="J18" s="64">
        <v>21.16</v>
      </c>
      <c r="K18" s="64">
        <v>9.51</v>
      </c>
      <c r="L18" t="s">
        <v>950</v>
      </c>
      <c r="M18" s="10" t="s">
        <v>8</v>
      </c>
      <c r="N18" s="90"/>
      <c r="P18" s="20" t="s">
        <v>952</v>
      </c>
      <c r="Q18" t="s">
        <v>498</v>
      </c>
      <c r="R18" s="160">
        <v>83.049999999999983</v>
      </c>
      <c r="S18" s="160">
        <v>9.0799999999999983</v>
      </c>
      <c r="T18" s="160">
        <v>1.7200000000000006</v>
      </c>
      <c r="U18" s="160">
        <v>-3.17</v>
      </c>
      <c r="V18" s="160">
        <v>4.68</v>
      </c>
      <c r="W18" s="160">
        <v>7.7099999999999991</v>
      </c>
    </row>
    <row r="19" spans="1:40" x14ac:dyDescent="0.2">
      <c r="A19" s="64">
        <v>20.8</v>
      </c>
      <c r="B19" s="64">
        <v>15.2</v>
      </c>
      <c r="C19" s="64">
        <v>6.19</v>
      </c>
      <c r="D19" s="64">
        <v>122.7</v>
      </c>
      <c r="E19" s="64">
        <v>40.74</v>
      </c>
      <c r="F19" s="118">
        <v>1.99</v>
      </c>
      <c r="G19" s="64">
        <v>27.84</v>
      </c>
      <c r="H19" s="118">
        <v>3.52</v>
      </c>
      <c r="I19" s="64">
        <v>4.55</v>
      </c>
      <c r="J19" s="64">
        <v>13.43</v>
      </c>
      <c r="K19" s="64">
        <v>5.5</v>
      </c>
      <c r="L19" t="s">
        <v>950</v>
      </c>
      <c r="M19" s="10" t="s">
        <v>8</v>
      </c>
      <c r="N19" s="90"/>
      <c r="P19" s="20" t="s">
        <v>952</v>
      </c>
      <c r="Q19" t="s">
        <v>498</v>
      </c>
      <c r="R19" s="160">
        <v>108.69</v>
      </c>
      <c r="S19" s="160">
        <v>0.8600000000000001</v>
      </c>
      <c r="T19" s="160">
        <v>0.43000000000000016</v>
      </c>
      <c r="U19" s="160">
        <v>-1.05</v>
      </c>
      <c r="V19" s="160">
        <v>0</v>
      </c>
      <c r="W19" s="160">
        <v>4.5200000000000005</v>
      </c>
    </row>
    <row r="20" spans="1:40" x14ac:dyDescent="0.2">
      <c r="N20" s="90"/>
      <c r="Q20" s="64"/>
      <c r="R20" s="160"/>
      <c r="S20" s="160"/>
      <c r="T20" s="160"/>
      <c r="U20" s="160"/>
      <c r="V20" s="160"/>
      <c r="W20" s="160"/>
    </row>
    <row r="21" spans="1:40" x14ac:dyDescent="0.2">
      <c r="A21" s="64"/>
      <c r="B21" s="64"/>
      <c r="C21" s="64"/>
      <c r="D21" s="64"/>
      <c r="E21" s="64"/>
      <c r="F21" s="118"/>
      <c r="G21" s="64"/>
      <c r="H21" s="118"/>
      <c r="I21" s="64"/>
      <c r="J21" s="64"/>
      <c r="K21" s="64"/>
      <c r="N21" s="90"/>
      <c r="P21" s="20" t="s">
        <v>951</v>
      </c>
      <c r="Q21" t="s">
        <v>8</v>
      </c>
      <c r="R21" s="64">
        <v>547.59</v>
      </c>
      <c r="S21" s="64">
        <v>2.1</v>
      </c>
      <c r="T21" s="64">
        <v>1.9699999999999998</v>
      </c>
      <c r="U21" s="64">
        <v>0</v>
      </c>
      <c r="V21" s="64">
        <v>41.44</v>
      </c>
      <c r="W21" s="64">
        <v>0.88999999999999968</v>
      </c>
    </row>
    <row r="22" spans="1:40" x14ac:dyDescent="0.2">
      <c r="A22" s="64">
        <v>31.76</v>
      </c>
      <c r="B22" s="64">
        <v>21.83</v>
      </c>
      <c r="C22" s="64">
        <v>6.31</v>
      </c>
      <c r="D22" s="64">
        <v>211.66</v>
      </c>
      <c r="E22" s="64">
        <v>43.82</v>
      </c>
      <c r="F22" s="64">
        <v>9.9600000000000009</v>
      </c>
      <c r="G22" s="64">
        <v>4.6900000000000004</v>
      </c>
      <c r="H22" s="118">
        <v>3.52</v>
      </c>
      <c r="I22" s="64">
        <v>2.84</v>
      </c>
      <c r="J22" s="64">
        <v>3.39</v>
      </c>
      <c r="K22" s="64">
        <v>5</v>
      </c>
      <c r="L22" t="s">
        <v>950</v>
      </c>
      <c r="M22" s="10" t="s">
        <v>9</v>
      </c>
      <c r="N22" s="90"/>
      <c r="P22" s="20" t="s">
        <v>951</v>
      </c>
      <c r="Q22" t="s">
        <v>8</v>
      </c>
      <c r="R22" s="64">
        <v>525.9</v>
      </c>
      <c r="S22" s="64">
        <v>66.449999999999989</v>
      </c>
      <c r="T22" s="64">
        <v>4.66</v>
      </c>
      <c r="U22" s="64">
        <v>10.98</v>
      </c>
      <c r="V22" s="64">
        <v>10.14</v>
      </c>
      <c r="W22" s="64">
        <v>84.03</v>
      </c>
    </row>
    <row r="23" spans="1:40" x14ac:dyDescent="0.2">
      <c r="A23" s="64">
        <v>3.52</v>
      </c>
      <c r="B23" s="118">
        <v>1.33</v>
      </c>
      <c r="C23" s="64">
        <v>4.26</v>
      </c>
      <c r="D23" s="64">
        <v>205.26</v>
      </c>
      <c r="E23" s="64">
        <v>18.13</v>
      </c>
      <c r="F23" s="64">
        <v>3.66</v>
      </c>
      <c r="G23" s="118">
        <v>2.15</v>
      </c>
      <c r="H23" s="118">
        <v>3.52</v>
      </c>
      <c r="I23" s="118">
        <v>0.84</v>
      </c>
      <c r="J23" s="64">
        <v>4.5599999999999996</v>
      </c>
      <c r="K23" s="118">
        <v>2.39</v>
      </c>
      <c r="L23" t="s">
        <v>950</v>
      </c>
      <c r="M23" s="10" t="s">
        <v>9</v>
      </c>
      <c r="N23" s="90"/>
      <c r="P23" s="20" t="s">
        <v>951</v>
      </c>
      <c r="Q23" t="s">
        <v>8</v>
      </c>
      <c r="R23" s="64">
        <v>875.42000000000007</v>
      </c>
      <c r="S23" s="64">
        <v>25.67</v>
      </c>
      <c r="T23" s="64">
        <v>3.5700000000000021</v>
      </c>
      <c r="U23" s="64">
        <v>5.3199999999999985</v>
      </c>
      <c r="V23" s="64">
        <v>32.709999999999994</v>
      </c>
      <c r="W23" s="64">
        <v>15.670000000000002</v>
      </c>
    </row>
    <row r="24" spans="1:40" x14ac:dyDescent="0.2">
      <c r="A24" s="64">
        <v>2.78</v>
      </c>
      <c r="B24" s="64">
        <v>5.18</v>
      </c>
      <c r="C24" s="64">
        <v>12.26</v>
      </c>
      <c r="D24" s="64">
        <v>346.64</v>
      </c>
      <c r="E24" s="64">
        <v>38.44</v>
      </c>
      <c r="F24" s="64">
        <v>3.83</v>
      </c>
      <c r="G24" s="64">
        <v>7.03</v>
      </c>
      <c r="H24" s="64">
        <v>7.12</v>
      </c>
      <c r="I24" s="64">
        <v>1.52</v>
      </c>
      <c r="J24" s="64">
        <v>24.17</v>
      </c>
      <c r="K24" s="64">
        <v>2.44</v>
      </c>
      <c r="L24" t="s">
        <v>950</v>
      </c>
      <c r="M24" s="10" t="s">
        <v>9</v>
      </c>
      <c r="N24" s="90"/>
      <c r="P24" s="20" t="s">
        <v>951</v>
      </c>
      <c r="Q24" t="s">
        <v>8</v>
      </c>
      <c r="R24" s="64">
        <v>475.15000000000003</v>
      </c>
      <c r="S24" s="64">
        <v>12.049999999999997</v>
      </c>
      <c r="T24" s="64">
        <v>11.139999999999999</v>
      </c>
      <c r="U24" s="64">
        <v>1.08</v>
      </c>
      <c r="V24" s="64">
        <v>50.97</v>
      </c>
      <c r="W24" s="64">
        <v>31.02</v>
      </c>
      <c r="AF24" s="64"/>
      <c r="AG24" s="64"/>
      <c r="AH24" s="64"/>
      <c r="AI24" s="64"/>
      <c r="AJ24" s="64"/>
      <c r="AK24" s="64"/>
      <c r="AL24" s="64"/>
      <c r="AM24" s="64"/>
      <c r="AN24" s="64"/>
    </row>
    <row r="25" spans="1:40" x14ac:dyDescent="0.2">
      <c r="A25" s="64">
        <v>106.97</v>
      </c>
      <c r="B25" s="64">
        <v>41.99</v>
      </c>
      <c r="C25" s="64">
        <v>4.62</v>
      </c>
      <c r="D25" s="64">
        <v>189.14</v>
      </c>
      <c r="E25" s="64">
        <v>99.46</v>
      </c>
      <c r="F25" s="64">
        <v>5.98</v>
      </c>
      <c r="G25" s="64">
        <v>48.38</v>
      </c>
      <c r="H25" s="118">
        <v>3.52</v>
      </c>
      <c r="I25" s="64">
        <v>30.47</v>
      </c>
      <c r="J25" s="64">
        <v>4.49</v>
      </c>
      <c r="K25" s="64">
        <v>9.9600000000000009</v>
      </c>
      <c r="L25" t="s">
        <v>950</v>
      </c>
      <c r="M25" s="10" t="s">
        <v>9</v>
      </c>
      <c r="N25" s="90"/>
      <c r="P25" s="20" t="s">
        <v>951</v>
      </c>
      <c r="Q25" t="s">
        <v>8</v>
      </c>
      <c r="R25" s="64">
        <v>300.87</v>
      </c>
      <c r="S25" s="64">
        <v>29.620000000000005</v>
      </c>
      <c r="T25" s="64">
        <v>6.1199999999999974</v>
      </c>
      <c r="U25" s="64">
        <v>6.0400000000000009</v>
      </c>
      <c r="V25" s="64">
        <v>13.740000000000002</v>
      </c>
      <c r="W25" s="64">
        <v>110.03</v>
      </c>
    </row>
    <row r="26" spans="1:40" x14ac:dyDescent="0.2">
      <c r="A26" s="64">
        <v>11.8</v>
      </c>
      <c r="B26" s="64">
        <v>8.94</v>
      </c>
      <c r="C26" s="64">
        <v>4.32</v>
      </c>
      <c r="D26" s="64">
        <v>222.38</v>
      </c>
      <c r="E26" s="64">
        <v>48.47</v>
      </c>
      <c r="F26" s="64">
        <v>5.44</v>
      </c>
      <c r="G26" s="64">
        <v>14.06</v>
      </c>
      <c r="H26" s="118">
        <v>3.52</v>
      </c>
      <c r="I26" s="64">
        <v>0.84</v>
      </c>
      <c r="J26" s="64">
        <v>4.05</v>
      </c>
      <c r="K26" s="64">
        <v>3.53</v>
      </c>
      <c r="L26" t="s">
        <v>950</v>
      </c>
      <c r="M26" s="10" t="s">
        <v>9</v>
      </c>
      <c r="N26" s="90"/>
      <c r="P26" s="20" t="s">
        <v>951</v>
      </c>
      <c r="Q26" t="s">
        <v>8</v>
      </c>
      <c r="R26" s="64">
        <v>409.46999999999997</v>
      </c>
      <c r="S26" s="64">
        <v>2.5</v>
      </c>
      <c r="T26" s="64">
        <v>3.75</v>
      </c>
      <c r="U26" s="64">
        <v>2.9400000000000004</v>
      </c>
      <c r="V26" s="64">
        <v>7.5</v>
      </c>
      <c r="W26" s="64">
        <v>2.83</v>
      </c>
    </row>
    <row r="27" spans="1:40" x14ac:dyDescent="0.2">
      <c r="A27" s="64">
        <v>8.52</v>
      </c>
      <c r="B27" s="64">
        <v>5.35</v>
      </c>
      <c r="C27" s="64">
        <v>13.71</v>
      </c>
      <c r="D27" s="64">
        <v>373.71</v>
      </c>
      <c r="E27" s="64">
        <v>22.28</v>
      </c>
      <c r="F27" s="64">
        <v>2.04</v>
      </c>
      <c r="G27" s="64">
        <v>2.85</v>
      </c>
      <c r="H27" s="64">
        <v>8.75</v>
      </c>
      <c r="I27" s="64">
        <v>4.45</v>
      </c>
      <c r="J27" s="64">
        <v>24.35</v>
      </c>
      <c r="K27" s="64">
        <v>18.61</v>
      </c>
      <c r="L27" t="s">
        <v>950</v>
      </c>
      <c r="M27" s="72" t="s">
        <v>9</v>
      </c>
      <c r="N27" s="90"/>
      <c r="P27" s="20" t="s">
        <v>951</v>
      </c>
      <c r="Q27" t="s">
        <v>8</v>
      </c>
      <c r="R27" s="64">
        <v>102.21000000000001</v>
      </c>
      <c r="S27" s="64">
        <v>4.1700000000000017</v>
      </c>
      <c r="T27" s="64">
        <v>4.0999999999999988</v>
      </c>
      <c r="U27" s="64">
        <v>0.86999999999999988</v>
      </c>
      <c r="V27" s="64">
        <v>13.11</v>
      </c>
      <c r="W27" s="64">
        <v>9.94</v>
      </c>
    </row>
    <row r="28" spans="1:40" x14ac:dyDescent="0.2">
      <c r="A28" s="64">
        <v>112.67</v>
      </c>
      <c r="B28" s="64">
        <v>52.2</v>
      </c>
      <c r="C28" s="64">
        <v>3.64</v>
      </c>
      <c r="D28" s="64">
        <v>135.47</v>
      </c>
      <c r="E28" s="64">
        <v>122.31</v>
      </c>
      <c r="F28" s="64">
        <v>4.8099999999999996</v>
      </c>
      <c r="G28" s="64">
        <v>63.19</v>
      </c>
      <c r="H28" s="118">
        <v>3.52</v>
      </c>
      <c r="I28" s="64">
        <v>44.36</v>
      </c>
      <c r="J28" s="64">
        <v>7.17</v>
      </c>
      <c r="K28" s="64">
        <v>2.85</v>
      </c>
      <c r="L28" t="s">
        <v>950</v>
      </c>
      <c r="M28" s="10" t="s">
        <v>9</v>
      </c>
      <c r="N28" s="90"/>
      <c r="R28" s="64"/>
      <c r="S28" s="64"/>
      <c r="T28" s="64"/>
      <c r="U28" s="64"/>
      <c r="V28" s="64"/>
      <c r="W28" s="64"/>
    </row>
    <row r="29" spans="1:40" x14ac:dyDescent="0.2">
      <c r="A29" s="64">
        <v>4.59</v>
      </c>
      <c r="B29" s="64">
        <v>6.28</v>
      </c>
      <c r="C29" s="64">
        <v>5.53</v>
      </c>
      <c r="D29" s="64">
        <v>239.46</v>
      </c>
      <c r="E29" s="64">
        <v>29.23</v>
      </c>
      <c r="F29" s="64">
        <v>4.59</v>
      </c>
      <c r="G29" s="64">
        <v>8.8800000000000008</v>
      </c>
      <c r="H29" s="118">
        <v>3.52</v>
      </c>
      <c r="I29" s="64">
        <v>3.28</v>
      </c>
      <c r="J29" s="118">
        <v>1.89</v>
      </c>
      <c r="K29" s="118">
        <v>2.39</v>
      </c>
      <c r="L29" t="s">
        <v>950</v>
      </c>
      <c r="M29" s="10" t="s">
        <v>9</v>
      </c>
      <c r="N29" s="95"/>
      <c r="P29" s="20" t="s">
        <v>952</v>
      </c>
      <c r="Q29" t="s">
        <v>8</v>
      </c>
      <c r="R29" s="160">
        <v>173.68</v>
      </c>
      <c r="S29" s="160">
        <v>4.09</v>
      </c>
      <c r="T29" s="160">
        <v>0.68000000000000016</v>
      </c>
      <c r="U29" s="160">
        <v>-3.2600000000000002</v>
      </c>
      <c r="V29" s="160">
        <v>24.52</v>
      </c>
      <c r="W29" s="160">
        <v>1.9700000000000002</v>
      </c>
    </row>
    <row r="30" spans="1:40" x14ac:dyDescent="0.2">
      <c r="A30" s="95"/>
      <c r="B30" s="95"/>
      <c r="C30" s="95"/>
      <c r="D30" s="95"/>
      <c r="E30" s="95"/>
      <c r="F30" s="95"/>
      <c r="G30" s="95"/>
      <c r="H30" s="185"/>
      <c r="I30" s="95"/>
      <c r="J30" s="95"/>
      <c r="K30" s="185"/>
      <c r="L30" s="288"/>
      <c r="M30" s="57"/>
      <c r="N30" s="90"/>
      <c r="P30" s="20" t="s">
        <v>952</v>
      </c>
      <c r="Q30" t="s">
        <v>8</v>
      </c>
      <c r="R30" s="160">
        <v>216.52999999999997</v>
      </c>
      <c r="S30" s="160">
        <v>61.78</v>
      </c>
      <c r="T30" s="160">
        <v>-1.5199999999999996</v>
      </c>
      <c r="U30" s="160">
        <v>-3</v>
      </c>
      <c r="V30" s="160">
        <v>3.8699999999999997</v>
      </c>
      <c r="W30" s="160">
        <v>9.1900000000000013</v>
      </c>
    </row>
    <row r="31" spans="1:40" x14ac:dyDescent="0.2">
      <c r="A31" s="95"/>
      <c r="B31" s="95"/>
      <c r="C31" s="95"/>
      <c r="D31" s="95"/>
      <c r="E31" s="95"/>
      <c r="F31" s="289" t="s">
        <v>1222</v>
      </c>
      <c r="G31" s="95"/>
      <c r="H31" s="95"/>
      <c r="I31" s="95"/>
      <c r="J31" s="95"/>
      <c r="K31" s="95"/>
      <c r="L31" s="288"/>
      <c r="M31" s="57"/>
      <c r="N31" s="90"/>
      <c r="P31" s="20" t="s">
        <v>952</v>
      </c>
      <c r="Q31" t="s">
        <v>8</v>
      </c>
      <c r="R31" s="160">
        <v>137.41</v>
      </c>
      <c r="S31" s="160">
        <v>14.58</v>
      </c>
      <c r="T31" s="160">
        <v>2.620000000000001</v>
      </c>
      <c r="U31" s="160">
        <v>-4.41</v>
      </c>
      <c r="V31" s="160">
        <v>27.240000000000002</v>
      </c>
      <c r="W31" s="160">
        <v>60.990000000000009</v>
      </c>
    </row>
    <row r="32" spans="1:40" x14ac:dyDescent="0.2">
      <c r="A32" s="95"/>
      <c r="B32" s="95"/>
      <c r="C32" s="95"/>
      <c r="D32" s="95"/>
      <c r="E32" s="95"/>
      <c r="F32" s="95"/>
      <c r="G32" s="95"/>
      <c r="H32" s="95"/>
      <c r="I32" s="95"/>
      <c r="J32" s="95"/>
      <c r="K32" s="95"/>
      <c r="L32" s="288"/>
      <c r="M32" s="57"/>
      <c r="N32" s="90"/>
      <c r="P32" s="20" t="s">
        <v>952</v>
      </c>
      <c r="Q32" t="s">
        <v>8</v>
      </c>
      <c r="R32" s="160">
        <v>257.35999999999996</v>
      </c>
      <c r="S32" s="160">
        <v>33.58</v>
      </c>
      <c r="T32" s="160">
        <v>2.4500000000000011</v>
      </c>
      <c r="U32" s="160">
        <v>-4.4499999999999993</v>
      </c>
      <c r="V32" s="160">
        <v>40.019999999999996</v>
      </c>
      <c r="W32" s="160">
        <v>41.09</v>
      </c>
    </row>
    <row r="33" spans="1:40" x14ac:dyDescent="0.2">
      <c r="A33" s="95"/>
      <c r="B33" s="95" t="s">
        <v>1203</v>
      </c>
      <c r="C33" s="95"/>
      <c r="D33" s="95"/>
      <c r="E33" s="95"/>
      <c r="F33" s="95"/>
      <c r="G33" s="95"/>
      <c r="H33" s="185"/>
      <c r="I33" s="185"/>
      <c r="J33" s="289"/>
      <c r="K33" s="95"/>
      <c r="L33" s="288"/>
      <c r="M33" s="57"/>
      <c r="N33" s="90"/>
      <c r="P33" s="20" t="s">
        <v>952</v>
      </c>
      <c r="Q33" t="s">
        <v>8</v>
      </c>
      <c r="R33" s="160">
        <v>127.94</v>
      </c>
      <c r="S33" s="160">
        <v>15.469999999999999</v>
      </c>
      <c r="T33" s="160">
        <v>1.6799999999999997</v>
      </c>
      <c r="U33" s="160">
        <v>-3.0599999999999996</v>
      </c>
      <c r="V33" s="160">
        <v>21.35</v>
      </c>
      <c r="W33" s="160">
        <v>53.23</v>
      </c>
    </row>
    <row r="34" spans="1:40" x14ac:dyDescent="0.2">
      <c r="A34" s="88" t="s">
        <v>949</v>
      </c>
      <c r="B34" s="88" t="s">
        <v>103</v>
      </c>
      <c r="C34" s="88" t="s">
        <v>941</v>
      </c>
      <c r="D34" s="88" t="s">
        <v>98</v>
      </c>
      <c r="E34" s="88" t="s">
        <v>942</v>
      </c>
      <c r="F34" s="88" t="s">
        <v>15</v>
      </c>
      <c r="G34" s="88" t="s">
        <v>943</v>
      </c>
      <c r="H34" s="88" t="s">
        <v>10</v>
      </c>
      <c r="I34" s="88" t="s">
        <v>944</v>
      </c>
      <c r="J34" s="88" t="s">
        <v>945</v>
      </c>
      <c r="K34" s="88" t="s">
        <v>946</v>
      </c>
      <c r="L34" s="88" t="s">
        <v>947</v>
      </c>
      <c r="M34" s="57"/>
      <c r="P34" s="20" t="s">
        <v>952</v>
      </c>
      <c r="Q34" t="s">
        <v>8</v>
      </c>
      <c r="R34" s="160">
        <v>232.98000000000002</v>
      </c>
      <c r="S34" s="160">
        <v>40.950000000000003</v>
      </c>
      <c r="T34" s="160">
        <v>2.2099999999999973</v>
      </c>
      <c r="U34" s="160">
        <v>-1.9499999999999997</v>
      </c>
      <c r="V34" s="160">
        <v>1.0199999999999996</v>
      </c>
      <c r="W34" s="160">
        <v>12.899999999999999</v>
      </c>
      <c r="AF34" s="64"/>
      <c r="AG34" s="64"/>
      <c r="AH34" s="64"/>
      <c r="AI34" s="64"/>
      <c r="AJ34" s="64"/>
      <c r="AK34" s="64"/>
      <c r="AL34" s="64"/>
      <c r="AM34" s="64"/>
      <c r="AN34" s="64"/>
    </row>
    <row r="35" spans="1:40" x14ac:dyDescent="0.2">
      <c r="A35" t="s">
        <v>498</v>
      </c>
      <c r="B35" s="64">
        <v>20.348749999999999</v>
      </c>
      <c r="C35" s="64">
        <v>11.667499999999999</v>
      </c>
      <c r="D35" s="64">
        <v>6.8025000000000002</v>
      </c>
      <c r="E35" s="64">
        <v>133.79624999999999</v>
      </c>
      <c r="F35" s="64">
        <v>52.522499999999994</v>
      </c>
      <c r="G35" s="64">
        <v>7.30375</v>
      </c>
      <c r="H35" s="64">
        <v>8.1362500000000004</v>
      </c>
      <c r="I35" s="64">
        <v>3.52</v>
      </c>
      <c r="J35" s="64">
        <v>1.88625</v>
      </c>
      <c r="K35" s="64">
        <v>4.79</v>
      </c>
      <c r="L35" s="64">
        <v>3.5049999999999999</v>
      </c>
      <c r="P35" s="20" t="s">
        <v>952</v>
      </c>
      <c r="Q35" t="s">
        <v>8</v>
      </c>
      <c r="R35" s="160">
        <v>69.320000000000007</v>
      </c>
      <c r="S35" s="160">
        <v>10.46</v>
      </c>
      <c r="T35" s="160">
        <v>0.10999999999999943</v>
      </c>
      <c r="U35" s="160">
        <v>0</v>
      </c>
      <c r="V35" s="160">
        <v>7.6900000000000013</v>
      </c>
      <c r="W35" s="160">
        <v>10.01</v>
      </c>
    </row>
    <row r="36" spans="1:40" x14ac:dyDescent="0.2">
      <c r="A36" t="s">
        <v>8</v>
      </c>
      <c r="B36" s="64">
        <v>66.768571428571434</v>
      </c>
      <c r="C36" s="64">
        <v>59.971428571428575</v>
      </c>
      <c r="D36" s="64">
        <v>12.845714285714285</v>
      </c>
      <c r="E36" s="64">
        <v>326.63</v>
      </c>
      <c r="F36" s="64">
        <v>107.94428571428571</v>
      </c>
      <c r="G36" s="64">
        <v>6.3400000000000007</v>
      </c>
      <c r="H36" s="64">
        <v>29.357142857142861</v>
      </c>
      <c r="I36" s="64">
        <v>5.1642857142857137</v>
      </c>
      <c r="J36" s="64">
        <v>14.04142857142857</v>
      </c>
      <c r="K36" s="64">
        <v>22.821428571428577</v>
      </c>
      <c r="L36" s="64">
        <v>15.028571428571428</v>
      </c>
      <c r="R36" s="160"/>
      <c r="S36" s="160"/>
      <c r="T36" s="160"/>
      <c r="U36" s="160"/>
      <c r="V36" s="160"/>
      <c r="W36" s="160"/>
    </row>
    <row r="37" spans="1:40" x14ac:dyDescent="0.2">
      <c r="A37" t="s">
        <v>9</v>
      </c>
      <c r="B37" s="64">
        <v>35.326250000000002</v>
      </c>
      <c r="C37" s="64">
        <v>17.887499999999999</v>
      </c>
      <c r="D37" s="64">
        <v>6.8312500000000007</v>
      </c>
      <c r="E37" s="64">
        <v>240.465</v>
      </c>
      <c r="F37" s="64">
        <v>52.767500000000005</v>
      </c>
      <c r="G37" s="64">
        <v>5.0387500000000003</v>
      </c>
      <c r="H37" s="64">
        <v>18.903749999999999</v>
      </c>
      <c r="I37" s="64">
        <v>4.6237500000000002</v>
      </c>
      <c r="J37" s="64">
        <v>11.075000000000001</v>
      </c>
      <c r="K37" s="64">
        <v>9.2587500000000009</v>
      </c>
      <c r="L37" s="64">
        <v>5.8962500000000002</v>
      </c>
      <c r="P37" s="20" t="s">
        <v>951</v>
      </c>
      <c r="Q37" t="s">
        <v>9</v>
      </c>
      <c r="R37" s="195">
        <v>200.60000000000002</v>
      </c>
      <c r="S37" s="195">
        <v>0</v>
      </c>
      <c r="T37" s="195">
        <v>1.8200000000000012</v>
      </c>
      <c r="U37" s="195">
        <v>-4.0000000000000036E-2</v>
      </c>
      <c r="V37" s="195">
        <v>27.830000000000002</v>
      </c>
      <c r="W37" s="195">
        <v>0.96999999999999975</v>
      </c>
    </row>
    <row r="38" spans="1:40" x14ac:dyDescent="0.2">
      <c r="A38" s="95"/>
      <c r="B38" s="185"/>
      <c r="C38" s="95"/>
      <c r="D38" s="95"/>
      <c r="E38" s="95"/>
      <c r="F38" s="185"/>
      <c r="G38" s="185"/>
      <c r="H38" s="185"/>
      <c r="I38" s="95"/>
      <c r="J38" s="185"/>
      <c r="K38" s="185"/>
      <c r="L38" s="288"/>
      <c r="P38" s="20" t="s">
        <v>951</v>
      </c>
      <c r="Q38" t="s">
        <v>9</v>
      </c>
      <c r="R38" s="195">
        <v>87.8</v>
      </c>
      <c r="S38" s="195">
        <v>10.75</v>
      </c>
      <c r="T38" s="195">
        <v>3.3299999999999996</v>
      </c>
      <c r="U38" s="195">
        <v>1.0599999999999996</v>
      </c>
      <c r="V38" s="195">
        <v>0</v>
      </c>
      <c r="W38" s="195">
        <v>6.6300000000000008</v>
      </c>
    </row>
    <row r="39" spans="1:40" x14ac:dyDescent="0.2">
      <c r="A39" s="95" t="s">
        <v>271</v>
      </c>
      <c r="B39" s="185"/>
      <c r="C39" s="95"/>
      <c r="D39" s="95"/>
      <c r="E39" s="95"/>
      <c r="F39" s="185"/>
      <c r="G39" s="185"/>
      <c r="H39" s="185"/>
      <c r="I39" s="95"/>
      <c r="J39" s="185"/>
      <c r="K39" s="185"/>
      <c r="L39" s="288"/>
      <c r="P39" s="20" t="s">
        <v>951</v>
      </c>
      <c r="Q39" t="s">
        <v>9</v>
      </c>
      <c r="R39" s="195">
        <v>195.13</v>
      </c>
      <c r="S39" s="195">
        <v>8.64</v>
      </c>
      <c r="T39" s="195">
        <v>3.7</v>
      </c>
      <c r="U39" s="195">
        <v>3.2199999999999989</v>
      </c>
      <c r="V39" s="195">
        <v>12.040000000000001</v>
      </c>
      <c r="W39" s="195">
        <v>14.879999999999999</v>
      </c>
    </row>
    <row r="40" spans="1:40" x14ac:dyDescent="0.2">
      <c r="A40" s="292"/>
      <c r="B40" s="293" t="s">
        <v>1204</v>
      </c>
      <c r="C40" s="294"/>
      <c r="D40" s="294"/>
      <c r="E40" s="294"/>
      <c r="F40" s="295"/>
      <c r="G40" s="295"/>
      <c r="H40" s="295"/>
      <c r="I40" s="294"/>
      <c r="J40" s="295"/>
      <c r="K40" s="295"/>
      <c r="L40" s="296"/>
      <c r="P40" s="20" t="s">
        <v>951</v>
      </c>
      <c r="Q40" t="s">
        <v>9</v>
      </c>
      <c r="R40" s="195">
        <v>699.22</v>
      </c>
      <c r="S40" s="195">
        <v>15.049999999999999</v>
      </c>
      <c r="T40" s="195">
        <v>7.1000000000000005</v>
      </c>
      <c r="U40" s="195">
        <v>4.4899999999999993</v>
      </c>
      <c r="V40" s="195">
        <v>9.6</v>
      </c>
      <c r="W40" s="195">
        <v>10.270000000000001</v>
      </c>
    </row>
    <row r="41" spans="1:40" x14ac:dyDescent="0.2">
      <c r="A41" s="297"/>
      <c r="B41" s="298" t="s">
        <v>103</v>
      </c>
      <c r="C41" s="298" t="s">
        <v>941</v>
      </c>
      <c r="D41" s="298" t="s">
        <v>98</v>
      </c>
      <c r="E41" s="298" t="s">
        <v>942</v>
      </c>
      <c r="F41" s="298" t="s">
        <v>15</v>
      </c>
      <c r="G41" s="298" t="s">
        <v>943</v>
      </c>
      <c r="H41" s="298" t="s">
        <v>10</v>
      </c>
      <c r="I41" s="298" t="s">
        <v>944</v>
      </c>
      <c r="J41" s="298" t="s">
        <v>945</v>
      </c>
      <c r="K41" s="298" t="s">
        <v>946</v>
      </c>
      <c r="L41" s="148" t="s">
        <v>947</v>
      </c>
      <c r="P41" s="20" t="s">
        <v>951</v>
      </c>
      <c r="Q41" t="s">
        <v>9</v>
      </c>
      <c r="R41" s="195">
        <v>322.34999999999997</v>
      </c>
      <c r="S41" s="195">
        <v>14.87</v>
      </c>
      <c r="T41" s="195">
        <v>7.18</v>
      </c>
      <c r="U41" s="195">
        <v>3.0199999999999996</v>
      </c>
      <c r="V41" s="195">
        <v>21.37</v>
      </c>
      <c r="W41" s="195">
        <v>8.0599999999999987</v>
      </c>
    </row>
    <row r="42" spans="1:40" x14ac:dyDescent="0.2">
      <c r="A42" s="20" t="s">
        <v>498</v>
      </c>
      <c r="B42" s="298">
        <v>0.30476539432581623</v>
      </c>
      <c r="C42" s="298">
        <v>0.19455097665555024</v>
      </c>
      <c r="D42" s="298">
        <v>0.52955404804270467</v>
      </c>
      <c r="E42" s="298">
        <v>0.40962633560909895</v>
      </c>
      <c r="F42" s="298">
        <v>0.48657045301147411</v>
      </c>
      <c r="G42" s="298">
        <v>1</v>
      </c>
      <c r="H42" s="298">
        <v>0.27714720194647202</v>
      </c>
      <c r="I42" s="298">
        <v>0.68160442600276638</v>
      </c>
      <c r="J42" s="298">
        <v>0.1343346220368298</v>
      </c>
      <c r="K42" s="298">
        <v>0.20989045383411575</v>
      </c>
      <c r="L42" s="148">
        <v>0.23322243346007604</v>
      </c>
      <c r="P42" s="20" t="s">
        <v>951</v>
      </c>
      <c r="Q42" s="64" t="s">
        <v>9</v>
      </c>
      <c r="R42" s="195">
        <v>245.17999999999998</v>
      </c>
      <c r="S42" s="195">
        <v>-28.580000000000002</v>
      </c>
      <c r="T42" s="195">
        <v>0.51999999999999957</v>
      </c>
      <c r="U42" s="195">
        <v>-7.9999999999999183E-2</v>
      </c>
      <c r="V42" s="195">
        <v>4.91</v>
      </c>
      <c r="W42" s="195">
        <v>-7.3699999999999992</v>
      </c>
    </row>
    <row r="43" spans="1:40" x14ac:dyDescent="0.2">
      <c r="A43" s="20" t="s">
        <v>8</v>
      </c>
      <c r="B43" s="21">
        <v>1</v>
      </c>
      <c r="C43" s="21">
        <v>1</v>
      </c>
      <c r="D43" s="21">
        <v>1</v>
      </c>
      <c r="E43" s="21">
        <v>1</v>
      </c>
      <c r="F43" s="21">
        <v>1</v>
      </c>
      <c r="G43" s="21">
        <v>0.86804723600889966</v>
      </c>
      <c r="H43" s="21">
        <v>1</v>
      </c>
      <c r="I43" s="21">
        <v>1</v>
      </c>
      <c r="J43" s="21">
        <v>1</v>
      </c>
      <c r="K43" s="21">
        <v>1</v>
      </c>
      <c r="L43" s="10">
        <v>1</v>
      </c>
      <c r="P43" s="20" t="s">
        <v>951</v>
      </c>
      <c r="Q43" t="s">
        <v>9</v>
      </c>
      <c r="R43" s="195">
        <v>327.63</v>
      </c>
      <c r="S43" s="195">
        <v>2.1499999999999995</v>
      </c>
      <c r="T43" s="195">
        <v>2.14</v>
      </c>
      <c r="U43" s="195">
        <v>-0.54</v>
      </c>
      <c r="V43" s="195">
        <v>2.0100000000000002</v>
      </c>
      <c r="W43" s="195">
        <v>4.7799999999999994</v>
      </c>
    </row>
    <row r="44" spans="1:40" x14ac:dyDescent="0.2">
      <c r="A44" s="28" t="s">
        <v>9</v>
      </c>
      <c r="B44" s="26">
        <v>0.52908500577688389</v>
      </c>
      <c r="C44" s="26">
        <v>0.29826703191996184</v>
      </c>
      <c r="D44" s="26">
        <v>0.53179214857651258</v>
      </c>
      <c r="E44" s="26">
        <v>0.73619998163059119</v>
      </c>
      <c r="F44" s="26">
        <v>0.48884014240150347</v>
      </c>
      <c r="G44" s="26">
        <v>0.68988533287694687</v>
      </c>
      <c r="H44" s="26">
        <v>0.64392335766423348</v>
      </c>
      <c r="I44" s="26">
        <v>0.89533195020746903</v>
      </c>
      <c r="J44" s="26">
        <v>0.78873740970597228</v>
      </c>
      <c r="K44" s="26">
        <v>0.40570422535211265</v>
      </c>
      <c r="L44" s="11">
        <v>0.39233602661596961</v>
      </c>
      <c r="P44" s="20" t="s">
        <v>951</v>
      </c>
      <c r="Q44" t="s">
        <v>9</v>
      </c>
      <c r="R44" s="195">
        <v>189.87</v>
      </c>
      <c r="S44" s="195">
        <v>5.55</v>
      </c>
      <c r="T44" s="195">
        <v>4.03</v>
      </c>
      <c r="U44" s="195">
        <v>0.84999999999999987</v>
      </c>
      <c r="V44" s="195">
        <v>3.07</v>
      </c>
      <c r="W44" s="195">
        <v>2.0299999999999998</v>
      </c>
    </row>
    <row r="45" spans="1:40" x14ac:dyDescent="0.2">
      <c r="R45" s="195"/>
      <c r="S45" s="195"/>
      <c r="T45" s="195"/>
      <c r="U45" s="195"/>
      <c r="V45" s="195"/>
      <c r="W45" s="195"/>
    </row>
    <row r="46" spans="1:40" x14ac:dyDescent="0.2">
      <c r="P46" s="20" t="s">
        <v>952</v>
      </c>
      <c r="Q46" t="s">
        <v>9</v>
      </c>
      <c r="R46" s="160">
        <v>202.3</v>
      </c>
      <c r="S46" s="160">
        <v>0.25</v>
      </c>
      <c r="T46" s="160">
        <v>1.8200000000000012</v>
      </c>
      <c r="U46" s="160">
        <v>-4.2600000000000007</v>
      </c>
      <c r="V46" s="160">
        <v>0</v>
      </c>
      <c r="W46" s="160">
        <v>0.25</v>
      </c>
    </row>
    <row r="47" spans="1:40" x14ac:dyDescent="0.2">
      <c r="P47" s="20" t="s">
        <v>952</v>
      </c>
      <c r="Q47" t="s">
        <v>9</v>
      </c>
      <c r="R47" s="160">
        <v>29.55</v>
      </c>
      <c r="S47" s="160">
        <v>16.420000000000002</v>
      </c>
      <c r="T47" s="160">
        <v>6.0000000000000053E-2</v>
      </c>
      <c r="U47" s="160">
        <v>-1.6700000000000002</v>
      </c>
      <c r="V47" s="160">
        <v>4.9500000000000011</v>
      </c>
      <c r="W47" s="160">
        <v>6.68</v>
      </c>
    </row>
    <row r="48" spans="1:40" x14ac:dyDescent="0.2">
      <c r="B48" s="64"/>
      <c r="P48" s="20" t="s">
        <v>952</v>
      </c>
      <c r="Q48" t="s">
        <v>9</v>
      </c>
      <c r="R48" s="160">
        <v>37.79</v>
      </c>
      <c r="S48" s="160">
        <v>24.109999999999992</v>
      </c>
      <c r="T48" s="160">
        <v>1.7599999999999998</v>
      </c>
      <c r="U48" s="160">
        <v>-1.84</v>
      </c>
      <c r="V48" s="160">
        <v>16.77</v>
      </c>
      <c r="W48" s="160">
        <v>12.029999999999998</v>
      </c>
    </row>
    <row r="49" spans="16:23" x14ac:dyDescent="0.2">
      <c r="P49" s="20" t="s">
        <v>952</v>
      </c>
      <c r="Q49" t="s">
        <v>9</v>
      </c>
      <c r="R49" s="160">
        <v>221.50000000000003</v>
      </c>
      <c r="S49" s="160">
        <v>16.29</v>
      </c>
      <c r="T49" s="160">
        <v>6.0600000000000005</v>
      </c>
      <c r="U49" s="160">
        <v>-2.1700000000000004</v>
      </c>
      <c r="V49" s="160">
        <v>10.14</v>
      </c>
      <c r="W49" s="160">
        <v>6.92</v>
      </c>
    </row>
    <row r="50" spans="16:23" x14ac:dyDescent="0.2">
      <c r="P50" s="20" t="s">
        <v>952</v>
      </c>
      <c r="Q50" t="s">
        <v>9</v>
      </c>
      <c r="R50" s="160">
        <v>75.83</v>
      </c>
      <c r="S50" s="160">
        <v>7.6</v>
      </c>
      <c r="T50" s="160">
        <v>1.2199999999999998</v>
      </c>
      <c r="U50" s="160">
        <v>-3.45</v>
      </c>
      <c r="V50" s="160">
        <v>0</v>
      </c>
      <c r="W50" s="160">
        <v>3.6999999999999997</v>
      </c>
    </row>
    <row r="51" spans="16:23" x14ac:dyDescent="0.2">
      <c r="P51" s="20" t="s">
        <v>952</v>
      </c>
      <c r="Q51" s="64" t="s">
        <v>9</v>
      </c>
      <c r="R51" s="160">
        <v>40.69</v>
      </c>
      <c r="S51" s="160">
        <v>-25.040000000000003</v>
      </c>
      <c r="T51" s="160">
        <v>-2.4300000000000015</v>
      </c>
      <c r="U51" s="160">
        <v>-5.0000000000000044E-2</v>
      </c>
      <c r="V51" s="160">
        <v>-3.4800000000000004</v>
      </c>
      <c r="W51" s="160">
        <v>-7.4599999999999991</v>
      </c>
    </row>
    <row r="52" spans="16:23" x14ac:dyDescent="0.2">
      <c r="P52" s="20" t="s">
        <v>952</v>
      </c>
      <c r="Q52" t="s">
        <v>9</v>
      </c>
      <c r="R52" s="160">
        <v>45.199999999999996</v>
      </c>
      <c r="S52" s="160">
        <v>3.0099999999999989</v>
      </c>
      <c r="T52" s="160">
        <v>0.61999999999999966</v>
      </c>
      <c r="U52" s="160">
        <v>-2.8199999999999994</v>
      </c>
      <c r="V52" s="160">
        <v>0</v>
      </c>
      <c r="W52" s="160">
        <v>2.94</v>
      </c>
    </row>
    <row r="53" spans="16:23" x14ac:dyDescent="0.2">
      <c r="P53" s="20" t="s">
        <v>952</v>
      </c>
      <c r="Q53" t="s">
        <v>9</v>
      </c>
      <c r="R53" s="160">
        <v>83.11</v>
      </c>
      <c r="S53" s="160">
        <v>4.4399999999999995</v>
      </c>
      <c r="T53" s="160">
        <v>4.2</v>
      </c>
      <c r="U53" s="160">
        <v>-2.5999999999999996</v>
      </c>
      <c r="V53" s="160">
        <v>9.6</v>
      </c>
      <c r="W53" s="160">
        <v>5.5500000000000007</v>
      </c>
    </row>
  </sheetData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8C222B-F1C9-F343-A771-6F3448890CF8}">
  <sheetPr codeName="Sheet34"/>
  <dimension ref="A1:T43"/>
  <sheetViews>
    <sheetView zoomScale="80" zoomScaleNormal="80" workbookViewId="0">
      <selection activeCell="M29" sqref="M29"/>
    </sheetView>
  </sheetViews>
  <sheetFormatPr baseColWidth="10" defaultRowHeight="16" x14ac:dyDescent="0.2"/>
  <sheetData>
    <row r="1" spans="1:20" x14ac:dyDescent="0.2">
      <c r="A1" t="s">
        <v>1225</v>
      </c>
      <c r="B1" s="17" t="s">
        <v>957</v>
      </c>
      <c r="C1" s="18"/>
      <c r="D1" s="18"/>
      <c r="E1" s="19"/>
      <c r="G1" s="17" t="s">
        <v>956</v>
      </c>
      <c r="H1" s="18"/>
      <c r="I1" s="18"/>
      <c r="J1" s="19"/>
      <c r="L1" s="17" t="s">
        <v>958</v>
      </c>
      <c r="M1" s="18"/>
      <c r="N1" s="18"/>
      <c r="O1" s="19"/>
      <c r="Q1" s="17" t="s">
        <v>959</v>
      </c>
      <c r="R1" s="18"/>
      <c r="S1" s="18"/>
      <c r="T1" s="19"/>
    </row>
    <row r="2" spans="1:20" x14ac:dyDescent="0.2">
      <c r="B2" s="281" t="s">
        <v>7</v>
      </c>
      <c r="C2" s="282" t="s">
        <v>8</v>
      </c>
      <c r="D2" s="282" t="s">
        <v>381</v>
      </c>
      <c r="E2" s="283" t="s">
        <v>9</v>
      </c>
      <c r="F2" s="21"/>
      <c r="G2" s="281" t="s">
        <v>7</v>
      </c>
      <c r="H2" s="282" t="s">
        <v>8</v>
      </c>
      <c r="I2" s="282" t="s">
        <v>381</v>
      </c>
      <c r="J2" s="283" t="s">
        <v>9</v>
      </c>
      <c r="L2" s="281" t="s">
        <v>7</v>
      </c>
      <c r="M2" s="282" t="s">
        <v>8</v>
      </c>
      <c r="N2" s="282" t="s">
        <v>381</v>
      </c>
      <c r="O2" s="283" t="s">
        <v>9</v>
      </c>
      <c r="Q2" s="281" t="s">
        <v>7</v>
      </c>
      <c r="R2" s="282" t="s">
        <v>8</v>
      </c>
      <c r="S2" s="282" t="s">
        <v>381</v>
      </c>
      <c r="T2" s="283" t="s">
        <v>9</v>
      </c>
    </row>
    <row r="3" spans="1:20" x14ac:dyDescent="0.2">
      <c r="B3" s="124">
        <v>7463</v>
      </c>
      <c r="C3" s="125">
        <v>7397</v>
      </c>
      <c r="D3" s="125">
        <v>7579</v>
      </c>
      <c r="E3" s="126">
        <v>7463</v>
      </c>
      <c r="F3" s="21"/>
      <c r="G3" s="124">
        <v>22824</v>
      </c>
      <c r="H3" s="125">
        <v>23538</v>
      </c>
      <c r="I3" s="125">
        <v>21975</v>
      </c>
      <c r="J3" s="126">
        <v>21462</v>
      </c>
      <c r="L3" s="124">
        <v>1.32978723</v>
      </c>
      <c r="M3" s="125">
        <v>6.3736263700000002</v>
      </c>
      <c r="N3" s="125">
        <v>10.550113</v>
      </c>
      <c r="O3" s="126">
        <v>10.0881489</v>
      </c>
      <c r="Q3" s="124">
        <v>0.37418148000000001</v>
      </c>
      <c r="R3" s="125">
        <v>1.5785861400000001</v>
      </c>
      <c r="S3" s="125">
        <v>1.7751479299999999</v>
      </c>
      <c r="T3" s="126">
        <v>1.33531157</v>
      </c>
    </row>
    <row r="4" spans="1:20" x14ac:dyDescent="0.2">
      <c r="B4" s="124">
        <v>7397</v>
      </c>
      <c r="C4" s="125">
        <v>7886</v>
      </c>
      <c r="D4" s="125">
        <v>7479</v>
      </c>
      <c r="E4" s="126">
        <v>7301</v>
      </c>
      <c r="F4" s="21"/>
      <c r="G4" s="124">
        <v>21871</v>
      </c>
      <c r="H4" s="125">
        <v>21260</v>
      </c>
      <c r="I4" s="125">
        <v>21614</v>
      </c>
      <c r="J4" s="126">
        <v>21260</v>
      </c>
      <c r="L4" s="124">
        <v>4.8324933300000001</v>
      </c>
      <c r="M4" s="125">
        <v>1.1327879199999999</v>
      </c>
      <c r="N4" s="125">
        <v>2.0310478700000001</v>
      </c>
      <c r="O4" s="126">
        <v>2.5173064799999998</v>
      </c>
      <c r="Q4" s="124">
        <v>0.51903113999999995</v>
      </c>
      <c r="R4" s="125">
        <v>0.60606061</v>
      </c>
      <c r="S4" s="125">
        <v>0.49164207999999998</v>
      </c>
      <c r="T4" s="126">
        <v>0.58823528999999997</v>
      </c>
    </row>
    <row r="5" spans="1:20" x14ac:dyDescent="0.2">
      <c r="B5" s="124">
        <v>7596</v>
      </c>
      <c r="C5" s="125">
        <v>7921</v>
      </c>
      <c r="D5" s="125">
        <v>7284</v>
      </c>
      <c r="E5" s="126">
        <v>7237</v>
      </c>
      <c r="F5" s="21"/>
      <c r="G5" s="124">
        <v>21563</v>
      </c>
      <c r="H5" s="125">
        <v>22502</v>
      </c>
      <c r="I5" s="125">
        <v>20424</v>
      </c>
      <c r="J5" s="126">
        <v>23041</v>
      </c>
      <c r="L5" s="124">
        <v>7.51833741</v>
      </c>
      <c r="M5" s="125">
        <v>35.594111499999997</v>
      </c>
      <c r="N5" s="125">
        <v>1.4794520499999999</v>
      </c>
      <c r="O5" s="126">
        <v>1.89940204</v>
      </c>
      <c r="Q5" s="124">
        <v>0.60544903999999999</v>
      </c>
      <c r="R5" s="125">
        <v>1.7211704000000001</v>
      </c>
      <c r="S5" s="125">
        <v>0.32502709000000002</v>
      </c>
      <c r="T5" s="126">
        <v>2.0771513399999999</v>
      </c>
    </row>
    <row r="6" spans="1:20" x14ac:dyDescent="0.2">
      <c r="B6" s="124">
        <v>7748</v>
      </c>
      <c r="C6" s="125">
        <v>7381</v>
      </c>
      <c r="D6" s="125">
        <v>7546</v>
      </c>
      <c r="E6" s="126">
        <v>7381</v>
      </c>
      <c r="F6" s="21"/>
      <c r="G6" s="124">
        <v>20911</v>
      </c>
      <c r="H6" s="125">
        <v>21210</v>
      </c>
      <c r="I6" s="125">
        <v>20813</v>
      </c>
      <c r="J6" s="126">
        <v>22716</v>
      </c>
      <c r="L6" s="124">
        <v>7.4302283400000002</v>
      </c>
      <c r="M6" s="125">
        <v>55.679287299999999</v>
      </c>
      <c r="N6" s="125">
        <v>6.7229977999999999</v>
      </c>
      <c r="O6" s="126">
        <v>2.9743268600000001</v>
      </c>
      <c r="Q6" s="124">
        <v>0.79537237999999999</v>
      </c>
      <c r="R6" s="125">
        <v>5.3571428599999997</v>
      </c>
      <c r="S6" s="125">
        <v>0.93808630000000004</v>
      </c>
      <c r="T6" s="126">
        <v>1.3437849900000001</v>
      </c>
    </row>
    <row r="7" spans="1:20" x14ac:dyDescent="0.2">
      <c r="B7" s="124">
        <v>6896</v>
      </c>
      <c r="C7" s="125">
        <v>7646</v>
      </c>
      <c r="D7" s="125">
        <v>7697</v>
      </c>
      <c r="E7" s="126">
        <v>7221</v>
      </c>
      <c r="F7" s="21"/>
      <c r="G7" s="124">
        <v>22555</v>
      </c>
      <c r="H7" s="125">
        <v>22608</v>
      </c>
      <c r="I7" s="125">
        <v>20764</v>
      </c>
      <c r="J7" s="126">
        <v>20961</v>
      </c>
      <c r="L7" s="124">
        <v>4.7970479700000004</v>
      </c>
      <c r="M7" s="125">
        <v>1.8482699300000001</v>
      </c>
      <c r="N7" s="125">
        <v>19.107142899999999</v>
      </c>
      <c r="O7" s="126">
        <v>39.117647099999999</v>
      </c>
      <c r="Q7" s="124">
        <v>0.43668121999999998</v>
      </c>
      <c r="R7" s="125">
        <v>0.83363538000000004</v>
      </c>
      <c r="S7" s="125">
        <v>1.3574660599999999</v>
      </c>
      <c r="T7" s="126">
        <v>2.7027027000000001</v>
      </c>
    </row>
    <row r="8" spans="1:20" x14ac:dyDescent="0.2">
      <c r="B8" s="124">
        <v>6836</v>
      </c>
      <c r="C8" s="125">
        <v>8226</v>
      </c>
      <c r="D8" s="125">
        <v>6896</v>
      </c>
      <c r="E8" s="126">
        <v>7205</v>
      </c>
      <c r="F8" s="21"/>
      <c r="G8" s="124">
        <v>21010</v>
      </c>
      <c r="H8" s="125">
        <v>21310</v>
      </c>
      <c r="I8" s="125">
        <v>21871</v>
      </c>
      <c r="J8" s="126">
        <v>22932</v>
      </c>
      <c r="L8" s="124">
        <v>45.936549300000003</v>
      </c>
      <c r="M8" s="125">
        <v>12.556053800000001</v>
      </c>
      <c r="N8" s="125">
        <v>25.042301200000001</v>
      </c>
      <c r="O8" s="126">
        <v>1.5846538800000001</v>
      </c>
      <c r="Q8" s="124">
        <v>18.627451000000001</v>
      </c>
      <c r="R8" s="125">
        <v>3.8229376300000002</v>
      </c>
      <c r="S8" s="125">
        <v>1.1160714300000001</v>
      </c>
      <c r="T8" s="126">
        <v>0.77519380000000004</v>
      </c>
    </row>
    <row r="9" spans="1:20" x14ac:dyDescent="0.2">
      <c r="B9" s="124">
        <v>7612</v>
      </c>
      <c r="C9" s="125">
        <v>8299</v>
      </c>
      <c r="D9" s="125">
        <v>7189</v>
      </c>
      <c r="E9" s="126">
        <v>6972</v>
      </c>
      <c r="F9" s="21"/>
      <c r="G9" s="124">
        <v>22824</v>
      </c>
      <c r="H9" s="125">
        <v>21060</v>
      </c>
      <c r="I9" s="125">
        <v>22132</v>
      </c>
      <c r="J9" s="126">
        <v>22716</v>
      </c>
      <c r="L9" s="124">
        <v>0.97789115999999998</v>
      </c>
      <c r="M9" s="125">
        <v>62.3287671</v>
      </c>
      <c r="N9" s="125">
        <v>4.1428571400000003</v>
      </c>
      <c r="O9" s="126">
        <v>7.9189686899999998</v>
      </c>
      <c r="Q9" s="124">
        <v>0.75642964999999995</v>
      </c>
      <c r="R9" s="125">
        <v>4.8</v>
      </c>
      <c r="S9" s="125">
        <v>1.10497238</v>
      </c>
      <c r="T9" s="126">
        <v>3.4313725499999999</v>
      </c>
    </row>
    <row r="10" spans="1:20" x14ac:dyDescent="0.2">
      <c r="B10" s="127">
        <v>6926</v>
      </c>
      <c r="C10" s="128">
        <v>7834</v>
      </c>
      <c r="D10" s="128">
        <v>7562</v>
      </c>
      <c r="E10" s="129">
        <v>7221</v>
      </c>
      <c r="F10" s="21"/>
      <c r="G10" s="127">
        <v>22662</v>
      </c>
      <c r="H10" s="128">
        <v>20961</v>
      </c>
      <c r="I10" s="128">
        <v>20569</v>
      </c>
      <c r="J10" s="129">
        <v>22932</v>
      </c>
      <c r="L10" s="124">
        <v>37.641356999999999</v>
      </c>
      <c r="M10" s="125">
        <v>50.7722008</v>
      </c>
      <c r="N10" s="125">
        <v>0.78031212000000005</v>
      </c>
      <c r="O10" s="126">
        <v>5.4368932000000001</v>
      </c>
      <c r="Q10" s="124">
        <v>5.5319148900000004</v>
      </c>
      <c r="R10" s="125">
        <v>2.41935484</v>
      </c>
      <c r="S10" s="125">
        <v>0.47846889999999997</v>
      </c>
      <c r="T10" s="126">
        <v>3.04878049</v>
      </c>
    </row>
    <row r="11" spans="1:20" x14ac:dyDescent="0.2">
      <c r="B11" s="21"/>
      <c r="C11" s="21"/>
      <c r="D11" s="21"/>
      <c r="E11" s="21"/>
      <c r="F11" s="21"/>
      <c r="G11" s="21"/>
      <c r="H11" s="21"/>
      <c r="I11" s="21"/>
      <c r="J11" s="21"/>
      <c r="L11" s="124">
        <v>1.0101010100000001</v>
      </c>
      <c r="M11" s="125">
        <v>78.0991736</v>
      </c>
      <c r="N11" s="125">
        <v>3</v>
      </c>
      <c r="O11" s="126">
        <v>1.46888288</v>
      </c>
      <c r="Q11" s="124">
        <v>1.5602836899999999</v>
      </c>
      <c r="R11" s="125">
        <v>2.0408163300000002</v>
      </c>
      <c r="S11" s="125">
        <v>1.14379085</v>
      </c>
      <c r="T11" s="126">
        <v>1.3909224</v>
      </c>
    </row>
    <row r="12" spans="1:20" x14ac:dyDescent="0.2">
      <c r="B12" s="191"/>
      <c r="C12" s="21"/>
      <c r="D12" s="21"/>
      <c r="E12" s="21"/>
      <c r="F12" s="21"/>
      <c r="G12" s="21"/>
      <c r="H12" s="191"/>
      <c r="I12" s="21"/>
      <c r="J12" s="191"/>
      <c r="L12" s="127">
        <v>0.65252854999999998</v>
      </c>
      <c r="M12" s="128">
        <v>85.135135099999999</v>
      </c>
      <c r="N12" s="128">
        <v>1.2229922499999999</v>
      </c>
      <c r="O12" s="129">
        <v>9.4841930100000003</v>
      </c>
      <c r="Q12" s="127">
        <v>1.0840108399999999</v>
      </c>
      <c r="R12" s="128">
        <v>0</v>
      </c>
      <c r="S12" s="128">
        <v>0.64620354999999996</v>
      </c>
      <c r="T12" s="129">
        <v>1.36986301</v>
      </c>
    </row>
    <row r="18" spans="1:18" x14ac:dyDescent="0.2">
      <c r="A18" t="s">
        <v>1102</v>
      </c>
      <c r="B18" s="17" t="s">
        <v>1103</v>
      </c>
      <c r="C18" s="18"/>
      <c r="D18" s="18"/>
      <c r="E18" s="19"/>
      <c r="G18" s="17" t="s">
        <v>1104</v>
      </c>
      <c r="H18" s="18"/>
      <c r="I18" s="18"/>
      <c r="J18" s="19"/>
    </row>
    <row r="19" spans="1:18" x14ac:dyDescent="0.2">
      <c r="B19" s="220" t="s">
        <v>7</v>
      </c>
      <c r="C19" s="221" t="s">
        <v>8</v>
      </c>
      <c r="D19" s="221" t="s">
        <v>381</v>
      </c>
      <c r="E19" s="222" t="s">
        <v>9</v>
      </c>
      <c r="G19" s="220" t="s">
        <v>7</v>
      </c>
      <c r="H19" s="221" t="s">
        <v>8</v>
      </c>
      <c r="I19" s="221" t="s">
        <v>381</v>
      </c>
      <c r="J19" s="222" t="s">
        <v>9</v>
      </c>
    </row>
    <row r="20" spans="1:18" x14ac:dyDescent="0.2">
      <c r="B20" s="205">
        <v>71.757575799999998</v>
      </c>
      <c r="C20" s="206">
        <v>80.414581799999993</v>
      </c>
      <c r="D20" s="206">
        <v>82.069371000000004</v>
      </c>
      <c r="E20" s="207">
        <v>75.410421099999994</v>
      </c>
      <c r="G20" s="205">
        <v>55.390659100000001</v>
      </c>
      <c r="H20" s="206">
        <v>55.1820728</v>
      </c>
      <c r="I20" s="206">
        <v>49.069003299999999</v>
      </c>
      <c r="J20" s="207">
        <v>70.546105600000004</v>
      </c>
    </row>
    <row r="21" spans="1:18" x14ac:dyDescent="0.2">
      <c r="B21" s="205">
        <v>78.437992300000005</v>
      </c>
      <c r="C21" s="206">
        <v>77.8699862</v>
      </c>
      <c r="D21" s="206">
        <v>77.340138699999997</v>
      </c>
      <c r="E21" s="207">
        <v>75.033200500000007</v>
      </c>
      <c r="G21" s="205">
        <v>59.639639600000002</v>
      </c>
      <c r="H21" s="206">
        <v>72.829922400000001</v>
      </c>
      <c r="I21" s="206">
        <v>74.839537899999996</v>
      </c>
      <c r="J21" s="207">
        <v>50.572634100000002</v>
      </c>
    </row>
    <row r="22" spans="1:18" x14ac:dyDescent="0.2">
      <c r="B22" s="205">
        <v>70.376300999999998</v>
      </c>
      <c r="C22" s="206">
        <v>78.189621500000001</v>
      </c>
      <c r="D22" s="206">
        <v>78.150572800000006</v>
      </c>
      <c r="E22" s="207">
        <v>74.886763999999999</v>
      </c>
      <c r="G22" s="205">
        <v>66.817667</v>
      </c>
      <c r="H22" s="206">
        <v>53.840304199999999</v>
      </c>
      <c r="I22" s="206">
        <v>62.349570200000002</v>
      </c>
      <c r="J22" s="207">
        <v>60.315186199999999</v>
      </c>
    </row>
    <row r="23" spans="1:18" x14ac:dyDescent="0.2">
      <c r="B23" s="205">
        <v>80.601168900000005</v>
      </c>
      <c r="C23" s="206">
        <v>72.115384599999999</v>
      </c>
      <c r="D23" s="206">
        <v>75</v>
      </c>
      <c r="E23" s="207">
        <v>75.5027422</v>
      </c>
      <c r="G23" s="205">
        <v>67.198275899999999</v>
      </c>
      <c r="H23" s="206">
        <v>52.765486699999997</v>
      </c>
      <c r="I23" s="206">
        <v>53.080568700000001</v>
      </c>
      <c r="J23" s="207">
        <v>41.692189900000002</v>
      </c>
    </row>
    <row r="24" spans="1:18" x14ac:dyDescent="0.2">
      <c r="B24" s="205">
        <v>68.599033800000001</v>
      </c>
      <c r="C24" s="206">
        <v>77.537410499999993</v>
      </c>
      <c r="D24" s="206">
        <v>71.615201900000002</v>
      </c>
      <c r="E24" s="207">
        <v>55.345911899999997</v>
      </c>
      <c r="G24" s="205">
        <v>39.113924099999998</v>
      </c>
      <c r="H24" s="206">
        <v>61.607142899999999</v>
      </c>
      <c r="I24" s="206">
        <v>68.406961199999998</v>
      </c>
      <c r="J24" s="207">
        <v>54.275534399999998</v>
      </c>
    </row>
    <row r="25" spans="1:18" x14ac:dyDescent="0.2">
      <c r="B25" s="205">
        <v>86.281833599999999</v>
      </c>
      <c r="C25" s="206">
        <v>73.746129999999994</v>
      </c>
      <c r="D25" s="206">
        <v>73.576042299999997</v>
      </c>
      <c r="E25" s="207">
        <v>45.957152700000002</v>
      </c>
      <c r="G25" s="205">
        <v>79.025710399999994</v>
      </c>
      <c r="H25" s="206">
        <v>60.1398601</v>
      </c>
      <c r="I25" s="206">
        <v>63.594994300000003</v>
      </c>
      <c r="J25" s="207">
        <v>67.430025400000005</v>
      </c>
    </row>
    <row r="26" spans="1:18" x14ac:dyDescent="0.2">
      <c r="B26" s="205">
        <v>48.965783899999998</v>
      </c>
      <c r="C26" s="206">
        <v>72.630173600000006</v>
      </c>
      <c r="D26" s="206">
        <v>58.934169300000001</v>
      </c>
      <c r="E26" s="207">
        <v>74.919198399999999</v>
      </c>
      <c r="G26" s="205">
        <v>61.957349600000001</v>
      </c>
      <c r="H26" s="206">
        <v>67.685589500000006</v>
      </c>
      <c r="I26" s="206">
        <v>70.767494400000004</v>
      </c>
      <c r="J26" s="207">
        <v>67.160161500000001</v>
      </c>
    </row>
    <row r="27" spans="1:18" x14ac:dyDescent="0.2">
      <c r="B27" s="205">
        <v>59.3991416</v>
      </c>
      <c r="C27" s="206">
        <v>63.1578947</v>
      </c>
      <c r="D27" s="206">
        <v>43.860487300000003</v>
      </c>
      <c r="E27" s="207">
        <v>68.050314499999999</v>
      </c>
      <c r="G27" s="205">
        <v>65.271493199999995</v>
      </c>
      <c r="H27" s="206">
        <v>71.677018599999997</v>
      </c>
      <c r="I27" s="206">
        <v>61.273006100000003</v>
      </c>
      <c r="J27" s="207">
        <v>56.7039106</v>
      </c>
    </row>
    <row r="28" spans="1:18" x14ac:dyDescent="0.2">
      <c r="B28" s="205">
        <v>36.108541500000001</v>
      </c>
      <c r="C28" s="206">
        <v>65.679012299999997</v>
      </c>
      <c r="D28" s="206">
        <v>46.997929599999999</v>
      </c>
      <c r="E28" s="207">
        <v>65.9523236</v>
      </c>
      <c r="G28" s="205">
        <v>44.866732499999998</v>
      </c>
      <c r="H28" s="206">
        <v>57.605984999999997</v>
      </c>
      <c r="I28" s="206">
        <v>56.417910399999997</v>
      </c>
      <c r="J28" s="207">
        <v>69.265033399999993</v>
      </c>
    </row>
    <row r="29" spans="1:18" x14ac:dyDescent="0.2">
      <c r="B29" s="208">
        <v>41.467065900000001</v>
      </c>
      <c r="C29" s="209">
        <v>65.587044500000005</v>
      </c>
      <c r="D29" s="209">
        <v>64.674329499999999</v>
      </c>
      <c r="E29" s="210">
        <v>72.516556300000005</v>
      </c>
      <c r="G29" s="208">
        <v>56.579511400000001</v>
      </c>
      <c r="H29" s="209">
        <v>55.6122449</v>
      </c>
      <c r="I29" s="209">
        <v>56.209150299999997</v>
      </c>
      <c r="J29" s="210">
        <v>67.346938800000004</v>
      </c>
    </row>
    <row r="31" spans="1:18" x14ac:dyDescent="0.2">
      <c r="A31" t="s">
        <v>1105</v>
      </c>
      <c r="B31" s="309" t="s">
        <v>1246</v>
      </c>
      <c r="C31" s="310"/>
      <c r="D31" s="310"/>
      <c r="E31" s="310"/>
      <c r="F31" s="310"/>
      <c r="G31" s="310"/>
      <c r="H31" s="310"/>
      <c r="I31" s="311"/>
      <c r="K31" s="309" t="s">
        <v>1247</v>
      </c>
      <c r="L31" s="310"/>
      <c r="M31" s="310"/>
      <c r="N31" s="310"/>
      <c r="O31" s="310"/>
      <c r="P31" s="310"/>
      <c r="Q31" s="310"/>
      <c r="R31" s="311"/>
    </row>
    <row r="32" spans="1:18" x14ac:dyDescent="0.2">
      <c r="B32" s="301" t="s">
        <v>1106</v>
      </c>
      <c r="C32" s="299"/>
      <c r="D32" s="299"/>
      <c r="E32" s="300"/>
      <c r="F32" s="301" t="s">
        <v>942</v>
      </c>
      <c r="G32" s="299"/>
      <c r="H32" s="299"/>
      <c r="I32" s="300"/>
      <c r="K32" s="301" t="s">
        <v>1106</v>
      </c>
      <c r="L32" s="299"/>
      <c r="M32" s="299"/>
      <c r="N32" s="300"/>
      <c r="O32" s="301" t="s">
        <v>942</v>
      </c>
      <c r="P32" s="299"/>
      <c r="Q32" s="299"/>
      <c r="R32" s="300"/>
    </row>
    <row r="33" spans="2:18" x14ac:dyDescent="0.2">
      <c r="B33" s="220" t="s">
        <v>7</v>
      </c>
      <c r="C33" s="221" t="s">
        <v>8</v>
      </c>
      <c r="D33" s="221" t="s">
        <v>381</v>
      </c>
      <c r="E33" s="222" t="s">
        <v>9</v>
      </c>
      <c r="F33" s="220" t="s">
        <v>7</v>
      </c>
      <c r="G33" s="221" t="s">
        <v>8</v>
      </c>
      <c r="H33" s="221" t="s">
        <v>381</v>
      </c>
      <c r="I33" s="222" t="s">
        <v>9</v>
      </c>
      <c r="K33" s="228" t="s">
        <v>7</v>
      </c>
      <c r="L33" s="229" t="s">
        <v>8</v>
      </c>
      <c r="M33" s="229" t="s">
        <v>381</v>
      </c>
      <c r="N33" s="230" t="s">
        <v>9</v>
      </c>
      <c r="O33" s="228" t="s">
        <v>7</v>
      </c>
      <c r="P33" s="229" t="s">
        <v>8</v>
      </c>
      <c r="Q33" s="229" t="s">
        <v>381</v>
      </c>
      <c r="R33" s="230" t="s">
        <v>9</v>
      </c>
    </row>
    <row r="34" spans="2:18" x14ac:dyDescent="0.2">
      <c r="B34" s="205">
        <v>1.84</v>
      </c>
      <c r="C34" s="206">
        <v>1.84</v>
      </c>
      <c r="D34" s="206">
        <v>1.84</v>
      </c>
      <c r="E34" s="207">
        <v>1.84</v>
      </c>
      <c r="F34" s="205">
        <v>4.24</v>
      </c>
      <c r="G34" s="206">
        <v>10.35</v>
      </c>
      <c r="H34" s="206">
        <v>4.24</v>
      </c>
      <c r="I34" s="207">
        <v>5.73</v>
      </c>
      <c r="K34" s="205">
        <v>1.84</v>
      </c>
      <c r="L34" s="206">
        <v>2.4700000000000002</v>
      </c>
      <c r="M34" s="206">
        <v>1.84</v>
      </c>
      <c r="N34" s="207">
        <v>2.56</v>
      </c>
      <c r="O34" s="205">
        <v>4.24</v>
      </c>
      <c r="P34" s="206">
        <v>64.42</v>
      </c>
      <c r="Q34" s="206">
        <v>21.09</v>
      </c>
      <c r="R34" s="207">
        <v>29.66</v>
      </c>
    </row>
    <row r="35" spans="2:18" x14ac:dyDescent="0.2">
      <c r="B35" s="205">
        <v>1.84</v>
      </c>
      <c r="C35" s="206">
        <v>1.84</v>
      </c>
      <c r="D35" s="206">
        <v>1.84</v>
      </c>
      <c r="E35" s="207">
        <v>1.84</v>
      </c>
      <c r="F35" s="205">
        <v>4.24</v>
      </c>
      <c r="G35" s="206">
        <v>4.24</v>
      </c>
      <c r="H35" s="206">
        <v>4.24</v>
      </c>
      <c r="I35" s="207">
        <v>4.24</v>
      </c>
      <c r="K35" s="205">
        <v>1.84</v>
      </c>
      <c r="L35" s="206">
        <v>1.84</v>
      </c>
      <c r="M35" s="206">
        <v>1.84</v>
      </c>
      <c r="N35" s="207">
        <v>1.84</v>
      </c>
      <c r="O35" s="205">
        <v>4.24</v>
      </c>
      <c r="P35" s="206">
        <v>4.24</v>
      </c>
      <c r="Q35" s="206">
        <v>4.24</v>
      </c>
      <c r="R35" s="207">
        <v>4.24</v>
      </c>
    </row>
    <row r="36" spans="2:18" x14ac:dyDescent="0.2">
      <c r="B36" s="205">
        <v>1.84</v>
      </c>
      <c r="C36" s="206">
        <v>1.84</v>
      </c>
      <c r="D36" s="206">
        <v>1.84</v>
      </c>
      <c r="E36" s="207">
        <v>1.84</v>
      </c>
      <c r="F36" s="205">
        <v>4.24</v>
      </c>
      <c r="G36" s="206">
        <v>76.52</v>
      </c>
      <c r="H36" s="206">
        <v>4.24</v>
      </c>
      <c r="I36" s="207">
        <v>4.24</v>
      </c>
      <c r="K36" s="205">
        <v>1.84</v>
      </c>
      <c r="L36" s="206">
        <v>30.03</v>
      </c>
      <c r="M36" s="206">
        <v>1.84</v>
      </c>
      <c r="N36" s="207">
        <v>1.84</v>
      </c>
      <c r="O36" s="205">
        <v>4.24</v>
      </c>
      <c r="P36" s="206">
        <v>137.76</v>
      </c>
      <c r="Q36" s="206">
        <v>4.24</v>
      </c>
      <c r="R36" s="207">
        <v>4.24</v>
      </c>
    </row>
    <row r="37" spans="2:18" x14ac:dyDescent="0.2">
      <c r="B37" s="205">
        <v>1.84</v>
      </c>
      <c r="C37" s="206">
        <v>10.01</v>
      </c>
      <c r="D37" s="206">
        <v>1.84</v>
      </c>
      <c r="E37" s="207">
        <v>1.84</v>
      </c>
      <c r="F37" s="205">
        <v>4.24</v>
      </c>
      <c r="G37" s="206">
        <v>246.64</v>
      </c>
      <c r="H37" s="206">
        <v>4.24</v>
      </c>
      <c r="I37" s="207">
        <v>4.24</v>
      </c>
      <c r="K37" s="205">
        <v>1.84</v>
      </c>
      <c r="L37" s="206">
        <v>213.16</v>
      </c>
      <c r="M37" s="206">
        <v>1.84</v>
      </c>
      <c r="N37" s="207">
        <v>1.84</v>
      </c>
      <c r="O37" s="205">
        <v>4.24</v>
      </c>
      <c r="P37" s="206">
        <v>499.19</v>
      </c>
      <c r="Q37" s="206">
        <v>4.24</v>
      </c>
      <c r="R37" s="207">
        <v>4.24</v>
      </c>
    </row>
    <row r="38" spans="2:18" x14ac:dyDescent="0.2">
      <c r="B38" s="205">
        <v>19.53</v>
      </c>
      <c r="C38" s="206">
        <v>1.84</v>
      </c>
      <c r="D38" s="206">
        <v>1.84</v>
      </c>
      <c r="E38" s="207">
        <v>1.84</v>
      </c>
      <c r="F38" s="205">
        <v>53.13</v>
      </c>
      <c r="G38" s="206">
        <v>4.24</v>
      </c>
      <c r="H38" s="206">
        <v>36.270000000000003</v>
      </c>
      <c r="I38" s="207">
        <v>4.24</v>
      </c>
      <c r="K38" s="205">
        <v>1.84</v>
      </c>
      <c r="L38" s="206">
        <v>1.84</v>
      </c>
      <c r="M38" s="206">
        <v>6.56</v>
      </c>
      <c r="N38" s="207">
        <v>1.84</v>
      </c>
      <c r="O38" s="205">
        <v>4.24</v>
      </c>
      <c r="P38" s="206">
        <v>4.24</v>
      </c>
      <c r="Q38" s="206">
        <v>59.43</v>
      </c>
      <c r="R38" s="207">
        <v>4.24</v>
      </c>
    </row>
    <row r="39" spans="2:18" x14ac:dyDescent="0.2">
      <c r="B39" s="205">
        <v>1.84</v>
      </c>
      <c r="C39" s="206">
        <v>1.84</v>
      </c>
      <c r="D39" s="206">
        <v>6.48</v>
      </c>
      <c r="E39" s="207">
        <v>1.84</v>
      </c>
      <c r="F39" s="205">
        <v>4.24</v>
      </c>
      <c r="G39" s="206">
        <v>27.88</v>
      </c>
      <c r="H39" s="206">
        <v>46.12</v>
      </c>
      <c r="I39" s="207">
        <v>4.24</v>
      </c>
      <c r="K39" s="205">
        <v>1.84</v>
      </c>
      <c r="L39" s="206">
        <v>5.17</v>
      </c>
      <c r="M39" s="206">
        <v>1.84</v>
      </c>
      <c r="N39" s="207">
        <v>1.84</v>
      </c>
      <c r="O39" s="205">
        <v>4.24</v>
      </c>
      <c r="P39" s="206">
        <v>41.6</v>
      </c>
      <c r="Q39" s="206">
        <v>54.39</v>
      </c>
      <c r="R39" s="207">
        <v>4.24</v>
      </c>
    </row>
    <row r="40" spans="2:18" x14ac:dyDescent="0.2">
      <c r="B40" s="205">
        <v>1.84</v>
      </c>
      <c r="C40" s="206">
        <v>404.04</v>
      </c>
      <c r="D40" s="206">
        <v>1.84</v>
      </c>
      <c r="E40" s="207">
        <v>1.84</v>
      </c>
      <c r="F40" s="205">
        <v>4.24</v>
      </c>
      <c r="G40" s="206">
        <v>620.26</v>
      </c>
      <c r="H40" s="206">
        <v>4.24</v>
      </c>
      <c r="I40" s="207">
        <v>4.24</v>
      </c>
      <c r="K40" s="205">
        <v>1.84</v>
      </c>
      <c r="L40" s="206">
        <v>132.66</v>
      </c>
      <c r="M40" s="206">
        <v>4.01</v>
      </c>
      <c r="N40" s="207">
        <v>1.84</v>
      </c>
      <c r="O40" s="205">
        <v>4.24</v>
      </c>
      <c r="P40" s="206">
        <v>643.61</v>
      </c>
      <c r="Q40" s="206">
        <v>4.24</v>
      </c>
      <c r="R40" s="207">
        <v>4.24</v>
      </c>
    </row>
    <row r="41" spans="2:18" x14ac:dyDescent="0.2">
      <c r="B41" s="205">
        <v>1.84</v>
      </c>
      <c r="C41" s="206">
        <v>198.52</v>
      </c>
      <c r="D41" s="206">
        <v>1.84</v>
      </c>
      <c r="E41" s="207">
        <v>1.84</v>
      </c>
      <c r="F41" s="205">
        <v>4.24</v>
      </c>
      <c r="G41" s="206">
        <v>755.31</v>
      </c>
      <c r="H41" s="206">
        <v>4.24</v>
      </c>
      <c r="I41" s="207">
        <v>10.58</v>
      </c>
      <c r="K41" s="205">
        <v>1.84</v>
      </c>
      <c r="L41" s="206">
        <v>25.82</v>
      </c>
      <c r="M41" s="206">
        <v>1.84</v>
      </c>
      <c r="N41" s="207">
        <v>1.84</v>
      </c>
      <c r="O41" s="205">
        <v>4.24</v>
      </c>
      <c r="P41" s="206">
        <v>481.22</v>
      </c>
      <c r="Q41" s="206">
        <v>4.24</v>
      </c>
      <c r="R41" s="207">
        <v>15.06</v>
      </c>
    </row>
    <row r="42" spans="2:18" x14ac:dyDescent="0.2">
      <c r="B42" s="205">
        <v>1.84</v>
      </c>
      <c r="C42" s="206">
        <v>3.84</v>
      </c>
      <c r="D42" s="206">
        <v>209.94</v>
      </c>
      <c r="E42" s="207">
        <v>35.97</v>
      </c>
      <c r="F42" s="205">
        <v>4.24</v>
      </c>
      <c r="G42" s="206">
        <v>39.369999999999997</v>
      </c>
      <c r="H42" s="206">
        <v>44.68</v>
      </c>
      <c r="I42" s="207">
        <v>4.24</v>
      </c>
      <c r="K42" s="205">
        <v>1.84</v>
      </c>
      <c r="L42" s="206">
        <v>2.82</v>
      </c>
      <c r="M42" s="206">
        <v>379.33</v>
      </c>
      <c r="N42" s="207">
        <v>42.14</v>
      </c>
      <c r="O42" s="205">
        <v>4.24</v>
      </c>
      <c r="P42" s="206">
        <v>34.06</v>
      </c>
      <c r="Q42" s="206">
        <v>62.44</v>
      </c>
      <c r="R42" s="207">
        <v>4.99</v>
      </c>
    </row>
    <row r="43" spans="2:18" x14ac:dyDescent="0.2">
      <c r="B43" s="208">
        <v>231.75</v>
      </c>
      <c r="C43" s="209">
        <v>18.100000000000001</v>
      </c>
      <c r="D43" s="209">
        <v>1.84</v>
      </c>
      <c r="E43" s="210">
        <v>1.84</v>
      </c>
      <c r="F43" s="208">
        <v>25.63</v>
      </c>
      <c r="G43" s="209">
        <v>283.27999999999997</v>
      </c>
      <c r="H43" s="209">
        <v>4.24</v>
      </c>
      <c r="I43" s="210">
        <v>4.24</v>
      </c>
      <c r="K43" s="208">
        <v>245.64</v>
      </c>
      <c r="L43" s="209">
        <v>20.34</v>
      </c>
      <c r="M43" s="209">
        <v>1.84</v>
      </c>
      <c r="N43" s="210">
        <v>1.84</v>
      </c>
      <c r="O43" s="208">
        <v>42.96</v>
      </c>
      <c r="P43" s="209">
        <v>265.7</v>
      </c>
      <c r="Q43" s="209">
        <v>4.24</v>
      </c>
      <c r="R43" s="210">
        <v>4.24</v>
      </c>
    </row>
  </sheetData>
  <mergeCells count="6">
    <mergeCell ref="B31:I31"/>
    <mergeCell ref="B32:E32"/>
    <mergeCell ref="F32:I32"/>
    <mergeCell ref="K31:R31"/>
    <mergeCell ref="K32:N32"/>
    <mergeCell ref="O32:R32"/>
  </mergeCell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F7B33-D659-F74E-8763-D365BFE18D30}">
  <sheetPr codeName="Sheet35"/>
  <dimension ref="A2:AI10"/>
  <sheetViews>
    <sheetView zoomScale="62" zoomScaleNormal="62" workbookViewId="0">
      <selection activeCell="Q33" sqref="Q33"/>
    </sheetView>
  </sheetViews>
  <sheetFormatPr baseColWidth="10" defaultRowHeight="16" x14ac:dyDescent="0.2"/>
  <sheetData>
    <row r="2" spans="1:35" x14ac:dyDescent="0.2">
      <c r="A2" s="123"/>
      <c r="B2" s="308" t="s">
        <v>7</v>
      </c>
      <c r="C2" s="318"/>
      <c r="D2" s="318"/>
      <c r="E2" s="318"/>
      <c r="F2" s="318"/>
      <c r="G2" s="318"/>
      <c r="H2" s="318"/>
      <c r="I2" s="319"/>
      <c r="J2" s="308" t="s">
        <v>8</v>
      </c>
      <c r="K2" s="318"/>
      <c r="L2" s="318"/>
      <c r="M2" s="318"/>
      <c r="N2" s="318"/>
      <c r="O2" s="318"/>
      <c r="P2" s="319"/>
      <c r="Q2" s="318" t="s">
        <v>274</v>
      </c>
      <c r="R2" s="318"/>
      <c r="S2" s="318"/>
      <c r="T2" s="318"/>
      <c r="U2" s="318"/>
      <c r="V2" s="318"/>
      <c r="W2" s="318"/>
      <c r="X2" s="319"/>
      <c r="Y2" s="318" t="s">
        <v>9</v>
      </c>
      <c r="Z2" s="318"/>
      <c r="AA2" s="318"/>
      <c r="AB2" s="318"/>
      <c r="AC2" s="318"/>
      <c r="AD2" s="319"/>
      <c r="AE2" s="308" t="s">
        <v>960</v>
      </c>
      <c r="AF2" s="318"/>
      <c r="AG2" s="318"/>
      <c r="AH2" s="318"/>
      <c r="AI2" s="319"/>
    </row>
    <row r="3" spans="1:35" x14ac:dyDescent="0.2">
      <c r="A3" s="130">
        <v>0</v>
      </c>
      <c r="B3" s="124">
        <v>11.850111</v>
      </c>
      <c r="C3" s="125">
        <v>105.11681400000001</v>
      </c>
      <c r="D3" s="125">
        <v>26.244</v>
      </c>
      <c r="E3" s="125">
        <v>224.00729999999999</v>
      </c>
      <c r="F3" s="125">
        <v>105.579936</v>
      </c>
      <c r="G3" s="125">
        <v>58.538499999999999</v>
      </c>
      <c r="H3" s="125">
        <v>167.615872</v>
      </c>
      <c r="I3" s="126">
        <v>9.6101600000000005</v>
      </c>
      <c r="J3" s="124">
        <v>26.312055999999998</v>
      </c>
      <c r="K3" s="125">
        <v>13.312512</v>
      </c>
      <c r="L3" s="125">
        <v>47.392432999999997</v>
      </c>
      <c r="M3" s="125">
        <v>17.968005999999999</v>
      </c>
      <c r="N3" s="125">
        <v>17.535540000000001</v>
      </c>
      <c r="O3" s="125">
        <v>31.680593999999999</v>
      </c>
      <c r="P3" s="126">
        <v>10.338975</v>
      </c>
      <c r="Q3" s="125">
        <v>20.424949999999999</v>
      </c>
      <c r="R3" s="125">
        <v>11.284181999999999</v>
      </c>
      <c r="S3" s="125">
        <v>62.162392500000003</v>
      </c>
      <c r="T3" s="125">
        <v>21.052874500000001</v>
      </c>
      <c r="U3" s="125">
        <v>149.82974999999999</v>
      </c>
      <c r="V3" s="125">
        <v>38.126556999999998</v>
      </c>
      <c r="W3" s="125">
        <v>45.868704000000001</v>
      </c>
      <c r="X3" s="126">
        <v>16.448437500000001</v>
      </c>
      <c r="Y3" s="125">
        <v>107.266096</v>
      </c>
      <c r="Z3" s="125">
        <v>19.571306</v>
      </c>
      <c r="AA3" s="125">
        <v>120.394058</v>
      </c>
      <c r="AB3" s="125">
        <v>113.413888</v>
      </c>
      <c r="AC3" s="125">
        <v>37.078398</v>
      </c>
      <c r="AD3" s="126">
        <v>27.237089000000001</v>
      </c>
      <c r="AE3" s="124">
        <v>65.969064000000003</v>
      </c>
      <c r="AF3" s="125">
        <v>37.489494000000001</v>
      </c>
      <c r="AG3" s="125">
        <v>27.285568000000001</v>
      </c>
      <c r="AH3" s="125">
        <v>161.8254</v>
      </c>
      <c r="AI3" s="126"/>
    </row>
    <row r="4" spans="1:35" x14ac:dyDescent="0.2">
      <c r="A4" s="131">
        <v>2</v>
      </c>
      <c r="B4" s="124">
        <v>31.170096999999998</v>
      </c>
      <c r="C4" s="125">
        <v>167.70212799999999</v>
      </c>
      <c r="D4" s="125">
        <v>37.784503999999998</v>
      </c>
      <c r="E4" s="125">
        <v>326.35537199999999</v>
      </c>
      <c r="F4" s="125">
        <v>358.44663200000002</v>
      </c>
      <c r="G4" s="125">
        <v>80.194593999999995</v>
      </c>
      <c r="H4" s="125">
        <v>406.36618900000002</v>
      </c>
      <c r="I4" s="126">
        <v>10.550394000000001</v>
      </c>
      <c r="J4" s="124">
        <v>70.202023999999994</v>
      </c>
      <c r="K4" s="125">
        <v>15.882065000000001</v>
      </c>
      <c r="L4" s="125">
        <v>25.9848</v>
      </c>
      <c r="M4" s="125">
        <v>48.080308500000001</v>
      </c>
      <c r="N4" s="125">
        <v>59.283588000000002</v>
      </c>
      <c r="O4" s="125">
        <v>39.004244999999997</v>
      </c>
      <c r="P4" s="126">
        <v>13.897136</v>
      </c>
      <c r="Q4" s="125">
        <v>51.986255999999997</v>
      </c>
      <c r="R4" s="125">
        <v>12.419072</v>
      </c>
      <c r="S4" s="125">
        <v>85.178349999999995</v>
      </c>
      <c r="T4" s="125">
        <v>67.680465999999996</v>
      </c>
      <c r="U4" s="125">
        <v>230.911115</v>
      </c>
      <c r="V4" s="125">
        <v>89.340440000000001</v>
      </c>
      <c r="W4" s="125">
        <v>92.582999999999998</v>
      </c>
      <c r="X4" s="126">
        <v>36.082175999999997</v>
      </c>
      <c r="Y4" s="125">
        <v>161.648256</v>
      </c>
      <c r="Z4" s="125">
        <v>36.634538999999997</v>
      </c>
      <c r="AA4" s="125">
        <v>223.93858900000001</v>
      </c>
      <c r="AB4" s="125">
        <v>136.78902299999999</v>
      </c>
      <c r="AC4" s="125">
        <v>159.77813699999999</v>
      </c>
      <c r="AD4" s="126">
        <v>90.2087875</v>
      </c>
      <c r="AE4" s="124">
        <v>134.960938</v>
      </c>
      <c r="AF4" s="125">
        <v>256.95999999999998</v>
      </c>
      <c r="AG4" s="125">
        <v>32.08</v>
      </c>
      <c r="AH4" s="125">
        <v>586.04122199999995</v>
      </c>
      <c r="AI4" s="126"/>
    </row>
    <row r="5" spans="1:35" x14ac:dyDescent="0.2">
      <c r="A5" s="131">
        <v>5</v>
      </c>
      <c r="B5" s="124">
        <v>91.230159999999998</v>
      </c>
      <c r="C5" s="125">
        <v>265.92241200000001</v>
      </c>
      <c r="D5" s="125">
        <v>49.506250000000001</v>
      </c>
      <c r="E5" s="125">
        <v>785.10857599999997</v>
      </c>
      <c r="F5" s="125">
        <v>864.36</v>
      </c>
      <c r="G5" s="125">
        <v>188.69798399999999</v>
      </c>
      <c r="H5" s="125">
        <v>773.18611199999998</v>
      </c>
      <c r="I5" s="126">
        <v>10.616704</v>
      </c>
      <c r="J5" s="124">
        <v>147.05942400000001</v>
      </c>
      <c r="K5" s="125">
        <v>23.010400000000001</v>
      </c>
      <c r="L5" s="125">
        <v>72.984564000000006</v>
      </c>
      <c r="M5" s="125">
        <v>112.573274</v>
      </c>
      <c r="N5" s="125">
        <v>162.31822199999999</v>
      </c>
      <c r="O5" s="125">
        <v>71.206058499999997</v>
      </c>
      <c r="P5" s="126">
        <v>36.723599999999998</v>
      </c>
      <c r="Q5" s="125">
        <v>106.006784</v>
      </c>
      <c r="R5" s="125">
        <v>43.698591999999998</v>
      </c>
      <c r="S5" s="125">
        <v>226.970294</v>
      </c>
      <c r="T5" s="125">
        <v>338.44785000000002</v>
      </c>
      <c r="U5" s="125">
        <v>543.51044999999999</v>
      </c>
      <c r="V5" s="125">
        <v>281.09958999999998</v>
      </c>
      <c r="W5" s="125">
        <v>275.50343800000002</v>
      </c>
      <c r="X5" s="126">
        <v>114.832656</v>
      </c>
      <c r="Y5" s="125">
        <v>376.94969600000002</v>
      </c>
      <c r="Z5" s="125">
        <v>141.65131199999999</v>
      </c>
      <c r="AA5" s="125">
        <v>411.19911999999999</v>
      </c>
      <c r="AB5" s="125">
        <v>265.88673999999997</v>
      </c>
      <c r="AC5" s="125">
        <v>270.907085</v>
      </c>
      <c r="AD5" s="126">
        <v>152.92282599999999</v>
      </c>
      <c r="AE5" s="124">
        <v>311.23267600000003</v>
      </c>
      <c r="AF5" s="125">
        <v>753.78569600000003</v>
      </c>
      <c r="AG5" s="125">
        <v>166.2328</v>
      </c>
      <c r="AH5" s="125">
        <v>979.93175399999996</v>
      </c>
      <c r="AI5" s="126"/>
    </row>
    <row r="6" spans="1:35" x14ac:dyDescent="0.2">
      <c r="A6" s="131">
        <v>7</v>
      </c>
      <c r="B6" s="124">
        <v>176.8536</v>
      </c>
      <c r="C6" s="125">
        <v>347.51024999999998</v>
      </c>
      <c r="D6" s="125">
        <v>42.777056000000002</v>
      </c>
      <c r="E6" s="125">
        <v>1000</v>
      </c>
      <c r="F6" s="125">
        <v>1000</v>
      </c>
      <c r="G6" s="125">
        <v>576.69361600000002</v>
      </c>
      <c r="H6" s="125">
        <v>1000</v>
      </c>
      <c r="I6" s="126">
        <v>17.116312499999999</v>
      </c>
      <c r="J6" s="124">
        <v>325.56899199999998</v>
      </c>
      <c r="K6" s="125">
        <v>66.205133000000004</v>
      </c>
      <c r="L6" s="125">
        <v>84.450618000000006</v>
      </c>
      <c r="M6" s="125">
        <v>244.33163999999999</v>
      </c>
      <c r="N6" s="125">
        <v>313.61817600000001</v>
      </c>
      <c r="O6" s="125">
        <v>101.816768</v>
      </c>
      <c r="P6" s="126">
        <v>36.597812500000003</v>
      </c>
      <c r="Q6" s="125">
        <v>134.92864</v>
      </c>
      <c r="R6" s="125">
        <v>53.385034500000003</v>
      </c>
      <c r="S6" s="125">
        <v>252.95626999999999</v>
      </c>
      <c r="T6" s="125">
        <v>699.28510100000005</v>
      </c>
      <c r="U6" s="125">
        <v>1000</v>
      </c>
      <c r="V6" s="125">
        <v>371.003424</v>
      </c>
      <c r="W6" s="125">
        <v>425.39575000000002</v>
      </c>
      <c r="X6" s="126">
        <v>215.83137199999999</v>
      </c>
      <c r="Y6" s="125">
        <v>574.17580799999996</v>
      </c>
      <c r="Z6" s="125">
        <v>212.67516599999999</v>
      </c>
      <c r="AA6" s="125">
        <v>619.23340800000005</v>
      </c>
      <c r="AB6" s="125">
        <v>813.4588</v>
      </c>
      <c r="AC6" s="125">
        <v>478.95780600000001</v>
      </c>
      <c r="AD6" s="126">
        <v>299.95252199999999</v>
      </c>
      <c r="AE6" s="194"/>
      <c r="AF6" s="125"/>
      <c r="AG6" s="191"/>
      <c r="AH6" s="191"/>
      <c r="AI6" s="126"/>
    </row>
    <row r="7" spans="1:35" x14ac:dyDescent="0.2">
      <c r="A7" s="132">
        <v>9</v>
      </c>
      <c r="B7" s="127">
        <v>250.160313</v>
      </c>
      <c r="C7" s="128">
        <v>947.71005400000001</v>
      </c>
      <c r="D7" s="128">
        <v>73.693151999999998</v>
      </c>
      <c r="E7" s="128">
        <v>1000</v>
      </c>
      <c r="F7" s="128">
        <v>1000</v>
      </c>
      <c r="G7" s="128">
        <v>927.02401199999997</v>
      </c>
      <c r="H7" s="128">
        <v>1000</v>
      </c>
      <c r="I7" s="129">
        <v>13.5</v>
      </c>
      <c r="J7" s="127">
        <v>735.68</v>
      </c>
      <c r="K7" s="128">
        <v>114.0399</v>
      </c>
      <c r="L7" s="128">
        <v>180.09337500000001</v>
      </c>
      <c r="M7" s="128">
        <v>679.20443</v>
      </c>
      <c r="N7" s="128">
        <v>652.24435500000004</v>
      </c>
      <c r="O7" s="128">
        <v>200.709194</v>
      </c>
      <c r="P7" s="129">
        <v>127.21875799999999</v>
      </c>
      <c r="Q7" s="128">
        <v>287.566664</v>
      </c>
      <c r="R7" s="128">
        <v>103.56056</v>
      </c>
      <c r="S7" s="128">
        <v>447.53649999999999</v>
      </c>
      <c r="T7" s="128">
        <v>1000</v>
      </c>
      <c r="U7" s="128">
        <v>1000</v>
      </c>
      <c r="V7" s="128">
        <v>604.38588800000002</v>
      </c>
      <c r="W7" s="128">
        <v>1245.55475</v>
      </c>
      <c r="X7" s="129">
        <v>466.34068000000002</v>
      </c>
      <c r="Y7" s="128">
        <v>1000</v>
      </c>
      <c r="Z7" s="128">
        <v>559.15463599999998</v>
      </c>
      <c r="AA7" s="128">
        <v>887.29052899999999</v>
      </c>
      <c r="AB7" s="128">
        <v>988.83698800000002</v>
      </c>
      <c r="AC7" s="128">
        <v>1000</v>
      </c>
      <c r="AD7" s="129">
        <v>489.627094</v>
      </c>
      <c r="AE7" s="127"/>
      <c r="AF7" s="128"/>
      <c r="AG7" s="128"/>
      <c r="AH7" s="128"/>
      <c r="AI7" s="129"/>
    </row>
    <row r="10" spans="1:35" ht="19" customHeight="1" x14ac:dyDescent="0.2"/>
  </sheetData>
  <mergeCells count="5">
    <mergeCell ref="B2:I2"/>
    <mergeCell ref="J2:P2"/>
    <mergeCell ref="Q2:X2"/>
    <mergeCell ref="Y2:AD2"/>
    <mergeCell ref="AE2:AI2"/>
  </mergeCells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C17D0-17CF-0547-B53C-B1241AEBFF64}">
  <dimension ref="A2:V42"/>
  <sheetViews>
    <sheetView zoomScale="70" zoomScaleNormal="70" workbookViewId="0">
      <selection activeCell="V43" sqref="V43"/>
    </sheetView>
  </sheetViews>
  <sheetFormatPr baseColWidth="10" defaultRowHeight="16" x14ac:dyDescent="0.2"/>
  <cols>
    <col min="1" max="1" width="21.33203125" customWidth="1"/>
  </cols>
  <sheetData>
    <row r="2" spans="1:22" x14ac:dyDescent="0.2">
      <c r="A2" s="123"/>
      <c r="B2" s="308" t="s">
        <v>961</v>
      </c>
      <c r="C2" s="318"/>
      <c r="D2" s="318"/>
      <c r="E2" s="318"/>
      <c r="F2" s="318"/>
      <c r="G2" s="318"/>
      <c r="H2" s="319"/>
      <c r="I2" s="308" t="s">
        <v>962</v>
      </c>
      <c r="J2" s="318"/>
      <c r="K2" s="318"/>
      <c r="L2" s="318"/>
      <c r="M2" s="318"/>
      <c r="N2" s="318"/>
      <c r="O2" s="319"/>
      <c r="P2" s="308" t="s">
        <v>963</v>
      </c>
      <c r="Q2" s="318"/>
      <c r="R2" s="318"/>
      <c r="S2" s="318"/>
      <c r="T2" s="318"/>
      <c r="U2" s="319"/>
    </row>
    <row r="3" spans="1:22" x14ac:dyDescent="0.2">
      <c r="A3" s="153" t="s">
        <v>965</v>
      </c>
      <c r="B3" s="127">
        <v>200.23766599999999</v>
      </c>
      <c r="C3" s="128">
        <v>205.573632</v>
      </c>
      <c r="D3" s="128">
        <v>187.83528799999999</v>
      </c>
      <c r="E3" s="128">
        <v>158.80151900000001</v>
      </c>
      <c r="F3" s="128">
        <v>215.57184799999999</v>
      </c>
      <c r="G3" s="128">
        <v>83.167000000000002</v>
      </c>
      <c r="H3" s="129">
        <v>205.194624</v>
      </c>
      <c r="I3" s="127">
        <v>300.68360000000001</v>
      </c>
      <c r="J3" s="128">
        <v>279.59679999999997</v>
      </c>
      <c r="K3" s="128">
        <v>318.96402999999998</v>
      </c>
      <c r="L3" s="128">
        <v>89.4415738</v>
      </c>
      <c r="M3" s="128">
        <v>514.07059900000002</v>
      </c>
      <c r="N3" s="128">
        <v>180.95859300000001</v>
      </c>
      <c r="O3" s="129">
        <v>356.48719999999997</v>
      </c>
      <c r="P3" s="127">
        <v>393.49574999999999</v>
      </c>
      <c r="Q3" s="128">
        <v>132.584148</v>
      </c>
      <c r="R3" s="128">
        <v>171.1908</v>
      </c>
      <c r="S3" s="128">
        <v>43.865344</v>
      </c>
      <c r="T3" s="128">
        <v>463.64769000000001</v>
      </c>
      <c r="U3" s="129">
        <v>155.3194</v>
      </c>
    </row>
    <row r="6" spans="1:22" x14ac:dyDescent="0.2">
      <c r="A6" s="203" t="s">
        <v>966</v>
      </c>
      <c r="B6" s="302" t="s">
        <v>961</v>
      </c>
      <c r="C6" s="307"/>
      <c r="D6" s="307"/>
      <c r="E6" s="307"/>
      <c r="F6" s="307"/>
      <c r="G6" s="307"/>
      <c r="H6" s="303"/>
      <c r="I6" s="302" t="s">
        <v>962</v>
      </c>
      <c r="J6" s="307"/>
      <c r="K6" s="307"/>
      <c r="L6" s="307"/>
      <c r="M6" s="307"/>
      <c r="N6" s="307"/>
      <c r="O6" s="303"/>
      <c r="P6" s="302" t="s">
        <v>963</v>
      </c>
      <c r="Q6" s="307"/>
      <c r="R6" s="307"/>
      <c r="S6" s="307"/>
      <c r="T6" s="307"/>
      <c r="U6" s="307"/>
      <c r="V6" s="303"/>
    </row>
    <row r="7" spans="1:22" x14ac:dyDescent="0.2">
      <c r="A7" s="204" t="s">
        <v>932</v>
      </c>
      <c r="B7" s="205">
        <v>15.11111</v>
      </c>
      <c r="C7" s="206">
        <v>6.0205580000000003</v>
      </c>
      <c r="D7" s="206">
        <v>5.9405939999999999</v>
      </c>
      <c r="E7" s="206">
        <v>7.5471700000000004</v>
      </c>
      <c r="F7" s="206">
        <v>13.08117</v>
      </c>
      <c r="G7" s="206">
        <v>11.79191</v>
      </c>
      <c r="H7" s="207">
        <v>12.698410000000001</v>
      </c>
      <c r="I7" s="205">
        <v>6.0052219999999998</v>
      </c>
      <c r="J7" s="206">
        <v>7.8784470000000004</v>
      </c>
      <c r="K7" s="206">
        <v>8.7928460000000008</v>
      </c>
      <c r="L7" s="206">
        <v>10.00807</v>
      </c>
      <c r="M7" s="206">
        <v>1.946647</v>
      </c>
      <c r="N7" s="206">
        <v>5.7742779999999998</v>
      </c>
      <c r="O7" s="207">
        <v>13.993169999999999</v>
      </c>
      <c r="P7" s="205">
        <v>14.824450000000001</v>
      </c>
      <c r="Q7" s="206">
        <v>12.17268</v>
      </c>
      <c r="R7" s="206">
        <v>8.4427769999999995</v>
      </c>
      <c r="S7" s="206">
        <v>13.2646</v>
      </c>
      <c r="T7" s="206">
        <v>10.76923</v>
      </c>
      <c r="U7" s="206">
        <v>7.8891260000000001</v>
      </c>
      <c r="V7" s="207"/>
    </row>
    <row r="8" spans="1:22" x14ac:dyDescent="0.2">
      <c r="A8" s="204" t="s">
        <v>964</v>
      </c>
      <c r="B8" s="208">
        <v>51.703699999999998</v>
      </c>
      <c r="C8" s="209">
        <v>21.732749999999999</v>
      </c>
      <c r="D8" s="209">
        <v>10.561059999999999</v>
      </c>
      <c r="E8" s="209">
        <v>18.867920000000002</v>
      </c>
      <c r="F8" s="209">
        <v>31.599679999999999</v>
      </c>
      <c r="G8" s="209">
        <v>38.497109999999999</v>
      </c>
      <c r="H8" s="210">
        <v>30.158729999999998</v>
      </c>
      <c r="I8" s="208">
        <v>23.846820000000001</v>
      </c>
      <c r="J8" s="209">
        <v>38.716940000000001</v>
      </c>
      <c r="K8" s="209">
        <v>32.041730000000001</v>
      </c>
      <c r="L8" s="209">
        <v>25.746569999999998</v>
      </c>
      <c r="M8" s="209">
        <v>5.3352560000000002</v>
      </c>
      <c r="N8" s="209">
        <v>9.7112859999999994</v>
      </c>
      <c r="O8" s="210">
        <v>63.82253</v>
      </c>
      <c r="P8" s="208">
        <v>52.925879999999999</v>
      </c>
      <c r="Q8" s="209">
        <v>30.502479999999998</v>
      </c>
      <c r="R8" s="209">
        <v>34.615380000000002</v>
      </c>
      <c r="S8" s="209">
        <v>57.663229999999999</v>
      </c>
      <c r="T8" s="209">
        <v>32.307690000000001</v>
      </c>
      <c r="U8" s="209">
        <v>32.729210000000002</v>
      </c>
      <c r="V8" s="210"/>
    </row>
    <row r="10" spans="1:22" x14ac:dyDescent="0.2">
      <c r="A10" t="s">
        <v>967</v>
      </c>
    </row>
    <row r="11" spans="1:22" x14ac:dyDescent="0.2">
      <c r="A11" s="203"/>
      <c r="B11" s="302" t="s">
        <v>961</v>
      </c>
      <c r="C11" s="307"/>
      <c r="D11" s="307"/>
      <c r="E11" s="307"/>
      <c r="F11" s="307"/>
      <c r="G11" s="307"/>
      <c r="H11" s="303"/>
      <c r="I11" s="302" t="s">
        <v>962</v>
      </c>
      <c r="J11" s="307"/>
      <c r="K11" s="307"/>
      <c r="L11" s="307"/>
      <c r="M11" s="307"/>
      <c r="N11" s="307"/>
      <c r="O11" s="303"/>
      <c r="P11" s="302" t="s">
        <v>963</v>
      </c>
      <c r="Q11" s="307"/>
      <c r="R11" s="307"/>
      <c r="S11" s="307"/>
      <c r="T11" s="307"/>
      <c r="U11" s="307"/>
      <c r="V11" s="303"/>
    </row>
    <row r="12" spans="1:22" x14ac:dyDescent="0.2">
      <c r="A12" s="204" t="s">
        <v>932</v>
      </c>
      <c r="B12" s="205">
        <v>38.040349999999997</v>
      </c>
      <c r="C12" s="206">
        <v>44.734780000000001</v>
      </c>
      <c r="D12" s="206">
        <v>34.060720000000003</v>
      </c>
      <c r="E12" s="206">
        <v>48.159280000000003</v>
      </c>
      <c r="F12" s="206">
        <v>54.428930000000001</v>
      </c>
      <c r="G12" s="206">
        <v>50.355330000000002</v>
      </c>
      <c r="H12" s="207">
        <v>53.92577</v>
      </c>
      <c r="I12" s="205">
        <v>30.145240000000001</v>
      </c>
      <c r="J12" s="206">
        <v>28.957329999999999</v>
      </c>
      <c r="K12" s="206">
        <v>37.22898</v>
      </c>
      <c r="L12" s="206">
        <v>49.82734</v>
      </c>
      <c r="M12" s="206">
        <v>17.396989999999999</v>
      </c>
      <c r="N12" s="206">
        <v>34.049079999999996</v>
      </c>
      <c r="O12" s="207">
        <v>19.749649999999999</v>
      </c>
      <c r="P12" s="205">
        <v>60.808079999999997</v>
      </c>
      <c r="Q12" s="206">
        <v>27.141269999999999</v>
      </c>
      <c r="R12" s="206">
        <v>45.49344</v>
      </c>
      <c r="S12" s="206">
        <v>56.820410000000003</v>
      </c>
      <c r="T12" s="206">
        <v>43.489759999999997</v>
      </c>
      <c r="U12" s="206">
        <v>34.611499999999999</v>
      </c>
      <c r="V12" s="207"/>
    </row>
    <row r="13" spans="1:22" x14ac:dyDescent="0.2">
      <c r="A13" s="204" t="s">
        <v>964</v>
      </c>
      <c r="B13" s="208">
        <v>57.204610000000002</v>
      </c>
      <c r="C13" s="209">
        <v>48.001049999999999</v>
      </c>
      <c r="D13" s="209">
        <v>16.03416</v>
      </c>
      <c r="E13" s="209">
        <v>42.599550000000001</v>
      </c>
      <c r="F13" s="209">
        <v>67.189160000000001</v>
      </c>
      <c r="G13" s="209">
        <v>78.375630000000001</v>
      </c>
      <c r="H13" s="210">
        <v>56.031410000000001</v>
      </c>
      <c r="I13" s="208">
        <v>35.564999999999998</v>
      </c>
      <c r="J13" s="209">
        <v>46.907350000000001</v>
      </c>
      <c r="K13" s="209">
        <v>49.127450000000003</v>
      </c>
      <c r="L13" s="209">
        <v>36.420879999999997</v>
      </c>
      <c r="M13" s="209">
        <v>9.9411380000000005</v>
      </c>
      <c r="N13" s="209">
        <v>22.39264</v>
      </c>
      <c r="O13" s="210">
        <v>68.428370000000001</v>
      </c>
      <c r="P13" s="208">
        <v>80.269360000000006</v>
      </c>
      <c r="Q13" s="209">
        <v>38.820909999999998</v>
      </c>
      <c r="R13" s="209">
        <v>50.285229999999999</v>
      </c>
      <c r="S13" s="209">
        <v>75.368009999999998</v>
      </c>
      <c r="T13" s="209">
        <v>49.504300000000001</v>
      </c>
      <c r="U13" s="209">
        <v>39.606459999999998</v>
      </c>
      <c r="V13" s="210"/>
    </row>
    <row r="15" spans="1:22" x14ac:dyDescent="0.2">
      <c r="A15" t="s">
        <v>1107</v>
      </c>
    </row>
    <row r="16" spans="1:22" x14ac:dyDescent="0.2">
      <c r="A16" s="203" t="s">
        <v>184</v>
      </c>
      <c r="B16" s="302" t="s">
        <v>961</v>
      </c>
      <c r="C16" s="307"/>
      <c r="D16" s="307"/>
      <c r="E16" s="307"/>
      <c r="F16" s="307"/>
      <c r="G16" s="307"/>
      <c r="H16" s="303"/>
      <c r="I16" s="302" t="s">
        <v>962</v>
      </c>
      <c r="J16" s="307"/>
      <c r="K16" s="307"/>
      <c r="L16" s="307"/>
      <c r="M16" s="307"/>
      <c r="N16" s="307"/>
      <c r="O16" s="303"/>
      <c r="P16" s="302" t="s">
        <v>963</v>
      </c>
      <c r="Q16" s="307"/>
      <c r="R16" s="307"/>
      <c r="S16" s="307"/>
      <c r="T16" s="307"/>
      <c r="U16" s="307"/>
      <c r="V16" s="303"/>
    </row>
    <row r="17" spans="1:22" x14ac:dyDescent="0.2">
      <c r="A17" s="204" t="s">
        <v>968</v>
      </c>
      <c r="B17" s="205">
        <v>6.9429509999999999</v>
      </c>
      <c r="C17" s="206">
        <v>7.9391550000000004</v>
      </c>
      <c r="D17" s="206">
        <v>1.8843490000000001</v>
      </c>
      <c r="E17" s="206">
        <v>3.468029</v>
      </c>
      <c r="F17" s="206">
        <v>21.961469999999998</v>
      </c>
      <c r="G17" s="206">
        <v>23.631889999999999</v>
      </c>
      <c r="H17" s="207">
        <v>11.11674</v>
      </c>
      <c r="I17" s="205">
        <v>4.4744900000000003</v>
      </c>
      <c r="J17" s="206">
        <v>12.541539999999999</v>
      </c>
      <c r="K17" s="206">
        <v>9.795007</v>
      </c>
      <c r="L17" s="206">
        <v>13.77397</v>
      </c>
      <c r="M17" s="206">
        <v>3.9231259999999999</v>
      </c>
      <c r="N17" s="206">
        <v>2.7992569999999999</v>
      </c>
      <c r="O17" s="207">
        <v>2.79325</v>
      </c>
      <c r="P17" s="205">
        <v>26.489000000000001</v>
      </c>
      <c r="Q17" s="206">
        <v>5.5686210000000003</v>
      </c>
      <c r="R17" s="206">
        <v>11.632899999999999</v>
      </c>
      <c r="S17" s="206">
        <v>15.5181</v>
      </c>
      <c r="T17" s="206">
        <v>6.4009479999999996</v>
      </c>
      <c r="U17" s="206">
        <v>10.530139999999999</v>
      </c>
      <c r="V17" s="207"/>
    </row>
    <row r="18" spans="1:22" x14ac:dyDescent="0.2">
      <c r="A18" s="204" t="s">
        <v>32</v>
      </c>
      <c r="B18" s="205">
        <v>0.48599599999999998</v>
      </c>
      <c r="C18" s="206">
        <v>0.73454900000000001</v>
      </c>
      <c r="D18" s="206">
        <v>0.17364099999999999</v>
      </c>
      <c r="E18" s="206">
        <v>0.338115</v>
      </c>
      <c r="F18" s="206">
        <v>3.2068050000000001</v>
      </c>
      <c r="G18" s="206">
        <v>3.0453869999999998</v>
      </c>
      <c r="H18" s="207">
        <v>1.5094540000000001</v>
      </c>
      <c r="I18" s="205">
        <v>0.48010199999999997</v>
      </c>
      <c r="J18" s="206">
        <v>1.3811450000000001</v>
      </c>
      <c r="K18" s="206">
        <v>0.92848600000000003</v>
      </c>
      <c r="L18" s="206">
        <v>1.732523</v>
      </c>
      <c r="M18" s="206">
        <v>0.32740900000000001</v>
      </c>
      <c r="N18" s="206">
        <v>0.161386</v>
      </c>
      <c r="O18" s="207">
        <v>0.19631899999999999</v>
      </c>
      <c r="P18" s="205">
        <v>1.178188</v>
      </c>
      <c r="Q18" s="206">
        <v>0.14247199999999999</v>
      </c>
      <c r="R18" s="206">
        <v>1.235233</v>
      </c>
      <c r="S18" s="206">
        <v>2.0481310000000001</v>
      </c>
      <c r="T18" s="206">
        <v>0.60760599999999998</v>
      </c>
      <c r="U18" s="206">
        <v>0.95487699999999998</v>
      </c>
      <c r="V18" s="207"/>
    </row>
    <row r="19" spans="1:22" x14ac:dyDescent="0.2">
      <c r="A19" s="204" t="s">
        <v>969</v>
      </c>
      <c r="B19" s="205">
        <v>0.236345</v>
      </c>
      <c r="C19" s="206">
        <v>0.26141999999999999</v>
      </c>
      <c r="D19" s="206">
        <v>4.9917999999999997E-2</v>
      </c>
      <c r="E19" s="206">
        <v>0.107709</v>
      </c>
      <c r="F19" s="206">
        <v>0.66445200000000004</v>
      </c>
      <c r="G19" s="206">
        <v>0.66859400000000002</v>
      </c>
      <c r="H19" s="207">
        <v>0.237569</v>
      </c>
      <c r="I19" s="205">
        <v>0.195408</v>
      </c>
      <c r="J19" s="206">
        <v>0.61961500000000003</v>
      </c>
      <c r="K19" s="206">
        <v>0.32946300000000001</v>
      </c>
      <c r="L19" s="206">
        <v>0.87206799999999995</v>
      </c>
      <c r="M19" s="206">
        <v>0.29700199999999999</v>
      </c>
      <c r="N19" s="206">
        <v>9.4307000000000002E-2</v>
      </c>
      <c r="O19" s="207">
        <v>8.0002000000000004E-2</v>
      </c>
      <c r="P19" s="205">
        <v>0.61011899999999997</v>
      </c>
      <c r="Q19" s="206">
        <v>0.22392999999999999</v>
      </c>
      <c r="R19" s="206">
        <v>0.75114599999999998</v>
      </c>
      <c r="S19" s="206">
        <v>0.97482199999999997</v>
      </c>
      <c r="T19" s="206">
        <v>0.182724</v>
      </c>
      <c r="U19" s="206">
        <v>0.45190399999999997</v>
      </c>
      <c r="V19" s="207"/>
    </row>
    <row r="20" spans="1:22" x14ac:dyDescent="0.2">
      <c r="A20" s="204" t="s">
        <v>28</v>
      </c>
      <c r="B20" s="205">
        <v>7.3880000000000001E-2</v>
      </c>
      <c r="C20" s="206">
        <v>0.157774</v>
      </c>
      <c r="D20" s="206">
        <v>3.3278000000000002E-2</v>
      </c>
      <c r="E20" s="206">
        <v>0.12066499999999999</v>
      </c>
      <c r="F20" s="206">
        <v>0.714194</v>
      </c>
      <c r="G20" s="206">
        <v>0.84173299999999995</v>
      </c>
      <c r="H20" s="207">
        <v>0.26558199999999998</v>
      </c>
      <c r="I20" s="205">
        <v>0.10408199999999999</v>
      </c>
      <c r="J20" s="206">
        <v>0.23152700000000001</v>
      </c>
      <c r="K20" s="206">
        <v>0.21407699999999999</v>
      </c>
      <c r="L20" s="206">
        <v>0.50149200000000005</v>
      </c>
      <c r="M20" s="206">
        <v>7.5161000000000006E-2</v>
      </c>
      <c r="N20" s="206">
        <v>6.3614000000000004E-2</v>
      </c>
      <c r="O20" s="207">
        <v>3.3584999999999997E-2</v>
      </c>
      <c r="P20" s="205">
        <v>0.36734099999999997</v>
      </c>
      <c r="Q20" s="206">
        <v>8.3043000000000006E-2</v>
      </c>
      <c r="R20" s="206">
        <v>0.35091099999999997</v>
      </c>
      <c r="S20" s="206">
        <v>0.33365</v>
      </c>
      <c r="T20" s="206">
        <v>0.168266</v>
      </c>
      <c r="U20" s="206">
        <v>0.229325</v>
      </c>
      <c r="V20" s="207"/>
    </row>
    <row r="21" spans="1:22" x14ac:dyDescent="0.2">
      <c r="A21" s="204" t="s">
        <v>501</v>
      </c>
      <c r="B21" s="205">
        <v>9.8612000000000005E-2</v>
      </c>
      <c r="C21" s="206">
        <v>0.21357599999999999</v>
      </c>
      <c r="D21" s="206">
        <v>0.24964500000000001</v>
      </c>
      <c r="E21" s="206">
        <v>0.88311700000000004</v>
      </c>
      <c r="F21" s="206">
        <v>0.58121800000000001</v>
      </c>
      <c r="G21" s="206">
        <v>1.5100769999999999</v>
      </c>
      <c r="H21" s="207">
        <v>0.192385</v>
      </c>
      <c r="I21" s="205">
        <v>0.26436999999999999</v>
      </c>
      <c r="J21" s="206">
        <v>0.35819499999999999</v>
      </c>
      <c r="K21" s="206">
        <v>0.334094</v>
      </c>
      <c r="L21" s="206">
        <v>0.64846999999999999</v>
      </c>
      <c r="M21" s="206">
        <v>0.102157</v>
      </c>
      <c r="N21" s="206">
        <v>0.14129800000000001</v>
      </c>
      <c r="O21" s="207">
        <v>5.1501999999999999E-2</v>
      </c>
      <c r="P21" s="205">
        <v>0.26915699999999998</v>
      </c>
      <c r="Q21" s="206">
        <v>0.141899</v>
      </c>
      <c r="R21" s="206">
        <v>0.75812400000000002</v>
      </c>
      <c r="S21" s="206">
        <v>1.0536749999999999</v>
      </c>
      <c r="T21" s="206">
        <v>0.14124600000000001</v>
      </c>
      <c r="U21" s="206">
        <v>0.46153499999999997</v>
      </c>
      <c r="V21" s="207"/>
    </row>
    <row r="22" spans="1:22" x14ac:dyDescent="0.2">
      <c r="A22" s="204" t="s">
        <v>500</v>
      </c>
      <c r="B22" s="208">
        <v>6.1898000000000002E-2</v>
      </c>
      <c r="C22" s="209">
        <v>0.10315100000000001</v>
      </c>
      <c r="D22" s="209">
        <v>0.20862</v>
      </c>
      <c r="E22" s="209">
        <v>0.28084399999999998</v>
      </c>
      <c r="F22" s="209">
        <v>9.3685000000000004E-2</v>
      </c>
      <c r="G22" s="209">
        <v>0.130853</v>
      </c>
      <c r="H22" s="210">
        <v>0.13522700000000001</v>
      </c>
      <c r="I22" s="208">
        <v>0.10581500000000001</v>
      </c>
      <c r="J22" s="209">
        <v>0.15887999999999999</v>
      </c>
      <c r="K22" s="209">
        <v>0.156606</v>
      </c>
      <c r="L22" s="209">
        <v>0.28381899999999999</v>
      </c>
      <c r="M22" s="209">
        <v>0.35392200000000001</v>
      </c>
      <c r="N22" s="209">
        <v>0.13176599999999999</v>
      </c>
      <c r="O22" s="210">
        <v>7.2502999999999998E-2</v>
      </c>
      <c r="P22" s="208">
        <v>2.5489999999999999E-2</v>
      </c>
      <c r="Q22" s="209">
        <v>6.0582999999999998E-2</v>
      </c>
      <c r="R22" s="209">
        <v>0.20811299999999999</v>
      </c>
      <c r="S22" s="209">
        <v>0.16162899999999999</v>
      </c>
      <c r="T22" s="209">
        <v>9.2426999999999995E-2</v>
      </c>
      <c r="U22" s="209">
        <v>0.1069</v>
      </c>
      <c r="V22" s="210"/>
    </row>
    <row r="24" spans="1:22" x14ac:dyDescent="0.2">
      <c r="A24" s="231" t="s">
        <v>1109</v>
      </c>
      <c r="D24" s="309" t="s">
        <v>8</v>
      </c>
      <c r="E24" s="310"/>
      <c r="F24" s="310"/>
      <c r="G24" s="310"/>
      <c r="H24" s="310"/>
      <c r="I24" s="311"/>
    </row>
    <row r="25" spans="1:22" x14ac:dyDescent="0.2">
      <c r="A25" s="203"/>
      <c r="B25" s="302" t="s">
        <v>7</v>
      </c>
      <c r="C25" s="303"/>
      <c r="D25" s="302" t="s">
        <v>961</v>
      </c>
      <c r="E25" s="303"/>
      <c r="F25" s="302" t="s">
        <v>962</v>
      </c>
      <c r="G25" s="303"/>
      <c r="H25" s="302" t="s">
        <v>963</v>
      </c>
      <c r="I25" s="303"/>
    </row>
    <row r="26" spans="1:22" x14ac:dyDescent="0.2">
      <c r="A26" s="204" t="s">
        <v>11</v>
      </c>
      <c r="B26" s="205">
        <v>0</v>
      </c>
      <c r="C26" s="207">
        <v>0</v>
      </c>
      <c r="D26" s="205">
        <v>97.551040799999996</v>
      </c>
      <c r="E26" s="207">
        <v>96.228448299999997</v>
      </c>
      <c r="F26" s="205">
        <v>48.601844200000002</v>
      </c>
      <c r="G26" s="207">
        <v>0.42333744000000001</v>
      </c>
      <c r="H26" s="205">
        <v>86.913061900000002</v>
      </c>
      <c r="I26" s="207">
        <v>47.606219199999998</v>
      </c>
    </row>
    <row r="27" spans="1:22" x14ac:dyDescent="0.2">
      <c r="A27" s="204" t="s">
        <v>12</v>
      </c>
      <c r="B27" s="205">
        <v>0</v>
      </c>
      <c r="C27" s="207">
        <v>0</v>
      </c>
      <c r="D27" s="205">
        <v>45.0539451</v>
      </c>
      <c r="E27" s="207">
        <v>75.432624099999998</v>
      </c>
      <c r="F27" s="205">
        <v>31.736643699999998</v>
      </c>
      <c r="G27" s="207">
        <v>0</v>
      </c>
      <c r="H27" s="205">
        <v>88.743013099999999</v>
      </c>
      <c r="I27" s="207">
        <v>60.992907799999998</v>
      </c>
    </row>
    <row r="28" spans="1:22" x14ac:dyDescent="0.2">
      <c r="A28" s="204" t="s">
        <v>1108</v>
      </c>
      <c r="B28" s="205"/>
      <c r="C28" s="207">
        <v>0</v>
      </c>
      <c r="D28" s="205"/>
      <c r="E28" s="207">
        <v>95.275055899999998</v>
      </c>
      <c r="F28" s="205"/>
      <c r="G28" s="207">
        <v>85.4820761</v>
      </c>
      <c r="H28" s="205"/>
      <c r="I28" s="207">
        <v>167.86507700000001</v>
      </c>
    </row>
    <row r="29" spans="1:22" x14ac:dyDescent="0.2">
      <c r="A29" s="204" t="s">
        <v>13</v>
      </c>
      <c r="B29" s="205">
        <v>0</v>
      </c>
      <c r="C29" s="207">
        <v>0</v>
      </c>
      <c r="D29" s="205">
        <v>46.623093699999998</v>
      </c>
      <c r="E29" s="207">
        <v>31.4205738</v>
      </c>
      <c r="F29" s="205">
        <v>6.8627450999999997</v>
      </c>
      <c r="G29" s="207">
        <v>0</v>
      </c>
      <c r="H29" s="205">
        <v>28.703703699999998</v>
      </c>
      <c r="I29" s="207">
        <v>0</v>
      </c>
    </row>
    <row r="30" spans="1:22" x14ac:dyDescent="0.2">
      <c r="A30" s="204" t="s">
        <v>14</v>
      </c>
      <c r="B30" s="205">
        <v>0</v>
      </c>
      <c r="C30" s="207">
        <v>0</v>
      </c>
      <c r="D30" s="205">
        <v>96.060244499999996</v>
      </c>
      <c r="E30" s="207">
        <v>97.739021199999996</v>
      </c>
      <c r="F30" s="205">
        <v>60.044136600000002</v>
      </c>
      <c r="G30" s="207">
        <v>37.716370300000001</v>
      </c>
      <c r="H30" s="205">
        <v>35.576628399999997</v>
      </c>
      <c r="I30" s="207">
        <v>-1.8946769999999999</v>
      </c>
    </row>
    <row r="31" spans="1:22" x14ac:dyDescent="0.2">
      <c r="A31" s="204" t="s">
        <v>15</v>
      </c>
      <c r="B31" s="208">
        <v>0</v>
      </c>
      <c r="C31" s="210">
        <v>0</v>
      </c>
      <c r="D31" s="208">
        <v>85.772657899999999</v>
      </c>
      <c r="E31" s="210">
        <v>74.069089300000002</v>
      </c>
      <c r="F31" s="208">
        <v>16.930044800000001</v>
      </c>
      <c r="G31" s="210">
        <v>0</v>
      </c>
      <c r="H31" s="208">
        <v>85.029291599999993</v>
      </c>
      <c r="I31" s="210">
        <v>0</v>
      </c>
    </row>
    <row r="32" spans="1:22" x14ac:dyDescent="0.2">
      <c r="A32" s="204"/>
      <c r="B32" s="206"/>
      <c r="C32" s="206"/>
      <c r="D32" s="206"/>
      <c r="E32" s="206"/>
      <c r="F32" s="206"/>
      <c r="G32" s="206"/>
      <c r="H32" s="206"/>
      <c r="I32" s="206"/>
    </row>
    <row r="33" spans="1:9" x14ac:dyDescent="0.2">
      <c r="D33" s="320" t="s">
        <v>381</v>
      </c>
      <c r="E33" s="321"/>
      <c r="F33" s="321"/>
      <c r="G33" s="321"/>
      <c r="H33" s="321"/>
      <c r="I33" s="322"/>
    </row>
    <row r="34" spans="1:9" x14ac:dyDescent="0.2">
      <c r="A34" s="203"/>
      <c r="B34" s="302" t="s">
        <v>7</v>
      </c>
      <c r="C34" s="303"/>
      <c r="D34" s="307" t="s">
        <v>961</v>
      </c>
      <c r="E34" s="307"/>
      <c r="F34" s="302" t="s">
        <v>962</v>
      </c>
      <c r="G34" s="303"/>
      <c r="H34" s="302" t="s">
        <v>963</v>
      </c>
      <c r="I34" s="303"/>
    </row>
    <row r="35" spans="1:9" x14ac:dyDescent="0.2">
      <c r="A35" s="204" t="s">
        <v>11</v>
      </c>
      <c r="B35" s="205">
        <v>0</v>
      </c>
      <c r="C35" s="207">
        <v>0</v>
      </c>
      <c r="D35" s="206">
        <v>0</v>
      </c>
      <c r="E35" s="206">
        <v>0</v>
      </c>
      <c r="F35" s="205">
        <v>0</v>
      </c>
      <c r="G35" s="207">
        <v>0</v>
      </c>
      <c r="H35" s="205">
        <v>0</v>
      </c>
      <c r="I35" s="207">
        <v>0</v>
      </c>
    </row>
    <row r="36" spans="1:9" x14ac:dyDescent="0.2">
      <c r="A36" s="204" t="s">
        <v>12</v>
      </c>
      <c r="B36" s="205">
        <v>0</v>
      </c>
      <c r="C36" s="207">
        <v>0</v>
      </c>
      <c r="D36" s="206">
        <v>0</v>
      </c>
      <c r="E36" s="206">
        <v>0</v>
      </c>
      <c r="F36" s="205">
        <v>0</v>
      </c>
      <c r="G36" s="207">
        <v>0</v>
      </c>
      <c r="H36" s="205">
        <v>0</v>
      </c>
      <c r="I36" s="207">
        <v>0</v>
      </c>
    </row>
    <row r="37" spans="1:9" x14ac:dyDescent="0.2">
      <c r="A37" s="204" t="s">
        <v>1108</v>
      </c>
      <c r="B37" s="20"/>
      <c r="C37" s="207">
        <v>0</v>
      </c>
      <c r="D37" s="21"/>
      <c r="E37" s="206">
        <v>99.208453800000001</v>
      </c>
      <c r="F37" s="20"/>
      <c r="G37" s="207">
        <v>58.261937799999998</v>
      </c>
      <c r="H37" s="20"/>
      <c r="I37" s="207">
        <v>60.260880299999997</v>
      </c>
    </row>
    <row r="38" spans="1:9" x14ac:dyDescent="0.2">
      <c r="A38" s="204" t="s">
        <v>13</v>
      </c>
      <c r="B38" s="205">
        <v>0</v>
      </c>
      <c r="C38" s="207">
        <v>0</v>
      </c>
      <c r="D38" s="206">
        <v>48.257655800000002</v>
      </c>
      <c r="E38" s="206">
        <v>14.708442099999999</v>
      </c>
      <c r="F38" s="205">
        <v>43.400211200000001</v>
      </c>
      <c r="G38" s="207">
        <v>0</v>
      </c>
      <c r="H38" s="205">
        <v>4.11826822</v>
      </c>
      <c r="I38" s="207">
        <v>0</v>
      </c>
    </row>
    <row r="39" spans="1:9" x14ac:dyDescent="0.2">
      <c r="A39" s="204" t="s">
        <v>14</v>
      </c>
      <c r="B39" s="205">
        <v>0</v>
      </c>
      <c r="C39" s="207">
        <v>0</v>
      </c>
      <c r="D39" s="206">
        <v>86.0980031</v>
      </c>
      <c r="E39" s="206">
        <v>0</v>
      </c>
      <c r="F39" s="205">
        <v>99.741068200000001</v>
      </c>
      <c r="G39" s="207">
        <v>0</v>
      </c>
      <c r="H39" s="205">
        <v>31.927351099999999</v>
      </c>
      <c r="I39" s="207">
        <v>0</v>
      </c>
    </row>
    <row r="40" spans="1:9" x14ac:dyDescent="0.2">
      <c r="A40" s="204" t="s">
        <v>15</v>
      </c>
      <c r="B40" s="208">
        <v>0</v>
      </c>
      <c r="C40" s="210">
        <v>0</v>
      </c>
      <c r="D40" s="209">
        <v>92.219051199999996</v>
      </c>
      <c r="E40" s="209">
        <v>0</v>
      </c>
      <c r="F40" s="208">
        <v>75.380970300000001</v>
      </c>
      <c r="G40" s="210">
        <v>0</v>
      </c>
      <c r="H40" s="208">
        <v>12.0160465</v>
      </c>
      <c r="I40" s="210">
        <v>0</v>
      </c>
    </row>
    <row r="42" spans="1:9" x14ac:dyDescent="0.2">
      <c r="A42" s="231" t="s">
        <v>1110</v>
      </c>
    </row>
  </sheetData>
  <mergeCells count="22">
    <mergeCell ref="B34:C34"/>
    <mergeCell ref="D34:E34"/>
    <mergeCell ref="F34:G34"/>
    <mergeCell ref="H34:I34"/>
    <mergeCell ref="D33:I33"/>
    <mergeCell ref="B25:C25"/>
    <mergeCell ref="D25:E25"/>
    <mergeCell ref="F25:G25"/>
    <mergeCell ref="H25:I25"/>
    <mergeCell ref="D24:I24"/>
    <mergeCell ref="B11:H11"/>
    <mergeCell ref="I11:O11"/>
    <mergeCell ref="P11:V11"/>
    <mergeCell ref="B16:H16"/>
    <mergeCell ref="I16:O16"/>
    <mergeCell ref="P16:V16"/>
    <mergeCell ref="B2:H2"/>
    <mergeCell ref="I2:O2"/>
    <mergeCell ref="P2:U2"/>
    <mergeCell ref="B6:H6"/>
    <mergeCell ref="I6:O6"/>
    <mergeCell ref="P6:V6"/>
  </mergeCells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48989B-9CFD-1A4F-8D42-25149F11BE7B}">
  <dimension ref="A2:AH8"/>
  <sheetViews>
    <sheetView zoomScale="57" zoomScaleNormal="57" workbookViewId="0">
      <selection activeCell="I28" sqref="I28"/>
    </sheetView>
  </sheetViews>
  <sheetFormatPr baseColWidth="10" defaultRowHeight="16" x14ac:dyDescent="0.2"/>
  <sheetData>
    <row r="2" spans="1:34" x14ac:dyDescent="0.2">
      <c r="A2" s="203"/>
      <c r="B2" s="308" t="s">
        <v>1248</v>
      </c>
      <c r="C2" s="307"/>
      <c r="D2" s="307"/>
      <c r="E2" s="307"/>
      <c r="F2" s="307"/>
      <c r="G2" s="307"/>
      <c r="H2" s="307"/>
      <c r="I2" s="307"/>
      <c r="J2" s="302" t="s">
        <v>970</v>
      </c>
      <c r="K2" s="307"/>
      <c r="L2" s="307"/>
      <c r="M2" s="307"/>
      <c r="N2" s="307"/>
      <c r="O2" s="307"/>
      <c r="P2" s="307"/>
      <c r="Q2" s="307"/>
      <c r="R2" s="307"/>
      <c r="S2" s="302" t="s">
        <v>8</v>
      </c>
      <c r="T2" s="307"/>
      <c r="U2" s="307"/>
      <c r="V2" s="307"/>
      <c r="W2" s="307"/>
      <c r="X2" s="307"/>
      <c r="Y2" s="307"/>
      <c r="Z2" s="307"/>
      <c r="AA2" s="302" t="s">
        <v>971</v>
      </c>
      <c r="AB2" s="307"/>
      <c r="AC2" s="307"/>
      <c r="AD2" s="307"/>
      <c r="AE2" s="307"/>
      <c r="AF2" s="307"/>
      <c r="AG2" s="307"/>
      <c r="AH2" s="303"/>
    </row>
    <row r="3" spans="1:34" x14ac:dyDescent="0.2">
      <c r="A3" s="211">
        <v>0</v>
      </c>
      <c r="B3" s="205">
        <v>18.8538</v>
      </c>
      <c r="C3" s="206">
        <v>14.937726</v>
      </c>
      <c r="D3" s="206">
        <v>11.491218</v>
      </c>
      <c r="E3" s="206">
        <v>14.865048</v>
      </c>
      <c r="F3" s="206">
        <v>8.5161119999999997</v>
      </c>
      <c r="G3" s="206">
        <v>10.789199999999999</v>
      </c>
      <c r="H3" s="206">
        <v>17.502891999999999</v>
      </c>
      <c r="I3" s="206"/>
      <c r="J3" s="205">
        <v>14.339516</v>
      </c>
      <c r="K3" s="206">
        <v>15.011850000000001</v>
      </c>
      <c r="L3" s="206">
        <v>12.264975</v>
      </c>
      <c r="M3" s="206">
        <v>9.1565565000000007</v>
      </c>
      <c r="N3" s="206">
        <v>19.625</v>
      </c>
      <c r="O3" s="206">
        <v>4.8</v>
      </c>
      <c r="P3" s="206">
        <v>16.946149999999999</v>
      </c>
      <c r="Q3" s="206">
        <v>10.511875</v>
      </c>
      <c r="R3" s="206"/>
      <c r="S3" s="205">
        <v>13.130656</v>
      </c>
      <c r="T3" s="206">
        <v>4.84</v>
      </c>
      <c r="U3" s="206">
        <v>16.495083000000001</v>
      </c>
      <c r="V3" s="206">
        <v>10.3640145</v>
      </c>
      <c r="W3" s="206">
        <v>19.707408000000001</v>
      </c>
      <c r="X3" s="206">
        <v>15.15888</v>
      </c>
      <c r="Y3" s="206">
        <v>9.3242589999999996</v>
      </c>
      <c r="Z3" s="206"/>
      <c r="AA3" s="205">
        <v>20.226095999999998</v>
      </c>
      <c r="AB3" s="206">
        <v>13.095053999999999</v>
      </c>
      <c r="AC3" s="206">
        <v>19.850832</v>
      </c>
      <c r="AD3" s="206">
        <v>12.890748500000001</v>
      </c>
      <c r="AE3" s="206">
        <v>10.139799999999999</v>
      </c>
      <c r="AF3" s="206">
        <v>16.44257</v>
      </c>
      <c r="AG3" s="206">
        <v>5.5902000000000003</v>
      </c>
      <c r="AH3" s="207"/>
    </row>
    <row r="4" spans="1:34" x14ac:dyDescent="0.2">
      <c r="A4" s="212">
        <v>3</v>
      </c>
      <c r="B4" s="205">
        <v>21.680304</v>
      </c>
      <c r="C4" s="206">
        <v>25.762022000000002</v>
      </c>
      <c r="D4" s="206">
        <v>10.5740765</v>
      </c>
      <c r="E4" s="206">
        <v>30.541968000000001</v>
      </c>
      <c r="F4" s="206">
        <v>25.063199999999998</v>
      </c>
      <c r="G4" s="206">
        <v>25.915583999999999</v>
      </c>
      <c r="H4" s="206">
        <v>63.091577999999998</v>
      </c>
      <c r="I4" s="206"/>
      <c r="J4" s="205">
        <v>53.534799999999997</v>
      </c>
      <c r="K4" s="206">
        <v>162.47017600000001</v>
      </c>
      <c r="L4" s="206">
        <v>24.395579999999999</v>
      </c>
      <c r="M4" s="206">
        <v>14.925184</v>
      </c>
      <c r="N4" s="206">
        <v>23.213750000000001</v>
      </c>
      <c r="O4" s="206">
        <v>4</v>
      </c>
      <c r="P4" s="206">
        <v>20.333376000000001</v>
      </c>
      <c r="Q4" s="206">
        <v>9.8035920000000001</v>
      </c>
      <c r="R4" s="206"/>
      <c r="S4" s="205">
        <v>61.173964499999997</v>
      </c>
      <c r="T4" s="206">
        <v>6</v>
      </c>
      <c r="U4" s="206">
        <v>26.995063999999999</v>
      </c>
      <c r="V4" s="206">
        <v>16.754688000000002</v>
      </c>
      <c r="W4" s="206">
        <v>23.8645125</v>
      </c>
      <c r="X4" s="206">
        <v>42.0268345</v>
      </c>
      <c r="Y4" s="206">
        <v>7.9614500000000001</v>
      </c>
      <c r="Z4" s="206"/>
      <c r="AA4" s="205">
        <v>100.424398</v>
      </c>
      <c r="AB4" s="206">
        <v>16.4754</v>
      </c>
      <c r="AC4" s="206">
        <v>34.268298999999999</v>
      </c>
      <c r="AD4" s="206">
        <v>25.455001500000002</v>
      </c>
      <c r="AE4" s="206">
        <v>27.588604499999999</v>
      </c>
      <c r="AF4" s="206">
        <v>29.202407999999998</v>
      </c>
      <c r="AG4" s="206">
        <v>37.043371</v>
      </c>
      <c r="AH4" s="207"/>
    </row>
    <row r="5" spans="1:34" x14ac:dyDescent="0.2">
      <c r="A5" s="212">
        <v>6</v>
      </c>
      <c r="B5" s="205">
        <v>106.98916800000001</v>
      </c>
      <c r="C5" s="206">
        <v>70.979568</v>
      </c>
      <c r="D5" s="206">
        <v>13.5</v>
      </c>
      <c r="E5" s="206">
        <v>42.247799999999998</v>
      </c>
      <c r="F5" s="206">
        <v>256.33389599999998</v>
      </c>
      <c r="G5" s="206">
        <v>84.606281999999993</v>
      </c>
      <c r="H5" s="206">
        <v>10.871572499999999</v>
      </c>
      <c r="I5" s="206"/>
      <c r="J5" s="205">
        <v>167.62833000000001</v>
      </c>
      <c r="K5" s="206">
        <v>450.46375</v>
      </c>
      <c r="L5" s="206">
        <v>84.246932000000001</v>
      </c>
      <c r="M5" s="206">
        <v>55.5575355</v>
      </c>
      <c r="N5" s="206">
        <v>29.320427500000001</v>
      </c>
      <c r="O5" s="206">
        <v>231.449871</v>
      </c>
      <c r="P5" s="206">
        <v>114.60341200000001</v>
      </c>
      <c r="Q5" s="206">
        <v>23.005438000000002</v>
      </c>
      <c r="R5" s="206"/>
      <c r="S5" s="205">
        <v>164.33703</v>
      </c>
      <c r="T5" s="206">
        <v>13.5</v>
      </c>
      <c r="U5" s="206">
        <v>78.553124999999994</v>
      </c>
      <c r="V5" s="206">
        <v>91.095997999999994</v>
      </c>
      <c r="W5" s="206">
        <v>26.092500000000001</v>
      </c>
      <c r="X5" s="206">
        <v>92.605185500000005</v>
      </c>
      <c r="Y5" s="206">
        <v>8.0075920000000007</v>
      </c>
      <c r="Z5" s="206"/>
      <c r="AA5" s="205">
        <v>273.20748700000001</v>
      </c>
      <c r="AB5" s="206">
        <v>9.9858180000000001</v>
      </c>
      <c r="AC5" s="206">
        <v>116.428274</v>
      </c>
      <c r="AD5" s="206">
        <v>104.544</v>
      </c>
      <c r="AE5" s="206">
        <v>41.301184499999998</v>
      </c>
      <c r="AF5" s="206">
        <v>153.26439999999999</v>
      </c>
      <c r="AG5" s="206">
        <v>102.277376</v>
      </c>
      <c r="AH5" s="207"/>
    </row>
    <row r="6" spans="1:34" x14ac:dyDescent="0.2">
      <c r="A6" s="212">
        <v>9</v>
      </c>
      <c r="B6" s="205">
        <v>96.119050999999999</v>
      </c>
      <c r="C6" s="206">
        <v>97.005320999999995</v>
      </c>
      <c r="D6" s="206">
        <v>30.159661499999999</v>
      </c>
      <c r="E6" s="206">
        <v>193.66359</v>
      </c>
      <c r="F6" s="206">
        <v>564.72179400000005</v>
      </c>
      <c r="G6" s="206">
        <v>183.53830400000001</v>
      </c>
      <c r="H6" s="206">
        <v>31.408650000000002</v>
      </c>
      <c r="I6" s="206"/>
      <c r="J6" s="205">
        <v>896.76125000000002</v>
      </c>
      <c r="K6" s="206">
        <v>810.37038800000005</v>
      </c>
      <c r="L6" s="206">
        <v>130.06249700000001</v>
      </c>
      <c r="M6" s="206">
        <v>139.30883800000001</v>
      </c>
      <c r="N6" s="206">
        <v>110.30579299999999</v>
      </c>
      <c r="O6" s="206">
        <v>426.14590600000002</v>
      </c>
      <c r="P6" s="206">
        <v>254.945482</v>
      </c>
      <c r="Q6" s="206">
        <v>50.424480000000003</v>
      </c>
      <c r="R6" s="206"/>
      <c r="S6" s="205">
        <v>273.82924800000001</v>
      </c>
      <c r="T6" s="206">
        <v>33.929011000000003</v>
      </c>
      <c r="U6" s="206">
        <v>83.471103999999997</v>
      </c>
      <c r="V6" s="206">
        <v>195.72206499999999</v>
      </c>
      <c r="W6" s="206">
        <v>21.56</v>
      </c>
      <c r="X6" s="206">
        <v>174.79841500000001</v>
      </c>
      <c r="Y6" s="206">
        <v>29.843509000000001</v>
      </c>
      <c r="Z6" s="206"/>
      <c r="AA6" s="205">
        <v>396.21555000000001</v>
      </c>
      <c r="AB6" s="206">
        <v>4</v>
      </c>
      <c r="AC6" s="206">
        <v>203.32436100000001</v>
      </c>
      <c r="AD6" s="206">
        <v>201.17979</v>
      </c>
      <c r="AE6" s="206">
        <v>64.830144000000004</v>
      </c>
      <c r="AF6" s="206">
        <v>255.62711899999999</v>
      </c>
      <c r="AG6" s="206">
        <v>326.58120700000001</v>
      </c>
      <c r="AH6" s="207"/>
    </row>
    <row r="7" spans="1:34" x14ac:dyDescent="0.2">
      <c r="A7" s="212">
        <v>11</v>
      </c>
      <c r="B7" s="205">
        <v>209.41184999999999</v>
      </c>
      <c r="C7" s="206">
        <v>195.36880400000001</v>
      </c>
      <c r="D7" s="206">
        <v>44.635761000000002</v>
      </c>
      <c r="E7" s="206">
        <v>299.71187500000002</v>
      </c>
      <c r="F7" s="206">
        <v>1000</v>
      </c>
      <c r="G7" s="206">
        <v>391.45920000000001</v>
      </c>
      <c r="H7" s="206">
        <v>51.2072</v>
      </c>
      <c r="I7" s="206"/>
      <c r="J7" s="205">
        <v>1000</v>
      </c>
      <c r="K7" s="206">
        <v>1000</v>
      </c>
      <c r="L7" s="206">
        <v>233.353238</v>
      </c>
      <c r="M7" s="206">
        <v>237.79064500000001</v>
      </c>
      <c r="N7" s="206">
        <v>193.918374</v>
      </c>
      <c r="O7" s="206">
        <v>807.96384</v>
      </c>
      <c r="P7" s="206">
        <v>375.38133800000003</v>
      </c>
      <c r="Q7" s="206">
        <v>186.98240000000001</v>
      </c>
      <c r="R7" s="206"/>
      <c r="S7" s="205">
        <v>411.18892699999998</v>
      </c>
      <c r="T7" s="206">
        <v>79.211160000000007</v>
      </c>
      <c r="U7" s="206">
        <v>167.228567</v>
      </c>
      <c r="V7" s="206">
        <v>358.63978200000003</v>
      </c>
      <c r="W7" s="206">
        <v>38.994242499999999</v>
      </c>
      <c r="X7" s="206">
        <v>557.25696000000005</v>
      </c>
      <c r="Y7" s="206">
        <v>64.686599999999999</v>
      </c>
      <c r="Z7" s="206"/>
      <c r="AA7" s="205">
        <v>287.77262400000001</v>
      </c>
      <c r="AB7" s="206">
        <v>4</v>
      </c>
      <c r="AC7" s="206">
        <v>421.83840199999997</v>
      </c>
      <c r="AD7" s="206">
        <v>205.41351299999999</v>
      </c>
      <c r="AE7" s="206">
        <v>123.03770400000001</v>
      </c>
      <c r="AF7" s="206">
        <v>433.06528100000003</v>
      </c>
      <c r="AG7" s="206">
        <v>516.44066999999995</v>
      </c>
      <c r="AH7" s="207"/>
    </row>
    <row r="8" spans="1:34" x14ac:dyDescent="0.2">
      <c r="A8" s="213">
        <v>14</v>
      </c>
      <c r="B8" s="208">
        <v>878.00413000000003</v>
      </c>
      <c r="C8" s="209">
        <v>476.83859000000001</v>
      </c>
      <c r="D8" s="209">
        <v>160.709563</v>
      </c>
      <c r="E8" s="209">
        <v>1000</v>
      </c>
      <c r="F8" s="209">
        <v>1000</v>
      </c>
      <c r="G8" s="209">
        <v>969.80386599999997</v>
      </c>
      <c r="H8" s="209">
        <v>1000</v>
      </c>
      <c r="I8" s="209"/>
      <c r="J8" s="208">
        <v>1000</v>
      </c>
      <c r="K8" s="209">
        <v>1000</v>
      </c>
      <c r="L8" s="209">
        <v>573.04618900000003</v>
      </c>
      <c r="M8" s="209">
        <v>935.62874999999997</v>
      </c>
      <c r="N8" s="209">
        <v>723.46624999999995</v>
      </c>
      <c r="O8" s="209">
        <v>237.65625</v>
      </c>
      <c r="P8" s="209">
        <v>368.31819200000001</v>
      </c>
      <c r="Q8" s="209">
        <v>452.88262300000002</v>
      </c>
      <c r="R8" s="209"/>
      <c r="S8" s="208">
        <v>470.41272099999998</v>
      </c>
      <c r="T8" s="209">
        <v>125.924072</v>
      </c>
      <c r="U8" s="209">
        <v>204.40526600000001</v>
      </c>
      <c r="V8" s="209">
        <v>498.20654999999999</v>
      </c>
      <c r="W8" s="209">
        <v>106.90178400000001</v>
      </c>
      <c r="X8" s="209">
        <v>696.197138</v>
      </c>
      <c r="Y8" s="209">
        <v>106.621207</v>
      </c>
      <c r="Z8" s="209"/>
      <c r="AA8" s="208">
        <v>872.04778699999997</v>
      </c>
      <c r="AB8" s="209">
        <v>4</v>
      </c>
      <c r="AC8" s="209">
        <v>1000</v>
      </c>
      <c r="AD8" s="209">
        <v>513.87577799999997</v>
      </c>
      <c r="AE8" s="209">
        <v>318.19258300000001</v>
      </c>
      <c r="AF8" s="209">
        <v>1000</v>
      </c>
      <c r="AG8" s="209">
        <v>878.071327</v>
      </c>
      <c r="AH8" s="210"/>
    </row>
  </sheetData>
  <mergeCells count="4">
    <mergeCell ref="B2:I2"/>
    <mergeCell ref="J2:R2"/>
    <mergeCell ref="S2:Z2"/>
    <mergeCell ref="AA2:AH2"/>
  </mergeCells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76C23-626E-D244-A193-E57ABA0D30C0}">
  <sheetPr codeName="Sheet36"/>
  <dimension ref="A2:AO73"/>
  <sheetViews>
    <sheetView zoomScale="63" zoomScaleNormal="63" workbookViewId="0">
      <selection activeCell="W52" sqref="W52"/>
    </sheetView>
  </sheetViews>
  <sheetFormatPr baseColWidth="10" defaultRowHeight="16" x14ac:dyDescent="0.2"/>
  <sheetData>
    <row r="2" spans="1:41" x14ac:dyDescent="0.2">
      <c r="A2" s="123" t="s">
        <v>375</v>
      </c>
      <c r="B2" s="308" t="s">
        <v>376</v>
      </c>
      <c r="C2" s="318"/>
      <c r="D2" s="318"/>
      <c r="E2" s="318"/>
      <c r="F2" s="318"/>
      <c r="G2" s="318"/>
      <c r="H2" s="318"/>
      <c r="I2" s="318"/>
      <c r="J2" s="318"/>
      <c r="K2" s="319"/>
      <c r="L2" s="308" t="s">
        <v>377</v>
      </c>
      <c r="M2" s="318"/>
      <c r="N2" s="318"/>
      <c r="O2" s="318"/>
      <c r="P2" s="318"/>
      <c r="Q2" s="318"/>
      <c r="R2" s="318"/>
      <c r="S2" s="318"/>
      <c r="T2" s="318"/>
      <c r="U2" s="319"/>
      <c r="V2" s="308" t="s">
        <v>378</v>
      </c>
      <c r="W2" s="318"/>
      <c r="X2" s="318"/>
      <c r="Y2" s="318"/>
      <c r="Z2" s="318"/>
      <c r="AA2" s="318"/>
      <c r="AB2" s="318"/>
      <c r="AC2" s="318"/>
      <c r="AD2" s="318"/>
      <c r="AE2" s="319"/>
      <c r="AF2" s="308" t="s">
        <v>379</v>
      </c>
      <c r="AG2" s="318"/>
      <c r="AH2" s="318"/>
      <c r="AI2" s="318"/>
      <c r="AJ2" s="318"/>
      <c r="AK2" s="318"/>
      <c r="AL2" s="318"/>
      <c r="AM2" s="318"/>
      <c r="AN2" s="318"/>
      <c r="AO2" s="319"/>
    </row>
    <row r="3" spans="1:41" x14ac:dyDescent="0.2">
      <c r="A3" s="130">
        <v>0</v>
      </c>
      <c r="B3" s="124">
        <v>18.899999999999999</v>
      </c>
      <c r="C3" s="125">
        <v>4</v>
      </c>
      <c r="D3" s="125">
        <v>7.4</v>
      </c>
      <c r="E3" s="125">
        <v>14</v>
      </c>
      <c r="F3" s="125">
        <v>12.4</v>
      </c>
      <c r="G3" s="125">
        <v>7.9</v>
      </c>
      <c r="H3" s="125">
        <v>17.2</v>
      </c>
      <c r="I3" s="125">
        <v>9.6</v>
      </c>
      <c r="J3" s="125">
        <v>38.799999999999997</v>
      </c>
      <c r="K3" s="126">
        <v>9.3000000000000007</v>
      </c>
      <c r="L3" s="124">
        <v>20.9</v>
      </c>
      <c r="M3" s="125">
        <v>8</v>
      </c>
      <c r="N3" s="125">
        <v>5.9</v>
      </c>
      <c r="O3" s="125">
        <v>32.4</v>
      </c>
      <c r="P3" s="125">
        <v>5.2</v>
      </c>
      <c r="Q3" s="125">
        <v>11.9</v>
      </c>
      <c r="R3" s="125">
        <v>16.600000000000001</v>
      </c>
      <c r="S3" s="125">
        <v>11.1</v>
      </c>
      <c r="T3" s="125">
        <v>12.6</v>
      </c>
      <c r="U3" s="126">
        <v>9.1</v>
      </c>
      <c r="V3" s="124">
        <v>9.6</v>
      </c>
      <c r="W3" s="125">
        <v>4</v>
      </c>
      <c r="X3" s="125">
        <v>37.1</v>
      </c>
      <c r="Y3" s="125">
        <v>6.9</v>
      </c>
      <c r="Z3" s="125">
        <v>16.899999999999999</v>
      </c>
      <c r="AA3" s="125">
        <v>12.9</v>
      </c>
      <c r="AB3" s="125">
        <v>21.9</v>
      </c>
      <c r="AC3" s="125">
        <v>7.9</v>
      </c>
      <c r="AD3" s="125">
        <v>12</v>
      </c>
      <c r="AE3" s="126">
        <v>9.1999999999999993</v>
      </c>
      <c r="AF3" s="124">
        <v>10.199999999999999</v>
      </c>
      <c r="AG3" s="125">
        <v>25</v>
      </c>
      <c r="AH3" s="125">
        <v>10.7</v>
      </c>
      <c r="AI3" s="125">
        <v>19.399999999999999</v>
      </c>
      <c r="AJ3" s="125">
        <v>15.4</v>
      </c>
      <c r="AK3" s="125">
        <v>6.9</v>
      </c>
      <c r="AL3" s="125">
        <v>8.8000000000000007</v>
      </c>
      <c r="AM3" s="125">
        <v>15.5</v>
      </c>
      <c r="AN3" s="125">
        <v>8.1999999999999993</v>
      </c>
      <c r="AO3" s="126">
        <v>5.7</v>
      </c>
    </row>
    <row r="4" spans="1:41" x14ac:dyDescent="0.2">
      <c r="A4" s="131">
        <v>3</v>
      </c>
      <c r="B4" s="124">
        <v>20.350597499999999</v>
      </c>
      <c r="C4" s="125">
        <v>4</v>
      </c>
      <c r="D4" s="125">
        <v>9.1648925000000006</v>
      </c>
      <c r="E4" s="125">
        <v>3.411772</v>
      </c>
      <c r="F4" s="125">
        <v>21.989232000000001</v>
      </c>
      <c r="G4" s="125">
        <v>2.0178885000000002</v>
      </c>
      <c r="H4" s="125">
        <v>55.918784000000002</v>
      </c>
      <c r="I4" s="125">
        <v>12.965400000000001</v>
      </c>
      <c r="J4" s="125">
        <v>61.315072000000001</v>
      </c>
      <c r="K4" s="126">
        <v>11.7596875</v>
      </c>
      <c r="L4" s="124">
        <v>66.909559999999999</v>
      </c>
      <c r="M4" s="125">
        <v>17.574438000000001</v>
      </c>
      <c r="N4" s="125">
        <v>4.9985099999999996</v>
      </c>
      <c r="O4" s="125">
        <v>78.987105999999997</v>
      </c>
      <c r="P4" s="125">
        <v>13.798400000000001</v>
      </c>
      <c r="Q4" s="125">
        <v>5.08</v>
      </c>
      <c r="R4" s="125">
        <v>18.927546</v>
      </c>
      <c r="S4" s="125">
        <v>24.438749999999999</v>
      </c>
      <c r="T4" s="125">
        <v>34.122348500000001</v>
      </c>
      <c r="U4" s="126">
        <v>8.6412150000000008</v>
      </c>
      <c r="V4" s="124">
        <v>4.8788320000000001</v>
      </c>
      <c r="W4" s="125">
        <v>2.89</v>
      </c>
      <c r="X4" s="125">
        <v>97.445830000000001</v>
      </c>
      <c r="Y4" s="125">
        <v>3.7545540000000002</v>
      </c>
      <c r="Z4" s="125">
        <v>4.9753600000000002</v>
      </c>
      <c r="AA4" s="125">
        <v>20.162882</v>
      </c>
      <c r="AB4" s="125">
        <v>22.888656000000001</v>
      </c>
      <c r="AC4" s="125">
        <v>5.1559739999999996</v>
      </c>
      <c r="AD4" s="125">
        <v>4</v>
      </c>
      <c r="AE4" s="126">
        <v>9.0894755000000007</v>
      </c>
      <c r="AF4" s="124">
        <v>25.334607999999999</v>
      </c>
      <c r="AG4" s="125">
        <v>86.5107</v>
      </c>
      <c r="AH4" s="125">
        <v>2.7399779999999998</v>
      </c>
      <c r="AI4" s="125">
        <v>31.650686</v>
      </c>
      <c r="AJ4" s="125">
        <v>9.4977999999999998</v>
      </c>
      <c r="AK4" s="125">
        <v>11.976552</v>
      </c>
      <c r="AL4" s="125">
        <v>9.3377079999999992</v>
      </c>
      <c r="AM4" s="125">
        <v>36.402475500000001</v>
      </c>
      <c r="AN4" s="125">
        <v>5.0703255</v>
      </c>
      <c r="AO4" s="126">
        <v>11.052870499999999</v>
      </c>
    </row>
    <row r="5" spans="1:41" x14ac:dyDescent="0.2">
      <c r="A5" s="131">
        <v>5</v>
      </c>
      <c r="B5" s="124">
        <v>22.1061175</v>
      </c>
      <c r="C5" s="125">
        <v>4</v>
      </c>
      <c r="D5" s="125">
        <v>17.808174999999999</v>
      </c>
      <c r="E5" s="125">
        <v>10.79415</v>
      </c>
      <c r="F5" s="125">
        <v>31.1214735</v>
      </c>
      <c r="G5" s="125">
        <v>6.1081200000000004</v>
      </c>
      <c r="H5" s="125">
        <v>135.745632</v>
      </c>
      <c r="I5" s="125">
        <v>10.516107999999999</v>
      </c>
      <c r="J5" s="125">
        <v>173.325502</v>
      </c>
      <c r="K5" s="126">
        <v>19.143154500000001</v>
      </c>
      <c r="L5" s="124">
        <v>184.75706299999999</v>
      </c>
      <c r="M5" s="125">
        <v>28.954350000000002</v>
      </c>
      <c r="N5" s="125">
        <v>18.943999999999999</v>
      </c>
      <c r="O5" s="125">
        <v>156.135456</v>
      </c>
      <c r="P5" s="125">
        <v>54.478011500000001</v>
      </c>
      <c r="Q5" s="125">
        <v>15.606935999999999</v>
      </c>
      <c r="R5" s="125">
        <v>55.325071999999999</v>
      </c>
      <c r="S5" s="125">
        <v>41.693832</v>
      </c>
      <c r="T5" s="125">
        <v>90.196376000000001</v>
      </c>
      <c r="U5" s="126">
        <v>13.484016</v>
      </c>
      <c r="V5" s="124">
        <v>9.6528960000000001</v>
      </c>
      <c r="W5" s="125">
        <v>8.5490560000000002</v>
      </c>
      <c r="X5" s="125">
        <v>126.617836</v>
      </c>
      <c r="Y5" s="125">
        <v>8.7798200000000008</v>
      </c>
      <c r="Z5" s="125">
        <v>13.775308000000001</v>
      </c>
      <c r="AA5" s="125">
        <v>48.998519999999999</v>
      </c>
      <c r="AB5" s="125">
        <v>36.850140000000003</v>
      </c>
      <c r="AC5" s="125">
        <v>4</v>
      </c>
      <c r="AD5" s="125">
        <v>4</v>
      </c>
      <c r="AE5" s="126">
        <v>13.294774</v>
      </c>
      <c r="AF5" s="124">
        <v>33.220550000000003</v>
      </c>
      <c r="AG5" s="125">
        <v>98.454930500000003</v>
      </c>
      <c r="AH5" s="125">
        <v>9.7963874999999998</v>
      </c>
      <c r="AI5" s="125">
        <v>71.194535000000002</v>
      </c>
      <c r="AJ5" s="125">
        <v>20.57349</v>
      </c>
      <c r="AK5" s="125">
        <v>9.9719499999999996</v>
      </c>
      <c r="AL5" s="125">
        <v>4</v>
      </c>
      <c r="AM5" s="125">
        <v>66.997215999999995</v>
      </c>
      <c r="AN5" s="125">
        <v>9.1818545</v>
      </c>
      <c r="AO5" s="126">
        <v>18.444338999999999</v>
      </c>
    </row>
    <row r="6" spans="1:41" x14ac:dyDescent="0.2">
      <c r="A6" s="131">
        <v>8</v>
      </c>
      <c r="B6" s="124">
        <v>208.25295800000001</v>
      </c>
      <c r="C6" s="125">
        <v>4</v>
      </c>
      <c r="D6" s="125">
        <v>77.745956000000007</v>
      </c>
      <c r="E6" s="125">
        <v>50.380425000000002</v>
      </c>
      <c r="F6" s="125">
        <v>78.075179000000006</v>
      </c>
      <c r="G6" s="125">
        <v>5.3887679999999998</v>
      </c>
      <c r="H6" s="125">
        <v>137.89273800000001</v>
      </c>
      <c r="I6" s="125">
        <v>41.137540000000001</v>
      </c>
      <c r="J6" s="125">
        <v>435.86471299999999</v>
      </c>
      <c r="K6" s="126">
        <v>63.224997500000001</v>
      </c>
      <c r="L6" s="124">
        <v>399.44475</v>
      </c>
      <c r="M6" s="125">
        <v>76.633235999999997</v>
      </c>
      <c r="N6" s="125">
        <v>40.369687499999998</v>
      </c>
      <c r="O6" s="125">
        <v>471.32307200000002</v>
      </c>
      <c r="P6" s="125">
        <v>190.30917600000001</v>
      </c>
      <c r="Q6" s="125">
        <v>7.9981289999999996</v>
      </c>
      <c r="R6" s="125">
        <v>159.91624999999999</v>
      </c>
      <c r="S6" s="125">
        <v>193.06729999999999</v>
      </c>
      <c r="T6" s="125">
        <v>308.75382200000001</v>
      </c>
      <c r="U6" s="126">
        <v>19.364149999999999</v>
      </c>
      <c r="V6" s="124">
        <v>16.285423999999999</v>
      </c>
      <c r="W6" s="125">
        <v>25.412595</v>
      </c>
      <c r="X6" s="125">
        <v>231.08300600000001</v>
      </c>
      <c r="Y6" s="125">
        <v>4</v>
      </c>
      <c r="Z6" s="125">
        <v>25.119498499999999</v>
      </c>
      <c r="AA6" s="125">
        <v>90.127805499999994</v>
      </c>
      <c r="AB6" s="125">
        <v>106.29593800000001</v>
      </c>
      <c r="AC6" s="125">
        <v>4</v>
      </c>
      <c r="AD6" s="125">
        <v>4</v>
      </c>
      <c r="AE6" s="126">
        <v>21.055104</v>
      </c>
      <c r="AF6" s="124">
        <v>103.289472</v>
      </c>
      <c r="AG6" s="125">
        <v>349.22700800000001</v>
      </c>
      <c r="AH6" s="125">
        <v>14.597631</v>
      </c>
      <c r="AI6" s="125">
        <v>106.96455</v>
      </c>
      <c r="AJ6" s="125">
        <v>73.457605999999998</v>
      </c>
      <c r="AK6" s="125">
        <v>4</v>
      </c>
      <c r="AL6" s="125">
        <v>4</v>
      </c>
      <c r="AM6" s="125">
        <v>204.92079000000001</v>
      </c>
      <c r="AN6" s="125">
        <v>28.633113999999999</v>
      </c>
      <c r="AO6" s="126">
        <v>64.645651000000001</v>
      </c>
    </row>
    <row r="7" spans="1:41" x14ac:dyDescent="0.2">
      <c r="A7" s="131">
        <v>10</v>
      </c>
      <c r="B7" s="124">
        <v>259.25304</v>
      </c>
      <c r="C7" s="125">
        <v>12.175625</v>
      </c>
      <c r="D7" s="125">
        <v>189.708415</v>
      </c>
      <c r="E7" s="125">
        <v>99.8001</v>
      </c>
      <c r="F7" s="125">
        <v>147.13261199999999</v>
      </c>
      <c r="G7" s="125">
        <v>3.059364</v>
      </c>
      <c r="H7" s="125">
        <v>365.02115300000003</v>
      </c>
      <c r="I7" s="125">
        <v>152.92234999999999</v>
      </c>
      <c r="J7" s="125">
        <v>1000</v>
      </c>
      <c r="K7" s="126">
        <v>113.563648</v>
      </c>
      <c r="L7" s="124">
        <v>976.65632200000005</v>
      </c>
      <c r="M7" s="125">
        <v>174.331479</v>
      </c>
      <c r="N7" s="125">
        <v>126.61109999999999</v>
      </c>
      <c r="O7" s="125">
        <v>571.98442399999999</v>
      </c>
      <c r="P7" s="125">
        <v>433.26337599999999</v>
      </c>
      <c r="Q7" s="125">
        <v>18.105983999999999</v>
      </c>
      <c r="R7" s="125">
        <v>290.318018</v>
      </c>
      <c r="S7" s="125">
        <v>469.3</v>
      </c>
      <c r="T7" s="125">
        <v>574.15679999999998</v>
      </c>
      <c r="U7" s="126">
        <v>88.062187499999993</v>
      </c>
      <c r="V7" s="124">
        <v>21.949911</v>
      </c>
      <c r="W7" s="125">
        <v>34.794448000000003</v>
      </c>
      <c r="X7" s="125">
        <v>374.255</v>
      </c>
      <c r="Y7" s="125">
        <v>4</v>
      </c>
      <c r="Z7" s="125">
        <v>63.571378000000003</v>
      </c>
      <c r="AA7" s="125">
        <v>176.843378</v>
      </c>
      <c r="AB7" s="125">
        <v>194.39416800000001</v>
      </c>
      <c r="AC7" s="125">
        <v>4</v>
      </c>
      <c r="AD7" s="125">
        <v>0</v>
      </c>
      <c r="AE7" s="126">
        <v>21.2309515</v>
      </c>
      <c r="AF7" s="124">
        <v>168.39048700000001</v>
      </c>
      <c r="AG7" s="125">
        <v>501.47653500000001</v>
      </c>
      <c r="AH7" s="125">
        <v>48.021062499999999</v>
      </c>
      <c r="AI7" s="125">
        <v>296.220392</v>
      </c>
      <c r="AJ7" s="125">
        <v>164.121984</v>
      </c>
      <c r="AK7" s="125">
        <v>2.6329760000000002</v>
      </c>
      <c r="AL7" s="125">
        <v>5.84</v>
      </c>
      <c r="AM7" s="125">
        <v>486.07047799999998</v>
      </c>
      <c r="AN7" s="125">
        <v>51.425941999999999</v>
      </c>
      <c r="AO7" s="126">
        <v>90.278850000000006</v>
      </c>
    </row>
    <row r="8" spans="1:41" x14ac:dyDescent="0.2">
      <c r="A8" s="131">
        <v>12</v>
      </c>
      <c r="B8" s="124">
        <v>452.31658599999997</v>
      </c>
      <c r="C8" s="125">
        <v>18.160418</v>
      </c>
      <c r="D8" s="125">
        <v>347.14976000000001</v>
      </c>
      <c r="E8" s="125">
        <v>224.07954799999999</v>
      </c>
      <c r="F8" s="125">
        <v>409.64860800000002</v>
      </c>
      <c r="G8" s="125">
        <v>5.8299165000000004</v>
      </c>
      <c r="H8" s="125">
        <v>628.56964200000004</v>
      </c>
      <c r="I8" s="125">
        <v>284.83660800000001</v>
      </c>
      <c r="J8" s="125">
        <v>1000</v>
      </c>
      <c r="K8" s="126">
        <v>183.757937</v>
      </c>
      <c r="L8" s="124">
        <v>1000</v>
      </c>
      <c r="M8" s="125">
        <v>183.15375</v>
      </c>
      <c r="N8" s="125">
        <v>171.92181600000001</v>
      </c>
      <c r="O8" s="125">
        <v>1000</v>
      </c>
      <c r="P8" s="125">
        <v>709.61418500000002</v>
      </c>
      <c r="Q8" s="125">
        <v>35.495687500000003</v>
      </c>
      <c r="R8" s="125">
        <v>717.39731300000005</v>
      </c>
      <c r="S8" s="125">
        <v>933.58979999999997</v>
      </c>
      <c r="T8" s="125">
        <v>736.35568799999999</v>
      </c>
      <c r="U8" s="126">
        <v>114.431288</v>
      </c>
      <c r="V8" s="124">
        <v>18.4512</v>
      </c>
      <c r="W8" s="125">
        <v>50.167206</v>
      </c>
      <c r="X8" s="125">
        <v>599.22460799999999</v>
      </c>
      <c r="Y8" s="125">
        <v>0</v>
      </c>
      <c r="Z8" s="125">
        <v>119.15565700000001</v>
      </c>
      <c r="AA8" s="125">
        <v>253.6875</v>
      </c>
      <c r="AB8" s="125">
        <v>486.85127899999998</v>
      </c>
      <c r="AC8" s="125">
        <v>4</v>
      </c>
      <c r="AD8" s="125">
        <v>0</v>
      </c>
      <c r="AE8" s="126">
        <v>23.777063999999999</v>
      </c>
      <c r="AF8" s="124">
        <v>270.31879600000002</v>
      </c>
      <c r="AG8" s="125">
        <v>1000</v>
      </c>
      <c r="AH8" s="125">
        <v>63.746549999999999</v>
      </c>
      <c r="AI8" s="125">
        <v>491.98500000000001</v>
      </c>
      <c r="AJ8" s="125">
        <v>306.58765499999998</v>
      </c>
      <c r="AK8" s="125">
        <v>6.4714999999999998</v>
      </c>
      <c r="AL8" s="125">
        <v>4</v>
      </c>
      <c r="AM8" s="125">
        <v>1000</v>
      </c>
      <c r="AN8" s="125">
        <v>119.46272</v>
      </c>
      <c r="AO8" s="126">
        <v>247.26560000000001</v>
      </c>
    </row>
    <row r="9" spans="1:41" x14ac:dyDescent="0.2">
      <c r="A9" s="132">
        <v>14</v>
      </c>
      <c r="B9" s="127">
        <v>712.71583799999996</v>
      </c>
      <c r="C9" s="128">
        <v>139.375913</v>
      </c>
      <c r="D9" s="128">
        <v>905.501484</v>
      </c>
      <c r="E9" s="128">
        <v>412.942723</v>
      </c>
      <c r="F9" s="128">
        <v>870.27640599999995</v>
      </c>
      <c r="G9" s="128">
        <v>19.765350000000002</v>
      </c>
      <c r="H9" s="128">
        <v>735.58505600000001</v>
      </c>
      <c r="I9" s="128">
        <v>531.53073600000005</v>
      </c>
      <c r="J9" s="128">
        <v>1000</v>
      </c>
      <c r="K9" s="129">
        <v>659.18513099999996</v>
      </c>
      <c r="L9" s="127">
        <v>1000</v>
      </c>
      <c r="M9" s="128">
        <v>605.11441400000001</v>
      </c>
      <c r="N9" s="128">
        <v>423.29385000000002</v>
      </c>
      <c r="O9" s="128">
        <v>1000</v>
      </c>
      <c r="P9" s="128"/>
      <c r="Q9" s="128">
        <v>79.457493499999998</v>
      </c>
      <c r="R9" s="128">
        <v>1000</v>
      </c>
      <c r="S9" s="128">
        <v>1000</v>
      </c>
      <c r="T9" s="128"/>
      <c r="U9" s="129">
        <v>355.84054099999997</v>
      </c>
      <c r="V9" s="127">
        <v>134.60588799999999</v>
      </c>
      <c r="W9" s="128">
        <v>151.04793599999999</v>
      </c>
      <c r="X9" s="128">
        <v>856.93715599999996</v>
      </c>
      <c r="Y9" s="128">
        <v>0</v>
      </c>
      <c r="Z9" s="128">
        <v>299.94299999999998</v>
      </c>
      <c r="AA9" s="128">
        <v>445.44841600000001</v>
      </c>
      <c r="AB9" s="128">
        <v>1000</v>
      </c>
      <c r="AC9" s="128">
        <v>0</v>
      </c>
      <c r="AD9" s="128">
        <v>0</v>
      </c>
      <c r="AE9" s="129">
        <v>51.865375999999998</v>
      </c>
      <c r="AF9" s="127">
        <v>833.24303999999995</v>
      </c>
      <c r="AG9" s="128">
        <v>1000</v>
      </c>
      <c r="AH9" s="128">
        <v>295.55223799999999</v>
      </c>
      <c r="AI9" s="128">
        <v>1000</v>
      </c>
      <c r="AJ9" s="128">
        <v>741.798272</v>
      </c>
      <c r="AK9" s="128">
        <v>59.564308500000003</v>
      </c>
      <c r="AL9" s="128">
        <v>4</v>
      </c>
      <c r="AM9" s="128">
        <v>1000</v>
      </c>
      <c r="AN9" s="128">
        <v>418.51132699999999</v>
      </c>
      <c r="AO9" s="129">
        <v>476.015513</v>
      </c>
    </row>
    <row r="58" spans="7:17" x14ac:dyDescent="0.2">
      <c r="G58" s="278"/>
      <c r="H58" s="122"/>
      <c r="I58" s="122"/>
      <c r="J58" s="122"/>
      <c r="K58" s="278"/>
      <c r="L58" s="122"/>
      <c r="M58" s="278"/>
      <c r="N58" s="122"/>
      <c r="O58" s="122"/>
      <c r="P58" s="278"/>
      <c r="Q58" s="122"/>
    </row>
    <row r="59" spans="7:17" x14ac:dyDescent="0.2">
      <c r="G59" s="278"/>
      <c r="H59" s="122"/>
      <c r="I59" s="122"/>
      <c r="J59" s="122"/>
      <c r="K59" s="278"/>
      <c r="L59" s="122"/>
      <c r="M59" s="278"/>
      <c r="N59" s="122"/>
      <c r="O59" s="122"/>
      <c r="P59" s="278"/>
      <c r="Q59" s="122"/>
    </row>
    <row r="60" spans="7:17" x14ac:dyDescent="0.2">
      <c r="G60" s="278"/>
      <c r="H60" s="122"/>
      <c r="I60" s="122"/>
      <c r="J60" s="122"/>
      <c r="K60" s="278"/>
      <c r="L60" s="122"/>
      <c r="M60" s="278"/>
      <c r="N60" s="122"/>
      <c r="O60" s="122"/>
      <c r="P60" s="278"/>
      <c r="Q60" s="122"/>
    </row>
    <row r="61" spans="7:17" x14ac:dyDescent="0.2">
      <c r="G61" s="122"/>
      <c r="H61" s="122"/>
      <c r="I61" s="122"/>
      <c r="J61" s="122"/>
      <c r="K61" s="278"/>
      <c r="L61" s="122"/>
      <c r="M61" s="278"/>
      <c r="N61" s="122"/>
      <c r="O61" s="122"/>
      <c r="P61" s="278"/>
      <c r="Q61" s="122"/>
    </row>
    <row r="62" spans="7:17" x14ac:dyDescent="0.2">
      <c r="G62" s="122"/>
      <c r="H62" s="122"/>
      <c r="I62" s="122"/>
      <c r="J62" s="122"/>
      <c r="K62" s="122"/>
      <c r="L62" s="122"/>
      <c r="M62" s="278"/>
      <c r="N62" s="122"/>
      <c r="O62" s="122"/>
      <c r="P62" s="278"/>
      <c r="Q62" s="122"/>
    </row>
    <row r="69" spans="7:17" x14ac:dyDescent="0.2">
      <c r="G69" s="278"/>
      <c r="H69" s="122"/>
      <c r="I69" s="122"/>
      <c r="J69" s="122"/>
      <c r="K69" s="122"/>
      <c r="L69" s="122"/>
      <c r="M69" s="278"/>
      <c r="N69" s="122"/>
      <c r="O69" s="122"/>
      <c r="P69" s="122"/>
      <c r="Q69" s="122"/>
    </row>
    <row r="70" spans="7:17" x14ac:dyDescent="0.2">
      <c r="G70" s="278"/>
      <c r="H70" s="122"/>
      <c r="I70" s="122"/>
      <c r="J70" s="122"/>
      <c r="K70" s="122"/>
      <c r="L70" s="122"/>
      <c r="M70" s="278"/>
      <c r="N70" s="122"/>
      <c r="O70" s="122"/>
      <c r="P70" s="122"/>
      <c r="Q70" s="122"/>
    </row>
    <row r="71" spans="7:17" x14ac:dyDescent="0.2">
      <c r="G71" s="278"/>
      <c r="H71" s="122"/>
      <c r="I71" s="122"/>
      <c r="J71" s="122"/>
      <c r="K71" s="122"/>
      <c r="L71" s="122"/>
      <c r="M71" s="278"/>
      <c r="N71" s="122"/>
      <c r="O71" s="122"/>
      <c r="P71" s="122"/>
      <c r="Q71" s="122"/>
    </row>
    <row r="72" spans="7:17" x14ac:dyDescent="0.2">
      <c r="G72" s="278"/>
      <c r="H72" s="122"/>
      <c r="I72" s="122"/>
      <c r="J72" s="122"/>
      <c r="K72" s="122"/>
      <c r="L72" s="122"/>
      <c r="M72" s="278"/>
      <c r="N72" s="122"/>
      <c r="O72" s="122"/>
      <c r="P72" s="122"/>
      <c r="Q72" s="122"/>
    </row>
    <row r="73" spans="7:17" x14ac:dyDescent="0.2">
      <c r="G73" s="278"/>
      <c r="H73" s="122"/>
      <c r="I73" s="122"/>
      <c r="J73" s="122"/>
      <c r="K73" s="122"/>
      <c r="L73" s="122"/>
      <c r="M73" s="278"/>
      <c r="N73" s="122"/>
      <c r="O73" s="122"/>
      <c r="P73" s="122"/>
      <c r="Q73" s="122"/>
    </row>
  </sheetData>
  <mergeCells count="4">
    <mergeCell ref="B2:K2"/>
    <mergeCell ref="L2:U2"/>
    <mergeCell ref="V2:AE2"/>
    <mergeCell ref="AF2:AO2"/>
  </mergeCells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F60BCB-C34E-7646-99AA-791C90DF641F}">
  <sheetPr codeName="Sheet37"/>
  <dimension ref="A2:AJ9"/>
  <sheetViews>
    <sheetView zoomScale="71" zoomScaleNormal="71" workbookViewId="0">
      <selection activeCell="A2" sqref="A2"/>
    </sheetView>
  </sheetViews>
  <sheetFormatPr baseColWidth="10" defaultRowHeight="16" x14ac:dyDescent="0.2"/>
  <sheetData>
    <row r="2" spans="1:36" x14ac:dyDescent="0.2">
      <c r="A2" s="120" t="s">
        <v>375</v>
      </c>
      <c r="B2" s="304" t="s">
        <v>20</v>
      </c>
      <c r="C2" s="306"/>
      <c r="D2" s="306"/>
      <c r="E2" s="306"/>
      <c r="F2" s="306"/>
      <c r="G2" s="306"/>
      <c r="H2" s="306"/>
      <c r="I2" s="306"/>
      <c r="J2" s="305"/>
      <c r="K2" s="304" t="s">
        <v>11</v>
      </c>
      <c r="L2" s="306"/>
      <c r="M2" s="306"/>
      <c r="N2" s="306"/>
      <c r="O2" s="306"/>
      <c r="P2" s="306"/>
      <c r="Q2" s="306"/>
      <c r="R2" s="306"/>
      <c r="S2" s="305"/>
      <c r="T2" s="304" t="s">
        <v>9</v>
      </c>
      <c r="U2" s="306"/>
      <c r="V2" s="306"/>
      <c r="W2" s="306"/>
      <c r="X2" s="306"/>
      <c r="Y2" s="306"/>
      <c r="Z2" s="306"/>
      <c r="AA2" s="306"/>
      <c r="AB2" s="306"/>
      <c r="AC2" s="304" t="s">
        <v>374</v>
      </c>
      <c r="AD2" s="306"/>
      <c r="AE2" s="306"/>
      <c r="AF2" s="306"/>
      <c r="AG2" s="306"/>
      <c r="AH2" s="306"/>
      <c r="AI2" s="306"/>
      <c r="AJ2" s="305"/>
    </row>
    <row r="3" spans="1:36" x14ac:dyDescent="0.2">
      <c r="A3" s="121">
        <v>0</v>
      </c>
      <c r="B3" s="4">
        <v>10.5</v>
      </c>
      <c r="C3" s="5">
        <v>8.1999999999999993</v>
      </c>
      <c r="D3" s="5">
        <v>12.9</v>
      </c>
      <c r="E3" s="5">
        <v>9.6999999999999993</v>
      </c>
      <c r="F3" s="5">
        <v>13.1</v>
      </c>
      <c r="G3" s="5">
        <v>9.6</v>
      </c>
      <c r="H3" s="5">
        <v>7.9</v>
      </c>
      <c r="I3" s="5">
        <v>11.6</v>
      </c>
      <c r="J3" s="6"/>
      <c r="K3" s="4">
        <v>10.1</v>
      </c>
      <c r="L3" s="5">
        <v>9.5</v>
      </c>
      <c r="M3" s="5">
        <v>11.3</v>
      </c>
      <c r="N3" s="5">
        <v>11.9</v>
      </c>
      <c r="O3" s="5">
        <v>8.4</v>
      </c>
      <c r="P3" s="5">
        <v>7.8</v>
      </c>
      <c r="Q3" s="5">
        <v>14.5</v>
      </c>
      <c r="R3" s="5">
        <v>12.7</v>
      </c>
      <c r="S3" s="6"/>
      <c r="T3" s="4">
        <v>12.7</v>
      </c>
      <c r="U3" s="5">
        <v>14.6</v>
      </c>
      <c r="V3" s="5">
        <v>6.3</v>
      </c>
      <c r="W3" s="5">
        <v>11.2</v>
      </c>
      <c r="X3" s="5">
        <v>8.4</v>
      </c>
      <c r="Y3" s="5">
        <v>10.4</v>
      </c>
      <c r="Z3" s="5">
        <v>8.9</v>
      </c>
      <c r="AA3" s="5">
        <v>12.1</v>
      </c>
      <c r="AB3" s="5"/>
      <c r="AC3" s="4">
        <v>18</v>
      </c>
      <c r="AD3" s="5">
        <v>12.3</v>
      </c>
      <c r="AE3" s="5">
        <v>6</v>
      </c>
      <c r="AF3" s="5">
        <v>8.5</v>
      </c>
      <c r="AG3" s="5">
        <v>11.5</v>
      </c>
      <c r="AH3" s="5">
        <v>12.4</v>
      </c>
      <c r="AI3" s="5">
        <v>8.8000000000000007</v>
      </c>
      <c r="AJ3" s="6">
        <v>11.2</v>
      </c>
    </row>
    <row r="4" spans="1:36" x14ac:dyDescent="0.2">
      <c r="A4" s="13">
        <v>3</v>
      </c>
      <c r="B4" s="4">
        <v>23.823922499999998</v>
      </c>
      <c r="C4" s="5">
        <v>5.6920320000000002</v>
      </c>
      <c r="D4" s="5">
        <v>20.428799999999999</v>
      </c>
      <c r="E4" s="5">
        <v>45.024862499999998</v>
      </c>
      <c r="F4" s="5">
        <v>33.781072000000002</v>
      </c>
      <c r="G4" s="5">
        <v>11.566514</v>
      </c>
      <c r="H4" s="5">
        <v>6.8275924999999997</v>
      </c>
      <c r="I4" s="5">
        <v>33.088175999999997</v>
      </c>
      <c r="J4" s="6"/>
      <c r="K4" s="4">
        <v>5.2757100000000001</v>
      </c>
      <c r="L4" s="5">
        <v>8.5210620000000006</v>
      </c>
      <c r="M4" s="5">
        <v>5.7209485000000004</v>
      </c>
      <c r="N4" s="5">
        <v>12.333705999999999</v>
      </c>
      <c r="O4" s="5">
        <v>4</v>
      </c>
      <c r="P4" s="5">
        <v>12.073600000000001</v>
      </c>
      <c r="Q4" s="5">
        <v>18.849799999999998</v>
      </c>
      <c r="R4" s="5">
        <v>7.0240320000000001</v>
      </c>
      <c r="S4" s="6"/>
      <c r="T4" s="4">
        <v>12.3032</v>
      </c>
      <c r="U4" s="5">
        <v>17.478504000000001</v>
      </c>
      <c r="V4" s="5">
        <v>29.683098000000001</v>
      </c>
      <c r="W4" s="5">
        <v>17.23095</v>
      </c>
      <c r="X4" s="5">
        <v>12.192828499999999</v>
      </c>
      <c r="Y4" s="5">
        <v>7.2787540000000002</v>
      </c>
      <c r="Z4" s="5">
        <v>4.68</v>
      </c>
      <c r="AA4" s="5">
        <v>136.028378</v>
      </c>
      <c r="AB4" s="5"/>
      <c r="AC4" s="4">
        <v>20.782944000000001</v>
      </c>
      <c r="AD4" s="5">
        <v>3.9710000000000001</v>
      </c>
      <c r="AE4" s="5">
        <v>6.26</v>
      </c>
      <c r="AF4" s="5">
        <v>4.3600000000000003</v>
      </c>
      <c r="AG4" s="5">
        <v>7.2124160000000002</v>
      </c>
      <c r="AH4" s="5">
        <v>71.184687499999995</v>
      </c>
      <c r="AI4" s="5">
        <v>8.6808375000000009</v>
      </c>
      <c r="AJ4" s="6">
        <v>58.106405000000002</v>
      </c>
    </row>
    <row r="5" spans="1:36" x14ac:dyDescent="0.2">
      <c r="A5" s="13">
        <v>5</v>
      </c>
      <c r="B5" s="4">
        <v>52.231236000000003</v>
      </c>
      <c r="C5" s="5">
        <v>13.821688999999999</v>
      </c>
      <c r="D5" s="5">
        <v>47.225909000000001</v>
      </c>
      <c r="E5" s="5">
        <v>57.154000000000003</v>
      </c>
      <c r="F5" s="5">
        <v>54.206366500000001</v>
      </c>
      <c r="G5" s="5">
        <v>18.332352</v>
      </c>
      <c r="H5" s="5">
        <v>15.0528</v>
      </c>
      <c r="I5" s="5">
        <v>53.241785999999998</v>
      </c>
      <c r="J5" s="6"/>
      <c r="K5" s="4">
        <v>12.9232125</v>
      </c>
      <c r="L5" s="5">
        <v>10.975581</v>
      </c>
      <c r="M5" s="5">
        <v>14.896554</v>
      </c>
      <c r="N5" s="5">
        <v>18.02112</v>
      </c>
      <c r="O5" s="5">
        <v>4</v>
      </c>
      <c r="P5" s="5">
        <v>22.386892</v>
      </c>
      <c r="Q5" s="5">
        <v>42.500917999999999</v>
      </c>
      <c r="R5" s="5">
        <v>4</v>
      </c>
      <c r="S5" s="6"/>
      <c r="T5" s="4">
        <v>11.756722</v>
      </c>
      <c r="U5" s="5">
        <v>27.3002805</v>
      </c>
      <c r="V5" s="5">
        <v>19.324331999999998</v>
      </c>
      <c r="W5" s="5">
        <v>15.5526</v>
      </c>
      <c r="X5" s="5">
        <v>25.225685500000001</v>
      </c>
      <c r="Y5" s="5">
        <v>9.9733990000000006</v>
      </c>
      <c r="Z5" s="5">
        <v>7.5053299999999998</v>
      </c>
      <c r="AA5" s="5">
        <v>175.89371299999999</v>
      </c>
      <c r="AB5" s="5"/>
      <c r="AC5" s="4">
        <v>14.7764205</v>
      </c>
      <c r="AD5" s="5">
        <v>7.0568415</v>
      </c>
      <c r="AE5" s="5">
        <v>0</v>
      </c>
      <c r="AF5" s="5">
        <v>4.8552</v>
      </c>
      <c r="AG5" s="5">
        <v>5.2275780000000003</v>
      </c>
      <c r="AH5" s="5">
        <v>56.094312000000002</v>
      </c>
      <c r="AI5" s="5">
        <v>5.3</v>
      </c>
      <c r="AJ5" s="6">
        <v>59.059711999999998</v>
      </c>
    </row>
    <row r="6" spans="1:36" x14ac:dyDescent="0.2">
      <c r="A6" s="13">
        <v>8</v>
      </c>
      <c r="B6" s="4">
        <v>78.617267999999996</v>
      </c>
      <c r="C6" s="5">
        <v>67.060053999999994</v>
      </c>
      <c r="D6" s="5">
        <v>124.433745</v>
      </c>
      <c r="E6" s="5">
        <v>192.80255</v>
      </c>
      <c r="F6" s="5">
        <v>81.567404499999995</v>
      </c>
      <c r="G6" s="5">
        <v>41.580662500000003</v>
      </c>
      <c r="H6" s="5">
        <v>57.806975999999999</v>
      </c>
      <c r="I6" s="5">
        <v>228.82469900000001</v>
      </c>
      <c r="J6" s="6"/>
      <c r="K6" s="4">
        <v>24.687252000000001</v>
      </c>
      <c r="L6" s="5">
        <v>72.889470000000003</v>
      </c>
      <c r="M6" s="5">
        <v>47.242550000000001</v>
      </c>
      <c r="N6" s="5">
        <v>49.106250000000003</v>
      </c>
      <c r="O6" s="5">
        <v>4</v>
      </c>
      <c r="P6" s="5">
        <v>82.830330000000004</v>
      </c>
      <c r="Q6" s="5">
        <v>112.284778</v>
      </c>
      <c r="R6" s="5">
        <v>4</v>
      </c>
      <c r="S6" s="6"/>
      <c r="T6" s="4">
        <v>6.8343749999999996</v>
      </c>
      <c r="U6" s="5">
        <v>101.78198999999999</v>
      </c>
      <c r="V6" s="5">
        <v>18.860595</v>
      </c>
      <c r="W6" s="5">
        <v>58.5495935</v>
      </c>
      <c r="X6" s="5">
        <v>42.048737500000001</v>
      </c>
      <c r="Y6" s="5">
        <v>18.6434</v>
      </c>
      <c r="Z6" s="5">
        <v>14.359176</v>
      </c>
      <c r="AA6" s="5">
        <v>90.482346500000006</v>
      </c>
      <c r="AB6" s="5"/>
      <c r="AC6" s="4">
        <v>21.436976000000001</v>
      </c>
      <c r="AD6" s="5">
        <v>16.506336000000001</v>
      </c>
      <c r="AE6" s="5">
        <v>0</v>
      </c>
      <c r="AF6" s="5">
        <v>4</v>
      </c>
      <c r="AG6" s="5">
        <v>4.9896000000000003</v>
      </c>
      <c r="AH6" s="5">
        <v>27.8691435</v>
      </c>
      <c r="AI6" s="5">
        <v>4</v>
      </c>
      <c r="AJ6" s="6">
        <v>8.3025269999999995</v>
      </c>
    </row>
    <row r="7" spans="1:36" x14ac:dyDescent="0.2">
      <c r="A7" s="13">
        <v>10</v>
      </c>
      <c r="B7" s="4">
        <v>191.99705399999999</v>
      </c>
      <c r="C7" s="5">
        <v>190.35720000000001</v>
      </c>
      <c r="D7" s="5">
        <v>197.53139999999999</v>
      </c>
      <c r="E7" s="5">
        <v>427.27005000000003</v>
      </c>
      <c r="F7" s="5">
        <v>539.06861300000003</v>
      </c>
      <c r="G7" s="5">
        <v>88.489766000000003</v>
      </c>
      <c r="H7" s="5">
        <v>188.18244200000001</v>
      </c>
      <c r="I7" s="5">
        <v>477.36293499999999</v>
      </c>
      <c r="J7" s="6"/>
      <c r="K7" s="4">
        <v>58.237568000000003</v>
      </c>
      <c r="L7" s="5">
        <v>278.87370399999998</v>
      </c>
      <c r="M7" s="5">
        <v>82.252799999999993</v>
      </c>
      <c r="N7" s="5">
        <v>127.90677599999999</v>
      </c>
      <c r="O7" s="5">
        <v>0</v>
      </c>
      <c r="P7" s="5">
        <v>153.608012</v>
      </c>
      <c r="Q7" s="5">
        <v>298.93298600000003</v>
      </c>
      <c r="R7" s="5">
        <v>0</v>
      </c>
      <c r="S7" s="6"/>
      <c r="T7" s="4">
        <v>7.6871340000000004</v>
      </c>
      <c r="U7" s="5">
        <v>246.12454600000001</v>
      </c>
      <c r="V7" s="5">
        <v>4</v>
      </c>
      <c r="W7" s="5">
        <v>291.75001200000003</v>
      </c>
      <c r="X7" s="5">
        <v>94.388869499999998</v>
      </c>
      <c r="Y7" s="5">
        <v>22.5552375</v>
      </c>
      <c r="Z7" s="5">
        <v>25.0577915</v>
      </c>
      <c r="AA7" s="5">
        <v>25.679425500000001</v>
      </c>
      <c r="AB7" s="5"/>
      <c r="AC7" s="4">
        <v>16.285423999999999</v>
      </c>
      <c r="AD7" s="5">
        <v>21.309448</v>
      </c>
      <c r="AE7" s="5">
        <v>0</v>
      </c>
      <c r="AF7" s="5">
        <v>0</v>
      </c>
      <c r="AG7" s="5">
        <v>7.2</v>
      </c>
      <c r="AH7" s="5">
        <v>11.709654</v>
      </c>
      <c r="AI7" s="5">
        <v>0</v>
      </c>
      <c r="AJ7" s="6">
        <v>6.2760685</v>
      </c>
    </row>
    <row r="8" spans="1:36" x14ac:dyDescent="0.2">
      <c r="A8" s="13">
        <v>12</v>
      </c>
      <c r="B8" s="4">
        <v>202.73134400000001</v>
      </c>
      <c r="C8" s="5">
        <v>253.53460000000001</v>
      </c>
      <c r="D8" s="5">
        <v>357.94382899999999</v>
      </c>
      <c r="E8" s="5">
        <v>701.93407999999999</v>
      </c>
      <c r="F8" s="5" t="s">
        <v>383</v>
      </c>
      <c r="G8" s="5">
        <v>92.062607999999997</v>
      </c>
      <c r="H8" s="5">
        <v>319.19836600000002</v>
      </c>
      <c r="I8" s="5" t="s">
        <v>383</v>
      </c>
      <c r="J8" s="6"/>
      <c r="K8" s="4">
        <v>91.095112</v>
      </c>
      <c r="L8" s="5">
        <v>310.00725</v>
      </c>
      <c r="M8" s="5">
        <v>130.1994</v>
      </c>
      <c r="N8" s="5">
        <v>197.05180100000001</v>
      </c>
      <c r="O8" s="5">
        <v>4</v>
      </c>
      <c r="P8" s="5">
        <v>201.323848</v>
      </c>
      <c r="Q8" s="5">
        <v>331.33049999999997</v>
      </c>
      <c r="R8" s="5">
        <v>0</v>
      </c>
      <c r="S8" s="6"/>
      <c r="T8" s="4">
        <v>8.9180799999999998</v>
      </c>
      <c r="U8" s="5">
        <v>558.50474999999994</v>
      </c>
      <c r="V8" s="5">
        <v>4</v>
      </c>
      <c r="W8" s="5">
        <v>381.45982099999998</v>
      </c>
      <c r="X8" s="5">
        <v>107.319861</v>
      </c>
      <c r="Y8" s="5">
        <v>35.684351999999997</v>
      </c>
      <c r="Z8" s="5">
        <v>44.917810000000003</v>
      </c>
      <c r="AA8" s="5">
        <v>7.46</v>
      </c>
      <c r="AB8" s="5"/>
      <c r="AC8" s="4">
        <v>30.523681499999999</v>
      </c>
      <c r="AD8" s="5">
        <v>35.9735935</v>
      </c>
      <c r="AE8" s="5">
        <v>0</v>
      </c>
      <c r="AF8" s="5">
        <v>0</v>
      </c>
      <c r="AG8" s="5">
        <v>16.685459999999999</v>
      </c>
      <c r="AH8" s="5">
        <v>11.9668495</v>
      </c>
      <c r="AI8" s="5">
        <v>4</v>
      </c>
      <c r="AJ8" s="6">
        <v>0</v>
      </c>
    </row>
    <row r="9" spans="1:36" x14ac:dyDescent="0.2">
      <c r="A9" s="14">
        <v>14</v>
      </c>
      <c r="B9" s="7">
        <v>508.52915200000001</v>
      </c>
      <c r="C9" s="8">
        <v>798.14985999999999</v>
      </c>
      <c r="D9" s="8">
        <v>666.47279400000002</v>
      </c>
      <c r="E9" s="8">
        <v>876.50141299999996</v>
      </c>
      <c r="F9" s="8"/>
      <c r="G9" s="8">
        <v>385.79034200000001</v>
      </c>
      <c r="H9" s="8">
        <v>468.50128799999999</v>
      </c>
      <c r="I9" s="8"/>
      <c r="J9" s="9"/>
      <c r="K9" s="7">
        <v>474.08179200000001</v>
      </c>
      <c r="L9" s="8">
        <v>883.72166400000003</v>
      </c>
      <c r="M9" s="8">
        <v>506.93787300000002</v>
      </c>
      <c r="N9" s="8">
        <v>550.92321900000002</v>
      </c>
      <c r="O9" s="8">
        <v>4</v>
      </c>
      <c r="P9" s="8">
        <v>550.60268799999994</v>
      </c>
      <c r="Q9" s="8">
        <v>1000</v>
      </c>
      <c r="R9" s="8">
        <v>0</v>
      </c>
      <c r="S9" s="9"/>
      <c r="T9" s="7">
        <v>25.953209999999999</v>
      </c>
      <c r="U9" s="8">
        <v>1000</v>
      </c>
      <c r="V9" s="8">
        <v>0</v>
      </c>
      <c r="W9" s="8">
        <v>1000</v>
      </c>
      <c r="X9" s="8">
        <v>538.01338499999997</v>
      </c>
      <c r="Y9" s="8">
        <v>127.059809</v>
      </c>
      <c r="Z9" s="8">
        <v>157.407746</v>
      </c>
      <c r="AA9" s="8">
        <v>4</v>
      </c>
      <c r="AB9" s="8"/>
      <c r="AC9" s="7">
        <v>148.828125</v>
      </c>
      <c r="AD9" s="8">
        <v>50.496375</v>
      </c>
      <c r="AE9" s="8">
        <v>0</v>
      </c>
      <c r="AF9" s="8">
        <v>0</v>
      </c>
      <c r="AG9" s="8">
        <v>7.1240249999999996</v>
      </c>
      <c r="AH9" s="8">
        <v>0</v>
      </c>
      <c r="AI9" s="8">
        <v>0</v>
      </c>
      <c r="AJ9" s="9">
        <v>0</v>
      </c>
    </row>
  </sheetData>
  <mergeCells count="4">
    <mergeCell ref="B2:J2"/>
    <mergeCell ref="K2:S2"/>
    <mergeCell ref="T2:AB2"/>
    <mergeCell ref="AC2:AJ2"/>
  </mergeCells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BD6DA4-B195-EE4F-B263-2FFA95D1BEB7}">
  <dimension ref="A2:V52"/>
  <sheetViews>
    <sheetView workbookViewId="0">
      <selection activeCell="M47" sqref="M47"/>
    </sheetView>
  </sheetViews>
  <sheetFormatPr baseColWidth="10" defaultRowHeight="16" x14ac:dyDescent="0.2"/>
  <cols>
    <col min="1" max="1" width="16.5" customWidth="1"/>
  </cols>
  <sheetData>
    <row r="2" spans="1:22" x14ac:dyDescent="0.2">
      <c r="A2" s="203" t="s">
        <v>975</v>
      </c>
      <c r="B2" s="302" t="s">
        <v>498</v>
      </c>
      <c r="C2" s="307"/>
      <c r="D2" s="307"/>
      <c r="E2" s="307"/>
      <c r="F2" s="307"/>
      <c r="G2" s="302" t="s">
        <v>972</v>
      </c>
      <c r="H2" s="307"/>
      <c r="I2" s="307"/>
      <c r="J2" s="307"/>
      <c r="K2" s="307"/>
      <c r="L2" s="307"/>
      <c r="M2" s="302" t="s">
        <v>9</v>
      </c>
      <c r="N2" s="307"/>
      <c r="O2" s="307"/>
      <c r="P2" s="307"/>
      <c r="Q2" s="307"/>
      <c r="R2" s="302" t="s">
        <v>973</v>
      </c>
      <c r="S2" s="307"/>
      <c r="T2" s="307"/>
      <c r="U2" s="307"/>
      <c r="V2" s="307"/>
    </row>
    <row r="3" spans="1:22" x14ac:dyDescent="0.2">
      <c r="A3" s="214" t="s">
        <v>32</v>
      </c>
      <c r="B3" s="205">
        <v>0.31782433999999998</v>
      </c>
      <c r="C3" s="206">
        <v>0.28030426000000003</v>
      </c>
      <c r="D3" s="206">
        <v>0.21475037</v>
      </c>
      <c r="E3" s="206"/>
      <c r="F3" s="206"/>
      <c r="G3" s="205">
        <v>1.2643145200000001</v>
      </c>
      <c r="H3" s="206">
        <v>0.47231497</v>
      </c>
      <c r="I3" s="206">
        <v>0.39352826000000002</v>
      </c>
      <c r="J3" s="206">
        <v>0.48973966000000002</v>
      </c>
      <c r="K3" s="206">
        <v>0.92079907999999999</v>
      </c>
      <c r="L3" s="206"/>
      <c r="M3" s="205">
        <v>1.43444444</v>
      </c>
      <c r="N3" s="206">
        <v>0.74687791000000003</v>
      </c>
      <c r="O3" s="206">
        <v>2.1301264199999999</v>
      </c>
      <c r="P3" s="206">
        <v>1.6846756700000001</v>
      </c>
      <c r="Q3" s="206"/>
      <c r="R3" s="205">
        <v>2.2874084200000002</v>
      </c>
      <c r="S3" s="206">
        <v>2.0199737400000002</v>
      </c>
      <c r="T3" s="206">
        <v>5.4395860899999997</v>
      </c>
      <c r="U3" s="206"/>
      <c r="V3" s="206"/>
    </row>
    <row r="4" spans="1:22" x14ac:dyDescent="0.2">
      <c r="A4" s="215" t="s">
        <v>927</v>
      </c>
      <c r="B4" s="205">
        <v>0.23525233000000001</v>
      </c>
      <c r="C4" s="206">
        <v>0.21342669</v>
      </c>
      <c r="D4" s="206">
        <v>0.18998354000000001</v>
      </c>
      <c r="E4" s="206"/>
      <c r="F4" s="206"/>
      <c r="G4" s="205">
        <v>0.84556452000000004</v>
      </c>
      <c r="H4" s="206">
        <v>0.31891128000000002</v>
      </c>
      <c r="I4" s="206">
        <v>0.28092578000000001</v>
      </c>
      <c r="J4" s="206">
        <v>0.1388974</v>
      </c>
      <c r="K4" s="206">
        <v>0.43702384999999999</v>
      </c>
      <c r="L4" s="206"/>
      <c r="M4" s="205">
        <v>1.2748888899999999</v>
      </c>
      <c r="N4" s="206">
        <v>0.25895169000000001</v>
      </c>
      <c r="O4" s="206">
        <v>1.0817755499999999</v>
      </c>
      <c r="P4" s="206">
        <v>1.0609774300000001</v>
      </c>
      <c r="Q4" s="206"/>
      <c r="R4" s="205">
        <v>0.88245198000000002</v>
      </c>
      <c r="S4" s="206">
        <v>1.20923793</v>
      </c>
      <c r="T4" s="206">
        <v>6.31164741</v>
      </c>
      <c r="U4" s="206"/>
      <c r="V4" s="206"/>
    </row>
    <row r="5" spans="1:22" x14ac:dyDescent="0.2">
      <c r="A5" s="215" t="s">
        <v>974</v>
      </c>
      <c r="B5" s="205">
        <v>4.7863250000000003E-2</v>
      </c>
      <c r="C5" s="206">
        <v>5.2801720000000003E-2</v>
      </c>
      <c r="D5" s="206">
        <v>1.8464049999999999E-2</v>
      </c>
      <c r="E5" s="206"/>
      <c r="F5" s="206"/>
      <c r="G5" s="205">
        <v>0.34063670000000001</v>
      </c>
      <c r="H5" s="206">
        <v>7.4789919999999996E-2</v>
      </c>
      <c r="I5" s="206">
        <v>5.1893099999999998E-2</v>
      </c>
      <c r="J5" s="206">
        <v>6.2519690000000003E-2</v>
      </c>
      <c r="K5" s="206">
        <v>0.13984820000000001</v>
      </c>
      <c r="L5" s="206"/>
      <c r="M5" s="205">
        <v>1.7763722399999999</v>
      </c>
      <c r="N5" s="206">
        <v>0.10042735</v>
      </c>
      <c r="O5" s="206">
        <v>0.21625495</v>
      </c>
      <c r="P5" s="206">
        <v>0.21584698999999999</v>
      </c>
      <c r="Q5" s="206"/>
      <c r="R5" s="205">
        <v>0.32355163999999997</v>
      </c>
      <c r="S5" s="206">
        <v>0.51215933000000002</v>
      </c>
      <c r="T5" s="206">
        <v>3.5334810000000001</v>
      </c>
      <c r="U5" s="206"/>
      <c r="V5" s="206"/>
    </row>
    <row r="6" spans="1:22" x14ac:dyDescent="0.2">
      <c r="A6" s="216" t="s">
        <v>28</v>
      </c>
      <c r="B6" s="208">
        <v>0.10717949</v>
      </c>
      <c r="C6" s="209">
        <v>0.15732758999999999</v>
      </c>
      <c r="D6" s="209">
        <v>6.2254900000000002E-2</v>
      </c>
      <c r="E6" s="206"/>
      <c r="F6" s="206"/>
      <c r="G6" s="208">
        <v>0.88782771999999999</v>
      </c>
      <c r="H6" s="209">
        <v>0.15441176000000001</v>
      </c>
      <c r="I6" s="209">
        <v>0.14988863999999999</v>
      </c>
      <c r="J6" s="209">
        <v>9.0551179999999995E-2</v>
      </c>
      <c r="K6" s="209">
        <v>0.17305503</v>
      </c>
      <c r="L6" s="209"/>
      <c r="M6" s="208">
        <v>2.8428030199999998</v>
      </c>
      <c r="N6" s="209">
        <v>0.24487179000000001</v>
      </c>
      <c r="O6" s="209">
        <v>0.71835822000000005</v>
      </c>
      <c r="P6" s="209">
        <v>0.60965391999999996</v>
      </c>
      <c r="Q6" s="209"/>
      <c r="R6" s="208">
        <v>0.35371884999999997</v>
      </c>
      <c r="S6" s="209">
        <v>1.21194969</v>
      </c>
      <c r="T6" s="209">
        <v>1.73985619</v>
      </c>
      <c r="U6" s="209"/>
      <c r="V6" s="209"/>
    </row>
    <row r="9" spans="1:22" x14ac:dyDescent="0.2">
      <c r="A9" s="203" t="s">
        <v>967</v>
      </c>
      <c r="B9" s="302" t="s">
        <v>498</v>
      </c>
      <c r="C9" s="307"/>
      <c r="D9" s="307"/>
      <c r="E9" s="307"/>
      <c r="F9" s="303"/>
      <c r="G9" s="302" t="s">
        <v>972</v>
      </c>
      <c r="H9" s="307"/>
      <c r="I9" s="307"/>
      <c r="J9" s="307"/>
      <c r="K9" s="307"/>
      <c r="L9" s="303"/>
      <c r="M9" s="302" t="s">
        <v>9</v>
      </c>
      <c r="N9" s="307"/>
      <c r="O9" s="307"/>
      <c r="P9" s="307"/>
      <c r="Q9" s="303"/>
      <c r="R9" s="302" t="s">
        <v>973</v>
      </c>
      <c r="S9" s="307"/>
      <c r="T9" s="307"/>
      <c r="U9" s="307"/>
      <c r="V9" s="303"/>
    </row>
    <row r="10" spans="1:22" x14ac:dyDescent="0.2">
      <c r="A10" s="214" t="s">
        <v>976</v>
      </c>
      <c r="B10" s="205">
        <v>43.75441</v>
      </c>
      <c r="C10" s="206">
        <v>42.549140000000001</v>
      </c>
      <c r="D10" s="206">
        <v>35.420099999999998</v>
      </c>
      <c r="E10" s="206"/>
      <c r="F10" s="207"/>
      <c r="G10" s="205">
        <v>60.514150000000001</v>
      </c>
      <c r="H10" s="206">
        <v>52.83784</v>
      </c>
      <c r="I10" s="206">
        <v>48.135820000000002</v>
      </c>
      <c r="J10" s="206">
        <v>43.013930000000002</v>
      </c>
      <c r="K10" s="206">
        <v>57.829839999999997</v>
      </c>
      <c r="L10" s="207"/>
      <c r="M10" s="205">
        <v>36.92933</v>
      </c>
      <c r="N10" s="206">
        <v>41.579320000000003</v>
      </c>
      <c r="O10" s="206">
        <v>47.548909999999999</v>
      </c>
      <c r="P10" s="206">
        <v>42.24015</v>
      </c>
      <c r="Q10" s="207"/>
      <c r="R10" s="205">
        <v>44.851120000000002</v>
      </c>
      <c r="S10" s="206">
        <v>39.516440000000003</v>
      </c>
      <c r="T10" s="206">
        <v>50.253570000000003</v>
      </c>
      <c r="U10" s="206"/>
      <c r="V10" s="207"/>
    </row>
    <row r="11" spans="1:22" x14ac:dyDescent="0.2">
      <c r="A11" s="216" t="s">
        <v>977</v>
      </c>
      <c r="B11" s="208">
        <v>0.352858</v>
      </c>
      <c r="C11" s="209">
        <v>1.077996</v>
      </c>
      <c r="D11" s="209">
        <v>0.32948899999999998</v>
      </c>
      <c r="E11" s="209"/>
      <c r="F11" s="210"/>
      <c r="G11" s="208">
        <v>24.699459999999998</v>
      </c>
      <c r="H11" s="209">
        <v>3.5585589999999998</v>
      </c>
      <c r="I11" s="209">
        <v>4.3941410000000003</v>
      </c>
      <c r="J11" s="209">
        <v>6.5217390000000002</v>
      </c>
      <c r="K11" s="209">
        <v>1.1097410000000001</v>
      </c>
      <c r="L11" s="210"/>
      <c r="M11" s="208">
        <v>30.982890000000001</v>
      </c>
      <c r="N11" s="209">
        <v>12.9979</v>
      </c>
      <c r="O11" s="209">
        <v>23.847539999999999</v>
      </c>
      <c r="P11" s="209">
        <v>17.797820000000002</v>
      </c>
      <c r="Q11" s="210"/>
      <c r="R11" s="208">
        <v>14.888339999999999</v>
      </c>
      <c r="S11" s="209">
        <v>29.024619999999999</v>
      </c>
      <c r="T11" s="209">
        <v>36.086410000000001</v>
      </c>
      <c r="U11" s="209"/>
      <c r="V11" s="210"/>
    </row>
    <row r="15" spans="1:22" ht="17" customHeight="1" x14ac:dyDescent="0.2">
      <c r="A15" t="s">
        <v>966</v>
      </c>
      <c r="B15" s="302" t="s">
        <v>498</v>
      </c>
      <c r="C15" s="307"/>
      <c r="D15" s="307"/>
      <c r="E15" s="307"/>
      <c r="F15" s="303"/>
      <c r="G15" s="302" t="s">
        <v>972</v>
      </c>
      <c r="H15" s="307"/>
      <c r="I15" s="307"/>
      <c r="J15" s="307"/>
      <c r="K15" s="307"/>
      <c r="L15" s="303"/>
      <c r="M15" s="302" t="s">
        <v>9</v>
      </c>
      <c r="N15" s="307"/>
      <c r="O15" s="307"/>
      <c r="P15" s="307"/>
      <c r="Q15" s="303"/>
      <c r="R15" s="302" t="s">
        <v>973</v>
      </c>
      <c r="S15" s="307"/>
      <c r="T15" s="307"/>
      <c r="U15" s="307"/>
      <c r="V15" s="303"/>
    </row>
    <row r="16" spans="1:22" x14ac:dyDescent="0.2">
      <c r="A16" s="214" t="s">
        <v>976</v>
      </c>
      <c r="B16" s="205">
        <v>0.362319</v>
      </c>
      <c r="C16" s="206">
        <v>1.6528929999999999</v>
      </c>
      <c r="D16" s="206">
        <v>3.508772</v>
      </c>
      <c r="E16" s="206"/>
      <c r="F16" s="207"/>
      <c r="G16" s="205">
        <v>1.15448</v>
      </c>
      <c r="H16" s="206">
        <v>1.1363639999999999</v>
      </c>
      <c r="I16" s="206">
        <v>2.6200869999999998</v>
      </c>
      <c r="J16" s="206">
        <v>1.025641</v>
      </c>
      <c r="K16" s="206">
        <v>2.1857920000000002</v>
      </c>
      <c r="L16" s="207"/>
      <c r="M16" s="205">
        <v>1.1712100000000001</v>
      </c>
      <c r="N16" s="206">
        <v>0.86021499999999995</v>
      </c>
      <c r="O16" s="206">
        <v>1.545779</v>
      </c>
      <c r="P16" s="206">
        <v>2.3809520000000002</v>
      </c>
      <c r="Q16" s="207"/>
      <c r="R16" s="205">
        <v>0.41152300000000003</v>
      </c>
      <c r="S16" s="206">
        <v>2.0358309999999999</v>
      </c>
      <c r="T16" s="206">
        <v>0.70111999999999997</v>
      </c>
      <c r="U16" s="206"/>
      <c r="V16" s="207"/>
    </row>
    <row r="17" spans="1:22" x14ac:dyDescent="0.2">
      <c r="A17" s="216" t="s">
        <v>977</v>
      </c>
      <c r="B17" s="208">
        <v>0.362319</v>
      </c>
      <c r="C17" s="209">
        <v>1.2396689999999999</v>
      </c>
      <c r="D17" s="209">
        <v>0</v>
      </c>
      <c r="E17" s="209"/>
      <c r="F17" s="210"/>
      <c r="G17" s="208">
        <v>4.4529959999999997</v>
      </c>
      <c r="H17" s="209">
        <v>2.2727270000000002</v>
      </c>
      <c r="I17" s="209">
        <v>0.87336199999999997</v>
      </c>
      <c r="J17" s="209">
        <v>2.3076919999999999</v>
      </c>
      <c r="K17" s="209">
        <v>3.142077</v>
      </c>
      <c r="L17" s="210"/>
      <c r="M17" s="208">
        <v>16.354340000000001</v>
      </c>
      <c r="N17" s="209">
        <v>5.3763439999999996</v>
      </c>
      <c r="O17" s="209">
        <v>15.81451</v>
      </c>
      <c r="P17" s="209">
        <v>14.96599</v>
      </c>
      <c r="Q17" s="210"/>
      <c r="R17" s="208">
        <v>12.13992</v>
      </c>
      <c r="S17" s="209">
        <v>18.200330000000001</v>
      </c>
      <c r="T17" s="209">
        <v>8.062875</v>
      </c>
      <c r="U17" s="209"/>
      <c r="V17" s="210"/>
    </row>
    <row r="19" spans="1:22" x14ac:dyDescent="0.2">
      <c r="A19" t="s">
        <v>980</v>
      </c>
    </row>
    <row r="20" spans="1:22" x14ac:dyDescent="0.2">
      <c r="B20" s="302" t="s">
        <v>498</v>
      </c>
      <c r="C20" s="307"/>
      <c r="D20" s="307"/>
      <c r="E20" s="307"/>
      <c r="F20" s="303"/>
      <c r="G20" s="302" t="s">
        <v>972</v>
      </c>
      <c r="H20" s="307"/>
      <c r="I20" s="307"/>
      <c r="J20" s="307"/>
      <c r="K20" s="307"/>
      <c r="L20" s="303"/>
      <c r="M20" s="302" t="s">
        <v>9</v>
      </c>
      <c r="N20" s="307"/>
      <c r="O20" s="307"/>
      <c r="P20" s="307"/>
      <c r="Q20" s="303"/>
      <c r="R20" s="302" t="s">
        <v>973</v>
      </c>
      <c r="S20" s="307"/>
      <c r="T20" s="307"/>
      <c r="U20" s="307"/>
      <c r="V20" s="303"/>
    </row>
    <row r="21" spans="1:22" x14ac:dyDescent="0.2">
      <c r="A21" s="323" t="s">
        <v>978</v>
      </c>
      <c r="B21" s="217" t="s">
        <v>29</v>
      </c>
      <c r="C21" s="206">
        <v>72.317880799999998</v>
      </c>
      <c r="D21" s="206">
        <v>82.697547700000001</v>
      </c>
      <c r="E21" s="206">
        <v>79.042904300000004</v>
      </c>
      <c r="F21" s="207"/>
      <c r="G21" s="205">
        <v>46.876490199999999</v>
      </c>
      <c r="H21" s="206">
        <v>72.854785500000006</v>
      </c>
      <c r="I21" s="206">
        <v>78.615702499999998</v>
      </c>
      <c r="J21" s="206">
        <v>67.585446500000003</v>
      </c>
      <c r="K21" s="206">
        <v>76</v>
      </c>
      <c r="L21" s="207"/>
      <c r="M21" s="205">
        <v>46.278542799999997</v>
      </c>
      <c r="N21" s="206">
        <v>70.073891599999996</v>
      </c>
      <c r="O21" s="206">
        <v>64.048921800000002</v>
      </c>
      <c r="P21" s="206">
        <v>60.267534300000001</v>
      </c>
      <c r="Q21" s="207"/>
      <c r="R21" s="205">
        <v>43.728070199999998</v>
      </c>
      <c r="S21" s="206">
        <v>51.809794199999999</v>
      </c>
      <c r="T21" s="206">
        <v>33.176665700000001</v>
      </c>
      <c r="U21" s="206"/>
      <c r="V21" s="207"/>
    </row>
    <row r="22" spans="1:22" x14ac:dyDescent="0.2">
      <c r="A22" s="323"/>
      <c r="B22" s="217" t="s">
        <v>935</v>
      </c>
      <c r="C22" s="206">
        <v>51.655629099999999</v>
      </c>
      <c r="D22" s="206">
        <v>60.217983699999998</v>
      </c>
      <c r="E22" s="206">
        <v>52.970297000000002</v>
      </c>
      <c r="F22" s="207"/>
      <c r="G22" s="205">
        <v>36.766809700000003</v>
      </c>
      <c r="H22" s="206">
        <v>53.465346500000003</v>
      </c>
      <c r="I22" s="206">
        <v>53.512396699999996</v>
      </c>
      <c r="J22" s="206">
        <v>42.998897499999998</v>
      </c>
      <c r="K22" s="206">
        <v>50.418604700000003</v>
      </c>
      <c r="L22" s="207"/>
      <c r="M22" s="205">
        <v>35.210040100000001</v>
      </c>
      <c r="N22" s="206">
        <v>42.1182266</v>
      </c>
      <c r="O22" s="206">
        <v>46.3469585</v>
      </c>
      <c r="P22" s="206">
        <v>42.660882100000002</v>
      </c>
      <c r="Q22" s="207"/>
      <c r="R22" s="205">
        <v>29.3421053</v>
      </c>
      <c r="S22" s="206">
        <v>34.516205300000003</v>
      </c>
      <c r="T22" s="206">
        <v>22.325131299999999</v>
      </c>
      <c r="U22" s="206"/>
      <c r="V22" s="207"/>
    </row>
    <row r="23" spans="1:22" x14ac:dyDescent="0.2">
      <c r="A23" s="323" t="s">
        <v>979</v>
      </c>
      <c r="B23" s="217" t="s">
        <v>29</v>
      </c>
      <c r="C23" s="206">
        <v>57.647058800000003</v>
      </c>
      <c r="D23" s="206">
        <v>76.452282199999999</v>
      </c>
      <c r="E23" s="206">
        <v>60</v>
      </c>
      <c r="F23" s="207"/>
      <c r="G23" s="205">
        <v>57.375219299999998</v>
      </c>
      <c r="H23" s="206">
        <v>62.506963800000001</v>
      </c>
      <c r="I23" s="206">
        <v>62.241887900000002</v>
      </c>
      <c r="J23" s="206">
        <v>74.765478400000006</v>
      </c>
      <c r="K23" s="206">
        <v>69.624724099999995</v>
      </c>
      <c r="L23" s="207"/>
      <c r="M23" s="205">
        <v>45.979860600000002</v>
      </c>
      <c r="N23" s="206">
        <v>63.492741199999998</v>
      </c>
      <c r="O23" s="206">
        <v>72.932330800000003</v>
      </c>
      <c r="P23" s="206">
        <v>66.5300546</v>
      </c>
      <c r="Q23" s="207"/>
      <c r="R23" s="205">
        <v>44.314720800000003</v>
      </c>
      <c r="S23" s="206">
        <v>64.608412400000006</v>
      </c>
      <c r="T23" s="206">
        <v>67.912422800000002</v>
      </c>
      <c r="U23" s="206"/>
      <c r="V23" s="207"/>
    </row>
    <row r="24" spans="1:22" x14ac:dyDescent="0.2">
      <c r="A24" s="323"/>
      <c r="B24" s="218" t="s">
        <v>935</v>
      </c>
      <c r="C24" s="209">
        <v>21.470588200000002</v>
      </c>
      <c r="D24" s="209">
        <v>31.846473</v>
      </c>
      <c r="E24" s="209">
        <v>27.8832117</v>
      </c>
      <c r="F24" s="210"/>
      <c r="G24" s="208">
        <v>22.197416700000002</v>
      </c>
      <c r="H24" s="209">
        <v>28.969359300000001</v>
      </c>
      <c r="I24" s="209">
        <v>27.876106199999999</v>
      </c>
      <c r="J24" s="209">
        <v>25.1094434</v>
      </c>
      <c r="K24" s="209">
        <v>33.156732900000002</v>
      </c>
      <c r="L24" s="210"/>
      <c r="M24" s="208">
        <v>12.3160341</v>
      </c>
      <c r="N24" s="209">
        <v>12.8095645</v>
      </c>
      <c r="O24" s="209">
        <v>18.077803200000002</v>
      </c>
      <c r="P24" s="209">
        <v>17.008196699999999</v>
      </c>
      <c r="Q24" s="210"/>
      <c r="R24" s="208">
        <v>12.1489002</v>
      </c>
      <c r="S24" s="209">
        <v>15.026200299999999</v>
      </c>
      <c r="T24" s="209">
        <v>16.9219665</v>
      </c>
      <c r="U24" s="209"/>
      <c r="V24" s="210"/>
    </row>
    <row r="27" spans="1:22" x14ac:dyDescent="0.2">
      <c r="A27" s="203" t="s">
        <v>184</v>
      </c>
      <c r="B27" s="302" t="s">
        <v>498</v>
      </c>
      <c r="C27" s="307"/>
      <c r="D27" s="307"/>
      <c r="E27" s="307"/>
      <c r="F27" s="303"/>
      <c r="G27" s="302" t="s">
        <v>972</v>
      </c>
      <c r="H27" s="307"/>
      <c r="I27" s="307"/>
      <c r="J27" s="307"/>
      <c r="K27" s="307"/>
      <c r="L27" s="303"/>
      <c r="M27" s="302" t="s">
        <v>9</v>
      </c>
      <c r="N27" s="307"/>
      <c r="O27" s="307"/>
      <c r="P27" s="307"/>
      <c r="Q27" s="303"/>
      <c r="R27" s="302" t="s">
        <v>973</v>
      </c>
      <c r="S27" s="307"/>
      <c r="T27" s="307"/>
      <c r="U27" s="307"/>
      <c r="V27" s="303"/>
    </row>
    <row r="28" spans="1:22" x14ac:dyDescent="0.2">
      <c r="A28" s="219" t="s">
        <v>968</v>
      </c>
      <c r="B28" s="208">
        <v>3.5384442800000002</v>
      </c>
      <c r="C28" s="209">
        <v>3.0952685600000001</v>
      </c>
      <c r="D28" s="209">
        <v>3.2005643099999999</v>
      </c>
      <c r="E28" s="209"/>
      <c r="F28" s="210"/>
      <c r="G28" s="208">
        <v>9.5701612899999997</v>
      </c>
      <c r="H28" s="209">
        <v>5.2154624600000004</v>
      </c>
      <c r="I28" s="209">
        <v>4.8688964700000001</v>
      </c>
      <c r="J28" s="209">
        <v>3.5194486999999999</v>
      </c>
      <c r="K28" s="209">
        <v>7.7469083100000002</v>
      </c>
      <c r="L28" s="210"/>
      <c r="M28" s="208">
        <v>13.3726667</v>
      </c>
      <c r="N28" s="209">
        <v>4.6005383100000001</v>
      </c>
      <c r="O28" s="209">
        <v>14.732620000000001</v>
      </c>
      <c r="P28" s="209">
        <v>12.2422834</v>
      </c>
      <c r="Q28" s="210"/>
      <c r="R28" s="208">
        <v>16.951979900000001</v>
      </c>
      <c r="S28" s="209">
        <v>15.4614815</v>
      </c>
      <c r="T28" s="209">
        <v>46.638921199999999</v>
      </c>
      <c r="U28" s="209"/>
      <c r="V28" s="210"/>
    </row>
    <row r="32" spans="1:22" x14ac:dyDescent="0.2">
      <c r="A32" t="s">
        <v>1134</v>
      </c>
      <c r="F32" s="21"/>
      <c r="G32" s="21"/>
      <c r="H32" s="21"/>
      <c r="I32" s="21"/>
      <c r="J32" s="21"/>
      <c r="K32" s="21"/>
    </row>
    <row r="33" spans="1:12" x14ac:dyDescent="0.2">
      <c r="A33" s="17" t="s">
        <v>1182</v>
      </c>
      <c r="B33" s="18"/>
      <c r="C33" s="18"/>
      <c r="D33" s="18"/>
      <c r="E33" s="18"/>
      <c r="F33" s="17"/>
      <c r="G33" s="18" t="s">
        <v>1183</v>
      </c>
      <c r="H33" s="18"/>
      <c r="I33" s="18"/>
      <c r="J33" s="19"/>
      <c r="K33" s="21"/>
    </row>
    <row r="34" spans="1:12" x14ac:dyDescent="0.2">
      <c r="A34" s="20" t="s">
        <v>1179</v>
      </c>
      <c r="B34" s="21" t="s">
        <v>1167</v>
      </c>
      <c r="C34" s="21" t="s">
        <v>19</v>
      </c>
      <c r="D34" s="21" t="s">
        <v>1177</v>
      </c>
      <c r="E34" s="21" t="s">
        <v>1178</v>
      </c>
      <c r="F34" s="137" t="s">
        <v>964</v>
      </c>
      <c r="G34" s="21" t="s">
        <v>1167</v>
      </c>
      <c r="H34" s="21" t="s">
        <v>19</v>
      </c>
      <c r="I34" s="21" t="s">
        <v>1177</v>
      </c>
      <c r="J34" s="10" t="s">
        <v>1178</v>
      </c>
      <c r="K34" s="21"/>
    </row>
    <row r="35" spans="1:12" x14ac:dyDescent="0.2">
      <c r="A35" s="20"/>
      <c r="B35" s="21" t="s">
        <v>498</v>
      </c>
      <c r="C35" s="125">
        <v>9.4E-2</v>
      </c>
      <c r="D35" s="125">
        <v>2.7000000000000001E-3</v>
      </c>
      <c r="E35" s="125">
        <v>2.0000000000000001E-4</v>
      </c>
      <c r="F35" s="20"/>
      <c r="G35" s="21" t="s">
        <v>498</v>
      </c>
      <c r="H35" s="125">
        <v>0.1172</v>
      </c>
      <c r="I35" s="125">
        <v>1E-3</v>
      </c>
      <c r="J35" s="126">
        <v>1E-3</v>
      </c>
      <c r="K35" s="21"/>
    </row>
    <row r="36" spans="1:12" x14ac:dyDescent="0.2">
      <c r="A36" s="20"/>
      <c r="B36" s="21" t="s">
        <v>19</v>
      </c>
      <c r="C36" s="260"/>
      <c r="D36" s="125">
        <v>0.1009</v>
      </c>
      <c r="E36" s="125">
        <v>3.5999999999999999E-3</v>
      </c>
      <c r="F36" s="20"/>
      <c r="G36" s="21" t="s">
        <v>19</v>
      </c>
      <c r="H36" s="260"/>
      <c r="I36" s="125">
        <v>8.0000000000000002E-3</v>
      </c>
      <c r="J36" s="126">
        <v>1.34E-2</v>
      </c>
      <c r="K36" s="21"/>
    </row>
    <row r="37" spans="1:12" x14ac:dyDescent="0.2">
      <c r="A37" s="20"/>
      <c r="B37" s="21" t="s">
        <v>1177</v>
      </c>
      <c r="C37" s="125">
        <v>0.1009</v>
      </c>
      <c r="D37" s="260"/>
      <c r="E37" s="125">
        <v>0.20319999999999999</v>
      </c>
      <c r="F37" s="20"/>
      <c r="G37" s="21" t="s">
        <v>1177</v>
      </c>
      <c r="H37" s="125">
        <v>8.0000000000000002E-3</v>
      </c>
      <c r="I37" s="260"/>
      <c r="J37" s="126" t="s">
        <v>1133</v>
      </c>
      <c r="K37" s="21"/>
    </row>
    <row r="38" spans="1:12" x14ac:dyDescent="0.2">
      <c r="A38" s="20"/>
      <c r="B38" s="21" t="s">
        <v>1178</v>
      </c>
      <c r="C38" s="125">
        <v>3.5999999999999999E-3</v>
      </c>
      <c r="D38" s="125">
        <v>0.20319999999999999</v>
      </c>
      <c r="E38" s="260"/>
      <c r="F38" s="20"/>
      <c r="G38" s="21" t="s">
        <v>1178</v>
      </c>
      <c r="H38" s="125">
        <v>1.34E-2</v>
      </c>
      <c r="I38" s="125" t="s">
        <v>1133</v>
      </c>
      <c r="J38" s="263"/>
      <c r="K38" s="21"/>
    </row>
    <row r="39" spans="1:12" x14ac:dyDescent="0.2">
      <c r="A39" s="20" t="s">
        <v>1180</v>
      </c>
      <c r="B39" s="21" t="s">
        <v>498</v>
      </c>
      <c r="C39" s="125">
        <v>0.80189999999999995</v>
      </c>
      <c r="D39" s="125">
        <v>0.13669999999999999</v>
      </c>
      <c r="E39" s="125">
        <v>1.4800000000000001E-2</v>
      </c>
      <c r="F39" s="20"/>
      <c r="G39" s="125"/>
      <c r="H39" s="125"/>
      <c r="I39" s="21"/>
      <c r="J39" s="10"/>
      <c r="K39" s="21"/>
    </row>
    <row r="40" spans="1:12" x14ac:dyDescent="0.2">
      <c r="A40" s="20"/>
      <c r="B40" s="21" t="s">
        <v>19</v>
      </c>
      <c r="C40" s="260"/>
      <c r="D40" s="125">
        <v>0.35270000000000001</v>
      </c>
      <c r="E40" s="125">
        <v>3.2300000000000002E-2</v>
      </c>
      <c r="F40" s="17"/>
      <c r="G40" s="18" t="s">
        <v>1184</v>
      </c>
      <c r="H40" s="272"/>
      <c r="I40" s="18"/>
      <c r="J40" s="19"/>
      <c r="K40" s="21"/>
    </row>
    <row r="41" spans="1:12" x14ac:dyDescent="0.2">
      <c r="A41" s="20"/>
      <c r="B41" s="21" t="s">
        <v>1177</v>
      </c>
      <c r="C41" s="125">
        <v>0.35270000000000001</v>
      </c>
      <c r="D41" s="260"/>
      <c r="E41" s="125">
        <v>0.41499999999999998</v>
      </c>
      <c r="F41" s="137" t="s">
        <v>976</v>
      </c>
      <c r="G41" s="21" t="s">
        <v>1167</v>
      </c>
      <c r="H41" s="21" t="s">
        <v>19</v>
      </c>
      <c r="I41" s="21" t="s">
        <v>1177</v>
      </c>
      <c r="J41" s="10" t="s">
        <v>1178</v>
      </c>
      <c r="K41" s="21"/>
    </row>
    <row r="42" spans="1:12" x14ac:dyDescent="0.2">
      <c r="A42" s="20"/>
      <c r="B42" s="21" t="s">
        <v>1178</v>
      </c>
      <c r="C42" s="125">
        <v>3.2300000000000002E-2</v>
      </c>
      <c r="D42" s="125">
        <v>0.41499999999999998</v>
      </c>
      <c r="E42" s="260"/>
      <c r="F42" s="20"/>
      <c r="G42" s="21" t="s">
        <v>498</v>
      </c>
      <c r="H42" s="125">
        <v>3.78E-2</v>
      </c>
      <c r="I42" s="125">
        <v>0.96909999999999996</v>
      </c>
      <c r="J42" s="126">
        <v>0.6724</v>
      </c>
      <c r="K42" s="21"/>
      <c r="L42" s="122"/>
    </row>
    <row r="43" spans="1:12" x14ac:dyDescent="0.2">
      <c r="A43" s="20" t="s">
        <v>1181</v>
      </c>
      <c r="B43" s="21" t="s">
        <v>498</v>
      </c>
      <c r="C43" s="125">
        <v>0.49630000000000002</v>
      </c>
      <c r="D43" s="125">
        <v>6.9699999999999998E-2</v>
      </c>
      <c r="E43" s="125">
        <v>1.1599999999999999E-2</v>
      </c>
      <c r="F43" s="20"/>
      <c r="G43" s="21" t="s">
        <v>19</v>
      </c>
      <c r="H43" s="260"/>
      <c r="I43" s="125">
        <v>8.0500000000000002E-2</v>
      </c>
      <c r="J43" s="126">
        <v>0.31269999999999998</v>
      </c>
      <c r="K43" s="21"/>
      <c r="L43" s="122"/>
    </row>
    <row r="44" spans="1:12" x14ac:dyDescent="0.2">
      <c r="A44" s="20"/>
      <c r="B44" s="21" t="s">
        <v>19</v>
      </c>
      <c r="C44" s="260"/>
      <c r="D44" s="125">
        <v>0.40810000000000002</v>
      </c>
      <c r="E44" s="125">
        <v>6.0600000000000001E-2</v>
      </c>
      <c r="F44" s="20"/>
      <c r="G44" s="21" t="s">
        <v>1177</v>
      </c>
      <c r="H44" s="125">
        <v>8.0500000000000002E-2</v>
      </c>
      <c r="I44" s="260"/>
      <c r="J44" s="126">
        <v>0.91559999999999997</v>
      </c>
      <c r="K44" s="21"/>
      <c r="L44" s="122"/>
    </row>
    <row r="45" spans="1:12" x14ac:dyDescent="0.2">
      <c r="A45" s="20"/>
      <c r="B45" s="21" t="s">
        <v>1177</v>
      </c>
      <c r="C45" s="125">
        <v>0.40810000000000002</v>
      </c>
      <c r="D45" s="260"/>
      <c r="E45" s="125">
        <v>0.55559999999999998</v>
      </c>
      <c r="F45" s="20"/>
      <c r="G45" s="21" t="s">
        <v>1178</v>
      </c>
      <c r="H45" s="125">
        <v>0.31269999999999998</v>
      </c>
      <c r="I45" s="125">
        <v>0.91559999999999997</v>
      </c>
      <c r="J45" s="263"/>
      <c r="K45" s="21"/>
      <c r="L45" s="122"/>
    </row>
    <row r="46" spans="1:12" x14ac:dyDescent="0.2">
      <c r="A46" s="20"/>
      <c r="B46" s="21" t="s">
        <v>1178</v>
      </c>
      <c r="C46" s="125">
        <v>6.0600000000000001E-2</v>
      </c>
      <c r="D46" s="125">
        <v>0.55559999999999998</v>
      </c>
      <c r="E46" s="260"/>
      <c r="F46" s="20" t="s">
        <v>964</v>
      </c>
      <c r="G46" s="21" t="s">
        <v>498</v>
      </c>
      <c r="H46" s="125">
        <v>9.7999999999999997E-3</v>
      </c>
      <c r="I46" s="125">
        <v>2.9999999999999997E-4</v>
      </c>
      <c r="J46" s="126">
        <v>4.0000000000000002E-4</v>
      </c>
      <c r="K46" s="21"/>
      <c r="L46" s="122"/>
    </row>
    <row r="47" spans="1:12" x14ac:dyDescent="0.2">
      <c r="A47" s="20" t="s">
        <v>28</v>
      </c>
      <c r="B47" s="21" t="s">
        <v>498</v>
      </c>
      <c r="C47" s="125">
        <v>0.7</v>
      </c>
      <c r="D47" s="125">
        <v>4.53E-2</v>
      </c>
      <c r="E47" s="125">
        <v>3.9E-2</v>
      </c>
      <c r="F47" s="20"/>
      <c r="G47" s="21" t="s">
        <v>19</v>
      </c>
      <c r="H47" s="260"/>
      <c r="I47" s="125">
        <v>8.1600000000000006E-2</v>
      </c>
      <c r="J47" s="126">
        <v>6.5000000000000002E-2</v>
      </c>
      <c r="K47" s="21"/>
      <c r="L47" s="122"/>
    </row>
    <row r="48" spans="1:12" x14ac:dyDescent="0.2">
      <c r="A48" s="20"/>
      <c r="B48" s="21" t="s">
        <v>19</v>
      </c>
      <c r="C48" s="260"/>
      <c r="D48" s="125">
        <v>0.15640000000000001</v>
      </c>
      <c r="E48" s="125">
        <v>0.12690000000000001</v>
      </c>
      <c r="F48" s="20"/>
      <c r="G48" s="21" t="s">
        <v>1177</v>
      </c>
      <c r="H48" s="125">
        <v>8.1600000000000006E-2</v>
      </c>
      <c r="I48" s="260"/>
      <c r="J48" s="126">
        <v>0.98519999999999996</v>
      </c>
      <c r="K48" s="21"/>
    </row>
    <row r="49" spans="1:11" x14ac:dyDescent="0.2">
      <c r="A49" s="20"/>
      <c r="B49" s="21" t="s">
        <v>1177</v>
      </c>
      <c r="C49" s="125">
        <v>0.15640000000000001</v>
      </c>
      <c r="D49" s="260"/>
      <c r="E49" s="125">
        <v>0.98939999999999995</v>
      </c>
      <c r="F49" s="28"/>
      <c r="G49" s="26" t="s">
        <v>1178</v>
      </c>
      <c r="H49" s="128">
        <v>6.5000000000000002E-2</v>
      </c>
      <c r="I49" s="128">
        <v>0.98519999999999996</v>
      </c>
      <c r="J49" s="264"/>
      <c r="K49" s="21"/>
    </row>
    <row r="50" spans="1:11" x14ac:dyDescent="0.2">
      <c r="A50" s="28"/>
      <c r="B50" s="26" t="s">
        <v>1178</v>
      </c>
      <c r="C50" s="128">
        <v>0.12690000000000001</v>
      </c>
      <c r="D50" s="128">
        <v>0.98939999999999995</v>
      </c>
      <c r="E50" s="271"/>
      <c r="F50" s="20"/>
      <c r="G50" s="21"/>
      <c r="H50" s="21"/>
      <c r="I50" s="21"/>
      <c r="J50" s="21"/>
      <c r="K50" s="21"/>
    </row>
    <row r="51" spans="1:11" x14ac:dyDescent="0.2">
      <c r="F51" s="21"/>
      <c r="G51" s="21"/>
      <c r="H51" s="21"/>
      <c r="I51" s="21"/>
      <c r="J51" s="21"/>
      <c r="K51" s="21"/>
    </row>
    <row r="52" spans="1:11" x14ac:dyDescent="0.2">
      <c r="F52" s="21"/>
    </row>
  </sheetData>
  <mergeCells count="22">
    <mergeCell ref="A21:A22"/>
    <mergeCell ref="A23:A24"/>
    <mergeCell ref="B27:F27"/>
    <mergeCell ref="G27:L27"/>
    <mergeCell ref="M27:Q27"/>
    <mergeCell ref="R27:V27"/>
    <mergeCell ref="B15:F15"/>
    <mergeCell ref="G15:L15"/>
    <mergeCell ref="M15:Q15"/>
    <mergeCell ref="R15:V15"/>
    <mergeCell ref="B20:F20"/>
    <mergeCell ref="G20:L20"/>
    <mergeCell ref="M20:Q20"/>
    <mergeCell ref="R20:V20"/>
    <mergeCell ref="R9:V9"/>
    <mergeCell ref="B9:F9"/>
    <mergeCell ref="G9:L9"/>
    <mergeCell ref="M9:Q9"/>
    <mergeCell ref="B2:F2"/>
    <mergeCell ref="G2:L2"/>
    <mergeCell ref="M2:Q2"/>
    <mergeCell ref="R2:V2"/>
  </mergeCells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514989-C7C0-E348-840B-905244468476}">
  <dimension ref="A2:W12"/>
  <sheetViews>
    <sheetView zoomScale="77" zoomScaleNormal="77" workbookViewId="0">
      <selection activeCell="R41" sqref="R41"/>
    </sheetView>
  </sheetViews>
  <sheetFormatPr baseColWidth="10" defaultRowHeight="16" x14ac:dyDescent="0.2"/>
  <sheetData>
    <row r="2" spans="1:23" x14ac:dyDescent="0.2">
      <c r="A2" t="s">
        <v>993</v>
      </c>
      <c r="I2" s="10"/>
      <c r="J2" t="s">
        <v>981</v>
      </c>
      <c r="P2" s="10"/>
      <c r="Q2" t="s">
        <v>982</v>
      </c>
    </row>
    <row r="3" spans="1:23" x14ac:dyDescent="0.2">
      <c r="A3" t="s">
        <v>122</v>
      </c>
      <c r="B3" t="s">
        <v>983</v>
      </c>
      <c r="C3" t="s">
        <v>16</v>
      </c>
      <c r="D3" t="s">
        <v>17</v>
      </c>
      <c r="E3" t="s">
        <v>66</v>
      </c>
      <c r="F3" t="s">
        <v>984</v>
      </c>
      <c r="G3" t="s">
        <v>18</v>
      </c>
      <c r="H3" t="s">
        <v>19</v>
      </c>
      <c r="I3" s="10" t="s">
        <v>132</v>
      </c>
      <c r="J3" t="s">
        <v>16</v>
      </c>
      <c r="K3" t="s">
        <v>17</v>
      </c>
      <c r="L3" t="s">
        <v>66</v>
      </c>
      <c r="M3" t="s">
        <v>984</v>
      </c>
      <c r="N3" t="s">
        <v>18</v>
      </c>
      <c r="O3" t="s">
        <v>19</v>
      </c>
      <c r="P3" s="10" t="s">
        <v>132</v>
      </c>
      <c r="Q3" t="s">
        <v>16</v>
      </c>
      <c r="R3" t="s">
        <v>17</v>
      </c>
      <c r="S3" t="s">
        <v>66</v>
      </c>
      <c r="T3" t="s">
        <v>984</v>
      </c>
      <c r="U3" t="s">
        <v>18</v>
      </c>
      <c r="V3" t="s">
        <v>19</v>
      </c>
      <c r="W3" s="10" t="s">
        <v>132</v>
      </c>
    </row>
    <row r="4" spans="1:23" x14ac:dyDescent="0.2">
      <c r="A4" t="s">
        <v>985</v>
      </c>
      <c r="B4" s="146" t="s">
        <v>676</v>
      </c>
      <c r="C4" s="118">
        <v>1.71</v>
      </c>
      <c r="D4" s="64">
        <v>23.74</v>
      </c>
      <c r="E4" s="118">
        <v>2.1</v>
      </c>
      <c r="F4" s="118">
        <v>2.04</v>
      </c>
      <c r="G4" s="118">
        <v>2.1</v>
      </c>
      <c r="H4" s="118">
        <v>0.2</v>
      </c>
      <c r="I4" s="151">
        <v>1.78</v>
      </c>
      <c r="J4">
        <v>2.6827737684342639</v>
      </c>
      <c r="K4">
        <v>100</v>
      </c>
      <c r="L4">
        <v>0.15950538140774895</v>
      </c>
      <c r="M4">
        <v>5.5692055692055691</v>
      </c>
      <c r="N4">
        <v>1.2249897917517354</v>
      </c>
      <c r="O4">
        <v>0.38498556304138598</v>
      </c>
      <c r="P4" s="10">
        <v>0.77637719719108467</v>
      </c>
      <c r="Q4">
        <v>0</v>
      </c>
      <c r="R4">
        <v>0</v>
      </c>
      <c r="S4">
        <v>0</v>
      </c>
      <c r="T4">
        <v>0</v>
      </c>
      <c r="U4">
        <v>0</v>
      </c>
      <c r="V4">
        <v>0</v>
      </c>
      <c r="W4">
        <v>0</v>
      </c>
    </row>
    <row r="5" spans="1:23" x14ac:dyDescent="0.2">
      <c r="A5" t="s">
        <v>986</v>
      </c>
      <c r="B5" s="146" t="s">
        <v>680</v>
      </c>
      <c r="C5" s="64">
        <v>26.89</v>
      </c>
      <c r="D5" s="64">
        <v>16.45</v>
      </c>
      <c r="E5" s="64">
        <v>665.04</v>
      </c>
      <c r="F5" s="64">
        <v>7.17</v>
      </c>
      <c r="G5" s="64">
        <v>53.68</v>
      </c>
      <c r="H5" s="64">
        <v>4.75</v>
      </c>
      <c r="I5" s="72">
        <v>153.16</v>
      </c>
      <c r="J5">
        <v>42.187009727015997</v>
      </c>
      <c r="K5">
        <v>69.292333614153335</v>
      </c>
      <c r="L5">
        <v>50.513075643528261</v>
      </c>
      <c r="M5">
        <v>19.574119574119571</v>
      </c>
      <c r="N5">
        <v>31.313072391063407</v>
      </c>
      <c r="O5">
        <v>9.1434071222329152</v>
      </c>
      <c r="P5" s="10">
        <v>66.803332315610405</v>
      </c>
      <c r="Q5">
        <v>39.504235958581731</v>
      </c>
      <c r="R5">
        <v>-30.707666385846665</v>
      </c>
      <c r="S5">
        <v>50.353570262120513</v>
      </c>
      <c r="T5">
        <v>14.004914004914003</v>
      </c>
      <c r="U5">
        <v>30.088082599311672</v>
      </c>
      <c r="V5">
        <v>8.7584215591915289</v>
      </c>
      <c r="W5">
        <v>66.026955118419323</v>
      </c>
    </row>
    <row r="6" spans="1:23" x14ac:dyDescent="0.2">
      <c r="A6" t="s">
        <v>987</v>
      </c>
      <c r="B6" s="146" t="s">
        <v>705</v>
      </c>
      <c r="C6" s="64">
        <v>44.11</v>
      </c>
      <c r="D6" s="64">
        <v>20.59</v>
      </c>
      <c r="E6" s="64">
        <v>1316.57</v>
      </c>
      <c r="F6" s="64">
        <v>2.5099999999999998</v>
      </c>
      <c r="G6" s="64">
        <v>171.43</v>
      </c>
      <c r="H6" s="64">
        <v>51.95</v>
      </c>
      <c r="I6" s="72">
        <v>229.27</v>
      </c>
      <c r="J6">
        <v>69.203012237213684</v>
      </c>
      <c r="K6">
        <v>86.731255265374898</v>
      </c>
      <c r="L6">
        <v>100</v>
      </c>
      <c r="M6">
        <v>6.8523068523068513</v>
      </c>
      <c r="N6">
        <v>100</v>
      </c>
      <c r="O6">
        <v>100</v>
      </c>
      <c r="P6" s="10">
        <v>100</v>
      </c>
      <c r="Q6">
        <v>66.520238468779425</v>
      </c>
      <c r="R6">
        <v>-13.268744734625102</v>
      </c>
      <c r="S6">
        <v>99.840494618592246</v>
      </c>
      <c r="T6">
        <v>1.2831012831012822</v>
      </c>
      <c r="U6">
        <v>98.775010208248261</v>
      </c>
      <c r="V6">
        <v>99.615014436958617</v>
      </c>
      <c r="W6">
        <v>99.223622802808919</v>
      </c>
    </row>
    <row r="7" spans="1:23" x14ac:dyDescent="0.2">
      <c r="A7" t="s">
        <v>988</v>
      </c>
      <c r="B7" s="146" t="s">
        <v>707</v>
      </c>
      <c r="C7" s="64">
        <v>63.74</v>
      </c>
      <c r="D7" s="64">
        <v>22.03</v>
      </c>
      <c r="E7" s="64">
        <v>298.94</v>
      </c>
      <c r="F7" s="64">
        <v>36.630000000000003</v>
      </c>
      <c r="G7" s="118">
        <v>2.1</v>
      </c>
      <c r="H7" s="118">
        <v>0.2</v>
      </c>
      <c r="I7" s="72">
        <v>187.55</v>
      </c>
      <c r="J7">
        <v>100</v>
      </c>
      <c r="K7">
        <v>92.796967144060673</v>
      </c>
      <c r="L7">
        <v>22.7059708181107</v>
      </c>
      <c r="M7">
        <v>100</v>
      </c>
      <c r="N7">
        <v>1.2249897917517354</v>
      </c>
      <c r="O7">
        <v>0.38498556304138598</v>
      </c>
      <c r="P7" s="10">
        <v>81.803114232128067</v>
      </c>
      <c r="Q7">
        <v>97.317226231565741</v>
      </c>
      <c r="R7">
        <v>-7.2030328559393269</v>
      </c>
      <c r="S7">
        <v>22.546465436702952</v>
      </c>
      <c r="T7">
        <v>94.430794430794435</v>
      </c>
      <c r="U7">
        <v>0</v>
      </c>
      <c r="V7">
        <v>0</v>
      </c>
      <c r="W7">
        <v>81.026737034936986</v>
      </c>
    </row>
    <row r="8" spans="1:23" x14ac:dyDescent="0.2">
      <c r="A8" t="s">
        <v>994</v>
      </c>
      <c r="B8" s="146"/>
      <c r="C8" s="64"/>
      <c r="D8" s="64"/>
      <c r="E8" s="64"/>
      <c r="F8" s="64"/>
      <c r="G8" s="118"/>
      <c r="H8" s="118"/>
      <c r="I8" s="72"/>
      <c r="P8" s="10"/>
    </row>
    <row r="9" spans="1:23" x14ac:dyDescent="0.2">
      <c r="A9" t="s">
        <v>989</v>
      </c>
      <c r="B9" s="146" t="s">
        <v>710</v>
      </c>
      <c r="C9" s="64">
        <v>6.02</v>
      </c>
      <c r="D9" s="64">
        <v>56.08</v>
      </c>
      <c r="E9" s="64">
        <v>6.71</v>
      </c>
      <c r="F9" s="64">
        <v>11.34</v>
      </c>
      <c r="G9" s="64">
        <v>2.38</v>
      </c>
      <c r="H9" s="118">
        <v>0.2</v>
      </c>
      <c r="I9" s="72">
        <v>3.32</v>
      </c>
      <c r="J9">
        <v>9.7363739285136663</v>
      </c>
      <c r="K9">
        <v>100</v>
      </c>
      <c r="L9">
        <v>0.69823100936524451</v>
      </c>
      <c r="M9">
        <v>34.239130434782609</v>
      </c>
      <c r="N9">
        <v>1.5604510883818514</v>
      </c>
      <c r="O9">
        <v>0.65295461965393409</v>
      </c>
      <c r="P9" s="10">
        <v>1.4534629191839592</v>
      </c>
      <c r="Q9">
        <v>0</v>
      </c>
      <c r="R9">
        <v>0</v>
      </c>
      <c r="S9">
        <v>0</v>
      </c>
      <c r="T9">
        <v>0</v>
      </c>
      <c r="U9">
        <v>0</v>
      </c>
      <c r="V9">
        <v>0</v>
      </c>
      <c r="W9">
        <v>0</v>
      </c>
    </row>
    <row r="10" spans="1:23" x14ac:dyDescent="0.2">
      <c r="A10" t="s">
        <v>990</v>
      </c>
      <c r="B10" s="146" t="s">
        <v>714</v>
      </c>
      <c r="C10" s="64">
        <v>37.18</v>
      </c>
      <c r="D10" s="64">
        <v>20.88</v>
      </c>
      <c r="E10" s="64">
        <v>961</v>
      </c>
      <c r="F10" s="64">
        <v>6.29</v>
      </c>
      <c r="G10" s="64">
        <v>67.2</v>
      </c>
      <c r="H10" s="64">
        <v>7.01</v>
      </c>
      <c r="I10" s="72">
        <v>228.42</v>
      </c>
      <c r="J10">
        <v>60.132621704674108</v>
      </c>
      <c r="K10">
        <v>37.232524964336662</v>
      </c>
      <c r="L10">
        <v>100</v>
      </c>
      <c r="M10">
        <v>18.99154589371981</v>
      </c>
      <c r="N10">
        <v>44.059795436664047</v>
      </c>
      <c r="O10">
        <v>22.886059418870389</v>
      </c>
      <c r="P10" s="10">
        <v>100</v>
      </c>
      <c r="Q10">
        <v>50.396247776160443</v>
      </c>
      <c r="R10">
        <v>-62.767475035663338</v>
      </c>
      <c r="S10">
        <v>99.301768990634756</v>
      </c>
      <c r="T10">
        <v>-15.2475845410628</v>
      </c>
      <c r="U10">
        <v>42.499344348282193</v>
      </c>
      <c r="V10">
        <v>22.233104799216456</v>
      </c>
      <c r="W10">
        <v>98.546537080816037</v>
      </c>
    </row>
    <row r="11" spans="1:23" x14ac:dyDescent="0.2">
      <c r="A11" t="s">
        <v>991</v>
      </c>
      <c r="B11" s="146" t="s">
        <v>716</v>
      </c>
      <c r="C11" s="64">
        <v>29.56</v>
      </c>
      <c r="D11" s="64">
        <v>12.17</v>
      </c>
      <c r="E11" s="64">
        <v>847.99</v>
      </c>
      <c r="F11" s="118">
        <v>2.04</v>
      </c>
      <c r="G11" s="64">
        <v>152.52000000000001</v>
      </c>
      <c r="H11" s="64">
        <v>30.63</v>
      </c>
      <c r="I11" s="72">
        <v>195.08</v>
      </c>
      <c r="J11">
        <v>47.808507197153482</v>
      </c>
      <c r="K11">
        <v>21.701141226818834</v>
      </c>
      <c r="L11">
        <v>88.240374609781483</v>
      </c>
      <c r="M11">
        <v>6.1594202898550732</v>
      </c>
      <c r="N11">
        <v>100</v>
      </c>
      <c r="O11">
        <v>100</v>
      </c>
      <c r="P11" s="10">
        <v>85.404080203134598</v>
      </c>
      <c r="Q11">
        <v>38.072133268639817</v>
      </c>
      <c r="R11">
        <v>-78.298858773181166</v>
      </c>
      <c r="S11">
        <v>87.542143600416239</v>
      </c>
      <c r="T11">
        <v>-28.079710144927535</v>
      </c>
      <c r="U11">
        <v>98.439548911618147</v>
      </c>
      <c r="V11">
        <v>99.34704538034606</v>
      </c>
      <c r="W11">
        <v>83.950617283950635</v>
      </c>
    </row>
    <row r="12" spans="1:23" x14ac:dyDescent="0.2">
      <c r="A12" t="s">
        <v>992</v>
      </c>
      <c r="B12" s="146" t="s">
        <v>718</v>
      </c>
      <c r="C12" s="64">
        <v>61.83</v>
      </c>
      <c r="D12" s="64">
        <v>27.08</v>
      </c>
      <c r="E12" s="64">
        <v>274.8</v>
      </c>
      <c r="F12" s="64">
        <v>33.119999999999997</v>
      </c>
      <c r="G12" s="64">
        <v>16.43</v>
      </c>
      <c r="H12" s="118">
        <v>0.2</v>
      </c>
      <c r="I12" s="72">
        <v>181.24</v>
      </c>
      <c r="J12">
        <v>100</v>
      </c>
      <c r="K12">
        <v>48.288159771754636</v>
      </c>
      <c r="L12">
        <v>28.5952133194589</v>
      </c>
      <c r="M12">
        <v>100</v>
      </c>
      <c r="N12">
        <v>10.772357723577235</v>
      </c>
      <c r="O12">
        <v>0.65295461965393409</v>
      </c>
      <c r="P12" s="10">
        <v>79.34506610629542</v>
      </c>
      <c r="Q12">
        <v>90.263626071486328</v>
      </c>
      <c r="R12">
        <v>-51.711840228245364</v>
      </c>
      <c r="S12">
        <v>27.896982310093655</v>
      </c>
      <c r="T12">
        <v>65.760869565217391</v>
      </c>
      <c r="U12">
        <v>9.2119066351953833</v>
      </c>
      <c r="V12">
        <v>0</v>
      </c>
      <c r="W12">
        <v>77.891603187111457</v>
      </c>
    </row>
  </sheetData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51976F-5096-954C-B8FE-205E6AC39119}">
  <sheetPr codeName="Sheet38"/>
  <dimension ref="A1:AE29"/>
  <sheetViews>
    <sheetView workbookViewId="0">
      <selection activeCell="R28" sqref="R28"/>
    </sheetView>
  </sheetViews>
  <sheetFormatPr baseColWidth="10" defaultRowHeight="16" x14ac:dyDescent="0.2"/>
  <sheetData>
    <row r="1" spans="1:31" x14ac:dyDescent="0.2">
      <c r="A1" t="s">
        <v>1249</v>
      </c>
    </row>
    <row r="2" spans="1:31" x14ac:dyDescent="0.2">
      <c r="A2" s="123" t="s">
        <v>375</v>
      </c>
      <c r="B2" s="308" t="s">
        <v>20</v>
      </c>
      <c r="C2" s="318"/>
      <c r="D2" s="318"/>
      <c r="E2" s="318"/>
      <c r="F2" s="318"/>
      <c r="G2" s="318"/>
      <c r="H2" s="319"/>
      <c r="I2" s="308" t="s">
        <v>380</v>
      </c>
      <c r="J2" s="318"/>
      <c r="K2" s="318"/>
      <c r="L2" s="318"/>
      <c r="M2" s="318"/>
      <c r="N2" s="318"/>
      <c r="O2" s="318"/>
      <c r="P2" s="319"/>
      <c r="Q2" s="308" t="s">
        <v>381</v>
      </c>
      <c r="R2" s="318"/>
      <c r="S2" s="318"/>
      <c r="T2" s="318"/>
      <c r="U2" s="318"/>
      <c r="V2" s="318"/>
      <c r="W2" s="319"/>
      <c r="X2" s="308" t="s">
        <v>382</v>
      </c>
      <c r="Y2" s="318"/>
      <c r="Z2" s="318"/>
      <c r="AA2" s="318"/>
      <c r="AB2" s="318"/>
      <c r="AC2" s="318"/>
      <c r="AD2" s="318"/>
      <c r="AE2" s="319"/>
    </row>
    <row r="3" spans="1:31" x14ac:dyDescent="0.2">
      <c r="A3" s="130">
        <v>0</v>
      </c>
      <c r="B3" s="124">
        <v>38.032181999999999</v>
      </c>
      <c r="C3" s="125">
        <v>11.763456</v>
      </c>
      <c r="D3" s="125">
        <v>20.7502</v>
      </c>
      <c r="E3" s="125">
        <v>19.415807999999998</v>
      </c>
      <c r="F3" s="125">
        <v>11.051612</v>
      </c>
      <c r="G3" s="125">
        <v>15.833831999999999</v>
      </c>
      <c r="H3" s="126"/>
      <c r="I3" s="124">
        <v>15.007876</v>
      </c>
      <c r="J3" s="125">
        <v>24.112096000000001</v>
      </c>
      <c r="K3" s="125">
        <v>12.150072</v>
      </c>
      <c r="L3" s="125">
        <v>10.97728</v>
      </c>
      <c r="M3" s="125">
        <v>34.620640999999999</v>
      </c>
      <c r="N3" s="125">
        <v>24.74465</v>
      </c>
      <c r="O3" s="125">
        <v>16.556761000000002</v>
      </c>
      <c r="P3" s="126"/>
      <c r="Q3" s="124">
        <v>31.997834999999998</v>
      </c>
      <c r="R3" s="125">
        <v>9.1295999999999999</v>
      </c>
      <c r="S3" s="125">
        <v>14.607215999999999</v>
      </c>
      <c r="T3" s="125">
        <v>19.855485999999999</v>
      </c>
      <c r="U3" s="125">
        <v>13.561344</v>
      </c>
      <c r="V3" s="125">
        <v>16.841445499999999</v>
      </c>
      <c r="W3" s="126"/>
      <c r="X3" s="124">
        <v>22.757300999999998</v>
      </c>
      <c r="Y3" s="125">
        <v>7.0087679999999999</v>
      </c>
      <c r="Z3" s="125">
        <v>28.045138000000001</v>
      </c>
      <c r="AA3" s="125">
        <v>13.767754</v>
      </c>
      <c r="AB3" s="125">
        <v>30.341034000000001</v>
      </c>
      <c r="AC3" s="125">
        <v>14.509312</v>
      </c>
      <c r="AD3" s="125">
        <v>17.428125000000001</v>
      </c>
      <c r="AE3" s="126"/>
    </row>
    <row r="4" spans="1:31" x14ac:dyDescent="0.2">
      <c r="A4" s="131">
        <v>2</v>
      </c>
      <c r="B4" s="124">
        <v>65.313863999999995</v>
      </c>
      <c r="C4" s="125">
        <v>12.763602000000001</v>
      </c>
      <c r="D4" s="125">
        <v>29.475842</v>
      </c>
      <c r="E4" s="125">
        <v>18.825785</v>
      </c>
      <c r="F4" s="125">
        <v>12.1</v>
      </c>
      <c r="G4" s="125">
        <v>20.275200000000002</v>
      </c>
      <c r="H4" s="126"/>
      <c r="I4" s="124">
        <v>39.650187500000001</v>
      </c>
      <c r="J4" s="125">
        <v>33.901555500000001</v>
      </c>
      <c r="K4" s="125">
        <v>28.959619499999999</v>
      </c>
      <c r="L4" s="125">
        <v>38.002470000000002</v>
      </c>
      <c r="M4" s="125">
        <v>99.394627</v>
      </c>
      <c r="N4" s="125">
        <v>38.159999999999997</v>
      </c>
      <c r="O4" s="125">
        <v>22.700223999999999</v>
      </c>
      <c r="P4" s="126"/>
      <c r="Q4" s="124">
        <v>43.963695999999999</v>
      </c>
      <c r="R4" s="125">
        <v>11.654792</v>
      </c>
      <c r="S4" s="125">
        <v>17.057107999999999</v>
      </c>
      <c r="T4" s="125">
        <v>14.8565095</v>
      </c>
      <c r="U4" s="125">
        <v>16.362769499999999</v>
      </c>
      <c r="V4" s="125">
        <v>15.75</v>
      </c>
      <c r="W4" s="126"/>
      <c r="X4" s="124">
        <v>29.111837999999999</v>
      </c>
      <c r="Y4" s="125">
        <v>28.867518</v>
      </c>
      <c r="Z4" s="125">
        <v>37.500190000000003</v>
      </c>
      <c r="AA4" s="125">
        <v>31.17465</v>
      </c>
      <c r="AB4" s="125">
        <v>38.128639499999998</v>
      </c>
      <c r="AC4" s="125">
        <v>14.164237999999999</v>
      </c>
      <c r="AD4" s="125">
        <v>21.578109999999999</v>
      </c>
      <c r="AE4" s="126"/>
    </row>
    <row r="5" spans="1:31" x14ac:dyDescent="0.2">
      <c r="A5" s="131">
        <v>5</v>
      </c>
      <c r="B5" s="124">
        <v>120.97079600000001</v>
      </c>
      <c r="C5" s="125">
        <v>43.414608000000001</v>
      </c>
      <c r="D5" s="125">
        <v>97.500832000000003</v>
      </c>
      <c r="E5" s="125">
        <v>34.884450999999999</v>
      </c>
      <c r="F5" s="125">
        <v>39.171840000000003</v>
      </c>
      <c r="G5" s="125">
        <v>63.470970000000001</v>
      </c>
      <c r="H5" s="126"/>
      <c r="I5" s="124">
        <v>76.008095999999995</v>
      </c>
      <c r="J5" s="125">
        <v>52.496607500000003</v>
      </c>
      <c r="K5" s="125">
        <v>56.090055</v>
      </c>
      <c r="L5" s="125">
        <v>83.834333999999998</v>
      </c>
      <c r="M5" s="125">
        <v>189.46550999999999</v>
      </c>
      <c r="N5" s="125">
        <v>84.697645499999993</v>
      </c>
      <c r="O5" s="125">
        <v>33.686211999999998</v>
      </c>
      <c r="P5" s="126"/>
      <c r="Q5" s="124">
        <v>79.570199500000001</v>
      </c>
      <c r="R5" s="125">
        <v>4.46</v>
      </c>
      <c r="S5" s="125">
        <v>33.314449500000002</v>
      </c>
      <c r="T5" s="125">
        <v>12.663175000000001</v>
      </c>
      <c r="U5" s="125">
        <v>24.284700000000001</v>
      </c>
      <c r="V5" s="125">
        <v>41.501245500000003</v>
      </c>
      <c r="W5" s="126"/>
      <c r="X5" s="124">
        <v>46.301859999999998</v>
      </c>
      <c r="Y5" s="125">
        <v>23.561892</v>
      </c>
      <c r="Z5" s="125">
        <v>91.019549999999995</v>
      </c>
      <c r="AA5" s="125">
        <v>16.494152</v>
      </c>
      <c r="AB5" s="125">
        <v>55.509034499999999</v>
      </c>
      <c r="AC5" s="125">
        <v>14.3339625</v>
      </c>
      <c r="AD5" s="125">
        <v>29.2065345</v>
      </c>
      <c r="AE5" s="126"/>
    </row>
    <row r="6" spans="1:31" x14ac:dyDescent="0.2">
      <c r="A6" s="131">
        <v>7</v>
      </c>
      <c r="B6" s="124">
        <v>240.54642699999999</v>
      </c>
      <c r="C6" s="125">
        <v>126.16912000000001</v>
      </c>
      <c r="D6" s="125">
        <v>189.89107200000001</v>
      </c>
      <c r="E6" s="125">
        <v>72.162787499999993</v>
      </c>
      <c r="F6" s="125">
        <v>84.596968500000003</v>
      </c>
      <c r="G6" s="125">
        <v>227.33281299999999</v>
      </c>
      <c r="H6" s="126"/>
      <c r="I6" s="124">
        <v>142.58484000000001</v>
      </c>
      <c r="J6" s="125">
        <v>128.39715000000001</v>
      </c>
      <c r="K6" s="125">
        <v>151.61259999999999</v>
      </c>
      <c r="L6" s="125">
        <v>205.85703599999999</v>
      </c>
      <c r="M6" s="125">
        <v>253.400882</v>
      </c>
      <c r="N6" s="125">
        <v>143.41404800000001</v>
      </c>
      <c r="O6" s="125">
        <v>45.558917999999998</v>
      </c>
      <c r="P6" s="126"/>
      <c r="Q6" s="124">
        <v>138.98032000000001</v>
      </c>
      <c r="R6" s="125">
        <v>7.8048000000000002</v>
      </c>
      <c r="S6" s="125">
        <v>53.587967999999996</v>
      </c>
      <c r="T6" s="125">
        <v>26.405366000000001</v>
      </c>
      <c r="U6" s="125">
        <v>75.154122000000001</v>
      </c>
      <c r="V6" s="125">
        <v>62.467469999999999</v>
      </c>
      <c r="W6" s="126"/>
      <c r="X6" s="124">
        <v>68.008762500000003</v>
      </c>
      <c r="Y6" s="125">
        <v>42.072412499999999</v>
      </c>
      <c r="Z6" s="125">
        <v>123.882976</v>
      </c>
      <c r="AA6" s="125">
        <v>30.109302</v>
      </c>
      <c r="AB6" s="125">
        <v>101.087604</v>
      </c>
      <c r="AC6" s="125">
        <v>12.818987999999999</v>
      </c>
      <c r="AD6" s="125">
        <v>40.466810500000001</v>
      </c>
      <c r="AE6" s="126"/>
    </row>
    <row r="7" spans="1:31" x14ac:dyDescent="0.2">
      <c r="A7" s="131">
        <v>9</v>
      </c>
      <c r="B7" s="124">
        <v>297.91897399999999</v>
      </c>
      <c r="C7" s="125">
        <v>182.92604800000001</v>
      </c>
      <c r="D7" s="125">
        <v>302.81099899999998</v>
      </c>
      <c r="E7" s="125">
        <v>89.185749999999999</v>
      </c>
      <c r="F7" s="125">
        <v>229.01840000000001</v>
      </c>
      <c r="G7" s="125">
        <v>372.007025</v>
      </c>
      <c r="H7" s="126"/>
      <c r="I7" s="124">
        <v>173.723814</v>
      </c>
      <c r="J7" s="125">
        <v>174.67992000000001</v>
      </c>
      <c r="K7" s="125">
        <v>104.30694</v>
      </c>
      <c r="L7" s="125">
        <v>352.21875</v>
      </c>
      <c r="M7" s="125">
        <v>412.96979800000003</v>
      </c>
      <c r="N7" s="125">
        <v>170.39439999999999</v>
      </c>
      <c r="O7" s="125">
        <v>47.143124999999998</v>
      </c>
      <c r="P7" s="126"/>
      <c r="Q7" s="124">
        <v>208.05915200000001</v>
      </c>
      <c r="R7" s="125">
        <v>7.7591124999999996</v>
      </c>
      <c r="S7" s="125">
        <v>97.841342999999995</v>
      </c>
      <c r="T7" s="125">
        <v>42.459511499999998</v>
      </c>
      <c r="U7" s="125">
        <v>175.82759999999999</v>
      </c>
      <c r="V7" s="125">
        <v>166.268912</v>
      </c>
      <c r="W7" s="126"/>
      <c r="X7" s="124">
        <v>44.292368000000003</v>
      </c>
      <c r="Y7" s="125">
        <v>10.024696499999999</v>
      </c>
      <c r="Z7" s="125">
        <v>117.669591</v>
      </c>
      <c r="AA7" s="125">
        <v>32.5735125</v>
      </c>
      <c r="AB7" s="125">
        <v>167.25600499999999</v>
      </c>
      <c r="AC7" s="125">
        <v>20.3643</v>
      </c>
      <c r="AD7" s="125">
        <v>79.036416000000003</v>
      </c>
      <c r="AE7" s="126"/>
    </row>
    <row r="8" spans="1:31" x14ac:dyDescent="0.2">
      <c r="A8" s="131">
        <v>12</v>
      </c>
      <c r="B8" s="124">
        <v>425.08746600000001</v>
      </c>
      <c r="C8" s="125">
        <v>397.44116100000002</v>
      </c>
      <c r="D8" s="125">
        <v>939.53860199999997</v>
      </c>
      <c r="E8" s="125">
        <v>246.47167999999999</v>
      </c>
      <c r="F8" s="125">
        <v>455.48949599999997</v>
      </c>
      <c r="G8" s="125">
        <v>1000</v>
      </c>
      <c r="H8" s="126"/>
      <c r="I8" s="124">
        <v>256.166563</v>
      </c>
      <c r="J8" s="125">
        <v>436.53844600000002</v>
      </c>
      <c r="K8" s="125" t="s">
        <v>383</v>
      </c>
      <c r="L8" s="125">
        <v>945.60051199999998</v>
      </c>
      <c r="M8" s="125">
        <v>1000</v>
      </c>
      <c r="N8" s="125">
        <v>453.09652499999999</v>
      </c>
      <c r="O8" s="125">
        <v>91.747057999999996</v>
      </c>
      <c r="P8" s="126"/>
      <c r="Q8" s="124">
        <v>424.46875</v>
      </c>
      <c r="R8" s="125">
        <v>26.082969500000001</v>
      </c>
      <c r="S8" s="125">
        <v>417.86572799999999</v>
      </c>
      <c r="T8" s="125">
        <v>128.2825</v>
      </c>
      <c r="U8" s="125">
        <v>603.71185000000003</v>
      </c>
      <c r="V8" s="125">
        <v>594.63445000000002</v>
      </c>
      <c r="W8" s="126"/>
      <c r="X8" s="124">
        <v>79.260772000000003</v>
      </c>
      <c r="Y8" s="125">
        <v>12.803364</v>
      </c>
      <c r="Z8" s="125">
        <v>214.00858600000001</v>
      </c>
      <c r="AA8" s="125">
        <v>47.818925999999998</v>
      </c>
      <c r="AB8" s="125">
        <v>150.51141699999999</v>
      </c>
      <c r="AC8" s="125">
        <v>3.7515624999999999</v>
      </c>
      <c r="AD8" s="125">
        <v>84.637696000000005</v>
      </c>
      <c r="AE8" s="126"/>
    </row>
    <row r="9" spans="1:31" x14ac:dyDescent="0.2">
      <c r="A9" s="131">
        <v>14</v>
      </c>
      <c r="B9" s="124" t="s">
        <v>383</v>
      </c>
      <c r="C9" s="125">
        <v>1000</v>
      </c>
      <c r="D9" s="125">
        <v>1000</v>
      </c>
      <c r="E9" s="125">
        <v>745.14105099999995</v>
      </c>
      <c r="F9" s="125">
        <v>1000</v>
      </c>
      <c r="G9" s="125">
        <v>1000</v>
      </c>
      <c r="H9" s="126"/>
      <c r="I9" s="124">
        <v>655.81718799999999</v>
      </c>
      <c r="J9" s="125">
        <v>831.46714699999995</v>
      </c>
      <c r="K9" s="125"/>
      <c r="L9" s="125">
        <v>1000</v>
      </c>
      <c r="M9" s="125">
        <v>1000</v>
      </c>
      <c r="N9" s="125" t="s">
        <v>383</v>
      </c>
      <c r="O9" s="125">
        <v>221.72371999999999</v>
      </c>
      <c r="P9" s="126"/>
      <c r="Q9" s="124">
        <v>585.34070099999997</v>
      </c>
      <c r="R9" s="125">
        <v>85.358785499999996</v>
      </c>
      <c r="S9" s="125">
        <v>1000</v>
      </c>
      <c r="T9" s="125">
        <v>404.58868799999999</v>
      </c>
      <c r="U9" s="125">
        <v>1000</v>
      </c>
      <c r="V9" s="125" t="s">
        <v>383</v>
      </c>
      <c r="W9" s="126"/>
      <c r="X9" s="124">
        <v>123.25223200000001</v>
      </c>
      <c r="Y9" s="125">
        <v>19.315584000000001</v>
      </c>
      <c r="Z9" s="125">
        <v>337.46686399999999</v>
      </c>
      <c r="AA9" s="125">
        <v>87.982968</v>
      </c>
      <c r="AB9" s="125">
        <v>269.00170500000002</v>
      </c>
      <c r="AC9" s="125">
        <v>11.11725</v>
      </c>
      <c r="AD9" s="125">
        <v>169.163712</v>
      </c>
      <c r="AE9" s="126"/>
    </row>
    <row r="10" spans="1:31" x14ac:dyDescent="0.2">
      <c r="A10" s="132">
        <v>16</v>
      </c>
      <c r="B10" s="127"/>
      <c r="C10" s="128">
        <v>1000</v>
      </c>
      <c r="D10" s="128">
        <v>1000</v>
      </c>
      <c r="E10" s="128">
        <v>1000</v>
      </c>
      <c r="F10" s="128">
        <v>1000</v>
      </c>
      <c r="G10" s="128">
        <v>1000</v>
      </c>
      <c r="H10" s="129"/>
      <c r="I10" s="127">
        <v>930.65347199999997</v>
      </c>
      <c r="J10" s="128">
        <v>1000</v>
      </c>
      <c r="K10" s="128"/>
      <c r="L10" s="128">
        <v>1000</v>
      </c>
      <c r="M10" s="128">
        <v>1000</v>
      </c>
      <c r="N10" s="128"/>
      <c r="O10" s="128">
        <v>462.90939500000002</v>
      </c>
      <c r="P10" s="129"/>
      <c r="Q10" s="127">
        <v>910.93868999999995</v>
      </c>
      <c r="R10" s="128">
        <v>156.21015600000001</v>
      </c>
      <c r="S10" s="128">
        <v>1000</v>
      </c>
      <c r="T10" s="128">
        <v>538.33770500000003</v>
      </c>
      <c r="U10" s="128">
        <v>1000</v>
      </c>
      <c r="V10" s="128"/>
      <c r="W10" s="129"/>
      <c r="X10" s="127">
        <v>138.57797299999999</v>
      </c>
      <c r="Y10" s="128">
        <v>15.952510999999999</v>
      </c>
      <c r="Z10" s="128">
        <v>583.21253000000002</v>
      </c>
      <c r="AA10" s="128">
        <v>48.185742500000003</v>
      </c>
      <c r="AB10" s="128">
        <v>148.529888</v>
      </c>
      <c r="AC10" s="128">
        <v>11.07371</v>
      </c>
      <c r="AD10" s="128">
        <v>119.17817599999999</v>
      </c>
      <c r="AE10" s="129"/>
    </row>
    <row r="12" spans="1:31" x14ac:dyDescent="0.2">
      <c r="A12" t="s">
        <v>1230</v>
      </c>
    </row>
    <row r="13" spans="1:31" x14ac:dyDescent="0.2">
      <c r="A13" s="203"/>
      <c r="B13" s="302" t="s">
        <v>995</v>
      </c>
      <c r="C13" s="307"/>
      <c r="D13" s="307"/>
      <c r="E13" s="307"/>
      <c r="F13" s="307"/>
      <c r="G13" s="307"/>
      <c r="H13" s="303"/>
      <c r="I13" s="302" t="s">
        <v>996</v>
      </c>
      <c r="J13" s="307"/>
      <c r="K13" s="307"/>
      <c r="L13" s="307"/>
      <c r="M13" s="307"/>
      <c r="N13" s="307"/>
      <c r="O13" s="303"/>
    </row>
    <row r="14" spans="1:31" x14ac:dyDescent="0.2">
      <c r="A14" s="214" t="s">
        <v>968</v>
      </c>
      <c r="B14" s="205">
        <v>2.4237575499999999</v>
      </c>
      <c r="C14" s="206">
        <v>15.3255178</v>
      </c>
      <c r="D14" s="206">
        <v>2.5226277399999999</v>
      </c>
      <c r="E14" s="206"/>
      <c r="F14" s="206"/>
      <c r="G14" s="206"/>
      <c r="H14" s="207"/>
      <c r="I14" s="205">
        <v>6.4461201700000004</v>
      </c>
      <c r="J14" s="206">
        <v>49.863824700000002</v>
      </c>
      <c r="K14" s="206">
        <v>7.24449538</v>
      </c>
      <c r="L14" s="206">
        <v>11.6398569</v>
      </c>
      <c r="M14" s="206">
        <v>4.3256909400000003</v>
      </c>
      <c r="N14" s="206">
        <v>37.820905699999997</v>
      </c>
      <c r="O14" s="207">
        <v>3.3196642700000001</v>
      </c>
    </row>
    <row r="15" spans="1:31" x14ac:dyDescent="0.2">
      <c r="A15" s="40"/>
      <c r="B15" s="20"/>
      <c r="C15" s="21"/>
      <c r="D15" s="21"/>
      <c r="E15" s="21"/>
      <c r="F15" s="21"/>
      <c r="G15" s="21"/>
      <c r="H15" s="10"/>
      <c r="I15" s="20"/>
      <c r="J15" s="21"/>
      <c r="K15" s="21"/>
      <c r="L15" s="21"/>
      <c r="M15" s="21"/>
      <c r="N15" s="21"/>
      <c r="O15" s="10"/>
    </row>
    <row r="16" spans="1:31" x14ac:dyDescent="0.2">
      <c r="A16" s="223"/>
      <c r="B16" s="302" t="s">
        <v>995</v>
      </c>
      <c r="C16" s="307"/>
      <c r="D16" s="307"/>
      <c r="E16" s="307"/>
      <c r="F16" s="307"/>
      <c r="G16" s="307"/>
      <c r="H16" s="303"/>
      <c r="I16" s="302" t="s">
        <v>996</v>
      </c>
      <c r="J16" s="307"/>
      <c r="K16" s="307"/>
      <c r="L16" s="307"/>
      <c r="M16" s="307"/>
      <c r="N16" s="307"/>
      <c r="O16" s="303"/>
    </row>
    <row r="17" spans="1:15" x14ac:dyDescent="0.2">
      <c r="A17" s="215" t="s">
        <v>32</v>
      </c>
      <c r="B17" s="205">
        <v>0.28592339</v>
      </c>
      <c r="C17" s="206">
        <v>1.8853934299999999</v>
      </c>
      <c r="D17" s="206">
        <v>0.35279804999999997</v>
      </c>
      <c r="E17" s="206"/>
      <c r="F17" s="206"/>
      <c r="G17" s="206"/>
      <c r="H17" s="207"/>
      <c r="I17" s="205">
        <v>1.09939378</v>
      </c>
      <c r="J17" s="206">
        <v>4.1444641799999999</v>
      </c>
      <c r="K17" s="206">
        <v>1.4931305800000001</v>
      </c>
      <c r="L17" s="206">
        <v>1.4236007500000001</v>
      </c>
      <c r="M17" s="206">
        <v>0.65036713000000002</v>
      </c>
      <c r="N17" s="206">
        <v>5.8563159699999998</v>
      </c>
      <c r="O17" s="207">
        <v>0.28585132000000002</v>
      </c>
    </row>
    <row r="18" spans="1:15" x14ac:dyDescent="0.2">
      <c r="A18" s="215" t="s">
        <v>927</v>
      </c>
      <c r="B18" s="205">
        <v>0.20137371000000001</v>
      </c>
      <c r="C18" s="206">
        <v>1.5473161200000001</v>
      </c>
      <c r="D18" s="206">
        <v>0.13844281999999999</v>
      </c>
      <c r="E18" s="206"/>
      <c r="F18" s="206"/>
      <c r="G18" s="206"/>
      <c r="H18" s="207"/>
      <c r="I18" s="205">
        <v>0.14499597</v>
      </c>
      <c r="J18" s="206">
        <v>6.7021906500000004</v>
      </c>
      <c r="K18" s="206">
        <v>0.57889995999999999</v>
      </c>
      <c r="L18" s="206">
        <v>0.48742054000000001</v>
      </c>
      <c r="M18" s="206">
        <v>0.31394052</v>
      </c>
      <c r="N18" s="206">
        <v>3.3980252000000002</v>
      </c>
      <c r="O18" s="207">
        <v>0.18968825</v>
      </c>
    </row>
    <row r="19" spans="1:15" x14ac:dyDescent="0.2">
      <c r="A19" s="215" t="s">
        <v>974</v>
      </c>
      <c r="B19" s="205">
        <v>2.478315E-2</v>
      </c>
      <c r="C19" s="206">
        <v>0.47693228999999998</v>
      </c>
      <c r="D19" s="206">
        <v>4.049904E-2</v>
      </c>
      <c r="E19" s="206"/>
      <c r="F19" s="206"/>
      <c r="G19" s="206"/>
      <c r="H19" s="207"/>
      <c r="I19" s="205">
        <v>3.2486100100000002</v>
      </c>
      <c r="J19" s="206">
        <v>0.20678261000000001</v>
      </c>
      <c r="K19" s="206">
        <v>0.11044776000000001</v>
      </c>
      <c r="L19" s="206">
        <v>8.8255609999999998E-2</v>
      </c>
      <c r="M19" s="206">
        <v>2.1406868600000002</v>
      </c>
      <c r="N19" s="206">
        <v>9.3215110000000004E-2</v>
      </c>
      <c r="O19" s="10">
        <v>3.3419354838709676E-2</v>
      </c>
    </row>
    <row r="20" spans="1:15" x14ac:dyDescent="0.2">
      <c r="A20" s="216" t="s">
        <v>28</v>
      </c>
      <c r="B20" s="208">
        <v>3.5935559999999998E-2</v>
      </c>
      <c r="C20" s="209">
        <v>1.0410425400000001</v>
      </c>
      <c r="D20" s="209">
        <v>0.10690979</v>
      </c>
      <c r="E20" s="209"/>
      <c r="F20" s="209"/>
      <c r="G20" s="209"/>
      <c r="H20" s="210"/>
      <c r="I20" s="208">
        <v>0.77839555000000005</v>
      </c>
      <c r="J20" s="209">
        <v>0.10226087</v>
      </c>
      <c r="K20" s="209">
        <v>9.5335820000000002E-2</v>
      </c>
      <c r="L20" s="209">
        <v>0.15941278</v>
      </c>
      <c r="M20" s="209">
        <v>0.89770738999999999</v>
      </c>
      <c r="N20" s="209">
        <v>7.3989490000000005E-2</v>
      </c>
      <c r="O20" s="11">
        <v>2.3354838709677417E-2</v>
      </c>
    </row>
    <row r="21" spans="1:15" x14ac:dyDescent="0.2">
      <c r="A21" s="40"/>
      <c r="B21" s="20"/>
      <c r="C21" s="21"/>
      <c r="D21" s="21"/>
      <c r="E21" s="21"/>
      <c r="F21" s="21"/>
      <c r="G21" s="21"/>
      <c r="H21" s="10"/>
      <c r="I21" s="20"/>
      <c r="J21" s="21"/>
      <c r="K21" s="21"/>
      <c r="L21" s="21"/>
      <c r="M21" s="21"/>
      <c r="N21" s="21"/>
      <c r="O21" s="10"/>
    </row>
    <row r="22" spans="1:15" x14ac:dyDescent="0.2">
      <c r="A22" s="223" t="s">
        <v>978</v>
      </c>
      <c r="B22" s="302" t="s">
        <v>995</v>
      </c>
      <c r="C22" s="307"/>
      <c r="D22" s="307"/>
      <c r="E22" s="307"/>
      <c r="F22" s="307"/>
      <c r="G22" s="307"/>
      <c r="H22" s="303"/>
      <c r="I22" s="302" t="s">
        <v>996</v>
      </c>
      <c r="J22" s="307"/>
      <c r="K22" s="307"/>
      <c r="L22" s="307"/>
      <c r="M22" s="307"/>
      <c r="N22" s="307"/>
      <c r="O22" s="303"/>
    </row>
    <row r="23" spans="1:15" x14ac:dyDescent="0.2">
      <c r="A23" s="215" t="s">
        <v>976</v>
      </c>
      <c r="B23" s="205">
        <v>3.5</v>
      </c>
      <c r="C23" s="206">
        <v>5.2135678399999996</v>
      </c>
      <c r="D23" s="206">
        <v>6.6350710900000003</v>
      </c>
      <c r="E23" s="206"/>
      <c r="F23" s="206"/>
      <c r="G23" s="206"/>
      <c r="H23" s="207"/>
      <c r="I23" s="205">
        <v>10.8108108</v>
      </c>
      <c r="J23" s="206">
        <v>11.4914425</v>
      </c>
      <c r="K23" s="206">
        <v>5.0462573600000002</v>
      </c>
      <c r="L23" s="206">
        <v>9.2905405400000003</v>
      </c>
      <c r="M23" s="206">
        <v>5.4794520499999999</v>
      </c>
      <c r="N23" s="206">
        <v>11.3978495</v>
      </c>
      <c r="O23" s="207">
        <v>9.375</v>
      </c>
    </row>
    <row r="24" spans="1:15" x14ac:dyDescent="0.2">
      <c r="A24" s="216" t="s">
        <v>977</v>
      </c>
      <c r="B24" s="208">
        <v>12</v>
      </c>
      <c r="C24" s="209">
        <v>44.032663300000003</v>
      </c>
      <c r="D24" s="209">
        <v>25.592417099999999</v>
      </c>
      <c r="E24" s="209"/>
      <c r="F24" s="209"/>
      <c r="G24" s="209"/>
      <c r="H24" s="210"/>
      <c r="I24" s="208">
        <v>37.065637099999996</v>
      </c>
      <c r="J24" s="209">
        <v>53.3007335</v>
      </c>
      <c r="K24" s="209">
        <v>53.574432299999998</v>
      </c>
      <c r="L24" s="209">
        <v>30.743243199999998</v>
      </c>
      <c r="M24" s="209">
        <v>32.681017599999997</v>
      </c>
      <c r="N24" s="209">
        <v>55.913978499999999</v>
      </c>
      <c r="O24" s="210">
        <v>44.0625</v>
      </c>
    </row>
    <row r="25" spans="1:15" x14ac:dyDescent="0.2">
      <c r="A25" s="40"/>
      <c r="B25" s="20"/>
      <c r="C25" s="21"/>
      <c r="D25" s="21"/>
      <c r="E25" s="21"/>
      <c r="F25" s="21"/>
      <c r="G25" s="21"/>
      <c r="H25" s="10"/>
      <c r="I25" s="20"/>
      <c r="J25" s="21"/>
      <c r="K25" s="21"/>
      <c r="L25" s="21"/>
      <c r="M25" s="21"/>
      <c r="N25" s="21"/>
      <c r="O25" s="10"/>
    </row>
    <row r="26" spans="1:15" x14ac:dyDescent="0.2">
      <c r="A26" s="223" t="s">
        <v>979</v>
      </c>
      <c r="B26" s="302" t="s">
        <v>995</v>
      </c>
      <c r="C26" s="307"/>
      <c r="D26" s="307"/>
      <c r="E26" s="307"/>
      <c r="F26" s="307"/>
      <c r="G26" s="307"/>
      <c r="H26" s="303"/>
      <c r="I26" s="302" t="s">
        <v>996</v>
      </c>
      <c r="J26" s="307"/>
      <c r="K26" s="307"/>
      <c r="L26" s="307"/>
      <c r="M26" s="307"/>
      <c r="N26" s="307"/>
      <c r="O26" s="303"/>
    </row>
    <row r="27" spans="1:15" x14ac:dyDescent="0.2">
      <c r="A27" s="215" t="s">
        <v>976</v>
      </c>
      <c r="B27" s="205">
        <v>53.448275899999999</v>
      </c>
      <c r="C27" s="206">
        <v>63.334260299999997</v>
      </c>
      <c r="D27" s="206">
        <v>64.616118299999997</v>
      </c>
      <c r="E27" s="206"/>
      <c r="F27" s="206"/>
      <c r="G27" s="206"/>
      <c r="H27" s="207"/>
      <c r="I27" s="205">
        <v>88.444193900000002</v>
      </c>
      <c r="J27" s="206">
        <v>75.454545499999995</v>
      </c>
      <c r="K27" s="206">
        <v>72.238874800000005</v>
      </c>
      <c r="L27" s="206">
        <v>77.199331799999996</v>
      </c>
      <c r="M27" s="206">
        <v>63.383113199999997</v>
      </c>
      <c r="N27" s="206">
        <v>77.847113899999997</v>
      </c>
      <c r="O27" s="207">
        <v>58.299180300000003</v>
      </c>
    </row>
    <row r="28" spans="1:15" x14ac:dyDescent="0.2">
      <c r="A28" s="215" t="s">
        <v>977</v>
      </c>
      <c r="B28" s="205">
        <v>24.801061000000001</v>
      </c>
      <c r="C28" s="206">
        <v>71.746384899999995</v>
      </c>
      <c r="D28" s="206">
        <v>19.885550800000001</v>
      </c>
      <c r="E28" s="206"/>
      <c r="F28" s="206"/>
      <c r="G28" s="206"/>
      <c r="H28" s="207"/>
      <c r="I28" s="205">
        <v>73.506200699999994</v>
      </c>
      <c r="J28" s="206">
        <v>78.181818199999995</v>
      </c>
      <c r="K28" s="206">
        <v>52.962877599999999</v>
      </c>
      <c r="L28" s="206">
        <v>56.848552300000001</v>
      </c>
      <c r="M28" s="206">
        <v>50.201033899999999</v>
      </c>
      <c r="N28" s="206">
        <v>89.703588100000005</v>
      </c>
      <c r="O28" s="207">
        <v>42.827868899999999</v>
      </c>
    </row>
    <row r="29" spans="1:15" x14ac:dyDescent="0.2">
      <c r="A29" s="39"/>
      <c r="B29" s="28"/>
      <c r="C29" s="26"/>
      <c r="D29" s="26"/>
      <c r="E29" s="26"/>
      <c r="F29" s="26"/>
      <c r="G29" s="26"/>
      <c r="H29" s="11"/>
      <c r="I29" s="28"/>
      <c r="J29" s="26"/>
      <c r="K29" s="26"/>
      <c r="L29" s="26"/>
      <c r="M29" s="26"/>
      <c r="N29" s="26"/>
      <c r="O29" s="11"/>
    </row>
  </sheetData>
  <mergeCells count="12">
    <mergeCell ref="B16:H16"/>
    <mergeCell ref="I16:O16"/>
    <mergeCell ref="B22:H22"/>
    <mergeCell ref="I22:O22"/>
    <mergeCell ref="B26:H26"/>
    <mergeCell ref="I26:O26"/>
    <mergeCell ref="B2:H2"/>
    <mergeCell ref="I2:P2"/>
    <mergeCell ref="Q2:W2"/>
    <mergeCell ref="X2:AE2"/>
    <mergeCell ref="B13:H13"/>
    <mergeCell ref="I13:O13"/>
  </mergeCells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E56A33-2B1D-0247-8067-12AC0531063D}">
  <dimension ref="A2:AS8"/>
  <sheetViews>
    <sheetView zoomScale="69" zoomScaleNormal="69" workbookViewId="0">
      <selection activeCell="J19" sqref="J19"/>
    </sheetView>
  </sheetViews>
  <sheetFormatPr baseColWidth="10" defaultRowHeight="16" x14ac:dyDescent="0.2"/>
  <sheetData>
    <row r="2" spans="1:45" x14ac:dyDescent="0.2">
      <c r="A2" s="203"/>
      <c r="B2" s="302" t="s">
        <v>997</v>
      </c>
      <c r="C2" s="307"/>
      <c r="D2" s="307"/>
      <c r="E2" s="307"/>
      <c r="F2" s="307"/>
      <c r="G2" s="307"/>
      <c r="H2" s="307"/>
      <c r="I2" s="307"/>
      <c r="J2" s="307"/>
      <c r="K2" s="307"/>
      <c r="L2" s="303"/>
      <c r="M2" s="302" t="s">
        <v>998</v>
      </c>
      <c r="N2" s="307"/>
      <c r="O2" s="307"/>
      <c r="P2" s="307"/>
      <c r="Q2" s="307"/>
      <c r="R2" s="307"/>
      <c r="S2" s="307"/>
      <c r="T2" s="307"/>
      <c r="U2" s="307"/>
      <c r="V2" s="307"/>
      <c r="W2" s="303"/>
      <c r="X2" s="302" t="s">
        <v>999</v>
      </c>
      <c r="Y2" s="307"/>
      <c r="Z2" s="307"/>
      <c r="AA2" s="307"/>
      <c r="AB2" s="307"/>
      <c r="AC2" s="307"/>
      <c r="AD2" s="307"/>
      <c r="AE2" s="307"/>
      <c r="AF2" s="307"/>
      <c r="AG2" s="307"/>
      <c r="AH2" s="303"/>
      <c r="AI2" s="302" t="s">
        <v>1000</v>
      </c>
      <c r="AJ2" s="307"/>
      <c r="AK2" s="307"/>
      <c r="AL2" s="307"/>
      <c r="AM2" s="307"/>
      <c r="AN2" s="307"/>
      <c r="AO2" s="307"/>
      <c r="AP2" s="307"/>
      <c r="AQ2" s="307"/>
      <c r="AR2" s="307"/>
      <c r="AS2" s="303"/>
    </row>
    <row r="3" spans="1:45" x14ac:dyDescent="0.2">
      <c r="A3" s="211">
        <v>0</v>
      </c>
      <c r="B3" s="205">
        <v>8.7783750000000005</v>
      </c>
      <c r="C3" s="206">
        <v>4.68</v>
      </c>
      <c r="D3" s="206">
        <v>8.7876110000000001</v>
      </c>
      <c r="E3" s="206">
        <v>6.29216</v>
      </c>
      <c r="F3" s="206">
        <v>8.0971384999999998</v>
      </c>
      <c r="G3" s="206">
        <v>22.869278999999999</v>
      </c>
      <c r="H3" s="206">
        <v>11.012969999999999</v>
      </c>
      <c r="I3" s="206">
        <v>7.3904984999999996</v>
      </c>
      <c r="J3" s="206">
        <v>14.031528</v>
      </c>
      <c r="K3" s="206">
        <v>6.543342</v>
      </c>
      <c r="L3" s="207"/>
      <c r="M3" s="205">
        <v>9.5154875000000008</v>
      </c>
      <c r="N3" s="206">
        <v>8.4869120000000002</v>
      </c>
      <c r="O3" s="206">
        <v>6.6701249999999996</v>
      </c>
      <c r="P3" s="206">
        <v>19.992699999999999</v>
      </c>
      <c r="Q3" s="206">
        <v>16.384</v>
      </c>
      <c r="R3" s="206">
        <v>6.1818059999999999</v>
      </c>
      <c r="S3" s="206">
        <v>8.25</v>
      </c>
      <c r="T3" s="206">
        <v>10.795680000000001</v>
      </c>
      <c r="U3" s="206">
        <v>7.2570959999999998</v>
      </c>
      <c r="V3" s="206">
        <v>5.3329319999999996</v>
      </c>
      <c r="W3" s="207"/>
      <c r="X3" s="205">
        <v>10.3967955</v>
      </c>
      <c r="Y3" s="206">
        <v>17.808174999999999</v>
      </c>
      <c r="Z3" s="206">
        <v>5.38103</v>
      </c>
      <c r="AA3" s="206">
        <v>10.98306</v>
      </c>
      <c r="AB3" s="206">
        <v>8.7635520000000007</v>
      </c>
      <c r="AC3" s="206">
        <v>26.977191999999999</v>
      </c>
      <c r="AD3" s="206">
        <v>6.485792</v>
      </c>
      <c r="AE3" s="206">
        <v>4.68</v>
      </c>
      <c r="AF3" s="206">
        <v>7.0178399999999996</v>
      </c>
      <c r="AG3" s="206">
        <v>15.877103999999999</v>
      </c>
      <c r="AH3" s="207">
        <v>13.923999999999999</v>
      </c>
      <c r="AI3" s="205">
        <v>12.065355</v>
      </c>
      <c r="AJ3" s="206">
        <v>9.8234399999999997</v>
      </c>
      <c r="AK3" s="206">
        <v>13.5</v>
      </c>
      <c r="AL3" s="206">
        <v>8.6732195000000001</v>
      </c>
      <c r="AM3" s="206">
        <v>15.0622335</v>
      </c>
      <c r="AN3" s="206">
        <v>15.428826000000001</v>
      </c>
      <c r="AO3" s="206">
        <v>7.3472464999999998</v>
      </c>
      <c r="AP3" s="206">
        <v>40.400649999999999</v>
      </c>
      <c r="AQ3" s="206">
        <v>5.1376499999999998</v>
      </c>
      <c r="AR3" s="206">
        <v>4.9171500000000004</v>
      </c>
      <c r="AS3" s="207">
        <v>8.8972510000000007</v>
      </c>
    </row>
    <row r="4" spans="1:45" x14ac:dyDescent="0.2">
      <c r="A4" s="212">
        <v>2</v>
      </c>
      <c r="B4" s="205">
        <v>5.0999999999999996</v>
      </c>
      <c r="C4" s="206">
        <v>11.794843</v>
      </c>
      <c r="D4" s="206">
        <v>6.1628499999999997</v>
      </c>
      <c r="E4" s="206">
        <v>16.245000000000001</v>
      </c>
      <c r="F4" s="206">
        <v>11.1567285</v>
      </c>
      <c r="G4" s="206">
        <v>78.384050999999999</v>
      </c>
      <c r="H4" s="206">
        <v>64.186143999999999</v>
      </c>
      <c r="I4" s="206">
        <v>9.9144000000000005</v>
      </c>
      <c r="J4" s="206">
        <v>25.858656</v>
      </c>
      <c r="K4" s="206">
        <v>16.558450000000001</v>
      </c>
      <c r="L4" s="207"/>
      <c r="M4" s="205">
        <v>30.191849999999999</v>
      </c>
      <c r="N4" s="206">
        <v>9.6517800000000005</v>
      </c>
      <c r="O4" s="206">
        <v>25.076557999999999</v>
      </c>
      <c r="P4" s="206">
        <v>75.130719999999997</v>
      </c>
      <c r="Q4" s="206">
        <v>35.675437500000001</v>
      </c>
      <c r="R4" s="206">
        <v>31.400179999999999</v>
      </c>
      <c r="S4" s="206">
        <v>6.8874665000000004</v>
      </c>
      <c r="T4" s="206">
        <v>11.464992000000001</v>
      </c>
      <c r="U4" s="206">
        <v>23.139918999999999</v>
      </c>
      <c r="V4" s="206">
        <v>5.4435735000000003</v>
      </c>
      <c r="W4" s="207"/>
      <c r="X4" s="205">
        <v>8.8175415000000008</v>
      </c>
      <c r="Y4" s="206">
        <v>46.205952000000003</v>
      </c>
      <c r="Z4" s="206">
        <v>19.643903999999999</v>
      </c>
      <c r="AA4" s="206">
        <v>4.69665</v>
      </c>
      <c r="AB4" s="206">
        <v>30.842658</v>
      </c>
      <c r="AC4" s="206">
        <v>161.96922000000001</v>
      </c>
      <c r="AD4" s="206">
        <v>20.281216000000001</v>
      </c>
      <c r="AE4" s="206">
        <v>13.488875</v>
      </c>
      <c r="AF4" s="206">
        <v>28.901375999999999</v>
      </c>
      <c r="AG4" s="206">
        <v>41.502650000000003</v>
      </c>
      <c r="AH4" s="207">
        <v>10.880074</v>
      </c>
      <c r="AI4" s="205">
        <v>31.551400000000001</v>
      </c>
      <c r="AJ4" s="206">
        <v>27.628052</v>
      </c>
      <c r="AK4" s="206">
        <v>116.1888</v>
      </c>
      <c r="AL4" s="206">
        <v>52.020776499999997</v>
      </c>
      <c r="AM4" s="206">
        <v>29.540263499999998</v>
      </c>
      <c r="AN4" s="206">
        <v>131.37389999999999</v>
      </c>
      <c r="AO4" s="206">
        <v>31.904313999999999</v>
      </c>
      <c r="AP4" s="206">
        <v>61.040887499999997</v>
      </c>
      <c r="AQ4" s="206">
        <v>9.2929600000000008</v>
      </c>
      <c r="AR4" s="206">
        <v>10.125</v>
      </c>
      <c r="AS4" s="207">
        <v>14.775048</v>
      </c>
    </row>
    <row r="5" spans="1:45" x14ac:dyDescent="0.2">
      <c r="A5" s="212">
        <v>5</v>
      </c>
      <c r="B5" s="205">
        <v>3.421872</v>
      </c>
      <c r="C5" s="206">
        <v>21.473956000000001</v>
      </c>
      <c r="D5" s="206">
        <v>8.1934125000000009</v>
      </c>
      <c r="E5" s="206">
        <v>60.122087999999998</v>
      </c>
      <c r="F5" s="206">
        <v>18.573215999999999</v>
      </c>
      <c r="G5" s="206">
        <v>176.51640599999999</v>
      </c>
      <c r="H5" s="206">
        <v>100.174752</v>
      </c>
      <c r="I5" s="206">
        <v>20.335432000000001</v>
      </c>
      <c r="J5" s="206">
        <v>86.513670000000005</v>
      </c>
      <c r="K5" s="206">
        <v>40.145086499999998</v>
      </c>
      <c r="L5" s="207"/>
      <c r="M5" s="205">
        <v>51.753037499999998</v>
      </c>
      <c r="N5" s="206">
        <v>8.9861400000000007</v>
      </c>
      <c r="O5" s="206">
        <v>25.276416000000001</v>
      </c>
      <c r="P5" s="206">
        <v>92.974266</v>
      </c>
      <c r="Q5" s="206">
        <v>31.353147</v>
      </c>
      <c r="R5" s="206">
        <v>88.475624999999994</v>
      </c>
      <c r="S5" s="206">
        <v>4.4800000000000004</v>
      </c>
      <c r="T5" s="206">
        <v>7.7716079999999996</v>
      </c>
      <c r="U5" s="206">
        <v>41.432395999999997</v>
      </c>
      <c r="V5" s="206">
        <v>8.4207374999999995</v>
      </c>
      <c r="W5" s="207"/>
      <c r="X5" s="205">
        <v>6.6822249999999999</v>
      </c>
      <c r="Y5" s="206">
        <v>160.19667999999999</v>
      </c>
      <c r="Z5" s="206">
        <v>46.002816000000003</v>
      </c>
      <c r="AA5" s="206">
        <v>4</v>
      </c>
      <c r="AB5" s="206">
        <v>42.771599999999999</v>
      </c>
      <c r="AC5" s="206">
        <v>421.08580799999999</v>
      </c>
      <c r="AD5" s="206">
        <v>83.678487500000003</v>
      </c>
      <c r="AE5" s="206">
        <v>30.353092</v>
      </c>
      <c r="AF5" s="206">
        <v>87.617366000000004</v>
      </c>
      <c r="AG5" s="206">
        <v>207.04288099999999</v>
      </c>
      <c r="AH5" s="207">
        <v>17.428125000000001</v>
      </c>
      <c r="AI5" s="205">
        <v>43.834999500000002</v>
      </c>
      <c r="AJ5" s="206">
        <v>52.131030500000001</v>
      </c>
      <c r="AK5" s="206">
        <v>317.72476399999999</v>
      </c>
      <c r="AL5" s="206">
        <v>131.69312600000001</v>
      </c>
      <c r="AM5" s="206">
        <v>65.656874999999999</v>
      </c>
      <c r="AN5" s="206">
        <v>231.073024</v>
      </c>
      <c r="AO5" s="206">
        <v>21.167999999999999</v>
      </c>
      <c r="AP5" s="206">
        <v>139.57638800000001</v>
      </c>
      <c r="AQ5" s="206">
        <v>13.993387</v>
      </c>
      <c r="AR5" s="206">
        <v>23.11835</v>
      </c>
      <c r="AS5" s="207">
        <v>9.6517800000000005</v>
      </c>
    </row>
    <row r="6" spans="1:45" x14ac:dyDescent="0.2">
      <c r="A6" s="212">
        <v>8</v>
      </c>
      <c r="B6" s="205">
        <v>10.039448</v>
      </c>
      <c r="C6" s="206">
        <v>91.96</v>
      </c>
      <c r="D6" s="206">
        <v>14.6205</v>
      </c>
      <c r="E6" s="206">
        <v>118.323069</v>
      </c>
      <c r="F6" s="206">
        <v>54.788800000000002</v>
      </c>
      <c r="G6" s="206">
        <v>424.87335000000002</v>
      </c>
      <c r="H6" s="206">
        <v>294.13120500000002</v>
      </c>
      <c r="I6" s="206">
        <v>60.666426999999999</v>
      </c>
      <c r="J6" s="206">
        <v>357.35403400000001</v>
      </c>
      <c r="K6" s="206">
        <v>183.78717599999999</v>
      </c>
      <c r="L6" s="207"/>
      <c r="M6" s="205">
        <v>154.74616700000001</v>
      </c>
      <c r="N6" s="206">
        <v>12.936</v>
      </c>
      <c r="O6" s="206">
        <v>50.176098000000003</v>
      </c>
      <c r="P6" s="206">
        <v>204.96105</v>
      </c>
      <c r="Q6" s="206">
        <v>50.258783999999999</v>
      </c>
      <c r="R6" s="206">
        <v>177.18664799999999</v>
      </c>
      <c r="S6" s="206">
        <v>5.04</v>
      </c>
      <c r="T6" s="206">
        <v>11.943505</v>
      </c>
      <c r="U6" s="206">
        <v>78.686400000000006</v>
      </c>
      <c r="V6" s="206">
        <v>16.228973499999999</v>
      </c>
      <c r="W6" s="207"/>
      <c r="X6" s="205">
        <v>7.0368750000000002</v>
      </c>
      <c r="Y6" s="206">
        <v>357.309439</v>
      </c>
      <c r="Z6" s="206">
        <v>88.318383999999995</v>
      </c>
      <c r="AA6" s="206">
        <v>4</v>
      </c>
      <c r="AB6" s="206">
        <v>92.253487500000006</v>
      </c>
      <c r="AC6" s="206">
        <v>958.8125</v>
      </c>
      <c r="AD6" s="206">
        <v>141.961151</v>
      </c>
      <c r="AE6" s="206">
        <v>68.003743499999999</v>
      </c>
      <c r="AF6" s="206">
        <v>246.818547</v>
      </c>
      <c r="AG6" s="206">
        <v>497.03272500000003</v>
      </c>
      <c r="AH6" s="207">
        <v>26.267648000000001</v>
      </c>
      <c r="AI6" s="205">
        <v>77.760000000000005</v>
      </c>
      <c r="AJ6" s="206">
        <v>120.686763</v>
      </c>
      <c r="AK6" s="206">
        <v>675.03362900000002</v>
      </c>
      <c r="AL6" s="206">
        <v>153.74825000000001</v>
      </c>
      <c r="AM6" s="206">
        <v>143.139388</v>
      </c>
      <c r="AN6" s="206">
        <v>286.16465799999997</v>
      </c>
      <c r="AO6" s="206">
        <v>32.592776000000001</v>
      </c>
      <c r="AP6" s="206">
        <v>136.62630799999999</v>
      </c>
      <c r="AQ6" s="206">
        <v>37.2066455</v>
      </c>
      <c r="AR6" s="206">
        <v>27.195</v>
      </c>
      <c r="AS6" s="207">
        <v>22.707000000000001</v>
      </c>
    </row>
    <row r="7" spans="1:45" x14ac:dyDescent="0.2">
      <c r="A7" s="212">
        <v>10</v>
      </c>
      <c r="B7" s="205">
        <v>45.883060999999998</v>
      </c>
      <c r="C7" s="206">
        <v>364.77255000000002</v>
      </c>
      <c r="D7" s="206">
        <v>70.153863999999999</v>
      </c>
      <c r="E7" s="206">
        <v>467.54427900000002</v>
      </c>
      <c r="F7" s="206">
        <v>100.7855</v>
      </c>
      <c r="G7" s="206">
        <v>834.62463000000002</v>
      </c>
      <c r="H7" s="206">
        <v>495.99407200000002</v>
      </c>
      <c r="I7" s="206">
        <v>243.34324100000001</v>
      </c>
      <c r="J7" s="206">
        <v>812.85238000000004</v>
      </c>
      <c r="K7" s="206">
        <v>475.08479999999997</v>
      </c>
      <c r="L7" s="207"/>
      <c r="M7" s="205">
        <v>84.085120000000003</v>
      </c>
      <c r="N7" s="206">
        <v>7.92</v>
      </c>
      <c r="O7" s="206">
        <v>76.681728000000007</v>
      </c>
      <c r="P7" s="206">
        <v>67.353936000000004</v>
      </c>
      <c r="Q7" s="206">
        <v>25.3460945</v>
      </c>
      <c r="R7" s="206">
        <v>209.614159</v>
      </c>
      <c r="S7" s="206">
        <v>4</v>
      </c>
      <c r="T7" s="206">
        <v>8.4541439999999994</v>
      </c>
      <c r="U7" s="206">
        <v>113.67167999999999</v>
      </c>
      <c r="V7" s="206">
        <v>16.64</v>
      </c>
      <c r="W7" s="207"/>
      <c r="X7" s="205">
        <v>28.19876</v>
      </c>
      <c r="Y7" s="206">
        <v>872.24876700000004</v>
      </c>
      <c r="Z7" s="206">
        <v>293.41087399999998</v>
      </c>
      <c r="AA7" s="206">
        <v>13.5</v>
      </c>
      <c r="AB7" s="206">
        <v>119.17817599999999</v>
      </c>
      <c r="AC7" s="206">
        <v>1000</v>
      </c>
      <c r="AD7" s="206">
        <v>462.45235000000002</v>
      </c>
      <c r="AE7" s="206">
        <v>193.867741</v>
      </c>
      <c r="AF7" s="206">
        <v>503.75257699999997</v>
      </c>
      <c r="AG7" s="206">
        <v>838.47656300000006</v>
      </c>
      <c r="AH7" s="207">
        <v>74.343636000000004</v>
      </c>
      <c r="AI7" s="205">
        <v>115.33235999999999</v>
      </c>
      <c r="AJ7" s="206">
        <v>194.39004</v>
      </c>
      <c r="AK7" s="206">
        <v>1000</v>
      </c>
      <c r="AL7" s="206">
        <v>302.38603999999998</v>
      </c>
      <c r="AM7" s="206">
        <v>279.66829799999999</v>
      </c>
      <c r="AN7" s="206">
        <v>317.92608899999999</v>
      </c>
      <c r="AO7" s="206">
        <v>47.366143999999998</v>
      </c>
      <c r="AP7" s="206">
        <v>204.24195</v>
      </c>
      <c r="AQ7" s="206">
        <v>36.050879999999999</v>
      </c>
      <c r="AR7" s="206">
        <v>62.119548000000002</v>
      </c>
      <c r="AS7" s="207">
        <v>27.165820499999999</v>
      </c>
    </row>
    <row r="8" spans="1:45" x14ac:dyDescent="0.2">
      <c r="A8" s="213">
        <v>12</v>
      </c>
      <c r="B8" s="208">
        <v>107.505528</v>
      </c>
      <c r="C8" s="209">
        <v>843.60449800000004</v>
      </c>
      <c r="D8" s="209">
        <v>196.644848</v>
      </c>
      <c r="E8" s="209">
        <v>955.546875</v>
      </c>
      <c r="F8" s="209">
        <v>401.42532199999999</v>
      </c>
      <c r="G8" s="209">
        <v>1000</v>
      </c>
      <c r="H8" s="209">
        <v>734.94604800000002</v>
      </c>
      <c r="I8" s="209">
        <v>446.96075200000001</v>
      </c>
      <c r="J8" s="209">
        <v>1000</v>
      </c>
      <c r="K8" s="209">
        <v>786.36209399999996</v>
      </c>
      <c r="L8" s="210"/>
      <c r="M8" s="208">
        <v>180.12043399999999</v>
      </c>
      <c r="N8" s="209">
        <v>7.7361825</v>
      </c>
      <c r="O8" s="209">
        <v>115.927148</v>
      </c>
      <c r="P8" s="209">
        <v>369.078847</v>
      </c>
      <c r="Q8" s="209">
        <v>35.646239999999999</v>
      </c>
      <c r="R8" s="209">
        <v>304.50420000000003</v>
      </c>
      <c r="S8" s="209">
        <v>2.25</v>
      </c>
      <c r="T8" s="209">
        <v>5.7329619999999997</v>
      </c>
      <c r="U8" s="209">
        <v>208.54870399999999</v>
      </c>
      <c r="V8" s="209">
        <v>27.356255999999998</v>
      </c>
      <c r="W8" s="210"/>
      <c r="X8" s="208">
        <v>53.861280000000001</v>
      </c>
      <c r="Y8" s="209">
        <v>934.86463200000003</v>
      </c>
      <c r="Z8" s="209">
        <v>437.56178699999998</v>
      </c>
      <c r="AA8" s="209">
        <v>4</v>
      </c>
      <c r="AB8" s="209">
        <v>208.43128999999999</v>
      </c>
      <c r="AC8" s="209">
        <v>1000</v>
      </c>
      <c r="AD8" s="209">
        <v>810.64960399999995</v>
      </c>
      <c r="AE8" s="209">
        <v>396.74188800000002</v>
      </c>
      <c r="AF8" s="128" t="s">
        <v>383</v>
      </c>
      <c r="AG8" s="209">
        <v>1000</v>
      </c>
      <c r="AH8" s="210">
        <v>246.220236</v>
      </c>
      <c r="AI8" s="208">
        <v>181.05408</v>
      </c>
      <c r="AJ8" s="209">
        <v>520.45752200000004</v>
      </c>
      <c r="AK8" s="209">
        <v>1000</v>
      </c>
      <c r="AL8" s="209">
        <v>554.93786399999999</v>
      </c>
      <c r="AM8" s="209">
        <v>544.03728899999999</v>
      </c>
      <c r="AN8" s="209">
        <v>581.02996099999996</v>
      </c>
      <c r="AO8" s="209">
        <v>68.077098000000007</v>
      </c>
      <c r="AP8" s="209">
        <v>480.14761900000002</v>
      </c>
      <c r="AQ8" s="209">
        <v>32.225687999999998</v>
      </c>
      <c r="AR8" s="209">
        <v>135.000113</v>
      </c>
      <c r="AS8" s="210">
        <v>34.790565999999998</v>
      </c>
    </row>
  </sheetData>
  <mergeCells count="4">
    <mergeCell ref="B2:L2"/>
    <mergeCell ref="M2:W2"/>
    <mergeCell ref="X2:AH2"/>
    <mergeCell ref="AI2:AS2"/>
  </mergeCells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5D69E4-29EF-4D46-8DA9-9F9A11C678EB}">
  <dimension ref="A2:AO29"/>
  <sheetViews>
    <sheetView zoomScale="75" zoomScaleNormal="75" workbookViewId="0">
      <selection activeCell="T49" sqref="T49"/>
    </sheetView>
  </sheetViews>
  <sheetFormatPr baseColWidth="10" defaultRowHeight="16" x14ac:dyDescent="0.2"/>
  <sheetData>
    <row r="2" spans="1:41" x14ac:dyDescent="0.2">
      <c r="A2" s="203" t="s">
        <v>978</v>
      </c>
      <c r="B2" s="302" t="s">
        <v>997</v>
      </c>
      <c r="C2" s="307"/>
      <c r="D2" s="307"/>
      <c r="E2" s="307"/>
      <c r="F2" s="307"/>
      <c r="G2" s="307"/>
      <c r="H2" s="307"/>
      <c r="I2" s="307"/>
      <c r="J2" s="307"/>
      <c r="K2" s="303"/>
      <c r="L2" s="302" t="s">
        <v>1001</v>
      </c>
      <c r="M2" s="307"/>
      <c r="N2" s="307"/>
      <c r="O2" s="307"/>
      <c r="P2" s="307"/>
      <c r="Q2" s="307"/>
      <c r="R2" s="307"/>
      <c r="S2" s="307"/>
      <c r="T2" s="307"/>
      <c r="U2" s="303"/>
      <c r="V2" s="302" t="s">
        <v>1002</v>
      </c>
      <c r="W2" s="307"/>
      <c r="X2" s="307"/>
      <c r="Y2" s="307"/>
      <c r="Z2" s="307"/>
      <c r="AA2" s="307"/>
      <c r="AB2" s="307"/>
      <c r="AC2" s="307"/>
      <c r="AD2" s="307"/>
      <c r="AE2" s="303"/>
      <c r="AF2" s="302" t="s">
        <v>1003</v>
      </c>
      <c r="AG2" s="307"/>
      <c r="AH2" s="307"/>
      <c r="AI2" s="307"/>
      <c r="AJ2" s="307"/>
      <c r="AK2" s="307"/>
      <c r="AL2" s="307"/>
      <c r="AM2" s="307"/>
      <c r="AN2" s="307"/>
      <c r="AO2" s="303"/>
    </row>
    <row r="3" spans="1:41" s="21" customFormat="1" x14ac:dyDescent="0.2">
      <c r="A3" s="214" t="s">
        <v>964</v>
      </c>
      <c r="B3" s="205">
        <v>62.716380000000001</v>
      </c>
      <c r="C3" s="206">
        <v>72.241579999999999</v>
      </c>
      <c r="D3" s="206">
        <v>75.519289999999998</v>
      </c>
      <c r="E3" s="206">
        <v>74.516130000000004</v>
      </c>
      <c r="F3" s="206">
        <v>74.747029999999995</v>
      </c>
      <c r="G3" s="206">
        <v>12.81198</v>
      </c>
      <c r="H3" s="206">
        <v>79.580569999999994</v>
      </c>
      <c r="I3" s="206">
        <v>51.403509999999997</v>
      </c>
      <c r="J3" s="206">
        <v>71.786829999999995</v>
      </c>
      <c r="K3" s="207">
        <v>61.141300000000001</v>
      </c>
      <c r="L3" s="205">
        <v>77.846530000000001</v>
      </c>
      <c r="M3" s="206">
        <v>74.934039999999996</v>
      </c>
      <c r="N3" s="206">
        <v>83.033420000000007</v>
      </c>
      <c r="O3" s="206">
        <v>89.966560000000001</v>
      </c>
      <c r="P3" s="206">
        <v>87.745099999999994</v>
      </c>
      <c r="Q3" s="206">
        <v>81.604939999999999</v>
      </c>
      <c r="R3" s="206">
        <v>85.074629999999999</v>
      </c>
      <c r="S3" s="206">
        <v>93.413169999999994</v>
      </c>
      <c r="T3" s="206">
        <v>74.121409999999997</v>
      </c>
      <c r="U3" s="207">
        <v>79.066019999999995</v>
      </c>
      <c r="V3" s="205">
        <v>77.87097</v>
      </c>
      <c r="W3" s="206">
        <v>62.793909999999997</v>
      </c>
      <c r="X3" s="206">
        <v>66.562169999999995</v>
      </c>
      <c r="Y3" s="206">
        <v>40</v>
      </c>
      <c r="Z3" s="206">
        <v>65.872339999999994</v>
      </c>
      <c r="AA3" s="206">
        <v>44.897959999999998</v>
      </c>
      <c r="AB3" s="206">
        <v>64.023870000000002</v>
      </c>
      <c r="AC3" s="206">
        <v>64.516130000000004</v>
      </c>
      <c r="AD3" s="206">
        <v>66.338260000000005</v>
      </c>
      <c r="AE3" s="207">
        <v>88.175179999999997</v>
      </c>
      <c r="AF3" s="205">
        <v>72.641509999999997</v>
      </c>
      <c r="AG3" s="206">
        <v>91.799270000000007</v>
      </c>
      <c r="AH3" s="206">
        <v>66.666669999999996</v>
      </c>
      <c r="AI3" s="206">
        <v>71.875</v>
      </c>
      <c r="AJ3" s="206">
        <v>74.583330000000004</v>
      </c>
      <c r="AK3" s="206">
        <v>58.267719999999997</v>
      </c>
      <c r="AL3" s="206">
        <v>57.142859999999999</v>
      </c>
      <c r="AM3" s="206">
        <v>79.434169999999995</v>
      </c>
      <c r="AN3" s="206">
        <v>90.789469999999994</v>
      </c>
      <c r="AO3" s="207">
        <v>69.86063</v>
      </c>
    </row>
    <row r="4" spans="1:41" s="21" customFormat="1" x14ac:dyDescent="0.2">
      <c r="A4" s="216" t="s">
        <v>976</v>
      </c>
      <c r="B4" s="208">
        <v>12.38349</v>
      </c>
      <c r="C4" s="209">
        <v>16.260159999999999</v>
      </c>
      <c r="D4" s="209">
        <v>14.68843</v>
      </c>
      <c r="E4" s="209">
        <v>18.27957</v>
      </c>
      <c r="F4" s="209">
        <v>16.542010000000001</v>
      </c>
      <c r="G4" s="209">
        <v>0.66555699999999995</v>
      </c>
      <c r="H4" s="209">
        <v>24.613689999999998</v>
      </c>
      <c r="I4" s="209">
        <v>9.6491229999999995</v>
      </c>
      <c r="J4" s="209">
        <v>9.7178679999999993</v>
      </c>
      <c r="K4" s="210">
        <v>10.054349999999999</v>
      </c>
      <c r="L4" s="208">
        <v>22.772279999999999</v>
      </c>
      <c r="M4" s="209">
        <v>23.482849999999999</v>
      </c>
      <c r="N4" s="209">
        <v>20.051410000000001</v>
      </c>
      <c r="O4" s="209">
        <v>21.9621</v>
      </c>
      <c r="P4" s="209">
        <v>18.137250000000002</v>
      </c>
      <c r="Q4" s="209">
        <v>16.172840000000001</v>
      </c>
      <c r="R4" s="209">
        <v>18.47015</v>
      </c>
      <c r="S4" s="209">
        <v>22.15569</v>
      </c>
      <c r="T4" s="209">
        <v>22.257719999999999</v>
      </c>
      <c r="U4" s="210">
        <v>25.12077</v>
      </c>
      <c r="V4" s="208">
        <v>16.580649999999999</v>
      </c>
      <c r="W4" s="209">
        <v>17.5657</v>
      </c>
      <c r="X4" s="209">
        <v>14.629049999999999</v>
      </c>
      <c r="Y4" s="209">
        <v>4.0909089999999999</v>
      </c>
      <c r="Z4" s="209">
        <v>8.5106380000000001</v>
      </c>
      <c r="AA4" s="209">
        <v>9.6938779999999998</v>
      </c>
      <c r="AB4" s="209">
        <v>12.78772</v>
      </c>
      <c r="AC4" s="209">
        <v>6.8548390000000001</v>
      </c>
      <c r="AD4" s="209">
        <v>11.98686</v>
      </c>
      <c r="AE4" s="210">
        <v>10.58394</v>
      </c>
      <c r="AF4" s="208">
        <v>27.67296</v>
      </c>
      <c r="AG4" s="209">
        <v>20.318239999999999</v>
      </c>
      <c r="AH4" s="209">
        <v>11.11111</v>
      </c>
      <c r="AI4" s="209">
        <v>18.75</v>
      </c>
      <c r="AJ4" s="209">
        <v>15.41667</v>
      </c>
      <c r="AK4" s="209">
        <v>17.32283</v>
      </c>
      <c r="AL4" s="209">
        <v>12.98701</v>
      </c>
      <c r="AM4" s="209">
        <v>20.45702</v>
      </c>
      <c r="AN4" s="209">
        <v>20.175439999999998</v>
      </c>
      <c r="AO4" s="210">
        <v>22.64808</v>
      </c>
    </row>
    <row r="7" spans="1:41" x14ac:dyDescent="0.2">
      <c r="A7" t="s">
        <v>979</v>
      </c>
      <c r="B7" s="302" t="s">
        <v>997</v>
      </c>
      <c r="C7" s="307"/>
      <c r="D7" s="307"/>
      <c r="E7" s="307"/>
      <c r="F7" s="307"/>
      <c r="G7" s="307"/>
      <c r="H7" s="307"/>
      <c r="I7" s="307"/>
      <c r="J7" s="307"/>
      <c r="K7" s="303"/>
      <c r="L7" s="302" t="s">
        <v>1004</v>
      </c>
      <c r="M7" s="307"/>
      <c r="N7" s="307"/>
      <c r="O7" s="307"/>
      <c r="P7" s="307"/>
      <c r="Q7" s="307"/>
      <c r="R7" s="307"/>
      <c r="S7" s="307"/>
      <c r="T7" s="307"/>
      <c r="U7" s="303"/>
      <c r="V7" s="302" t="s">
        <v>1002</v>
      </c>
      <c r="W7" s="307"/>
      <c r="X7" s="307"/>
      <c r="Y7" s="307"/>
      <c r="Z7" s="307"/>
      <c r="AA7" s="307"/>
      <c r="AB7" s="307"/>
      <c r="AC7" s="307"/>
      <c r="AD7" s="307"/>
      <c r="AE7" s="303"/>
      <c r="AF7" s="302" t="s">
        <v>1003</v>
      </c>
      <c r="AG7" s="307"/>
      <c r="AH7" s="307"/>
      <c r="AI7" s="307"/>
      <c r="AJ7" s="307"/>
      <c r="AK7" s="307"/>
      <c r="AL7" s="307"/>
      <c r="AM7" s="307"/>
      <c r="AN7" s="307"/>
      <c r="AO7" s="303"/>
    </row>
    <row r="8" spans="1:41" x14ac:dyDescent="0.2">
      <c r="A8" s="214" t="s">
        <v>964</v>
      </c>
      <c r="B8" s="205">
        <v>56.395600000000002</v>
      </c>
      <c r="C8" s="206">
        <v>55.214500000000001</v>
      </c>
      <c r="D8" s="206">
        <v>74.366550000000004</v>
      </c>
      <c r="E8" s="206">
        <v>52.027810000000002</v>
      </c>
      <c r="F8" s="206">
        <v>53.00582</v>
      </c>
      <c r="G8" s="206">
        <v>30.280650000000001</v>
      </c>
      <c r="H8" s="206">
        <v>60.493830000000003</v>
      </c>
      <c r="I8" s="206">
        <v>41.349290000000003</v>
      </c>
      <c r="J8" s="206">
        <v>39.947090000000003</v>
      </c>
      <c r="K8" s="207">
        <v>44.675319999999999</v>
      </c>
      <c r="L8" s="205">
        <v>75.222549999999998</v>
      </c>
      <c r="M8" s="206">
        <v>74.373580000000004</v>
      </c>
      <c r="N8" s="206">
        <v>69.01961</v>
      </c>
      <c r="O8" s="206">
        <v>73.425929999999994</v>
      </c>
      <c r="P8" s="206">
        <v>76.284580000000005</v>
      </c>
      <c r="Q8" s="206">
        <v>69.312920000000005</v>
      </c>
      <c r="R8" s="206">
        <v>51.261159999999997</v>
      </c>
      <c r="S8" s="206">
        <v>65</v>
      </c>
      <c r="T8" s="206">
        <v>69.101470000000006</v>
      </c>
      <c r="U8" s="207">
        <v>58.50891</v>
      </c>
      <c r="V8" s="205">
        <v>74.635729999999995</v>
      </c>
      <c r="W8" s="206">
        <v>46.266469999999998</v>
      </c>
      <c r="X8" s="206">
        <v>65.795400000000001</v>
      </c>
      <c r="Y8" s="206">
        <v>22.36422</v>
      </c>
      <c r="Z8" s="206">
        <v>57.959180000000003</v>
      </c>
      <c r="AA8" s="206">
        <v>30.258299999999998</v>
      </c>
      <c r="AB8" s="206">
        <v>57.238460000000003</v>
      </c>
      <c r="AC8" s="206">
        <v>63.28125</v>
      </c>
      <c r="AD8" s="206">
        <v>37.227719999999998</v>
      </c>
      <c r="AE8" s="207">
        <v>67.615179999999995</v>
      </c>
      <c r="AF8" s="205">
        <v>60.804600000000001</v>
      </c>
      <c r="AG8" s="206">
        <v>70.422539999999998</v>
      </c>
      <c r="AH8" s="206">
        <v>50</v>
      </c>
      <c r="AI8" s="206">
        <v>59.300179999999997</v>
      </c>
      <c r="AJ8" s="206">
        <v>45.583759999999998</v>
      </c>
      <c r="AK8" s="206">
        <v>33.812950000000001</v>
      </c>
      <c r="AL8" s="206">
        <v>79.133229999999998</v>
      </c>
      <c r="AM8" s="206">
        <v>48.994790000000002</v>
      </c>
      <c r="AN8" s="206">
        <v>77.408060000000006</v>
      </c>
      <c r="AO8" s="207">
        <v>47.897570000000002</v>
      </c>
    </row>
    <row r="9" spans="1:41" x14ac:dyDescent="0.2">
      <c r="A9" s="216" t="s">
        <v>976</v>
      </c>
      <c r="B9" s="208">
        <v>55.868130000000001</v>
      </c>
      <c r="C9" s="209">
        <v>45.488169999999997</v>
      </c>
      <c r="D9" s="209">
        <v>67.483109999999996</v>
      </c>
      <c r="E9" s="209">
        <v>60.95017</v>
      </c>
      <c r="F9" s="209">
        <v>58.112479999999998</v>
      </c>
      <c r="G9" s="209">
        <v>27.769570000000002</v>
      </c>
      <c r="H9" s="209">
        <v>67.901229999999998</v>
      </c>
      <c r="I9" s="209">
        <v>41.83896</v>
      </c>
      <c r="J9" s="209">
        <v>61.904760000000003</v>
      </c>
      <c r="K9" s="210">
        <v>39.393940000000001</v>
      </c>
      <c r="L9" s="208">
        <v>79.970330000000004</v>
      </c>
      <c r="M9" s="209">
        <v>81.178820000000002</v>
      </c>
      <c r="N9" s="209">
        <v>74.98039</v>
      </c>
      <c r="O9" s="209">
        <v>78.101849999999999</v>
      </c>
      <c r="P9" s="209">
        <v>84.782610000000005</v>
      </c>
      <c r="Q9" s="209">
        <v>75.364900000000006</v>
      </c>
      <c r="R9" s="209">
        <v>74.039580000000001</v>
      </c>
      <c r="S9" s="209">
        <v>85</v>
      </c>
      <c r="T9" s="209">
        <v>78.881420000000006</v>
      </c>
      <c r="U9" s="210">
        <v>72.406809999999993</v>
      </c>
      <c r="V9" s="208">
        <v>89.719170000000005</v>
      </c>
      <c r="W9" s="209">
        <v>70.571010000000001</v>
      </c>
      <c r="X9" s="209">
        <v>80.734570000000005</v>
      </c>
      <c r="Y9" s="209">
        <v>31.629390000000001</v>
      </c>
      <c r="Z9" s="209">
        <v>64.897959999999998</v>
      </c>
      <c r="AA9" s="209">
        <v>38.376379999999997</v>
      </c>
      <c r="AB9" s="209">
        <v>60.901730000000001</v>
      </c>
      <c r="AC9" s="209">
        <v>66.25</v>
      </c>
      <c r="AD9" s="209">
        <v>41.485149999999997</v>
      </c>
      <c r="AE9" s="210">
        <v>87.872630000000001</v>
      </c>
      <c r="AF9" s="208">
        <v>77.241380000000007</v>
      </c>
      <c r="AG9" s="209">
        <v>84.507040000000003</v>
      </c>
      <c r="AH9" s="209">
        <v>68.181820000000002</v>
      </c>
      <c r="AI9" s="209">
        <v>84.346220000000002</v>
      </c>
      <c r="AJ9" s="209">
        <v>64.467010000000002</v>
      </c>
      <c r="AK9" s="209">
        <v>70.26379</v>
      </c>
      <c r="AL9" s="209">
        <v>85.55377</v>
      </c>
      <c r="AM9" s="209">
        <v>69.359639999999999</v>
      </c>
      <c r="AN9" s="209">
        <v>93.520139999999998</v>
      </c>
      <c r="AO9" s="210">
        <v>76.098640000000003</v>
      </c>
    </row>
    <row r="12" spans="1:41" x14ac:dyDescent="0.2">
      <c r="A12" t="s">
        <v>1005</v>
      </c>
    </row>
    <row r="13" spans="1:41" x14ac:dyDescent="0.2">
      <c r="A13" s="203"/>
      <c r="B13" s="302" t="s">
        <v>997</v>
      </c>
      <c r="C13" s="307"/>
      <c r="D13" s="307"/>
      <c r="E13" s="307"/>
      <c r="F13" s="307"/>
      <c r="G13" s="307"/>
      <c r="H13" s="307"/>
      <c r="I13" s="307"/>
      <c r="J13" s="307"/>
      <c r="K13" s="303"/>
      <c r="L13" s="302" t="s">
        <v>1001</v>
      </c>
      <c r="M13" s="307"/>
      <c r="N13" s="307"/>
      <c r="O13" s="307"/>
      <c r="P13" s="307"/>
      <c r="Q13" s="307"/>
      <c r="R13" s="307"/>
      <c r="S13" s="307"/>
      <c r="T13" s="307"/>
      <c r="U13" s="303"/>
      <c r="V13" s="302" t="s">
        <v>1002</v>
      </c>
      <c r="W13" s="307"/>
      <c r="X13" s="307"/>
      <c r="Y13" s="307"/>
      <c r="Z13" s="307"/>
      <c r="AA13" s="307"/>
      <c r="AB13" s="307"/>
      <c r="AC13" s="307"/>
      <c r="AD13" s="307"/>
      <c r="AE13" s="303"/>
      <c r="AF13" s="302" t="s">
        <v>1003</v>
      </c>
      <c r="AG13" s="307"/>
      <c r="AH13" s="307"/>
      <c r="AI13" s="307"/>
      <c r="AJ13" s="307"/>
      <c r="AK13" s="307"/>
      <c r="AL13" s="307"/>
      <c r="AM13" s="307"/>
      <c r="AN13" s="307"/>
      <c r="AO13" s="303"/>
    </row>
    <row r="14" spans="1:41" x14ac:dyDescent="0.2">
      <c r="A14" s="204" t="s">
        <v>968</v>
      </c>
      <c r="B14" s="205">
        <v>2.22817628</v>
      </c>
      <c r="C14" s="206">
        <v>5.7101338400000001</v>
      </c>
      <c r="D14" s="206">
        <v>6.4807233999999996</v>
      </c>
      <c r="E14" s="206">
        <v>3.2932017500000001</v>
      </c>
      <c r="F14" s="206">
        <v>17.002004400000001</v>
      </c>
      <c r="G14" s="206">
        <v>2.2344051399999998</v>
      </c>
      <c r="H14" s="206">
        <v>5.19237269</v>
      </c>
      <c r="I14" s="206">
        <v>3.2149999999999999</v>
      </c>
      <c r="J14" s="206">
        <v>6.9869899799999997</v>
      </c>
      <c r="K14" s="207">
        <v>2.5094660200000001</v>
      </c>
      <c r="L14" s="205">
        <v>16.9954845</v>
      </c>
      <c r="M14" s="206">
        <v>10.256531499999999</v>
      </c>
      <c r="N14" s="206">
        <v>2.6858333299999999</v>
      </c>
      <c r="O14" s="206">
        <v>14.651693</v>
      </c>
      <c r="P14" s="206">
        <v>2.8275303599999999</v>
      </c>
      <c r="Q14" s="206">
        <v>14.425018700000001</v>
      </c>
      <c r="R14" s="206">
        <v>14.2542495</v>
      </c>
      <c r="S14" s="206">
        <v>17.841383700000002</v>
      </c>
      <c r="T14" s="206">
        <v>20.2091621</v>
      </c>
      <c r="U14" s="207">
        <v>7.5562201</v>
      </c>
      <c r="V14" s="205">
        <v>14.734786400000001</v>
      </c>
      <c r="W14" s="206">
        <v>2.3790496800000001</v>
      </c>
      <c r="X14" s="206">
        <v>5.4732127200000003</v>
      </c>
      <c r="Y14" s="206">
        <v>1.1138832999999999</v>
      </c>
      <c r="Z14" s="206">
        <v>4.3051282100000003</v>
      </c>
      <c r="AA14" s="206">
        <v>1.58310185</v>
      </c>
      <c r="AB14" s="206">
        <v>6.6722709299999998</v>
      </c>
      <c r="AC14" s="206">
        <v>14.454689</v>
      </c>
      <c r="AD14" s="206">
        <v>6.7456652799999999</v>
      </c>
      <c r="AE14" s="207">
        <v>31.156231399999999</v>
      </c>
      <c r="AF14" s="205">
        <v>25.4895633</v>
      </c>
      <c r="AG14" s="206">
        <v>8.3079229100000003</v>
      </c>
      <c r="AH14" s="206">
        <v>2.4305555600000002</v>
      </c>
      <c r="AI14" s="206">
        <v>1.3366774100000001</v>
      </c>
      <c r="AJ14" s="206">
        <v>3.3700197599999999</v>
      </c>
      <c r="AK14" s="206">
        <v>1.1406103299999999</v>
      </c>
      <c r="AL14" s="206">
        <v>11.979200799999999</v>
      </c>
      <c r="AM14" s="206">
        <v>8.80109882</v>
      </c>
      <c r="AN14" s="206">
        <v>20.5213371</v>
      </c>
      <c r="AO14" s="207">
        <v>10.411681400000001</v>
      </c>
    </row>
    <row r="15" spans="1:41" x14ac:dyDescent="0.2">
      <c r="B15" s="20"/>
      <c r="C15" s="21"/>
      <c r="D15" s="21"/>
      <c r="E15" s="21"/>
      <c r="F15" s="21"/>
      <c r="G15" s="21"/>
      <c r="H15" s="21"/>
      <c r="I15" s="21"/>
      <c r="J15" s="21"/>
      <c r="K15" s="10"/>
      <c r="L15" s="20"/>
      <c r="M15" s="21"/>
      <c r="N15" s="21"/>
      <c r="O15" s="21"/>
      <c r="P15" s="21"/>
      <c r="Q15" s="21"/>
      <c r="R15" s="21"/>
      <c r="S15" s="21"/>
      <c r="T15" s="21"/>
      <c r="U15" s="10"/>
      <c r="V15" s="20"/>
      <c r="W15" s="21"/>
      <c r="X15" s="21"/>
      <c r="Y15" s="21"/>
      <c r="Z15" s="21"/>
      <c r="AA15" s="21"/>
      <c r="AB15" s="21"/>
      <c r="AC15" s="21"/>
      <c r="AD15" s="21"/>
      <c r="AE15" s="10"/>
      <c r="AF15" s="20"/>
      <c r="AG15" s="21"/>
      <c r="AH15" s="21"/>
      <c r="AI15" s="21"/>
      <c r="AJ15" s="21"/>
      <c r="AK15" s="21"/>
      <c r="AL15" s="21"/>
      <c r="AM15" s="21"/>
      <c r="AN15" s="21"/>
      <c r="AO15" s="10"/>
    </row>
    <row r="16" spans="1:41" x14ac:dyDescent="0.2">
      <c r="A16" s="203"/>
      <c r="B16" s="324" t="s">
        <v>997</v>
      </c>
      <c r="C16" s="325"/>
      <c r="D16" s="325"/>
      <c r="E16" s="325"/>
      <c r="F16" s="325"/>
      <c r="G16" s="325"/>
      <c r="H16" s="325"/>
      <c r="I16" s="325"/>
      <c r="J16" s="325"/>
      <c r="K16" s="326"/>
      <c r="L16" s="324" t="s">
        <v>1004</v>
      </c>
      <c r="M16" s="325"/>
      <c r="N16" s="325"/>
      <c r="O16" s="325"/>
      <c r="P16" s="325"/>
      <c r="Q16" s="325"/>
      <c r="R16" s="325"/>
      <c r="S16" s="325"/>
      <c r="T16" s="325"/>
      <c r="U16" s="326"/>
      <c r="V16" s="324" t="s">
        <v>1002</v>
      </c>
      <c r="W16" s="325"/>
      <c r="X16" s="325"/>
      <c r="Y16" s="325"/>
      <c r="Z16" s="325"/>
      <c r="AA16" s="325"/>
      <c r="AB16" s="325"/>
      <c r="AC16" s="325"/>
      <c r="AD16" s="325"/>
      <c r="AE16" s="326"/>
      <c r="AF16" s="324" t="s">
        <v>1003</v>
      </c>
      <c r="AG16" s="325"/>
      <c r="AH16" s="325"/>
      <c r="AI16" s="325"/>
      <c r="AJ16" s="325"/>
      <c r="AK16" s="325"/>
      <c r="AL16" s="325"/>
      <c r="AM16" s="325"/>
      <c r="AN16" s="325"/>
      <c r="AO16" s="326"/>
    </row>
    <row r="17" spans="1:41" x14ac:dyDescent="0.2">
      <c r="A17" s="204" t="s">
        <v>32</v>
      </c>
      <c r="B17" s="205">
        <v>0.20878187000000001</v>
      </c>
      <c r="C17" s="206">
        <v>0.47246653999999999</v>
      </c>
      <c r="D17" s="206">
        <v>0.37973597999999997</v>
      </c>
      <c r="E17" s="206">
        <v>0.30723684000000001</v>
      </c>
      <c r="F17" s="206">
        <v>1.91016999</v>
      </c>
      <c r="G17" s="206">
        <v>0.23569132000000001</v>
      </c>
      <c r="H17" s="206">
        <v>0.39220933000000002</v>
      </c>
      <c r="I17" s="206">
        <v>0.27183332999999998</v>
      </c>
      <c r="J17" s="206">
        <v>0.64532456000000005</v>
      </c>
      <c r="K17" s="207">
        <v>0.15169903000000001</v>
      </c>
      <c r="L17" s="205">
        <v>0.79347606000000004</v>
      </c>
      <c r="M17" s="206">
        <v>0.50405405000000003</v>
      </c>
      <c r="N17" s="206">
        <v>0.18024999999999999</v>
      </c>
      <c r="O17" s="206">
        <v>0.48510157999999998</v>
      </c>
      <c r="P17" s="206">
        <v>0.12469636000000001</v>
      </c>
      <c r="Q17" s="206">
        <v>0.57531547999999999</v>
      </c>
      <c r="R17" s="206">
        <v>1.05334539</v>
      </c>
      <c r="S17" s="206">
        <v>0.44716728</v>
      </c>
      <c r="T17" s="206">
        <v>0.82463120000000001</v>
      </c>
      <c r="U17" s="207">
        <v>0.41435407000000002</v>
      </c>
      <c r="V17" s="205">
        <v>0.49084456999999998</v>
      </c>
      <c r="W17" s="206">
        <v>0.11814255</v>
      </c>
      <c r="X17" s="206">
        <v>0.2172124</v>
      </c>
      <c r="Y17" s="206">
        <v>7.4044269999999995E-2</v>
      </c>
      <c r="Z17" s="206">
        <v>0.18145956999999999</v>
      </c>
      <c r="AA17" s="206">
        <v>9.8148150000000003E-2</v>
      </c>
      <c r="AB17" s="206">
        <v>0.60217193999999996</v>
      </c>
      <c r="AC17" s="206">
        <v>0.76688095000000001</v>
      </c>
      <c r="AD17" s="206">
        <v>0.37166289000000002</v>
      </c>
      <c r="AE17" s="207">
        <v>1.8338385100000001</v>
      </c>
      <c r="AF17" s="205">
        <v>0.83731042</v>
      </c>
      <c r="AG17" s="206">
        <v>0.37922911999999998</v>
      </c>
      <c r="AH17" s="206">
        <v>9.3775339999999999E-2</v>
      </c>
      <c r="AI17" s="206">
        <v>5.7603069999999999E-2</v>
      </c>
      <c r="AJ17" s="206">
        <v>0.20710505000000001</v>
      </c>
      <c r="AK17" s="206">
        <v>4.3427229999999997E-2</v>
      </c>
      <c r="AL17" s="206">
        <v>0.56513221999999996</v>
      </c>
      <c r="AM17" s="206">
        <v>0.4380888</v>
      </c>
      <c r="AN17" s="206">
        <v>0.61185246000000004</v>
      </c>
      <c r="AO17" s="207">
        <v>0.34265487</v>
      </c>
    </row>
    <row r="18" spans="1:41" x14ac:dyDescent="0.2">
      <c r="A18" s="204" t="s">
        <v>927</v>
      </c>
      <c r="B18" s="205">
        <v>0.29625470999999998</v>
      </c>
      <c r="C18" s="206">
        <v>0.73747609999999997</v>
      </c>
      <c r="D18" s="206">
        <v>0.78936218999999996</v>
      </c>
      <c r="E18" s="206">
        <v>0.16820175000000001</v>
      </c>
      <c r="F18" s="206">
        <v>0.94690010999999996</v>
      </c>
      <c r="G18" s="206">
        <v>0.29951768000000001</v>
      </c>
      <c r="H18" s="206">
        <v>0.33939838</v>
      </c>
      <c r="I18" s="206">
        <v>0.48783333000000001</v>
      </c>
      <c r="J18" s="206">
        <v>0.76495692000000004</v>
      </c>
      <c r="K18" s="207">
        <v>0.31407766999999998</v>
      </c>
      <c r="L18" s="205">
        <v>2.4069373000000001</v>
      </c>
      <c r="M18" s="206">
        <v>1.62702703</v>
      </c>
      <c r="N18" s="206">
        <v>0.28008333000000002</v>
      </c>
      <c r="O18" s="206">
        <v>1.1076749400000001</v>
      </c>
      <c r="P18" s="206">
        <v>0.33846154000000001</v>
      </c>
      <c r="Q18" s="206">
        <v>1.7398934800000001</v>
      </c>
      <c r="R18" s="206">
        <v>1.1083182600000001</v>
      </c>
      <c r="S18" s="206">
        <v>0.49641478</v>
      </c>
      <c r="T18" s="206">
        <v>2.7536051700000002</v>
      </c>
      <c r="U18" s="207">
        <v>1.23038278</v>
      </c>
      <c r="V18" s="205">
        <v>3.4991705500000001</v>
      </c>
      <c r="W18" s="206">
        <v>0.29460043000000002</v>
      </c>
      <c r="X18" s="206">
        <v>0.74472821</v>
      </c>
      <c r="Y18" s="206">
        <v>0.12575453</v>
      </c>
      <c r="Z18" s="206">
        <v>0.37021695999999998</v>
      </c>
      <c r="AA18" s="206">
        <v>0.11967593</v>
      </c>
      <c r="AB18" s="206">
        <v>1.10827086</v>
      </c>
      <c r="AC18" s="206">
        <v>2.3038332100000001</v>
      </c>
      <c r="AD18" s="206">
        <v>0.54566722999999995</v>
      </c>
      <c r="AE18" s="207">
        <v>3.2238018500000001</v>
      </c>
      <c r="AF18" s="205">
        <v>2.48645527</v>
      </c>
      <c r="AG18" s="206">
        <v>0.54710921000000001</v>
      </c>
      <c r="AH18" s="206">
        <v>0.13686131000000001</v>
      </c>
      <c r="AI18" s="206">
        <v>0.21574317000000001</v>
      </c>
      <c r="AJ18" s="206">
        <v>0.44436333</v>
      </c>
      <c r="AK18" s="206">
        <v>9.7652580000000003E-2</v>
      </c>
      <c r="AL18" s="206">
        <v>1.6378638599999999</v>
      </c>
      <c r="AM18" s="206">
        <v>0.96313075999999997</v>
      </c>
      <c r="AN18" s="206">
        <v>2.0744711800000002</v>
      </c>
      <c r="AO18" s="207">
        <v>1.45681416</v>
      </c>
    </row>
    <row r="19" spans="1:41" x14ac:dyDescent="0.2">
      <c r="B19" s="20"/>
      <c r="C19" s="21"/>
      <c r="D19" s="21"/>
      <c r="E19" s="21"/>
      <c r="F19" s="21"/>
      <c r="G19" s="21"/>
      <c r="H19" s="21"/>
      <c r="I19" s="21"/>
      <c r="J19" s="21"/>
      <c r="K19" s="10"/>
      <c r="L19" s="20"/>
      <c r="M19" s="21"/>
      <c r="N19" s="21"/>
      <c r="O19" s="21"/>
      <c r="P19" s="21"/>
      <c r="Q19" s="21"/>
      <c r="R19" s="21"/>
      <c r="S19" s="21"/>
      <c r="T19" s="21"/>
      <c r="U19" s="10"/>
      <c r="V19" s="20"/>
      <c r="W19" s="21"/>
      <c r="X19" s="21"/>
      <c r="Y19" s="21"/>
      <c r="Z19" s="21"/>
      <c r="AA19" s="21"/>
      <c r="AB19" s="21"/>
      <c r="AC19" s="21"/>
      <c r="AD19" s="21"/>
      <c r="AE19" s="10"/>
      <c r="AF19" s="20"/>
      <c r="AG19" s="21"/>
      <c r="AH19" s="21"/>
      <c r="AI19" s="21"/>
      <c r="AJ19" s="21"/>
      <c r="AK19" s="21"/>
      <c r="AL19" s="21"/>
      <c r="AM19" s="21"/>
      <c r="AN19" s="21"/>
      <c r="AO19" s="10"/>
    </row>
    <row r="20" spans="1:41" x14ac:dyDescent="0.2">
      <c r="A20" s="203" t="s">
        <v>978</v>
      </c>
      <c r="B20" s="324" t="s">
        <v>997</v>
      </c>
      <c r="C20" s="325"/>
      <c r="D20" s="325"/>
      <c r="E20" s="325"/>
      <c r="F20" s="325"/>
      <c r="G20" s="325"/>
      <c r="H20" s="325"/>
      <c r="I20" s="325"/>
      <c r="J20" s="325"/>
      <c r="K20" s="326"/>
      <c r="L20" s="324" t="s">
        <v>1004</v>
      </c>
      <c r="M20" s="325"/>
      <c r="N20" s="325"/>
      <c r="O20" s="325"/>
      <c r="P20" s="325"/>
      <c r="Q20" s="325"/>
      <c r="R20" s="325"/>
      <c r="S20" s="325"/>
      <c r="T20" s="325"/>
      <c r="U20" s="326"/>
      <c r="V20" s="324" t="s">
        <v>1002</v>
      </c>
      <c r="W20" s="325"/>
      <c r="X20" s="325"/>
      <c r="Y20" s="325"/>
      <c r="Z20" s="325"/>
      <c r="AA20" s="325"/>
      <c r="AB20" s="325"/>
      <c r="AC20" s="325"/>
      <c r="AD20" s="325"/>
      <c r="AE20" s="326"/>
      <c r="AF20" s="324" t="s">
        <v>1003</v>
      </c>
      <c r="AG20" s="325"/>
      <c r="AH20" s="325"/>
      <c r="AI20" s="325"/>
      <c r="AJ20" s="325"/>
      <c r="AK20" s="325"/>
      <c r="AL20" s="325"/>
      <c r="AM20" s="325"/>
      <c r="AN20" s="325"/>
      <c r="AO20" s="326"/>
    </row>
    <row r="21" spans="1:41" x14ac:dyDescent="0.2">
      <c r="A21" s="204" t="s">
        <v>27</v>
      </c>
      <c r="B21" s="205">
        <v>53.781512599999999</v>
      </c>
      <c r="C21" s="206">
        <v>57.2642655</v>
      </c>
      <c r="D21" s="206">
        <v>59.000684499999998</v>
      </c>
      <c r="E21" s="206">
        <v>68.593861500000003</v>
      </c>
      <c r="F21" s="206">
        <v>58.141306399999998</v>
      </c>
      <c r="G21" s="206">
        <v>29.3997271</v>
      </c>
      <c r="H21" s="206">
        <v>61.310592499999998</v>
      </c>
      <c r="I21" s="206">
        <v>49.601471500000002</v>
      </c>
      <c r="J21" s="206">
        <v>39.750445599999999</v>
      </c>
      <c r="K21" s="207">
        <v>46.56</v>
      </c>
      <c r="L21" s="205">
        <v>51.359003399999999</v>
      </c>
      <c r="M21" s="206">
        <v>60.9919571</v>
      </c>
      <c r="N21" s="206">
        <v>79.981507199999996</v>
      </c>
      <c r="O21" s="206">
        <v>77.477896700000002</v>
      </c>
      <c r="P21" s="206">
        <v>78.571428600000004</v>
      </c>
      <c r="Q21" s="206">
        <v>73.030303000000004</v>
      </c>
      <c r="R21" s="206">
        <v>85.442060100000006</v>
      </c>
      <c r="S21" s="206">
        <v>81.057268699999995</v>
      </c>
      <c r="T21" s="206">
        <v>54.899497500000003</v>
      </c>
      <c r="U21" s="207">
        <v>74.769053099999994</v>
      </c>
      <c r="V21" s="205">
        <v>62.085561499999997</v>
      </c>
      <c r="W21" s="206">
        <v>65.630713</v>
      </c>
      <c r="X21" s="206">
        <v>51.180124200000002</v>
      </c>
      <c r="Y21" s="206">
        <v>36.141304300000002</v>
      </c>
      <c r="Z21" s="206">
        <v>45.760869599999999</v>
      </c>
      <c r="AA21" s="206">
        <v>43.396226400000003</v>
      </c>
      <c r="AB21" s="206">
        <v>51.396011399999999</v>
      </c>
      <c r="AC21" s="206">
        <v>53.510140399999997</v>
      </c>
      <c r="AD21" s="206">
        <v>60.069747200000002</v>
      </c>
      <c r="AE21" s="207">
        <v>57.2614108</v>
      </c>
      <c r="AF21" s="205">
        <v>51.724137900000002</v>
      </c>
      <c r="AG21" s="206">
        <v>88.594014700000002</v>
      </c>
      <c r="AH21" s="206">
        <v>40.540540499999999</v>
      </c>
      <c r="AI21" s="206">
        <v>63.354037300000002</v>
      </c>
      <c r="AJ21" s="206">
        <v>68.710089400000001</v>
      </c>
      <c r="AK21" s="206">
        <v>69.189189200000001</v>
      </c>
      <c r="AL21" s="206">
        <v>47.680412400000002</v>
      </c>
      <c r="AM21" s="206">
        <v>79.266750900000005</v>
      </c>
      <c r="AN21" s="206">
        <v>67.301587299999994</v>
      </c>
      <c r="AO21" s="207">
        <v>68.491735500000004</v>
      </c>
    </row>
    <row r="22" spans="1:41" x14ac:dyDescent="0.2">
      <c r="A22" s="204" t="s">
        <v>29</v>
      </c>
      <c r="B22" s="205">
        <v>95.678271300000006</v>
      </c>
      <c r="C22" s="206">
        <v>97.571833299999994</v>
      </c>
      <c r="D22" s="206">
        <v>92.676249100000007</v>
      </c>
      <c r="E22" s="206">
        <v>97.073518899999996</v>
      </c>
      <c r="F22" s="206">
        <v>93.010855100000001</v>
      </c>
      <c r="G22" s="206">
        <v>85.197817200000003</v>
      </c>
      <c r="H22" s="206">
        <v>95.511669699999999</v>
      </c>
      <c r="I22" s="206">
        <v>87.982832599999995</v>
      </c>
      <c r="J22" s="206">
        <v>82.352941200000004</v>
      </c>
      <c r="K22" s="207">
        <v>96.64</v>
      </c>
      <c r="L22" s="205">
        <v>74.405435999999995</v>
      </c>
      <c r="M22" s="206">
        <v>86.416443299999997</v>
      </c>
      <c r="N22" s="206">
        <v>97.503467400000005</v>
      </c>
      <c r="O22" s="206">
        <v>91.949744100000004</v>
      </c>
      <c r="P22" s="206">
        <v>92.045454500000005</v>
      </c>
      <c r="Q22" s="206">
        <v>86.464646500000001</v>
      </c>
      <c r="R22" s="206">
        <v>97.321888400000006</v>
      </c>
      <c r="S22" s="206">
        <v>91.189427300000006</v>
      </c>
      <c r="T22" s="206">
        <v>71.984924599999999</v>
      </c>
      <c r="U22" s="207">
        <v>93.418013900000005</v>
      </c>
      <c r="V22" s="205">
        <v>91.229946499999997</v>
      </c>
      <c r="W22" s="206">
        <v>94.881169999999997</v>
      </c>
      <c r="X22" s="206">
        <v>85.590062099999997</v>
      </c>
      <c r="Y22" s="206">
        <v>85.869565199999997</v>
      </c>
      <c r="Z22" s="206">
        <v>86.956521699999996</v>
      </c>
      <c r="AA22" s="206">
        <v>94.339622599999998</v>
      </c>
      <c r="AB22" s="206">
        <v>95.156695200000001</v>
      </c>
      <c r="AC22" s="206">
        <v>90.275610999999998</v>
      </c>
      <c r="AD22" s="206">
        <v>95.292066300000002</v>
      </c>
      <c r="AE22" s="207">
        <v>54.702627900000003</v>
      </c>
      <c r="AF22" s="205">
        <v>53.7525355</v>
      </c>
      <c r="AG22" s="206">
        <v>94.748729499999996</v>
      </c>
      <c r="AH22" s="206">
        <v>51.351351399999999</v>
      </c>
      <c r="AI22" s="206">
        <v>86.335403700000001</v>
      </c>
      <c r="AJ22" s="206">
        <v>91.954023000000007</v>
      </c>
      <c r="AK22" s="206">
        <v>88.648648600000001</v>
      </c>
      <c r="AL22" s="206">
        <v>57.2164948</v>
      </c>
      <c r="AM22" s="206">
        <v>92.857142899999999</v>
      </c>
      <c r="AN22" s="206">
        <v>64.126984100000001</v>
      </c>
      <c r="AO22" s="207">
        <v>87.035123999999996</v>
      </c>
    </row>
    <row r="23" spans="1:41" x14ac:dyDescent="0.2">
      <c r="A23" s="204" t="s">
        <v>1006</v>
      </c>
      <c r="B23" s="205">
        <v>66.626650699999999</v>
      </c>
      <c r="C23" s="206">
        <v>72.925940900000001</v>
      </c>
      <c r="D23" s="206">
        <v>61.122518800000002</v>
      </c>
      <c r="E23" s="206">
        <v>82.4411135</v>
      </c>
      <c r="F23" s="206">
        <v>58.236526400000002</v>
      </c>
      <c r="G23" s="206">
        <v>53.888131000000001</v>
      </c>
      <c r="H23" s="206">
        <v>71.184919199999996</v>
      </c>
      <c r="I23" s="206">
        <v>67.381974200000002</v>
      </c>
      <c r="J23" s="206">
        <v>28.520499099999999</v>
      </c>
      <c r="K23" s="207">
        <v>73.92</v>
      </c>
      <c r="L23" s="205">
        <v>36.183465499999997</v>
      </c>
      <c r="M23" s="206">
        <v>59.651474499999999</v>
      </c>
      <c r="N23" s="206">
        <v>89.135459999999995</v>
      </c>
      <c r="O23" s="206">
        <v>73.6156352</v>
      </c>
      <c r="P23" s="206">
        <v>83.279220800000004</v>
      </c>
      <c r="Q23" s="206">
        <v>65</v>
      </c>
      <c r="R23" s="206">
        <v>90.283261800000005</v>
      </c>
      <c r="S23" s="206">
        <v>72.246696</v>
      </c>
      <c r="T23" s="206">
        <v>44.660803999999999</v>
      </c>
      <c r="U23" s="207">
        <v>78.695150100000006</v>
      </c>
      <c r="V23" s="205">
        <v>60.748663100000002</v>
      </c>
      <c r="W23" s="206">
        <v>77.148080399999998</v>
      </c>
      <c r="X23" s="206">
        <v>50.8074534</v>
      </c>
      <c r="Y23" s="206">
        <v>65.217391300000003</v>
      </c>
      <c r="Z23" s="206">
        <v>46.195652199999998</v>
      </c>
      <c r="AA23" s="206">
        <v>76.179245300000005</v>
      </c>
      <c r="AB23" s="206">
        <v>60.626780599999996</v>
      </c>
      <c r="AC23" s="206">
        <v>54.238169499999998</v>
      </c>
      <c r="AD23" s="206">
        <v>67.654751500000003</v>
      </c>
      <c r="AE23" s="207">
        <v>16.6666667</v>
      </c>
      <c r="AF23" s="205">
        <v>24.746450299999999</v>
      </c>
      <c r="AG23" s="206">
        <v>88.537549400000003</v>
      </c>
      <c r="AH23" s="206">
        <v>35.135135099999999</v>
      </c>
      <c r="AI23" s="206">
        <v>65.838509299999998</v>
      </c>
      <c r="AJ23" s="206">
        <v>77.650063900000006</v>
      </c>
      <c r="AK23" s="206">
        <v>75.135135099999999</v>
      </c>
      <c r="AL23" s="206">
        <v>23.969072199999999</v>
      </c>
      <c r="AM23" s="206">
        <v>79.140328699999998</v>
      </c>
      <c r="AN23" s="206">
        <v>40.634920600000001</v>
      </c>
      <c r="AO23" s="207">
        <v>66.167355400000005</v>
      </c>
    </row>
    <row r="24" spans="1:41" x14ac:dyDescent="0.2">
      <c r="B24" s="20"/>
      <c r="C24" s="21"/>
      <c r="D24" s="21"/>
      <c r="E24" s="21"/>
      <c r="F24" s="21"/>
      <c r="G24" s="21"/>
      <c r="H24" s="21"/>
      <c r="I24" s="21"/>
      <c r="J24" s="21"/>
      <c r="K24" s="10"/>
      <c r="L24" s="20"/>
      <c r="M24" s="21"/>
      <c r="N24" s="21"/>
      <c r="O24" s="21"/>
      <c r="P24" s="21"/>
      <c r="Q24" s="21"/>
      <c r="R24" s="21"/>
      <c r="S24" s="21"/>
      <c r="T24" s="21"/>
      <c r="U24" s="10"/>
      <c r="V24" s="20"/>
      <c r="W24" s="21"/>
      <c r="X24" s="21"/>
      <c r="Y24" s="21"/>
      <c r="Z24" s="21"/>
      <c r="AA24" s="21"/>
      <c r="AB24" s="21"/>
      <c r="AC24" s="21"/>
      <c r="AD24" s="21"/>
      <c r="AE24" s="10"/>
      <c r="AF24" s="20"/>
      <c r="AG24" s="21"/>
      <c r="AH24" s="21"/>
      <c r="AI24" s="21"/>
      <c r="AJ24" s="21"/>
      <c r="AK24" s="21"/>
      <c r="AL24" s="21"/>
      <c r="AM24" s="21"/>
      <c r="AN24" s="21"/>
      <c r="AO24" s="10"/>
    </row>
    <row r="25" spans="1:41" x14ac:dyDescent="0.2">
      <c r="B25" s="20"/>
      <c r="C25" s="21"/>
      <c r="D25" s="21"/>
      <c r="E25" s="21"/>
      <c r="F25" s="21"/>
      <c r="G25" s="21"/>
      <c r="H25" s="21"/>
      <c r="I25" s="21"/>
      <c r="J25" s="21"/>
      <c r="K25" s="10"/>
      <c r="L25" s="20"/>
      <c r="M25" s="21"/>
      <c r="N25" s="21"/>
      <c r="O25" s="21"/>
      <c r="P25" s="21"/>
      <c r="Q25" s="21"/>
      <c r="R25" s="21"/>
      <c r="S25" s="21"/>
      <c r="T25" s="21"/>
      <c r="U25" s="10"/>
      <c r="V25" s="20"/>
      <c r="W25" s="21"/>
      <c r="X25" s="21"/>
      <c r="Y25" s="21"/>
      <c r="Z25" s="21"/>
      <c r="AA25" s="21"/>
      <c r="AB25" s="21"/>
      <c r="AC25" s="21"/>
      <c r="AD25" s="21"/>
      <c r="AE25" s="10"/>
      <c r="AF25" s="20"/>
      <c r="AG25" s="21"/>
      <c r="AH25" s="21"/>
      <c r="AI25" s="21"/>
      <c r="AJ25" s="21"/>
      <c r="AK25" s="21"/>
      <c r="AL25" s="21"/>
      <c r="AM25" s="21"/>
      <c r="AN25" s="21"/>
      <c r="AO25" s="10"/>
    </row>
    <row r="26" spans="1:41" x14ac:dyDescent="0.2">
      <c r="A26" s="203" t="s">
        <v>979</v>
      </c>
      <c r="B26" s="324" t="s">
        <v>997</v>
      </c>
      <c r="C26" s="325"/>
      <c r="D26" s="325"/>
      <c r="E26" s="325"/>
      <c r="F26" s="325"/>
      <c r="G26" s="325"/>
      <c r="H26" s="325"/>
      <c r="I26" s="325"/>
      <c r="J26" s="325"/>
      <c r="K26" s="326"/>
      <c r="L26" s="324" t="s">
        <v>1004</v>
      </c>
      <c r="M26" s="325"/>
      <c r="N26" s="325"/>
      <c r="O26" s="325"/>
      <c r="P26" s="325"/>
      <c r="Q26" s="325"/>
      <c r="R26" s="325"/>
      <c r="S26" s="325"/>
      <c r="T26" s="325"/>
      <c r="U26" s="326"/>
      <c r="V26" s="324" t="s">
        <v>1002</v>
      </c>
      <c r="W26" s="325"/>
      <c r="X26" s="325"/>
      <c r="Y26" s="325"/>
      <c r="Z26" s="325"/>
      <c r="AA26" s="325"/>
      <c r="AB26" s="325"/>
      <c r="AC26" s="325"/>
      <c r="AD26" s="325"/>
      <c r="AE26" s="326"/>
      <c r="AF26" s="324" t="s">
        <v>1003</v>
      </c>
      <c r="AG26" s="325"/>
      <c r="AH26" s="325"/>
      <c r="AI26" s="325"/>
      <c r="AJ26" s="325"/>
      <c r="AK26" s="325"/>
      <c r="AL26" s="325"/>
      <c r="AM26" s="325"/>
      <c r="AN26" s="325"/>
      <c r="AO26" s="326"/>
    </row>
    <row r="27" spans="1:41" x14ac:dyDescent="0.2">
      <c r="A27" s="204" t="s">
        <v>33</v>
      </c>
      <c r="B27" s="205">
        <v>61.759729299999996</v>
      </c>
      <c r="C27" s="206">
        <v>45.346123900000002</v>
      </c>
      <c r="D27" s="206">
        <v>78.399736599999997</v>
      </c>
      <c r="E27" s="206">
        <v>68.057366400000006</v>
      </c>
      <c r="F27" s="206">
        <v>66.308105999999995</v>
      </c>
      <c r="G27" s="206">
        <v>26.516371400000001</v>
      </c>
      <c r="H27" s="206">
        <v>60.269709499999998</v>
      </c>
      <c r="I27" s="206">
        <v>36.932012299999997</v>
      </c>
      <c r="J27" s="206">
        <v>69.473684199999994</v>
      </c>
      <c r="K27" s="207">
        <v>31.839258099999999</v>
      </c>
      <c r="L27" s="205">
        <v>80.959492299999994</v>
      </c>
      <c r="M27" s="206">
        <v>75.2491694</v>
      </c>
      <c r="N27" s="206">
        <v>64.534364800000006</v>
      </c>
      <c r="O27" s="206">
        <v>81.047483200000002</v>
      </c>
      <c r="P27" s="206">
        <v>78.767942599999998</v>
      </c>
      <c r="Q27" s="206">
        <v>84.836339300000006</v>
      </c>
      <c r="R27" s="206">
        <v>79.180943099999993</v>
      </c>
      <c r="S27" s="206">
        <v>86.904761899999997</v>
      </c>
      <c r="T27" s="206">
        <v>79.307750200000001</v>
      </c>
      <c r="U27" s="207">
        <v>72.75909</v>
      </c>
      <c r="V27" s="205">
        <v>86.235091100000005</v>
      </c>
      <c r="W27" s="206">
        <v>68.548387099999999</v>
      </c>
      <c r="X27" s="206">
        <v>72.246376799999993</v>
      </c>
      <c r="Y27" s="206">
        <v>17.920000000000002</v>
      </c>
      <c r="Z27" s="206">
        <v>68.779967999999997</v>
      </c>
      <c r="AA27" s="206">
        <v>26.4990329</v>
      </c>
      <c r="AB27" s="206">
        <v>63.034055700000003</v>
      </c>
      <c r="AC27" s="206">
        <v>70.209451299999998</v>
      </c>
      <c r="AD27" s="206">
        <v>63.9548694</v>
      </c>
      <c r="AE27" s="207">
        <v>95.790716000000003</v>
      </c>
      <c r="AF27" s="205">
        <v>86.202185799999995</v>
      </c>
      <c r="AG27" s="206">
        <v>81.409002000000001</v>
      </c>
      <c r="AH27" s="206">
        <v>83.333333300000007</v>
      </c>
      <c r="AI27" s="206">
        <v>65.837479299999998</v>
      </c>
      <c r="AJ27" s="206">
        <v>48.869047600000002</v>
      </c>
      <c r="AK27" s="206">
        <v>38.701923100000002</v>
      </c>
      <c r="AL27" s="206">
        <v>82.2587817</v>
      </c>
      <c r="AM27" s="206">
        <v>70.270270300000007</v>
      </c>
      <c r="AN27" s="206">
        <v>83.520599300000001</v>
      </c>
      <c r="AO27" s="207">
        <v>76.600656099999995</v>
      </c>
    </row>
    <row r="28" spans="1:41" x14ac:dyDescent="0.2">
      <c r="A28" s="204" t="s">
        <v>52</v>
      </c>
      <c r="B28" s="205">
        <v>60.659898499999997</v>
      </c>
      <c r="C28" s="206">
        <v>47.809178099999997</v>
      </c>
      <c r="D28" s="206">
        <v>79.815607499999999</v>
      </c>
      <c r="E28" s="206">
        <v>55.541069100000001</v>
      </c>
      <c r="F28" s="206">
        <v>52.055320799999997</v>
      </c>
      <c r="G28" s="206">
        <v>31.078904999999999</v>
      </c>
      <c r="H28" s="206">
        <v>58.402489600000003</v>
      </c>
      <c r="I28" s="206">
        <v>34.984625899999998</v>
      </c>
      <c r="J28" s="206">
        <v>24.210526300000001</v>
      </c>
      <c r="K28" s="207">
        <v>40.185471399999997</v>
      </c>
      <c r="L28" s="205">
        <v>57.252193400000003</v>
      </c>
      <c r="M28" s="206">
        <v>56.9075305</v>
      </c>
      <c r="N28" s="206">
        <v>54.894376700000002</v>
      </c>
      <c r="O28" s="206">
        <v>60.811086199999998</v>
      </c>
      <c r="P28" s="206">
        <v>68.181818199999995</v>
      </c>
      <c r="Q28" s="206">
        <v>59.402137600000003</v>
      </c>
      <c r="R28" s="206">
        <v>55.735030199999997</v>
      </c>
      <c r="S28" s="206">
        <v>51.984127000000001</v>
      </c>
      <c r="T28" s="206">
        <v>46.068472499999999</v>
      </c>
      <c r="U28" s="207">
        <v>53.859614999999998</v>
      </c>
      <c r="V28" s="205">
        <v>66.026554599999997</v>
      </c>
      <c r="W28" s="206">
        <v>60.850439899999998</v>
      </c>
      <c r="X28" s="206">
        <v>66.847826100000006</v>
      </c>
      <c r="Y28" s="206">
        <v>23.52</v>
      </c>
      <c r="Z28" s="206">
        <v>48.375066599999997</v>
      </c>
      <c r="AA28" s="206">
        <v>31.141199199999999</v>
      </c>
      <c r="AB28" s="206">
        <v>56.904024800000002</v>
      </c>
      <c r="AC28" s="206">
        <v>70.469101600000002</v>
      </c>
      <c r="AD28" s="206">
        <v>58.847980999999997</v>
      </c>
      <c r="AE28" s="207">
        <v>50.944138500000001</v>
      </c>
      <c r="AF28" s="205">
        <v>18.3743169</v>
      </c>
      <c r="AG28" s="206">
        <v>53.737769100000001</v>
      </c>
      <c r="AH28" s="206">
        <v>37.037036999999998</v>
      </c>
      <c r="AI28" s="206">
        <v>71.973466000000002</v>
      </c>
      <c r="AJ28" s="206">
        <v>38.273809499999999</v>
      </c>
      <c r="AK28" s="206">
        <v>31.25</v>
      </c>
      <c r="AL28" s="206">
        <v>51.000444600000002</v>
      </c>
      <c r="AM28" s="206">
        <v>42.984473800000004</v>
      </c>
      <c r="AN28" s="206">
        <v>35.767790300000001</v>
      </c>
      <c r="AO28" s="207">
        <v>49.811687499999998</v>
      </c>
    </row>
    <row r="29" spans="1:41" x14ac:dyDescent="0.2">
      <c r="A29" s="204" t="s">
        <v>1007</v>
      </c>
      <c r="B29" s="208">
        <v>62.6903553</v>
      </c>
      <c r="C29" s="209">
        <v>44.568317299999997</v>
      </c>
      <c r="D29" s="209">
        <v>67.764240999999998</v>
      </c>
      <c r="E29" s="209">
        <v>48.500651900000001</v>
      </c>
      <c r="F29" s="209">
        <v>34.3065693</v>
      </c>
      <c r="G29" s="209">
        <v>54.804079399999999</v>
      </c>
      <c r="H29" s="209">
        <v>50.518672199999997</v>
      </c>
      <c r="I29" s="209">
        <v>49.265459499999999</v>
      </c>
      <c r="J29" s="209">
        <v>18.796992500000002</v>
      </c>
      <c r="K29" s="210">
        <v>60.819165400000003</v>
      </c>
      <c r="L29" s="208">
        <v>55.030800800000002</v>
      </c>
      <c r="M29" s="209">
        <v>53.945182699999997</v>
      </c>
      <c r="N29" s="209">
        <v>65.0699197</v>
      </c>
      <c r="O29" s="209">
        <v>60.260851799999998</v>
      </c>
      <c r="P29" s="209">
        <v>70.454545499999995</v>
      </c>
      <c r="Q29" s="209">
        <v>57.014028099999997</v>
      </c>
      <c r="R29" s="209">
        <v>55.343449200000002</v>
      </c>
      <c r="S29" s="209">
        <v>48.809523800000001</v>
      </c>
      <c r="T29" s="209">
        <v>45.598194100000001</v>
      </c>
      <c r="U29" s="210">
        <v>56.290103100000003</v>
      </c>
      <c r="V29" s="208">
        <v>65.231415499999997</v>
      </c>
      <c r="W29" s="209">
        <v>59.017595300000004</v>
      </c>
      <c r="X29" s="209">
        <v>60.108695699999998</v>
      </c>
      <c r="Y29" s="209">
        <v>75.2</v>
      </c>
      <c r="Z29" s="209">
        <v>50.665956299999998</v>
      </c>
      <c r="AA29" s="209">
        <v>74.854932300000002</v>
      </c>
      <c r="AB29" s="209">
        <v>59.876161000000003</v>
      </c>
      <c r="AC29" s="209">
        <v>66.643586600000006</v>
      </c>
      <c r="AD29" s="209">
        <v>55.997624700000003</v>
      </c>
      <c r="AE29" s="210">
        <v>50.747442999999997</v>
      </c>
      <c r="AF29" s="208">
        <v>19.808743199999999</v>
      </c>
      <c r="AG29" s="209">
        <v>57.181996099999999</v>
      </c>
      <c r="AH29" s="209">
        <v>38.888888899999998</v>
      </c>
      <c r="AI29" s="209">
        <v>75.621890500000006</v>
      </c>
      <c r="AJ29" s="209">
        <v>59.702381000000003</v>
      </c>
      <c r="AK29" s="209">
        <v>69.471153799999996</v>
      </c>
      <c r="AL29" s="209">
        <v>51.489550899999998</v>
      </c>
      <c r="AM29" s="209">
        <v>45.715928699999999</v>
      </c>
      <c r="AN29" s="209">
        <v>45.131086099999997</v>
      </c>
      <c r="AO29" s="210">
        <v>54.294739399999997</v>
      </c>
    </row>
  </sheetData>
  <mergeCells count="24">
    <mergeCell ref="B20:K20"/>
    <mergeCell ref="L20:U20"/>
    <mergeCell ref="V20:AE20"/>
    <mergeCell ref="AF20:AO20"/>
    <mergeCell ref="B26:K26"/>
    <mergeCell ref="L26:U26"/>
    <mergeCell ref="V26:AE26"/>
    <mergeCell ref="AF26:AO26"/>
    <mergeCell ref="B13:K13"/>
    <mergeCell ref="L13:U13"/>
    <mergeCell ref="V13:AE13"/>
    <mergeCell ref="AF13:AO13"/>
    <mergeCell ref="B16:K16"/>
    <mergeCell ref="L16:U16"/>
    <mergeCell ref="V16:AE16"/>
    <mergeCell ref="AF16:AO16"/>
    <mergeCell ref="B7:K7"/>
    <mergeCell ref="L7:U7"/>
    <mergeCell ref="V7:AE7"/>
    <mergeCell ref="AF7:AO7"/>
    <mergeCell ref="B2:K2"/>
    <mergeCell ref="L2:U2"/>
    <mergeCell ref="V2:AE2"/>
    <mergeCell ref="AF2:AO2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53</vt:i4>
      </vt:variant>
    </vt:vector>
  </HeadingPairs>
  <TitlesOfParts>
    <vt:vector size="53" baseType="lpstr">
      <vt:lpstr>Fig 1b</vt:lpstr>
      <vt:lpstr>Fig 1c </vt:lpstr>
      <vt:lpstr>Fig 1d, Fig S2</vt:lpstr>
      <vt:lpstr>Fig 1e</vt:lpstr>
      <vt:lpstr>Fig 1f, Fig S3</vt:lpstr>
      <vt:lpstr>Fig 1g</vt:lpstr>
      <vt:lpstr>Fig1h, FigS4</vt:lpstr>
      <vt:lpstr>Fig2a, Fig S5a</vt:lpstr>
      <vt:lpstr>Fig2b, Fig S5b,c</vt:lpstr>
      <vt:lpstr>Fig2c</vt:lpstr>
      <vt:lpstr>Fig 2d</vt:lpstr>
      <vt:lpstr>Fig 3a, b</vt:lpstr>
      <vt:lpstr>Fig 3c, d</vt:lpstr>
      <vt:lpstr>Fig 3e, Fig S5f</vt:lpstr>
      <vt:lpstr>Fig 4a</vt:lpstr>
      <vt:lpstr>Fig S6a</vt:lpstr>
      <vt:lpstr>Fig S6b</vt:lpstr>
      <vt:lpstr>Fig S6c</vt:lpstr>
      <vt:lpstr>Fig 4b</vt:lpstr>
      <vt:lpstr>Fig S6d-f</vt:lpstr>
      <vt:lpstr>Fig S6g</vt:lpstr>
      <vt:lpstr>Fig S6h</vt:lpstr>
      <vt:lpstr>Fig S6i-k</vt:lpstr>
      <vt:lpstr>Fig 4c</vt:lpstr>
      <vt:lpstr>Fig 4d</vt:lpstr>
      <vt:lpstr>Fig 4f</vt:lpstr>
      <vt:lpstr>Fig 4g</vt:lpstr>
      <vt:lpstr>Fig 5a, FigS8 blots</vt:lpstr>
      <vt:lpstr>Fig 5b quant</vt:lpstr>
      <vt:lpstr>Fig 5c</vt:lpstr>
      <vt:lpstr>Fig 5d</vt:lpstr>
      <vt:lpstr>Fig 6a</vt:lpstr>
      <vt:lpstr>Fig S9a</vt:lpstr>
      <vt:lpstr>Fig 6b</vt:lpstr>
      <vt:lpstr>Fig 6c</vt:lpstr>
      <vt:lpstr>Fig S9b-d</vt:lpstr>
      <vt:lpstr>Fig7a, Fig S10a</vt:lpstr>
      <vt:lpstr>Fig 7c</vt:lpstr>
      <vt:lpstr>Fig 7d</vt:lpstr>
      <vt:lpstr>Fig 7e</vt:lpstr>
      <vt:lpstr>Fig 8b, Fig S11</vt:lpstr>
      <vt:lpstr>Fig 8c</vt:lpstr>
      <vt:lpstr>Fig8d, Fig S12b,c</vt:lpstr>
      <vt:lpstr>Fig 8f</vt:lpstr>
      <vt:lpstr>Fig 9a, S13</vt:lpstr>
      <vt:lpstr>Fig 9b</vt:lpstr>
      <vt:lpstr>Fig 9c</vt:lpstr>
      <vt:lpstr>Fig 9d</vt:lpstr>
      <vt:lpstr>Fig 9e, FigS14a</vt:lpstr>
      <vt:lpstr>Fig 9f</vt:lpstr>
      <vt:lpstr>Fig 9g, Fig S14b</vt:lpstr>
      <vt:lpstr>Fig 9h</vt:lpstr>
      <vt:lpstr>Fig 9i, S14c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2020-11-03T19:08:46Z</dcterms:created>
  <dcterms:modified xsi:type="dcterms:W3CDTF">2021-01-26T18:22:11Z</dcterms:modified>
</cp:coreProperties>
</file>